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05" windowWidth="10575" windowHeight="7785"/>
  </bookViews>
  <sheets>
    <sheet name="ORÇAMENTO" sheetId="2" r:id="rId1"/>
    <sheet name="CRONOGRAMA" sheetId="3" r:id="rId2"/>
    <sheet name="COMPOSIÇÕES" sheetId="4" r:id="rId3"/>
    <sheet name="BDI-S" sheetId="6" r:id="rId4"/>
    <sheet name="BDI-M" sheetId="7" r:id="rId5"/>
    <sheet name="COTAÇÕES" sheetId="9" r:id="rId6"/>
    <sheet name="ESC." sheetId="10" r:id="rId7"/>
    <sheet name="PV'S" sheetId="11" r:id="rId8"/>
    <sheet name="Plan1" sheetId="12" r:id="rId9"/>
  </sheets>
  <definedNames>
    <definedName name="_xlnm._FilterDatabase" localSheetId="0" hidden="1">ORÇAMENTO!$A$14:$I$353</definedName>
    <definedName name="_xlnm.Print_Area" localSheetId="4">'BDI-M'!$A$1:$D$39</definedName>
    <definedName name="_xlnm.Print_Area" localSheetId="3">'BDI-S'!$A$1:$D$39</definedName>
    <definedName name="_xlnm.Print_Area" localSheetId="2">COMPOSIÇÕES!$A$1:$I$609</definedName>
    <definedName name="_xlnm.Print_Area" localSheetId="1">CRONOGRAMA!$A$1:$P$38</definedName>
    <definedName name="_xlnm.Print_Area" localSheetId="0">ORÇAMENTO!$A$1:$I$57</definedName>
    <definedName name="INTERCEPTOR_A" localSheetId="7">'PV''S'!$A$2:$Z$63</definedName>
    <definedName name="INTERCEPTOR_B" localSheetId="7">'PV''S'!$A$64:$Z$107</definedName>
    <definedName name="INTERCEPTOR_C" localSheetId="7">'PV''S'!$A$108:$Z$158</definedName>
    <definedName name="INTERCEPTOR_D" localSheetId="7">'PV''S'!$A$159:$Z$187</definedName>
    <definedName name="INTERCEPTOR_E" localSheetId="7">'PV''S'!$A$188:$Y$229</definedName>
    <definedName name="INTERCEPTOR_F" localSheetId="7">'PV''S'!$A$230:$Z$265</definedName>
    <definedName name="INTERCEPTOR_G" localSheetId="7">'PV''S'!$A$266:$Z$275</definedName>
    <definedName name="INTERCEPTOR_H" localSheetId="7">'PV''S'!$A$276:$Z$284</definedName>
    <definedName name="INTERCEPTOR_I" localSheetId="7">'PV''S'!$A$285:$Z$293</definedName>
    <definedName name="INTERCEPTOR_J" localSheetId="7">'PV''S'!$A$294:$Z$299</definedName>
    <definedName name="INTERCEPTOR_M" localSheetId="7">'PV''S'!$A$300:$Y$338</definedName>
    <definedName name="_xlnm.Print_Titles" localSheetId="2">COMPOSIÇÕES!$1:$11</definedName>
    <definedName name="_xlnm.Print_Titles" localSheetId="0">ORÇAMENTO!$1:$13</definedName>
  </definedNames>
  <calcPr calcId="145621"/>
</workbook>
</file>

<file path=xl/calcChain.xml><?xml version="1.0" encoding="utf-8"?>
<calcChain xmlns="http://schemas.openxmlformats.org/spreadsheetml/2006/main">
  <c r="I24" i="2" l="1"/>
  <c r="D24" i="2"/>
  <c r="A24" i="2"/>
  <c r="F205" i="2"/>
  <c r="F206" i="2"/>
  <c r="F207" i="2"/>
  <c r="F208" i="2" s="1"/>
  <c r="F209" i="2"/>
  <c r="C232" i="2"/>
  <c r="G232" i="2"/>
  <c r="C235" i="2"/>
  <c r="G235" i="2"/>
  <c r="J493" i="2" l="1"/>
  <c r="I46" i="2" l="1"/>
  <c r="D46" i="2"/>
  <c r="A46" i="2"/>
  <c r="H555" i="4" l="1"/>
  <c r="I555" i="4" s="1"/>
  <c r="H557" i="4"/>
  <c r="I557" i="4" s="1"/>
  <c r="H558" i="4"/>
  <c r="I558" i="4" s="1"/>
  <c r="H559" i="4"/>
  <c r="I559" i="4" s="1"/>
  <c r="H560" i="4"/>
  <c r="I560" i="4" s="1"/>
  <c r="H561" i="4"/>
  <c r="I561" i="4" s="1"/>
  <c r="H562" i="4"/>
  <c r="I562" i="4" s="1"/>
  <c r="H563" i="4"/>
  <c r="I563" i="4" s="1"/>
  <c r="H564" i="4"/>
  <c r="I564" i="4" s="1"/>
  <c r="H566" i="4"/>
  <c r="I566" i="4" s="1"/>
  <c r="H567" i="4"/>
  <c r="I567" i="4" s="1"/>
  <c r="H569" i="4"/>
  <c r="I569" i="4" s="1"/>
  <c r="H570" i="4"/>
  <c r="I570" i="4"/>
  <c r="H571" i="4"/>
  <c r="I571" i="4" s="1"/>
  <c r="H572" i="4"/>
  <c r="I572" i="4" s="1"/>
  <c r="H574" i="4"/>
  <c r="I574" i="4" s="1"/>
  <c r="H576" i="4"/>
  <c r="I576" i="4"/>
  <c r="H554" i="4"/>
  <c r="I554" i="4" s="1"/>
  <c r="H374" i="4" l="1"/>
  <c r="I374" i="4" s="1"/>
  <c r="D467" i="2"/>
  <c r="C467" i="2"/>
  <c r="D466" i="2"/>
  <c r="C466" i="2"/>
  <c r="C480" i="2"/>
  <c r="C479" i="2"/>
  <c r="H356" i="4"/>
  <c r="I356" i="4" s="1"/>
  <c r="H357" i="4"/>
  <c r="I357" i="4" s="1"/>
  <c r="H358" i="4"/>
  <c r="I358" i="4" s="1"/>
  <c r="H359" i="4"/>
  <c r="I359" i="4" s="1"/>
  <c r="H360" i="4"/>
  <c r="I360" i="4" s="1"/>
  <c r="H361" i="4"/>
  <c r="I361" i="4" s="1"/>
  <c r="H362" i="4"/>
  <c r="I362" i="4" s="1"/>
  <c r="H363" i="4"/>
  <c r="I363" i="4" s="1"/>
  <c r="H364" i="4"/>
  <c r="I364" i="4" s="1"/>
  <c r="H365" i="4"/>
  <c r="I365" i="4" s="1"/>
  <c r="H366" i="4"/>
  <c r="I366" i="4" s="1"/>
  <c r="H367" i="4"/>
  <c r="I367" i="4" s="1"/>
  <c r="H368" i="4"/>
  <c r="I368" i="4" s="1"/>
  <c r="H369" i="4"/>
  <c r="I369" i="4" s="1"/>
  <c r="H370" i="4"/>
  <c r="I370" i="4" s="1"/>
  <c r="H371" i="4"/>
  <c r="I371" i="4" s="1"/>
  <c r="H372" i="4"/>
  <c r="I372" i="4" s="1"/>
  <c r="H373" i="4"/>
  <c r="I373" i="4" s="1"/>
  <c r="C283" i="2"/>
  <c r="H174" i="4"/>
  <c r="I174" i="4" s="1"/>
  <c r="H173" i="4"/>
  <c r="I173" i="4" s="1"/>
  <c r="H151" i="4"/>
  <c r="I151" i="4" s="1"/>
  <c r="H152" i="4"/>
  <c r="I152" i="4" s="1"/>
  <c r="H153" i="4"/>
  <c r="I153" i="4" s="1"/>
  <c r="H154" i="4"/>
  <c r="I154" i="4" s="1"/>
  <c r="H155" i="4"/>
  <c r="I155" i="4" s="1"/>
  <c r="H156" i="4"/>
  <c r="I156" i="4" s="1"/>
  <c r="H157" i="4"/>
  <c r="H158" i="4"/>
  <c r="H159" i="4"/>
  <c r="I159" i="4" s="1"/>
  <c r="H160" i="4"/>
  <c r="I160" i="4" s="1"/>
  <c r="H161" i="4"/>
  <c r="I161" i="4" s="1"/>
  <c r="H162" i="4"/>
  <c r="I162" i="4" s="1"/>
  <c r="H163" i="4"/>
  <c r="I163" i="4" s="1"/>
  <c r="H164" i="4"/>
  <c r="I164" i="4" s="1"/>
  <c r="H165" i="4"/>
  <c r="I165" i="4" s="1"/>
  <c r="H166" i="4"/>
  <c r="I166" i="4" s="1"/>
  <c r="H167" i="4"/>
  <c r="I167" i="4" s="1"/>
  <c r="H168" i="4"/>
  <c r="I168" i="4" s="1"/>
  <c r="H169" i="4"/>
  <c r="I169" i="4" s="1"/>
  <c r="H170" i="4"/>
  <c r="I170" i="4" s="1"/>
  <c r="F157" i="4"/>
  <c r="F158" i="4"/>
  <c r="I157" i="4" l="1"/>
  <c r="I158" i="4"/>
  <c r="I172" i="4"/>
  <c r="G283" i="2" s="1"/>
  <c r="H106" i="4"/>
  <c r="I106" i="4" s="1"/>
  <c r="H105" i="4"/>
  <c r="I105" i="4" s="1"/>
  <c r="H79" i="4"/>
  <c r="I79" i="4" s="1"/>
  <c r="H80" i="4"/>
  <c r="I80" i="4" s="1"/>
  <c r="H81" i="4"/>
  <c r="I81" i="4"/>
  <c r="H82" i="4"/>
  <c r="I82" i="4" s="1"/>
  <c r="H83" i="4"/>
  <c r="I83" i="4" s="1"/>
  <c r="H84" i="4"/>
  <c r="H85" i="4"/>
  <c r="H86" i="4"/>
  <c r="I86" i="4"/>
  <c r="H87" i="4"/>
  <c r="I87" i="4" s="1"/>
  <c r="H88" i="4"/>
  <c r="I88" i="4" s="1"/>
  <c r="H89" i="4"/>
  <c r="I89" i="4" s="1"/>
  <c r="H90" i="4"/>
  <c r="I90" i="4" s="1"/>
  <c r="H91" i="4"/>
  <c r="I91" i="4" s="1"/>
  <c r="H92" i="4"/>
  <c r="I92" i="4" s="1"/>
  <c r="H93" i="4"/>
  <c r="I93" i="4" s="1"/>
  <c r="H94" i="4"/>
  <c r="I94" i="4" s="1"/>
  <c r="H95" i="4"/>
  <c r="I95" i="4" s="1"/>
  <c r="H96" i="4"/>
  <c r="I96" i="4" s="1"/>
  <c r="H97" i="4"/>
  <c r="I97" i="4" s="1"/>
  <c r="H98" i="4"/>
  <c r="I98" i="4" s="1"/>
  <c r="H99" i="4"/>
  <c r="I99" i="4" s="1"/>
  <c r="H100" i="4"/>
  <c r="I100" i="4" s="1"/>
  <c r="H101" i="4"/>
  <c r="I101" i="4" s="1"/>
  <c r="H102" i="4"/>
  <c r="I102" i="4" s="1"/>
  <c r="F85" i="4" l="1"/>
  <c r="I85" i="4" s="1"/>
  <c r="F84" i="4"/>
  <c r="I84" i="4" s="1"/>
  <c r="F453" i="2"/>
  <c r="F452" i="2"/>
  <c r="F451" i="2"/>
  <c r="F450" i="2"/>
  <c r="F449" i="2"/>
  <c r="F454" i="2"/>
  <c r="F460" i="2"/>
  <c r="F459" i="2"/>
  <c r="H507" i="4"/>
  <c r="H508" i="4"/>
  <c r="H509" i="4"/>
  <c r="H510" i="4"/>
  <c r="I510" i="4" s="1"/>
  <c r="H511" i="4"/>
  <c r="H512" i="4"/>
  <c r="I512" i="4" s="1"/>
  <c r="H513" i="4"/>
  <c r="H514" i="4"/>
  <c r="I514" i="4" s="1"/>
  <c r="H515" i="4"/>
  <c r="H516" i="4"/>
  <c r="H517" i="4"/>
  <c r="H518" i="4"/>
  <c r="I518" i="4" s="1"/>
  <c r="H519" i="4"/>
  <c r="I519" i="4" s="1"/>
  <c r="H520" i="4"/>
  <c r="I520" i="4" s="1"/>
  <c r="H521" i="4"/>
  <c r="I521" i="4" s="1"/>
  <c r="H522" i="4"/>
  <c r="I522" i="4" s="1"/>
  <c r="H523" i="4"/>
  <c r="I523" i="4" s="1"/>
  <c r="H524" i="4"/>
  <c r="I524" i="4" s="1"/>
  <c r="H525" i="4"/>
  <c r="I525" i="4" s="1"/>
  <c r="H526" i="4"/>
  <c r="I526" i="4" s="1"/>
  <c r="H527" i="4"/>
  <c r="I527" i="4" s="1"/>
  <c r="H529" i="4"/>
  <c r="I529" i="4" s="1"/>
  <c r="H530" i="4"/>
  <c r="I530" i="4" s="1"/>
  <c r="H531" i="4"/>
  <c r="I531" i="4" s="1"/>
  <c r="H532" i="4"/>
  <c r="I532" i="4" s="1"/>
  <c r="H533" i="4"/>
  <c r="I533" i="4" s="1"/>
  <c r="H534" i="4"/>
  <c r="I534" i="4" s="1"/>
  <c r="H535" i="4"/>
  <c r="I535" i="4" s="1"/>
  <c r="H536" i="4"/>
  <c r="I536" i="4" s="1"/>
  <c r="H537" i="4"/>
  <c r="I537" i="4" s="1"/>
  <c r="H538" i="4"/>
  <c r="I538" i="4" s="1"/>
  <c r="H539" i="4"/>
  <c r="I539" i="4" s="1"/>
  <c r="H540" i="4"/>
  <c r="I540" i="4" s="1"/>
  <c r="H541" i="4"/>
  <c r="I541" i="4" s="1"/>
  <c r="H542" i="4"/>
  <c r="I542" i="4" s="1"/>
  <c r="H543" i="4"/>
  <c r="I543" i="4" s="1"/>
  <c r="H544" i="4"/>
  <c r="I544" i="4" s="1"/>
  <c r="H545" i="4"/>
  <c r="I545" i="4" s="1"/>
  <c r="C237" i="2" l="1"/>
  <c r="I104" i="4"/>
  <c r="G237" i="2" s="1"/>
  <c r="C236" i="2"/>
  <c r="F509" i="4" l="1"/>
  <c r="F511" i="4"/>
  <c r="I511" i="4" s="1"/>
  <c r="F513" i="4"/>
  <c r="I513" i="4" s="1"/>
  <c r="F506" i="4"/>
  <c r="F456" i="2" s="1"/>
  <c r="F516" i="4"/>
  <c r="I516" i="4" s="1"/>
  <c r="F508" i="4"/>
  <c r="F517" i="4"/>
  <c r="I517" i="4" s="1"/>
  <c r="F507" i="4"/>
  <c r="F515" i="4"/>
  <c r="I515" i="4" s="1"/>
  <c r="F458" i="2" l="1"/>
  <c r="I508" i="4"/>
  <c r="I507" i="4"/>
  <c r="F457" i="2"/>
  <c r="F455" i="2"/>
  <c r="I509" i="4"/>
  <c r="H78" i="4"/>
  <c r="I78" i="4" s="1"/>
  <c r="I77" i="4" s="1"/>
  <c r="G236" i="2" s="1"/>
  <c r="F486" i="2"/>
  <c r="F488" i="2" s="1"/>
  <c r="F437" i="2" l="1"/>
  <c r="F485" i="2"/>
  <c r="F487" i="2"/>
  <c r="H120" i="4" l="1"/>
  <c r="I120" i="4" s="1"/>
  <c r="H11" i="12" l="1"/>
  <c r="H13" i="12" s="1"/>
  <c r="H6" i="12"/>
  <c r="H7" i="12"/>
  <c r="H8" i="12"/>
  <c r="H9" i="12"/>
  <c r="H5" i="12"/>
  <c r="G6" i="12"/>
  <c r="G7" i="12"/>
  <c r="G8" i="12"/>
  <c r="G9" i="12"/>
  <c r="G5" i="12"/>
  <c r="G11" i="12" s="1"/>
  <c r="G13" i="12" s="1"/>
  <c r="H15" i="12" l="1"/>
  <c r="F123" i="2"/>
  <c r="F122" i="2"/>
  <c r="D465" i="2"/>
  <c r="C465" i="2"/>
  <c r="I552" i="4" l="1"/>
  <c r="G465" i="2" s="1"/>
  <c r="Q64" i="11" l="1"/>
  <c r="Q65" i="11"/>
  <c r="Q66" i="11"/>
  <c r="Q67" i="11"/>
  <c r="Q68" i="11"/>
  <c r="Q69" i="11"/>
  <c r="Q70" i="11"/>
  <c r="Q71" i="11"/>
  <c r="Q72" i="11"/>
  <c r="Q73" i="11"/>
  <c r="Q74" i="11"/>
  <c r="Q75" i="11"/>
  <c r="Q76" i="11"/>
  <c r="Q77" i="11"/>
  <c r="Q78" i="11"/>
  <c r="Q79" i="11"/>
  <c r="Q80" i="11"/>
  <c r="Q81" i="11"/>
  <c r="Q82" i="11"/>
  <c r="Q83" i="11"/>
  <c r="Q84" i="11"/>
  <c r="Q85" i="11"/>
  <c r="Q86" i="11"/>
  <c r="Q87" i="11"/>
  <c r="Q88" i="11"/>
  <c r="Q89" i="11"/>
  <c r="Q90" i="11"/>
  <c r="Q91" i="11"/>
  <c r="Q92" i="11"/>
  <c r="Q93" i="11"/>
  <c r="Q94" i="11"/>
  <c r="Q95" i="11"/>
  <c r="Q96" i="11"/>
  <c r="Q97" i="11"/>
  <c r="Q98" i="11"/>
  <c r="Q99" i="11"/>
  <c r="Q100" i="11"/>
  <c r="Q101" i="11"/>
  <c r="Q102" i="11"/>
  <c r="Q103" i="11"/>
  <c r="Q104" i="11"/>
  <c r="Q105" i="11"/>
  <c r="Q106" i="11"/>
  <c r="Q107" i="11"/>
  <c r="Q108" i="11"/>
  <c r="Q109" i="11"/>
  <c r="Q110" i="11"/>
  <c r="Q111" i="11"/>
  <c r="Q112" i="11"/>
  <c r="Q113" i="11"/>
  <c r="Q114" i="11"/>
  <c r="Q115" i="11"/>
  <c r="Q116" i="11"/>
  <c r="Q117" i="11"/>
  <c r="Q118" i="11"/>
  <c r="Q119" i="11"/>
  <c r="Q120" i="11"/>
  <c r="Q121" i="11"/>
  <c r="Q122" i="11"/>
  <c r="Q123" i="11"/>
  <c r="Q124" i="11"/>
  <c r="Q125" i="11"/>
  <c r="Q126" i="11"/>
  <c r="Q127" i="11"/>
  <c r="Q128" i="11"/>
  <c r="Q129" i="11"/>
  <c r="Q130" i="11"/>
  <c r="Q131" i="11"/>
  <c r="Q132" i="11"/>
  <c r="Q133" i="11"/>
  <c r="Q134" i="11"/>
  <c r="Q135" i="11"/>
  <c r="Q136" i="11"/>
  <c r="Q137" i="11"/>
  <c r="Q138" i="11"/>
  <c r="Q139" i="11"/>
  <c r="Q140" i="11"/>
  <c r="Q141" i="11"/>
  <c r="Q142" i="11"/>
  <c r="Q143" i="11"/>
  <c r="Q144" i="11"/>
  <c r="Q145" i="11"/>
  <c r="Q146" i="11"/>
  <c r="Q147" i="11"/>
  <c r="Q148" i="11"/>
  <c r="Q149" i="11"/>
  <c r="Q150" i="11"/>
  <c r="Q151" i="11"/>
  <c r="Q152" i="11"/>
  <c r="Q153" i="11"/>
  <c r="Q154" i="11"/>
  <c r="Q155" i="11"/>
  <c r="Q156" i="11"/>
  <c r="Q157" i="11"/>
  <c r="Q158" i="11"/>
  <c r="Q159" i="11"/>
  <c r="Q160" i="11"/>
  <c r="Q161" i="11"/>
  <c r="Q162" i="11"/>
  <c r="Q163" i="11"/>
  <c r="Q164" i="11"/>
  <c r="Q165" i="11"/>
  <c r="Q166" i="11"/>
  <c r="Q167" i="11"/>
  <c r="Q168" i="11"/>
  <c r="Q169" i="11"/>
  <c r="Q170" i="11"/>
  <c r="Q171" i="11"/>
  <c r="Q172" i="11"/>
  <c r="Q173" i="11"/>
  <c r="Q174" i="11"/>
  <c r="Q175" i="11"/>
  <c r="Q176" i="11"/>
  <c r="Q177" i="11"/>
  <c r="Q178" i="11"/>
  <c r="Q179" i="11"/>
  <c r="Q180" i="11"/>
  <c r="Q181" i="11"/>
  <c r="Q182" i="11"/>
  <c r="Q183" i="11"/>
  <c r="Q184" i="11"/>
  <c r="Q185" i="11"/>
  <c r="Q186" i="11"/>
  <c r="Q187" i="11"/>
  <c r="Q188" i="11"/>
  <c r="Q189" i="11"/>
  <c r="Q190" i="11"/>
  <c r="Q191" i="11"/>
  <c r="Q192" i="11"/>
  <c r="Q193" i="11"/>
  <c r="Q194" i="11"/>
  <c r="Q195" i="11"/>
  <c r="Q196" i="11"/>
  <c r="Q197" i="11"/>
  <c r="Q198" i="11"/>
  <c r="Q199" i="11"/>
  <c r="Q200" i="11"/>
  <c r="Q201" i="11"/>
  <c r="Q202" i="11"/>
  <c r="Q203" i="11"/>
  <c r="Q204" i="11"/>
  <c r="Q205" i="11"/>
  <c r="Q206" i="11"/>
  <c r="Q207" i="11"/>
  <c r="Q208" i="11"/>
  <c r="Q209" i="11"/>
  <c r="Q210" i="11"/>
  <c r="Q211" i="11"/>
  <c r="Q212" i="11"/>
  <c r="Q213" i="11"/>
  <c r="Q214" i="11"/>
  <c r="Q215" i="11"/>
  <c r="Q216" i="11"/>
  <c r="Q217" i="11"/>
  <c r="Q218" i="11"/>
  <c r="Q219" i="11"/>
  <c r="Q220" i="11"/>
  <c r="Q221" i="11"/>
  <c r="Q222" i="11"/>
  <c r="Q223" i="11"/>
  <c r="Q224" i="11"/>
  <c r="Q225" i="11"/>
  <c r="Q226" i="11"/>
  <c r="Q227" i="11"/>
  <c r="Q228" i="11"/>
  <c r="Q229" i="11"/>
  <c r="Q230" i="11"/>
  <c r="Q231" i="11"/>
  <c r="Q232" i="11"/>
  <c r="Q233" i="11"/>
  <c r="Q234" i="11"/>
  <c r="Q235" i="11"/>
  <c r="Q236" i="11"/>
  <c r="Q237" i="11"/>
  <c r="Q238" i="11"/>
  <c r="Q239" i="11"/>
  <c r="Q240" i="11"/>
  <c r="Q241" i="11"/>
  <c r="Q242" i="11"/>
  <c r="Q243" i="11"/>
  <c r="Q244" i="11"/>
  <c r="Q245" i="11"/>
  <c r="Q246" i="11"/>
  <c r="Q247" i="11"/>
  <c r="Q248" i="11"/>
  <c r="Q249" i="11"/>
  <c r="Q250" i="11"/>
  <c r="Q251" i="11"/>
  <c r="Q252" i="11"/>
  <c r="Q253" i="11"/>
  <c r="Q254" i="11"/>
  <c r="Q255" i="11"/>
  <c r="Q256" i="11"/>
  <c r="Q257" i="11"/>
  <c r="Q258" i="11"/>
  <c r="Q259" i="11"/>
  <c r="Q260" i="11"/>
  <c r="Q261" i="11"/>
  <c r="Q262" i="11"/>
  <c r="Q263" i="11"/>
  <c r="Q264" i="11"/>
  <c r="Q265" i="11"/>
  <c r="Q266" i="11"/>
  <c r="Q267" i="11"/>
  <c r="Q268" i="11"/>
  <c r="Q269" i="11"/>
  <c r="Q270" i="11"/>
  <c r="Q271" i="11"/>
  <c r="Q272" i="11"/>
  <c r="Q273" i="11"/>
  <c r="Q274" i="11"/>
  <c r="Q275" i="11"/>
  <c r="Q276" i="11"/>
  <c r="Q277" i="11"/>
  <c r="Q278" i="11"/>
  <c r="Q279" i="11"/>
  <c r="Q280" i="11"/>
  <c r="Q281" i="11"/>
  <c r="Q282" i="11"/>
  <c r="Q283" i="11"/>
  <c r="Q284" i="11"/>
  <c r="Q285" i="11"/>
  <c r="Q286" i="11"/>
  <c r="Q287" i="11"/>
  <c r="Q288" i="11"/>
  <c r="Q289" i="11"/>
  <c r="Q290" i="11"/>
  <c r="Q291" i="11"/>
  <c r="Q292" i="11"/>
  <c r="Q293" i="11"/>
  <c r="Q294" i="11"/>
  <c r="Q295" i="11"/>
  <c r="Q296" i="11"/>
  <c r="Q297" i="11"/>
  <c r="Q298" i="11"/>
  <c r="Q299" i="11"/>
  <c r="Q300" i="11"/>
  <c r="Q301" i="11"/>
  <c r="Q302" i="11"/>
  <c r="Q303" i="11"/>
  <c r="Q304" i="11"/>
  <c r="Q305" i="11"/>
  <c r="Q306" i="11"/>
  <c r="Q307" i="11"/>
  <c r="Q308" i="11"/>
  <c r="Q309" i="11"/>
  <c r="Q310" i="11"/>
  <c r="Q311" i="11"/>
  <c r="Q312" i="11"/>
  <c r="Q313" i="11"/>
  <c r="Q314" i="11"/>
  <c r="Q315" i="11"/>
  <c r="Q316" i="11"/>
  <c r="Q317" i="11"/>
  <c r="Q318" i="11"/>
  <c r="Q319" i="11"/>
  <c r="Q320" i="11"/>
  <c r="Q321" i="11"/>
  <c r="Q322" i="11"/>
  <c r="Q323" i="11"/>
  <c r="Q324" i="11"/>
  <c r="Q325" i="11"/>
  <c r="Q326" i="11"/>
  <c r="Q327" i="11"/>
  <c r="Q328" i="11"/>
  <c r="Q329" i="11"/>
  <c r="Q330" i="11"/>
  <c r="Q331" i="11"/>
  <c r="Q332" i="11"/>
  <c r="Q333" i="11"/>
  <c r="Q334" i="11"/>
  <c r="Q335" i="11"/>
  <c r="Q336" i="11"/>
  <c r="Q337" i="11"/>
  <c r="Q338" i="11"/>
  <c r="Q5" i="11"/>
  <c r="Q6" i="11"/>
  <c r="Q7" i="11"/>
  <c r="Q8" i="11"/>
  <c r="Q9" i="11"/>
  <c r="Q10" i="11"/>
  <c r="Q11" i="11"/>
  <c r="Q12" i="11"/>
  <c r="Q13" i="11"/>
  <c r="Q14" i="11"/>
  <c r="Q15" i="11"/>
  <c r="Q16" i="11"/>
  <c r="Q17" i="11"/>
  <c r="Q18" i="11"/>
  <c r="Q19" i="11"/>
  <c r="Q20" i="11"/>
  <c r="Q21" i="11"/>
  <c r="Q22" i="11"/>
  <c r="Q23" i="11"/>
  <c r="Q24" i="11"/>
  <c r="Q25" i="11"/>
  <c r="Q26" i="11"/>
  <c r="Q27" i="11"/>
  <c r="Q28" i="11"/>
  <c r="Q29" i="11"/>
  <c r="Q30" i="11"/>
  <c r="Q31" i="11"/>
  <c r="Q32" i="11"/>
  <c r="Q33" i="11"/>
  <c r="Q34" i="11"/>
  <c r="Q35" i="11"/>
  <c r="Q36" i="11"/>
  <c r="Q37" i="11"/>
  <c r="Q38" i="11"/>
  <c r="Q39" i="11"/>
  <c r="Q40" i="11"/>
  <c r="Q41" i="11"/>
  <c r="Q42" i="11"/>
  <c r="Q43" i="11"/>
  <c r="Q44" i="11"/>
  <c r="Q45" i="11"/>
  <c r="Q46" i="11"/>
  <c r="Q47" i="11"/>
  <c r="Q48" i="11"/>
  <c r="Q49" i="11"/>
  <c r="Q50" i="11"/>
  <c r="Q51" i="11"/>
  <c r="Q52" i="11"/>
  <c r="Q53" i="11"/>
  <c r="Q54" i="11"/>
  <c r="Q55" i="11"/>
  <c r="Q56" i="11"/>
  <c r="Q57" i="11"/>
  <c r="Q58" i="11"/>
  <c r="Q59" i="11"/>
  <c r="Q60" i="11"/>
  <c r="Q61" i="11"/>
  <c r="Q62" i="11"/>
  <c r="Q63" i="11"/>
  <c r="Q4" i="11"/>
  <c r="Q343" i="11" s="1"/>
  <c r="D359" i="11" l="1"/>
  <c r="D344" i="11"/>
  <c r="D354" i="11"/>
  <c r="D352" i="11"/>
  <c r="D348" i="11"/>
  <c r="D353" i="11"/>
  <c r="D346" i="11"/>
  <c r="D343" i="11"/>
  <c r="D349" i="11"/>
  <c r="D355" i="11"/>
  <c r="D350" i="11"/>
  <c r="D356" i="11"/>
  <c r="D345" i="11"/>
  <c r="D351" i="11"/>
  <c r="D357" i="11"/>
  <c r="D358" i="11"/>
  <c r="D347" i="11"/>
  <c r="D360" i="11" l="1"/>
  <c r="N8" i="10" l="1"/>
  <c r="F106" i="2" s="1"/>
  <c r="N9" i="10"/>
  <c r="F105" i="2" s="1"/>
  <c r="N10" i="10"/>
  <c r="F99" i="2" s="1"/>
  <c r="N11" i="10"/>
  <c r="F100" i="2" s="1"/>
  <c r="N12" i="10"/>
  <c r="F101" i="2" s="1"/>
  <c r="N13" i="10"/>
  <c r="F102" i="2" s="1"/>
  <c r="N7" i="10"/>
  <c r="F110" i="2" s="1"/>
  <c r="F111" i="2" s="1"/>
  <c r="F113" i="2" s="1"/>
  <c r="M7" i="10"/>
  <c r="L7" i="10"/>
  <c r="K7" i="10"/>
  <c r="J7" i="10"/>
  <c r="I7" i="10"/>
  <c r="H7" i="10"/>
  <c r="G7" i="10"/>
  <c r="F7" i="10"/>
  <c r="E7" i="10"/>
  <c r="D7" i="10"/>
  <c r="C7" i="10"/>
  <c r="K85" i="2" l="1"/>
  <c r="F88" i="2" s="1"/>
  <c r="F87" i="2"/>
  <c r="F96" i="2" l="1"/>
  <c r="F89" i="2"/>
  <c r="F151" i="2"/>
  <c r="F147" i="2"/>
  <c r="F149" i="2"/>
  <c r="F148" i="2"/>
  <c r="F146" i="2"/>
  <c r="F43" i="4"/>
  <c r="F75" i="2" s="1"/>
  <c r="F77" i="2" s="1"/>
  <c r="H45" i="4"/>
  <c r="I45" i="4" s="1"/>
  <c r="H49" i="4"/>
  <c r="I49" i="4" s="1"/>
  <c r="R15" i="3" l="1"/>
  <c r="A30" i="2"/>
  <c r="A15" i="3" s="1"/>
  <c r="D30" i="2"/>
  <c r="B15" i="3" s="1"/>
  <c r="F274" i="4" l="1"/>
  <c r="F268" i="4"/>
  <c r="R11" i="3" l="1"/>
  <c r="R12" i="3"/>
  <c r="R13" i="3"/>
  <c r="F156" i="2" l="1"/>
  <c r="R26" i="3" l="1"/>
  <c r="H287" i="4" l="1"/>
  <c r="I287" i="4" s="1"/>
  <c r="H117" i="4"/>
  <c r="I117" i="4" s="1"/>
  <c r="H116" i="4"/>
  <c r="I116" i="4" s="1"/>
  <c r="H318" i="4" l="1"/>
  <c r="I318" i="4" s="1"/>
  <c r="H290" i="4"/>
  <c r="I290" i="4" s="1"/>
  <c r="H289" i="4"/>
  <c r="I289" i="4" s="1"/>
  <c r="H288" i="4"/>
  <c r="I288" i="4" s="1"/>
  <c r="H283" i="4"/>
  <c r="I283" i="4" s="1"/>
  <c r="H281" i="4"/>
  <c r="I281" i="4" s="1"/>
  <c r="C300" i="2" l="1"/>
  <c r="C448" i="2"/>
  <c r="H585" i="4"/>
  <c r="I585" i="4" s="1"/>
  <c r="H584" i="4"/>
  <c r="I584" i="4" s="1"/>
  <c r="H583" i="4"/>
  <c r="I583" i="4" s="1"/>
  <c r="H582" i="4"/>
  <c r="I582" i="4" s="1"/>
  <c r="H581" i="4"/>
  <c r="I581" i="4" s="1"/>
  <c r="H580" i="4"/>
  <c r="I580" i="4" s="1"/>
  <c r="H579" i="4"/>
  <c r="I579" i="4" s="1"/>
  <c r="C463" i="2"/>
  <c r="I578" i="4" l="1"/>
  <c r="G479" i="2" s="1"/>
  <c r="C462" i="2" l="1"/>
  <c r="C434" i="2"/>
  <c r="C433" i="2"/>
  <c r="C430" i="2"/>
  <c r="C429" i="2"/>
  <c r="C399" i="2"/>
  <c r="C394" i="2"/>
  <c r="C375" i="2"/>
  <c r="C374" i="2"/>
  <c r="C353" i="2"/>
  <c r="C352" i="2"/>
  <c r="C351" i="2"/>
  <c r="C350" i="2"/>
  <c r="C349" i="2"/>
  <c r="C332" i="2"/>
  <c r="C330" i="2"/>
  <c r="C329" i="2"/>
  <c r="C311" i="2"/>
  <c r="C310" i="2"/>
  <c r="C309" i="2"/>
  <c r="C308" i="2"/>
  <c r="C306" i="2"/>
  <c r="C305" i="2"/>
  <c r="C280" i="2"/>
  <c r="C277" i="2"/>
  <c r="C257" i="2"/>
  <c r="H124" i="4"/>
  <c r="I124" i="4" s="1"/>
  <c r="H123" i="4"/>
  <c r="I123" i="4" s="1"/>
  <c r="H119" i="4"/>
  <c r="I119" i="4" s="1"/>
  <c r="H118" i="4"/>
  <c r="I118" i="4" s="1"/>
  <c r="F115" i="4"/>
  <c r="H115" i="4"/>
  <c r="C256" i="2"/>
  <c r="D114" i="4"/>
  <c r="I115" i="4" l="1"/>
  <c r="I114" i="4" s="1"/>
  <c r="G256" i="2" s="1"/>
  <c r="C255" i="2" l="1"/>
  <c r="C158" i="2"/>
  <c r="F157" i="2"/>
  <c r="H56" i="4"/>
  <c r="I56" i="4" s="1"/>
  <c r="H55" i="4"/>
  <c r="F55" i="4"/>
  <c r="H54" i="4"/>
  <c r="I54" i="4" s="1"/>
  <c r="H53" i="4"/>
  <c r="I53" i="4" s="1"/>
  <c r="I55" i="4" l="1"/>
  <c r="I52" i="4" s="1"/>
  <c r="H596" i="4" l="1"/>
  <c r="I596" i="4" s="1"/>
  <c r="H595" i="4"/>
  <c r="I595" i="4" s="1"/>
  <c r="H594" i="4"/>
  <c r="I594" i="4" s="1"/>
  <c r="H593" i="4"/>
  <c r="I593" i="4" s="1"/>
  <c r="H602" i="4"/>
  <c r="I602" i="4" s="1"/>
  <c r="H601" i="4"/>
  <c r="I601" i="4" s="1"/>
  <c r="H600" i="4"/>
  <c r="I600" i="4" s="1"/>
  <c r="H599" i="4"/>
  <c r="I599" i="4" s="1"/>
  <c r="I592" i="4" l="1"/>
  <c r="G466" i="2" s="1"/>
  <c r="I598" i="4"/>
  <c r="G467" i="2" s="1"/>
  <c r="H31" i="4" l="1"/>
  <c r="I31" i="4" s="1"/>
  <c r="H488" i="4"/>
  <c r="I488" i="4" s="1"/>
  <c r="H489" i="4"/>
  <c r="I489" i="4" s="1"/>
  <c r="H487" i="4"/>
  <c r="I487" i="4" s="1"/>
  <c r="H486" i="4"/>
  <c r="I486" i="4" s="1"/>
  <c r="I485" i="4" l="1"/>
  <c r="G448" i="2" s="1"/>
  <c r="M206" i="2" l="1"/>
  <c r="M204" i="2"/>
  <c r="I65" i="4" l="1"/>
  <c r="F152" i="2" l="1"/>
  <c r="F150" i="2"/>
  <c r="C153" i="2"/>
  <c r="H44" i="4"/>
  <c r="H47" i="4"/>
  <c r="I47" i="4" s="1"/>
  <c r="H48" i="4"/>
  <c r="I48" i="4" s="1"/>
  <c r="H50" i="4"/>
  <c r="I50" i="4" s="1"/>
  <c r="H46" i="4"/>
  <c r="I44" i="4" l="1"/>
  <c r="I46" i="4"/>
  <c r="I43" i="4" l="1"/>
  <c r="K98" i="2"/>
  <c r="F93" i="2" l="1"/>
  <c r="F92" i="2"/>
  <c r="F86" i="2"/>
  <c r="F91" i="2"/>
  <c r="F90" i="2"/>
  <c r="F95" i="2"/>
  <c r="F94" i="2"/>
  <c r="H506" i="4"/>
  <c r="I506" i="4" l="1"/>
  <c r="I504" i="4" s="1"/>
  <c r="G463" i="2" s="1"/>
  <c r="H128" i="4"/>
  <c r="I128" i="4" s="1"/>
  <c r="H129" i="4"/>
  <c r="I129" i="4" s="1"/>
  <c r="H130" i="4"/>
  <c r="I130" i="4" s="1"/>
  <c r="H131" i="4"/>
  <c r="I131" i="4" s="1"/>
  <c r="H132" i="4"/>
  <c r="I132" i="4" s="1"/>
  <c r="H133" i="4"/>
  <c r="I133" i="4" s="1"/>
  <c r="H134" i="4"/>
  <c r="I134" i="4" s="1"/>
  <c r="H135" i="4"/>
  <c r="I135" i="4" s="1"/>
  <c r="H136" i="4"/>
  <c r="I136" i="4" s="1"/>
  <c r="H137" i="4"/>
  <c r="I137" i="4" s="1"/>
  <c r="H138" i="4"/>
  <c r="I138" i="4" s="1"/>
  <c r="H139" i="4"/>
  <c r="I139" i="4" s="1"/>
  <c r="H140" i="4"/>
  <c r="I140" i="4" s="1"/>
  <c r="H141" i="4"/>
  <c r="I141" i="4" s="1"/>
  <c r="H142" i="4"/>
  <c r="I142" i="4" s="1"/>
  <c r="H143" i="4"/>
  <c r="I143" i="4" s="1"/>
  <c r="H144" i="4"/>
  <c r="I144" i="4" s="1"/>
  <c r="H145" i="4"/>
  <c r="I145" i="4" s="1"/>
  <c r="H146" i="4"/>
  <c r="I146" i="4" s="1"/>
  <c r="H147" i="4"/>
  <c r="I147" i="4" s="1"/>
  <c r="H127" i="4"/>
  <c r="I127" i="4" s="1"/>
  <c r="H150" i="4" l="1"/>
  <c r="I150" i="4" s="1"/>
  <c r="C282" i="2"/>
  <c r="D149" i="4"/>
  <c r="I149" i="4" l="1"/>
  <c r="G282" i="2" s="1"/>
  <c r="F438" i="2" l="1"/>
  <c r="F439" i="2"/>
  <c r="I126" i="4" l="1"/>
  <c r="G280" i="2" s="1"/>
  <c r="H317" i="4" l="1"/>
  <c r="I317" i="4" s="1"/>
  <c r="H284" i="4"/>
  <c r="I284" i="4" s="1"/>
  <c r="H316" i="4"/>
  <c r="I316" i="4" s="1"/>
  <c r="H291" i="4"/>
  <c r="I291" i="4" s="1"/>
  <c r="H255" i="4" l="1"/>
  <c r="I255" i="4" s="1"/>
  <c r="H253" i="4"/>
  <c r="I253" i="4" s="1"/>
  <c r="H252" i="4"/>
  <c r="I252" i="4" s="1"/>
  <c r="H251" i="4"/>
  <c r="I251" i="4" s="1"/>
  <c r="H250" i="4"/>
  <c r="I250" i="4" s="1"/>
  <c r="H248" i="4"/>
  <c r="I248" i="4" s="1"/>
  <c r="H249" i="4"/>
  <c r="I249" i="4" s="1"/>
  <c r="H235" i="4" l="1"/>
  <c r="I235" i="4" s="1"/>
  <c r="H236" i="4"/>
  <c r="I236" i="4" s="1"/>
  <c r="H230" i="4" l="1"/>
  <c r="I230" i="4" s="1"/>
  <c r="H229" i="4"/>
  <c r="I229" i="4" s="1"/>
  <c r="H228" i="4"/>
  <c r="I228" i="4" s="1"/>
  <c r="H226" i="4"/>
  <c r="I226" i="4" s="1"/>
  <c r="H227" i="4"/>
  <c r="I227" i="4" s="1"/>
  <c r="H225" i="4"/>
  <c r="I225" i="4" s="1"/>
  <c r="H217" i="4" l="1"/>
  <c r="I217" i="4" s="1"/>
  <c r="H216" i="4"/>
  <c r="I216" i="4" s="1"/>
  <c r="H215" i="4"/>
  <c r="I215" i="4" s="1"/>
  <c r="H214" i="4"/>
  <c r="I214" i="4" s="1"/>
  <c r="D308" i="2"/>
  <c r="F205" i="4"/>
  <c r="F204" i="4"/>
  <c r="F203" i="4"/>
  <c r="F202" i="4"/>
  <c r="I213" i="4" l="1"/>
  <c r="G310" i="2" s="1"/>
  <c r="H196" i="4" l="1"/>
  <c r="I196" i="4" s="1"/>
  <c r="H195" i="4"/>
  <c r="I195" i="4" s="1"/>
  <c r="H197" i="4"/>
  <c r="I197" i="4" s="1"/>
  <c r="H198" i="4"/>
  <c r="I198" i="4" s="1"/>
  <c r="H199" i="4"/>
  <c r="I199" i="4" s="1"/>
  <c r="H200" i="4"/>
  <c r="I200" i="4" s="1"/>
  <c r="H201" i="4"/>
  <c r="I201" i="4" s="1"/>
  <c r="H202" i="4"/>
  <c r="I202" i="4" s="1"/>
  <c r="H203" i="4"/>
  <c r="I203" i="4" s="1"/>
  <c r="H204" i="4"/>
  <c r="I204" i="4" s="1"/>
  <c r="H205" i="4"/>
  <c r="I205" i="4" s="1"/>
  <c r="H194" i="4"/>
  <c r="I194" i="4" s="1"/>
  <c r="I193" i="4" l="1"/>
  <c r="G308" i="2" s="1"/>
  <c r="D52" i="2"/>
  <c r="B25" i="3" s="1"/>
  <c r="D54" i="2"/>
  <c r="B26" i="3" s="1"/>
  <c r="A54" i="2"/>
  <c r="A26" i="3" s="1"/>
  <c r="A52" i="2"/>
  <c r="A25" i="3" s="1"/>
  <c r="D34" i="2"/>
  <c r="B17" i="3" s="1"/>
  <c r="A34" i="2"/>
  <c r="A17" i="3" s="1"/>
  <c r="C24" i="6" l="1"/>
  <c r="C36" i="6" s="1"/>
  <c r="L20" i="2" s="1"/>
  <c r="H204" i="2" l="1"/>
  <c r="I204" i="2" s="1"/>
  <c r="H207" i="2"/>
  <c r="I207" i="2" s="1"/>
  <c r="H213" i="2"/>
  <c r="I213" i="2" s="1"/>
  <c r="H220" i="2"/>
  <c r="I220" i="2" s="1"/>
  <c r="H227" i="2"/>
  <c r="I227" i="2" s="1"/>
  <c r="H231" i="2"/>
  <c r="I231" i="2" s="1"/>
  <c r="H217" i="2"/>
  <c r="I217" i="2" s="1"/>
  <c r="H224" i="2"/>
  <c r="I224" i="2" s="1"/>
  <c r="H228" i="2"/>
  <c r="I228" i="2" s="1"/>
  <c r="H234" i="2"/>
  <c r="I234" i="2" s="1"/>
  <c r="H205" i="2"/>
  <c r="I205" i="2" s="1"/>
  <c r="H208" i="2"/>
  <c r="I208" i="2" s="1"/>
  <c r="H214" i="2"/>
  <c r="I214" i="2" s="1"/>
  <c r="H221" i="2"/>
  <c r="I221" i="2" s="1"/>
  <c r="H225" i="2"/>
  <c r="I225" i="2" s="1"/>
  <c r="H218" i="2"/>
  <c r="I218" i="2" s="1"/>
  <c r="H222" i="2"/>
  <c r="I222" i="2" s="1"/>
  <c r="H229" i="2"/>
  <c r="I229" i="2" s="1"/>
  <c r="H206" i="2"/>
  <c r="I206" i="2" s="1"/>
  <c r="H209" i="2"/>
  <c r="I209" i="2" s="1"/>
  <c r="H215" i="2"/>
  <c r="I215" i="2" s="1"/>
  <c r="H219" i="2"/>
  <c r="I219" i="2" s="1"/>
  <c r="H226" i="2"/>
  <c r="I226" i="2" s="1"/>
  <c r="H212" i="2"/>
  <c r="I212" i="2" s="1"/>
  <c r="H216" i="2"/>
  <c r="I216" i="2" s="1"/>
  <c r="H223" i="2"/>
  <c r="I223" i="2" s="1"/>
  <c r="H230" i="2"/>
  <c r="I230" i="2" s="1"/>
  <c r="H235" i="2"/>
  <c r="I235" i="2" s="1"/>
  <c r="H232" i="2"/>
  <c r="I232" i="2" s="1"/>
  <c r="H498" i="2"/>
  <c r="I498" i="2" s="1"/>
  <c r="H499" i="2"/>
  <c r="I499" i="2" s="1"/>
  <c r="H497" i="2"/>
  <c r="I497" i="2" s="1"/>
  <c r="H500" i="2"/>
  <c r="I500" i="2" s="1"/>
  <c r="H114" i="2"/>
  <c r="H467" i="2"/>
  <c r="I467" i="2" s="1"/>
  <c r="H466" i="2"/>
  <c r="I466" i="2" s="1"/>
  <c r="H452" i="2"/>
  <c r="I452" i="2" s="1"/>
  <c r="H460" i="2"/>
  <c r="I460" i="2" s="1"/>
  <c r="H453" i="2"/>
  <c r="I453" i="2" s="1"/>
  <c r="H450" i="2"/>
  <c r="I450" i="2" s="1"/>
  <c r="H451" i="2"/>
  <c r="I451" i="2" s="1"/>
  <c r="H459" i="2"/>
  <c r="I459" i="2" s="1"/>
  <c r="H449" i="2"/>
  <c r="I449" i="2" s="1"/>
  <c r="H486" i="2"/>
  <c r="I486" i="2" s="1"/>
  <c r="H488" i="2"/>
  <c r="I488" i="2" s="1"/>
  <c r="H487" i="2"/>
  <c r="I487" i="2" s="1"/>
  <c r="H489" i="2"/>
  <c r="I489" i="2" s="1"/>
  <c r="H485" i="2"/>
  <c r="I485" i="2" s="1"/>
  <c r="H490" i="2"/>
  <c r="I490" i="2" s="1"/>
  <c r="H123" i="2"/>
  <c r="I123" i="2" s="1"/>
  <c r="H124" i="2"/>
  <c r="I124" i="2" s="1"/>
  <c r="H122" i="2"/>
  <c r="I122" i="2" s="1"/>
  <c r="H132" i="2"/>
  <c r="I132" i="2" s="1"/>
  <c r="H138" i="2"/>
  <c r="I138" i="2" s="1"/>
  <c r="H133" i="2"/>
  <c r="I133" i="2" s="1"/>
  <c r="H139" i="2"/>
  <c r="I139" i="2" s="1"/>
  <c r="H143" i="2"/>
  <c r="I143" i="2" s="1"/>
  <c r="H134" i="2"/>
  <c r="I134" i="2" s="1"/>
  <c r="H129" i="2"/>
  <c r="I129" i="2" s="1"/>
  <c r="H135" i="2"/>
  <c r="I135" i="2" s="1"/>
  <c r="H140" i="2"/>
  <c r="I140" i="2" s="1"/>
  <c r="H130" i="2"/>
  <c r="I130" i="2" s="1"/>
  <c r="H136" i="2"/>
  <c r="I136" i="2" s="1"/>
  <c r="H141" i="2"/>
  <c r="I141" i="2" s="1"/>
  <c r="H131" i="2"/>
  <c r="I131" i="2" s="1"/>
  <c r="H137" i="2"/>
  <c r="I137" i="2" s="1"/>
  <c r="H142" i="2"/>
  <c r="I142" i="2" s="1"/>
  <c r="H89" i="2"/>
  <c r="I89" i="2" s="1"/>
  <c r="H99" i="2"/>
  <c r="I99" i="2" s="1"/>
  <c r="H151" i="2"/>
  <c r="I151" i="2" s="1"/>
  <c r="H147" i="2"/>
  <c r="I147" i="2" s="1"/>
  <c r="H237" i="2"/>
  <c r="I237" i="2" s="1"/>
  <c r="H458" i="2"/>
  <c r="I458" i="2" s="1"/>
  <c r="H457" i="2"/>
  <c r="I457" i="2" s="1"/>
  <c r="H454" i="2"/>
  <c r="I454" i="2" s="1"/>
  <c r="H445" i="2"/>
  <c r="I445" i="2" s="1"/>
  <c r="H112" i="4"/>
  <c r="I112" i="4" s="1"/>
  <c r="H111" i="4"/>
  <c r="I111" i="4" s="1"/>
  <c r="H110" i="4"/>
  <c r="I110" i="4" s="1"/>
  <c r="H109" i="4"/>
  <c r="I109" i="4" s="1"/>
  <c r="J207" i="2" l="1"/>
  <c r="I203" i="2"/>
  <c r="I121" i="2"/>
  <c r="I108" i="4"/>
  <c r="G255" i="2" l="1"/>
  <c r="H255" i="2" s="1"/>
  <c r="I255" i="2" s="1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85" i="9"/>
  <c r="H86" i="9"/>
  <c r="H87" i="9"/>
  <c r="H88" i="9"/>
  <c r="H89" i="9"/>
  <c r="H90" i="9"/>
  <c r="H91" i="9"/>
  <c r="H92" i="9"/>
  <c r="H93" i="9"/>
  <c r="H94" i="9"/>
  <c r="H95" i="9"/>
  <c r="H96" i="9"/>
  <c r="H97" i="9"/>
  <c r="H98" i="9"/>
  <c r="H99" i="9"/>
  <c r="H100" i="9"/>
  <c r="H101" i="9"/>
  <c r="H102" i="9"/>
  <c r="H103" i="9"/>
  <c r="H104" i="9"/>
  <c r="H105" i="9"/>
  <c r="H106" i="9"/>
  <c r="H107" i="9"/>
  <c r="H108" i="9"/>
  <c r="H109" i="9"/>
  <c r="H110" i="9"/>
  <c r="H111" i="9"/>
  <c r="H112" i="9"/>
  <c r="H113" i="9"/>
  <c r="H114" i="9"/>
  <c r="H115" i="9"/>
  <c r="H116" i="9"/>
  <c r="H117" i="9"/>
  <c r="H118" i="9"/>
  <c r="H119" i="9"/>
  <c r="H120" i="9"/>
  <c r="H121" i="9"/>
  <c r="H122" i="9"/>
  <c r="H123" i="9"/>
  <c r="H124" i="9"/>
  <c r="H125" i="9"/>
  <c r="H126" i="9"/>
  <c r="H127" i="9"/>
  <c r="H128" i="9"/>
  <c r="H129" i="9"/>
  <c r="H130" i="9"/>
  <c r="H14" i="9"/>
  <c r="D58" i="9" l="1"/>
  <c r="D53" i="9"/>
  <c r="D52" i="9"/>
  <c r="D40" i="9"/>
  <c r="F291" i="2" l="1"/>
  <c r="G465" i="4" l="1"/>
  <c r="C464" i="2" l="1"/>
  <c r="D548" i="4"/>
  <c r="D480" i="4"/>
  <c r="C400" i="2"/>
  <c r="D376" i="4"/>
  <c r="C376" i="2"/>
  <c r="D350" i="4"/>
  <c r="C354" i="2"/>
  <c r="D331" i="4"/>
  <c r="C333" i="2"/>
  <c r="D293" i="4"/>
  <c r="C312" i="2"/>
  <c r="D262" i="4"/>
  <c r="H493" i="4" l="1"/>
  <c r="H494" i="4"/>
  <c r="H495" i="4"/>
  <c r="H496" i="4"/>
  <c r="H497" i="4"/>
  <c r="H498" i="4"/>
  <c r="H499" i="4"/>
  <c r="H500" i="4"/>
  <c r="H501" i="4"/>
  <c r="H502" i="4"/>
  <c r="H492" i="4"/>
  <c r="H590" i="4"/>
  <c r="H589" i="4"/>
  <c r="H550" i="4"/>
  <c r="H549" i="4"/>
  <c r="H482" i="4"/>
  <c r="H481" i="4"/>
  <c r="H405" i="4"/>
  <c r="H406" i="4"/>
  <c r="H407" i="4"/>
  <c r="H408" i="4"/>
  <c r="H409" i="4"/>
  <c r="H410" i="4"/>
  <c r="H411" i="4"/>
  <c r="H412" i="4"/>
  <c r="H413" i="4"/>
  <c r="H414" i="4"/>
  <c r="H415" i="4"/>
  <c r="H416" i="4"/>
  <c r="H417" i="4"/>
  <c r="H418" i="4"/>
  <c r="H419" i="4"/>
  <c r="H420" i="4"/>
  <c r="H421" i="4"/>
  <c r="H422" i="4"/>
  <c r="H423" i="4"/>
  <c r="H424" i="4"/>
  <c r="H425" i="4"/>
  <c r="H426" i="4"/>
  <c r="H427" i="4"/>
  <c r="H428" i="4"/>
  <c r="H429" i="4"/>
  <c r="H430" i="4"/>
  <c r="H431" i="4"/>
  <c r="H432" i="4"/>
  <c r="H433" i="4"/>
  <c r="H434" i="4"/>
  <c r="H435" i="4"/>
  <c r="H436" i="4"/>
  <c r="H437" i="4"/>
  <c r="H438" i="4"/>
  <c r="H439" i="4"/>
  <c r="H440" i="4"/>
  <c r="H441" i="4"/>
  <c r="H442" i="4"/>
  <c r="H443" i="4"/>
  <c r="H444" i="4"/>
  <c r="H445" i="4"/>
  <c r="H446" i="4"/>
  <c r="H447" i="4"/>
  <c r="H448" i="4"/>
  <c r="H449" i="4"/>
  <c r="H450" i="4"/>
  <c r="H451" i="4"/>
  <c r="H452" i="4"/>
  <c r="H453" i="4"/>
  <c r="H454" i="4"/>
  <c r="H455" i="4"/>
  <c r="H456" i="4"/>
  <c r="H457" i="4"/>
  <c r="H458" i="4"/>
  <c r="H459" i="4"/>
  <c r="H460" i="4"/>
  <c r="H461" i="4"/>
  <c r="H462" i="4"/>
  <c r="H463" i="4"/>
  <c r="H464" i="4"/>
  <c r="H465" i="4"/>
  <c r="H466" i="4"/>
  <c r="H467" i="4"/>
  <c r="H468" i="4"/>
  <c r="H469" i="4"/>
  <c r="H470" i="4"/>
  <c r="H471" i="4"/>
  <c r="H472" i="4"/>
  <c r="H473" i="4"/>
  <c r="H474" i="4"/>
  <c r="H475" i="4"/>
  <c r="H476" i="4"/>
  <c r="H477" i="4"/>
  <c r="H478" i="4"/>
  <c r="H404" i="4"/>
  <c r="H378" i="4"/>
  <c r="H377" i="4"/>
  <c r="H352" i="4"/>
  <c r="H351" i="4"/>
  <c r="H344" i="4"/>
  <c r="H333" i="4"/>
  <c r="H332" i="4"/>
  <c r="H285" i="4"/>
  <c r="H231" i="4"/>
  <c r="H232" i="4"/>
  <c r="H233" i="4"/>
  <c r="H234" i="4"/>
  <c r="H237" i="4"/>
  <c r="H238" i="4"/>
  <c r="H241" i="4"/>
  <c r="H242" i="4"/>
  <c r="H243" i="4"/>
  <c r="H246" i="4"/>
  <c r="F37" i="4" l="1"/>
  <c r="R14" i="3" l="1"/>
  <c r="R16" i="3"/>
  <c r="R17" i="3"/>
  <c r="R18" i="3"/>
  <c r="R19" i="3"/>
  <c r="R20" i="3"/>
  <c r="R21" i="3"/>
  <c r="R22" i="3"/>
  <c r="R23" i="3"/>
  <c r="R24" i="3"/>
  <c r="R25" i="3"/>
  <c r="A26" i="2"/>
  <c r="A13" i="3" s="1"/>
  <c r="D122" i="4"/>
  <c r="D588" i="4" l="1"/>
  <c r="F158" i="2" l="1"/>
  <c r="I590" i="4" l="1"/>
  <c r="I589" i="4"/>
  <c r="I588" i="4" l="1"/>
  <c r="G480" i="2" s="1"/>
  <c r="I550" i="4" l="1"/>
  <c r="I549" i="4"/>
  <c r="I482" i="4"/>
  <c r="I481" i="4"/>
  <c r="H295" i="4"/>
  <c r="I295" i="4" s="1"/>
  <c r="H294" i="4"/>
  <c r="I294" i="4" s="1"/>
  <c r="H264" i="4"/>
  <c r="I264" i="4" s="1"/>
  <c r="H263" i="4"/>
  <c r="I263" i="4" s="1"/>
  <c r="D462" i="2"/>
  <c r="F500" i="4"/>
  <c r="F499" i="4"/>
  <c r="F498" i="4"/>
  <c r="F501" i="4" s="1"/>
  <c r="F497" i="4"/>
  <c r="F496" i="4"/>
  <c r="F493" i="4"/>
  <c r="F492" i="4"/>
  <c r="I262" i="4" l="1"/>
  <c r="G312" i="2" s="1"/>
  <c r="I480" i="4"/>
  <c r="G434" i="2" s="1"/>
  <c r="I548" i="4"/>
  <c r="G464" i="2" s="1"/>
  <c r="I293" i="4"/>
  <c r="G333" i="2" s="1"/>
  <c r="I498" i="4"/>
  <c r="I492" i="4"/>
  <c r="I496" i="4"/>
  <c r="I499" i="4"/>
  <c r="I493" i="4"/>
  <c r="I497" i="4"/>
  <c r="I500" i="4"/>
  <c r="I501" i="4"/>
  <c r="F494" i="4"/>
  <c r="I494" i="4" s="1"/>
  <c r="F502" i="4"/>
  <c r="I502" i="4" s="1"/>
  <c r="F495" i="4" l="1"/>
  <c r="I495" i="4" s="1"/>
  <c r="I491" i="4" s="1"/>
  <c r="G462" i="2" l="1"/>
  <c r="I333" i="4" l="1"/>
  <c r="I332" i="4"/>
  <c r="I352" i="4"/>
  <c r="I351" i="4"/>
  <c r="I378" i="4"/>
  <c r="I377" i="4"/>
  <c r="I376" i="4" l="1"/>
  <c r="G400" i="2" s="1"/>
  <c r="I331" i="4"/>
  <c r="G354" i="2" s="1"/>
  <c r="I350" i="4"/>
  <c r="G376" i="2" s="1"/>
  <c r="D504" i="4" l="1"/>
  <c r="D403" i="4"/>
  <c r="I478" i="4"/>
  <c r="I477" i="4"/>
  <c r="I476" i="4"/>
  <c r="I475" i="4"/>
  <c r="I474" i="4"/>
  <c r="I473" i="4"/>
  <c r="I472" i="4"/>
  <c r="I471" i="4"/>
  <c r="I470" i="4"/>
  <c r="I469" i="4"/>
  <c r="I468" i="4"/>
  <c r="I467" i="4"/>
  <c r="I466" i="4"/>
  <c r="I465" i="4"/>
  <c r="I464" i="4"/>
  <c r="I463" i="4"/>
  <c r="I462" i="4"/>
  <c r="I461" i="4"/>
  <c r="I460" i="4"/>
  <c r="I459" i="4"/>
  <c r="I458" i="4"/>
  <c r="I457" i="4"/>
  <c r="I456" i="4"/>
  <c r="I455" i="4"/>
  <c r="I454" i="4"/>
  <c r="I453" i="4"/>
  <c r="I452" i="4"/>
  <c r="I451" i="4"/>
  <c r="I450" i="4"/>
  <c r="I449" i="4"/>
  <c r="I448" i="4"/>
  <c r="I447" i="4"/>
  <c r="I446" i="4"/>
  <c r="I445" i="4"/>
  <c r="I444" i="4"/>
  <c r="I443" i="4"/>
  <c r="I442" i="4"/>
  <c r="I441" i="4"/>
  <c r="I440" i="4"/>
  <c r="I439" i="4"/>
  <c r="I438" i="4"/>
  <c r="I437" i="4"/>
  <c r="I436" i="4"/>
  <c r="I435" i="4"/>
  <c r="I434" i="4"/>
  <c r="I433" i="4"/>
  <c r="I432" i="4"/>
  <c r="I431" i="4"/>
  <c r="I430" i="4"/>
  <c r="I429" i="4"/>
  <c r="I428" i="4"/>
  <c r="I427" i="4"/>
  <c r="I426" i="4"/>
  <c r="I425" i="4"/>
  <c r="I424" i="4"/>
  <c r="I423" i="4"/>
  <c r="I422" i="4"/>
  <c r="I421" i="4"/>
  <c r="I420" i="4"/>
  <c r="I419" i="4"/>
  <c r="I418" i="4"/>
  <c r="I417" i="4"/>
  <c r="I416" i="4"/>
  <c r="I415" i="4"/>
  <c r="I414" i="4"/>
  <c r="I413" i="4"/>
  <c r="I412" i="4"/>
  <c r="I411" i="4"/>
  <c r="I410" i="4"/>
  <c r="I409" i="4"/>
  <c r="I408" i="4"/>
  <c r="I407" i="4"/>
  <c r="I406" i="4"/>
  <c r="I405" i="4"/>
  <c r="I404" i="4"/>
  <c r="D354" i="4"/>
  <c r="D341" i="4"/>
  <c r="D315" i="4"/>
  <c r="D279" i="4"/>
  <c r="D219" i="4"/>
  <c r="D43" i="4"/>
  <c r="I285" i="4"/>
  <c r="I246" i="4"/>
  <c r="I243" i="4"/>
  <c r="I242" i="4"/>
  <c r="I241" i="4"/>
  <c r="I238" i="4"/>
  <c r="I237" i="4"/>
  <c r="I234" i="4"/>
  <c r="I233" i="4"/>
  <c r="I232" i="4"/>
  <c r="I231" i="4"/>
  <c r="F476" i="2"/>
  <c r="F470" i="2"/>
  <c r="H346" i="4" l="1"/>
  <c r="I346" i="4" s="1"/>
  <c r="H348" i="4"/>
  <c r="I348" i="4" s="1"/>
  <c r="H347" i="4"/>
  <c r="I347" i="4" s="1"/>
  <c r="H321" i="4"/>
  <c r="I321" i="4" s="1"/>
  <c r="H342" i="4"/>
  <c r="I342" i="4" s="1"/>
  <c r="H322" i="4"/>
  <c r="I322" i="4" s="1"/>
  <c r="I403" i="4"/>
  <c r="G433" i="2" s="1"/>
  <c r="I344" i="4"/>
  <c r="F76" i="2" l="1"/>
  <c r="H355" i="4" l="1"/>
  <c r="I355" i="4" s="1"/>
  <c r="I354" i="4" s="1"/>
  <c r="H220" i="4"/>
  <c r="I220" i="4" s="1"/>
  <c r="H239" i="4"/>
  <c r="I239" i="4" s="1"/>
  <c r="H245" i="4"/>
  <c r="I245" i="4" s="1"/>
  <c r="H256" i="4"/>
  <c r="I256" i="4" s="1"/>
  <c r="H260" i="4"/>
  <c r="I260" i="4" s="1"/>
  <c r="H319" i="4"/>
  <c r="I319" i="4" s="1"/>
  <c r="H324" i="4"/>
  <c r="I324" i="4" s="1"/>
  <c r="H326" i="4"/>
  <c r="I326" i="4" s="1"/>
  <c r="H221" i="4"/>
  <c r="I221" i="4" s="1"/>
  <c r="H224" i="4"/>
  <c r="I224" i="4" s="1"/>
  <c r="H247" i="4"/>
  <c r="I247" i="4" s="1"/>
  <c r="H257" i="4"/>
  <c r="I257" i="4" s="1"/>
  <c r="H286" i="4"/>
  <c r="I286" i="4" s="1"/>
  <c r="H328" i="4"/>
  <c r="I328" i="4" s="1"/>
  <c r="H327" i="4"/>
  <c r="I327" i="4" s="1"/>
  <c r="H222" i="4"/>
  <c r="I222" i="4" s="1"/>
  <c r="H240" i="4"/>
  <c r="I240" i="4" s="1"/>
  <c r="H258" i="4"/>
  <c r="I258" i="4" s="1"/>
  <c r="H282" i="4"/>
  <c r="I282" i="4" s="1"/>
  <c r="H320" i="4"/>
  <c r="I320" i="4" s="1"/>
  <c r="H329" i="4"/>
  <c r="I329" i="4" s="1"/>
  <c r="H343" i="4"/>
  <c r="I343" i="4" s="1"/>
  <c r="H223" i="4"/>
  <c r="I223" i="4" s="1"/>
  <c r="H244" i="4"/>
  <c r="I244" i="4" s="1"/>
  <c r="H254" i="4"/>
  <c r="I254" i="4" s="1"/>
  <c r="H259" i="4"/>
  <c r="I259" i="4" s="1"/>
  <c r="H323" i="4"/>
  <c r="I323" i="4" s="1"/>
  <c r="H325" i="4"/>
  <c r="I325" i="4" s="1"/>
  <c r="H345" i="4"/>
  <c r="I345" i="4" s="1"/>
  <c r="A28" i="2"/>
  <c r="A14" i="3" s="1"/>
  <c r="I341" i="4" l="1"/>
  <c r="I219" i="4"/>
  <c r="H280" i="4"/>
  <c r="I280" i="4" s="1"/>
  <c r="I279" i="4" s="1"/>
  <c r="I315" i="4"/>
  <c r="G399" i="2" l="1"/>
  <c r="G375" i="2"/>
  <c r="G353" i="2"/>
  <c r="G332" i="2"/>
  <c r="G311" i="2"/>
  <c r="C24" i="7" l="1"/>
  <c r="C35" i="7" s="1"/>
  <c r="K20" i="2" s="1"/>
  <c r="C14" i="7"/>
  <c r="C14" i="6"/>
  <c r="H311" i="2" l="1"/>
  <c r="I311" i="2" s="1"/>
  <c r="H233" i="2"/>
  <c r="I233" i="2" s="1"/>
  <c r="H332" i="2"/>
  <c r="I332" i="2" s="1"/>
  <c r="H375" i="2"/>
  <c r="I375" i="2" s="1"/>
  <c r="H465" i="2"/>
  <c r="I465" i="2" s="1"/>
  <c r="H238" i="2"/>
  <c r="I238" i="2" s="1"/>
  <c r="H236" i="2"/>
  <c r="I236" i="2" s="1"/>
  <c r="H398" i="2"/>
  <c r="I398" i="2" s="1"/>
  <c r="H281" i="2"/>
  <c r="I281" i="2" s="1"/>
  <c r="H256" i="2"/>
  <c r="I256" i="2" s="1"/>
  <c r="H278" i="2"/>
  <c r="I278" i="2" s="1"/>
  <c r="H397" i="2"/>
  <c r="I397" i="2" s="1"/>
  <c r="H478" i="2"/>
  <c r="I478" i="2" s="1"/>
  <c r="H348" i="2"/>
  <c r="I348" i="2" s="1"/>
  <c r="H328" i="2"/>
  <c r="I328" i="2" s="1"/>
  <c r="H479" i="2"/>
  <c r="I479" i="2" s="1"/>
  <c r="H433" i="2"/>
  <c r="I433" i="2" s="1"/>
  <c r="H463" i="2"/>
  <c r="I463" i="2" s="1"/>
  <c r="H153" i="2"/>
  <c r="I153" i="2" s="1"/>
  <c r="H399" i="2"/>
  <c r="I399" i="2" s="1"/>
  <c r="H353" i="2"/>
  <c r="I353" i="2" s="1"/>
  <c r="H391" i="2"/>
  <c r="I391" i="2" s="1"/>
  <c r="H388" i="2"/>
  <c r="I388" i="2" s="1"/>
  <c r="H379" i="2"/>
  <c r="I379" i="2" s="1"/>
  <c r="H301" i="2"/>
  <c r="I301" i="2" s="1"/>
  <c r="H266" i="2"/>
  <c r="I266" i="2" s="1"/>
  <c r="H279" i="2"/>
  <c r="I279" i="2" s="1"/>
  <c r="H271" i="2"/>
  <c r="I271" i="2" s="1"/>
  <c r="H310" i="2"/>
  <c r="I310" i="2" s="1"/>
  <c r="H263" i="2"/>
  <c r="I263" i="2" s="1"/>
  <c r="H303" i="2"/>
  <c r="I303" i="2" s="1"/>
  <c r="H273" i="2"/>
  <c r="I273" i="2" s="1"/>
  <c r="H265" i="2"/>
  <c r="I265" i="2" s="1"/>
  <c r="H272" i="2"/>
  <c r="I272" i="2" s="1"/>
  <c r="H392" i="2"/>
  <c r="I392" i="2" s="1"/>
  <c r="H444" i="2"/>
  <c r="I444" i="2" s="1"/>
  <c r="H387" i="2"/>
  <c r="I387" i="2" s="1"/>
  <c r="H386" i="2"/>
  <c r="I386" i="2" s="1"/>
  <c r="H270" i="2"/>
  <c r="I270" i="2" s="1"/>
  <c r="H268" i="2"/>
  <c r="I268" i="2" s="1"/>
  <c r="H443" i="2"/>
  <c r="I443" i="2" s="1"/>
  <c r="H389" i="2"/>
  <c r="I389" i="2" s="1"/>
  <c r="H302" i="2"/>
  <c r="I302" i="2" s="1"/>
  <c r="H269" i="2"/>
  <c r="I269" i="2" s="1"/>
  <c r="H385" i="2"/>
  <c r="I385" i="2" s="1"/>
  <c r="H275" i="2"/>
  <c r="I275" i="2" s="1"/>
  <c r="H442" i="2"/>
  <c r="I442" i="2" s="1"/>
  <c r="H382" i="2"/>
  <c r="I382" i="2" s="1"/>
  <c r="H381" i="2"/>
  <c r="I381" i="2" s="1"/>
  <c r="H264" i="2"/>
  <c r="I264" i="2" s="1"/>
  <c r="H390" i="2"/>
  <c r="I390" i="2" s="1"/>
  <c r="H448" i="2"/>
  <c r="I448" i="2" s="1"/>
  <c r="H308" i="2"/>
  <c r="I308" i="2" s="1"/>
  <c r="H280" i="2"/>
  <c r="I280" i="2" s="1"/>
  <c r="H393" i="2"/>
  <c r="I393" i="2" s="1"/>
  <c r="H383" i="2"/>
  <c r="I383" i="2" s="1"/>
  <c r="H380" i="2"/>
  <c r="I380" i="2" s="1"/>
  <c r="H384" i="2"/>
  <c r="I384" i="2" s="1"/>
  <c r="H304" i="2"/>
  <c r="I304" i="2" s="1"/>
  <c r="H274" i="2"/>
  <c r="I274" i="2" s="1"/>
  <c r="H267" i="2"/>
  <c r="I267" i="2" s="1"/>
  <c r="H276" i="2"/>
  <c r="I276" i="2" s="1"/>
  <c r="H262" i="2"/>
  <c r="I262" i="2" s="1"/>
  <c r="H347" i="2"/>
  <c r="I347" i="2" s="1"/>
  <c r="H253" i="2"/>
  <c r="I253" i="2" s="1"/>
  <c r="H292" i="2"/>
  <c r="I292" i="2" s="1"/>
  <c r="H326" i="2"/>
  <c r="I326" i="2" s="1"/>
  <c r="H299" i="2"/>
  <c r="I299" i="2" s="1"/>
  <c r="H319" i="2"/>
  <c r="I319" i="2" s="1"/>
  <c r="H290" i="2"/>
  <c r="I290" i="2" s="1"/>
  <c r="H247" i="2"/>
  <c r="I247" i="2" s="1"/>
  <c r="H254" i="2"/>
  <c r="H163" i="2"/>
  <c r="I163" i="2" s="1"/>
  <c r="I162" i="2" s="1"/>
  <c r="H243" i="2"/>
  <c r="I243" i="2" s="1"/>
  <c r="H81" i="2"/>
  <c r="I81" i="2" s="1"/>
  <c r="H80" i="2"/>
  <c r="I80" i="2" s="1"/>
  <c r="H79" i="2"/>
  <c r="I79" i="2" s="1"/>
  <c r="H248" i="2"/>
  <c r="I248" i="2" s="1"/>
  <c r="H249" i="2"/>
  <c r="I249" i="2" s="1"/>
  <c r="H250" i="2"/>
  <c r="I250" i="2" s="1"/>
  <c r="H251" i="2"/>
  <c r="I251" i="2" s="1"/>
  <c r="H362" i="2"/>
  <c r="I362" i="2" s="1"/>
  <c r="H340" i="2"/>
  <c r="I340" i="2" s="1"/>
  <c r="H244" i="2"/>
  <c r="I244" i="2" s="1"/>
  <c r="H245" i="2"/>
  <c r="I245" i="2" s="1"/>
  <c r="H246" i="2"/>
  <c r="I246" i="2" s="1"/>
  <c r="H252" i="2"/>
  <c r="I252" i="2" s="1"/>
  <c r="H92" i="2"/>
  <c r="I92" i="2" s="1"/>
  <c r="H88" i="2"/>
  <c r="I88" i="2" s="1"/>
  <c r="H95" i="2"/>
  <c r="I95" i="2" s="1"/>
  <c r="H157" i="2"/>
  <c r="I157" i="2" s="1"/>
  <c r="H159" i="2"/>
  <c r="I159" i="2" s="1"/>
  <c r="H158" i="2"/>
  <c r="I158" i="2" s="1"/>
  <c r="H156" i="2"/>
  <c r="I156" i="2" s="1"/>
  <c r="H480" i="2"/>
  <c r="I480" i="2" s="1"/>
  <c r="H434" i="2"/>
  <c r="I434" i="2" s="1"/>
  <c r="H312" i="2"/>
  <c r="I312" i="2" s="1"/>
  <c r="H333" i="2"/>
  <c r="I333" i="2" s="1"/>
  <c r="H148" i="2"/>
  <c r="I148" i="2" s="1"/>
  <c r="H128" i="2"/>
  <c r="I128" i="2" s="1"/>
  <c r="I127" i="2" s="1"/>
  <c r="H112" i="2"/>
  <c r="H93" i="2"/>
  <c r="H78" i="2"/>
  <c r="I78" i="2" s="1"/>
  <c r="H473" i="2"/>
  <c r="I473" i="2" s="1"/>
  <c r="H396" i="2"/>
  <c r="I396" i="2" s="1"/>
  <c r="H474" i="2"/>
  <c r="I474" i="2" s="1"/>
  <c r="H475" i="2"/>
  <c r="I475" i="2" s="1"/>
  <c r="H86" i="2"/>
  <c r="H105" i="2"/>
  <c r="I105" i="2" s="1"/>
  <c r="H477" i="2"/>
  <c r="I477" i="2" s="1"/>
  <c r="H149" i="2"/>
  <c r="I149" i="2" s="1"/>
  <c r="H117" i="2"/>
  <c r="I117" i="2" s="1"/>
  <c r="H113" i="2"/>
  <c r="H102" i="2"/>
  <c r="I102" i="2" s="1"/>
  <c r="H94" i="2"/>
  <c r="H82" i="2"/>
  <c r="I82" i="2" s="1"/>
  <c r="H307" i="2"/>
  <c r="I307" i="2" s="1"/>
  <c r="H75" i="2"/>
  <c r="I75" i="2" s="1"/>
  <c r="H76" i="2"/>
  <c r="I76" i="2" s="1"/>
  <c r="H150" i="2"/>
  <c r="I150" i="2" s="1"/>
  <c r="H118" i="2"/>
  <c r="I118" i="2" s="1"/>
  <c r="H110" i="2"/>
  <c r="H100" i="2"/>
  <c r="I100" i="2" s="1"/>
  <c r="H96" i="2"/>
  <c r="H83" i="2"/>
  <c r="I83" i="2" s="1"/>
  <c r="H87" i="2"/>
  <c r="H476" i="2"/>
  <c r="I476" i="2" s="1"/>
  <c r="H471" i="2"/>
  <c r="I471" i="2" s="1"/>
  <c r="H472" i="2"/>
  <c r="I472" i="2" s="1"/>
  <c r="H152" i="2"/>
  <c r="I152" i="2" s="1"/>
  <c r="H119" i="2"/>
  <c r="I119" i="2" s="1"/>
  <c r="H106" i="2"/>
  <c r="H470" i="2"/>
  <c r="I470" i="2" s="1"/>
  <c r="H146" i="2"/>
  <c r="I146" i="2" s="1"/>
  <c r="H116" i="2"/>
  <c r="I116" i="2" s="1"/>
  <c r="H90" i="2"/>
  <c r="H111" i="2"/>
  <c r="H101" i="2"/>
  <c r="I101" i="2" s="1"/>
  <c r="H91" i="2"/>
  <c r="H77" i="2"/>
  <c r="I77" i="2" s="1"/>
  <c r="H462" i="2"/>
  <c r="I462" i="2" s="1"/>
  <c r="H432" i="2"/>
  <c r="I432" i="2" s="1"/>
  <c r="H376" i="2"/>
  <c r="I376" i="2" s="1"/>
  <c r="H354" i="2"/>
  <c r="I354" i="2" s="1"/>
  <c r="H414" i="2"/>
  <c r="I414" i="2" s="1"/>
  <c r="H283" i="2"/>
  <c r="I283" i="2" s="1"/>
  <c r="H400" i="2"/>
  <c r="I400" i="2" s="1"/>
  <c r="H327" i="2"/>
  <c r="I327" i="2" s="1"/>
  <c r="H464" i="2"/>
  <c r="I464" i="2" s="1"/>
  <c r="H415" i="2"/>
  <c r="I415" i="2" s="1"/>
  <c r="H346" i="2"/>
  <c r="I346" i="2" s="1"/>
  <c r="H325" i="2"/>
  <c r="I325" i="2" s="1"/>
  <c r="H366" i="2"/>
  <c r="I366" i="2" s="1"/>
  <c r="H296" i="2"/>
  <c r="I296" i="2" s="1"/>
  <c r="H461" i="2"/>
  <c r="I461" i="2" s="1"/>
  <c r="H456" i="2"/>
  <c r="I456" i="2" s="1"/>
  <c r="H455" i="2"/>
  <c r="I455" i="2" s="1"/>
  <c r="H447" i="2"/>
  <c r="I447" i="2" s="1"/>
  <c r="H446" i="2"/>
  <c r="I446" i="2" s="1"/>
  <c r="H441" i="2"/>
  <c r="I441" i="2" s="1"/>
  <c r="H440" i="2"/>
  <c r="H439" i="2"/>
  <c r="H438" i="2"/>
  <c r="F440" i="2"/>
  <c r="H437" i="2"/>
  <c r="I437" i="2" s="1"/>
  <c r="H431" i="2"/>
  <c r="I431" i="2" s="1"/>
  <c r="H428" i="2"/>
  <c r="I428" i="2" s="1"/>
  <c r="H427" i="2"/>
  <c r="I427" i="2" s="1"/>
  <c r="H426" i="2"/>
  <c r="I426" i="2" s="1"/>
  <c r="H425" i="2"/>
  <c r="I425" i="2" s="1"/>
  <c r="H424" i="2"/>
  <c r="I424" i="2" s="1"/>
  <c r="H423" i="2"/>
  <c r="I423" i="2" s="1"/>
  <c r="H422" i="2"/>
  <c r="I422" i="2" s="1"/>
  <c r="H421" i="2"/>
  <c r="I421" i="2" s="1"/>
  <c r="H420" i="2"/>
  <c r="I420" i="2" s="1"/>
  <c r="H419" i="2"/>
  <c r="I419" i="2" s="1"/>
  <c r="H418" i="2"/>
  <c r="I418" i="2" s="1"/>
  <c r="H417" i="2"/>
  <c r="I417" i="2" s="1"/>
  <c r="H416" i="2"/>
  <c r="I416" i="2" s="1"/>
  <c r="H413" i="2"/>
  <c r="I413" i="2" s="1"/>
  <c r="H412" i="2"/>
  <c r="I412" i="2" s="1"/>
  <c r="H411" i="2"/>
  <c r="I411" i="2" s="1"/>
  <c r="H410" i="2"/>
  <c r="I410" i="2" s="1"/>
  <c r="H409" i="2"/>
  <c r="I409" i="2" s="1"/>
  <c r="H408" i="2"/>
  <c r="I408" i="2" s="1"/>
  <c r="H407" i="2"/>
  <c r="I407" i="2" s="1"/>
  <c r="H395" i="2"/>
  <c r="I395" i="2" s="1"/>
  <c r="H373" i="2"/>
  <c r="I373" i="2" s="1"/>
  <c r="H372" i="2"/>
  <c r="I372" i="2" s="1"/>
  <c r="H371" i="2"/>
  <c r="I371" i="2" s="1"/>
  <c r="H370" i="2"/>
  <c r="I370" i="2" s="1"/>
  <c r="H369" i="2"/>
  <c r="I369" i="2" s="1"/>
  <c r="H368" i="2"/>
  <c r="I368" i="2" s="1"/>
  <c r="H367" i="2"/>
  <c r="I367" i="2" s="1"/>
  <c r="H365" i="2"/>
  <c r="I365" i="2" s="1"/>
  <c r="H364" i="2"/>
  <c r="I364" i="2" s="1"/>
  <c r="H363" i="2"/>
  <c r="I363" i="2" s="1"/>
  <c r="H361" i="2"/>
  <c r="I361" i="2" s="1"/>
  <c r="H360" i="2"/>
  <c r="I360" i="2" s="1"/>
  <c r="H359" i="2"/>
  <c r="I359" i="2" s="1"/>
  <c r="H358" i="2"/>
  <c r="I358" i="2" s="1"/>
  <c r="H345" i="2"/>
  <c r="I345" i="2" s="1"/>
  <c r="H344" i="2"/>
  <c r="I344" i="2" s="1"/>
  <c r="H343" i="2"/>
  <c r="I343" i="2" s="1"/>
  <c r="H342" i="2"/>
  <c r="I342" i="2" s="1"/>
  <c r="H341" i="2"/>
  <c r="I341" i="2" s="1"/>
  <c r="H339" i="2"/>
  <c r="I339" i="2" s="1"/>
  <c r="H338" i="2"/>
  <c r="I338" i="2" s="1"/>
  <c r="H337" i="2"/>
  <c r="I337" i="2" s="1"/>
  <c r="H336" i="2"/>
  <c r="I336" i="2" s="1"/>
  <c r="I211" i="2" l="1"/>
  <c r="I98" i="2"/>
  <c r="I145" i="2"/>
  <c r="I115" i="2"/>
  <c r="I74" i="2"/>
  <c r="I469" i="2"/>
  <c r="I52" i="2" s="1"/>
  <c r="P25" i="3" s="1"/>
  <c r="I155" i="2"/>
  <c r="I438" i="2"/>
  <c r="I439" i="2"/>
  <c r="I440" i="2"/>
  <c r="I436" i="2" l="1"/>
  <c r="I50" i="2" s="1"/>
  <c r="I122" i="4" l="1"/>
  <c r="G257" i="2" s="1"/>
  <c r="H257" i="2" l="1"/>
  <c r="I257" i="2" s="1"/>
  <c r="H68" i="2"/>
  <c r="I68" i="2" s="1"/>
  <c r="H67" i="2"/>
  <c r="I67" i="2" s="1"/>
  <c r="H66" i="2"/>
  <c r="I66" i="2" s="1"/>
  <c r="H65" i="2"/>
  <c r="I65" i="2" s="1"/>
  <c r="H64" i="2"/>
  <c r="I64" i="2" s="1"/>
  <c r="H63" i="2"/>
  <c r="I63" i="2" s="1"/>
  <c r="H62" i="2"/>
  <c r="I62" i="2" s="1"/>
  <c r="H61" i="2"/>
  <c r="I61" i="2" s="1"/>
  <c r="H60" i="2"/>
  <c r="I60" i="2" s="1"/>
  <c r="H59" i="2"/>
  <c r="I59" i="2" s="1"/>
  <c r="D50" i="2"/>
  <c r="B24" i="3" s="1"/>
  <c r="A50" i="2"/>
  <c r="A24" i="3" s="1"/>
  <c r="D48" i="2"/>
  <c r="B23" i="3" s="1"/>
  <c r="A48" i="2"/>
  <c r="A23" i="3" s="1"/>
  <c r="D44" i="2"/>
  <c r="B22" i="3" s="1"/>
  <c r="A44" i="2"/>
  <c r="A22" i="3" s="1"/>
  <c r="D42" i="2"/>
  <c r="B21" i="3" s="1"/>
  <c r="A42" i="2"/>
  <c r="A21" i="3" s="1"/>
  <c r="D40" i="2"/>
  <c r="B20" i="3" s="1"/>
  <c r="A40" i="2"/>
  <c r="A20" i="3" s="1"/>
  <c r="D38" i="2"/>
  <c r="B19" i="3" s="1"/>
  <c r="A38" i="2"/>
  <c r="A19" i="3" s="1"/>
  <c r="D36" i="2"/>
  <c r="B18" i="3" s="1"/>
  <c r="A36" i="2"/>
  <c r="A18" i="3" s="1"/>
  <c r="D32" i="2"/>
  <c r="B16" i="3" s="1"/>
  <c r="A32" i="2"/>
  <c r="A16" i="3" s="1"/>
  <c r="D28" i="2"/>
  <c r="B14" i="3" s="1"/>
  <c r="D26" i="2"/>
  <c r="B13" i="3" s="1"/>
  <c r="D22" i="2"/>
  <c r="A22" i="2"/>
  <c r="A12" i="3" s="1"/>
  <c r="D20" i="2"/>
  <c r="A20" i="2"/>
  <c r="A11" i="3" s="1"/>
  <c r="D18" i="2"/>
  <c r="A18" i="2"/>
  <c r="A10" i="3" s="1"/>
  <c r="O18" i="2" l="1"/>
  <c r="I58" i="2"/>
  <c r="I18" i="2" l="1"/>
  <c r="H401" i="4" l="1"/>
  <c r="I401" i="4" s="1"/>
  <c r="H400" i="4"/>
  <c r="I400" i="4" s="1"/>
  <c r="H399" i="4"/>
  <c r="I399" i="4" s="1"/>
  <c r="H398" i="4"/>
  <c r="I398" i="4" s="1"/>
  <c r="H397" i="4"/>
  <c r="I397" i="4" s="1"/>
  <c r="H396" i="4"/>
  <c r="I396" i="4" s="1"/>
  <c r="H395" i="4"/>
  <c r="I395" i="4" s="1"/>
  <c r="H394" i="4"/>
  <c r="I394" i="4" s="1"/>
  <c r="H393" i="4"/>
  <c r="I393" i="4" s="1"/>
  <c r="H390" i="4"/>
  <c r="I390" i="4" s="1"/>
  <c r="H389" i="4"/>
  <c r="I389" i="4" s="1"/>
  <c r="H388" i="4"/>
  <c r="I388" i="4" s="1"/>
  <c r="H387" i="4"/>
  <c r="I387" i="4" s="1"/>
  <c r="H386" i="4"/>
  <c r="I386" i="4" s="1"/>
  <c r="H385" i="4"/>
  <c r="I385" i="4" s="1"/>
  <c r="H384" i="4"/>
  <c r="I384" i="4" s="1"/>
  <c r="H383" i="4"/>
  <c r="I383" i="4" s="1"/>
  <c r="H382" i="4"/>
  <c r="F382" i="4"/>
  <c r="H381" i="4"/>
  <c r="F381" i="4"/>
  <c r="H339" i="4"/>
  <c r="I339" i="4" s="1"/>
  <c r="H338" i="4"/>
  <c r="I338" i="4" s="1"/>
  <c r="H337" i="4"/>
  <c r="I337" i="4" s="1"/>
  <c r="H336" i="4"/>
  <c r="F336" i="4"/>
  <c r="H313" i="4"/>
  <c r="I313" i="4" s="1"/>
  <c r="H312" i="4"/>
  <c r="I312" i="4" s="1"/>
  <c r="H311" i="4"/>
  <c r="I311" i="4" s="1"/>
  <c r="H310" i="4"/>
  <c r="F310" i="4"/>
  <c r="H307" i="4"/>
  <c r="I307" i="4" s="1"/>
  <c r="H306" i="4"/>
  <c r="I306" i="4" s="1"/>
  <c r="H305" i="4"/>
  <c r="I305" i="4" s="1"/>
  <c r="H304" i="4"/>
  <c r="F304" i="4"/>
  <c r="H211" i="4"/>
  <c r="I211" i="4" s="1"/>
  <c r="H210" i="4"/>
  <c r="I210" i="4" s="1"/>
  <c r="H209" i="4"/>
  <c r="I209" i="4" s="1"/>
  <c r="H208" i="4"/>
  <c r="F208" i="4"/>
  <c r="H301" i="4"/>
  <c r="I301" i="4" s="1"/>
  <c r="H300" i="4"/>
  <c r="I300" i="4" s="1"/>
  <c r="H299" i="4"/>
  <c r="I299" i="4" s="1"/>
  <c r="H298" i="4"/>
  <c r="F298" i="4"/>
  <c r="H277" i="4"/>
  <c r="I277" i="4" s="1"/>
  <c r="H276" i="4"/>
  <c r="I276" i="4" s="1"/>
  <c r="H275" i="4"/>
  <c r="I275" i="4" s="1"/>
  <c r="H274" i="4"/>
  <c r="H271" i="4"/>
  <c r="I271" i="4" s="1"/>
  <c r="H270" i="4"/>
  <c r="I270" i="4" s="1"/>
  <c r="H269" i="4"/>
  <c r="I269" i="4" s="1"/>
  <c r="H268" i="4"/>
  <c r="H191" i="4"/>
  <c r="I191" i="4" s="1"/>
  <c r="H190" i="4"/>
  <c r="I190" i="4" s="1"/>
  <c r="H189" i="4"/>
  <c r="I189" i="4" s="1"/>
  <c r="H188" i="4"/>
  <c r="F188" i="4"/>
  <c r="H185" i="4"/>
  <c r="I185" i="4" s="1"/>
  <c r="H184" i="4"/>
  <c r="I184" i="4" s="1"/>
  <c r="H183" i="4"/>
  <c r="I183" i="4" s="1"/>
  <c r="H182" i="4"/>
  <c r="F182" i="4"/>
  <c r="H179" i="4"/>
  <c r="I179" i="4" s="1"/>
  <c r="H178" i="4"/>
  <c r="I178" i="4" s="1"/>
  <c r="H177" i="4"/>
  <c r="I177" i="4" s="1"/>
  <c r="I63" i="4"/>
  <c r="H63" i="4"/>
  <c r="I62" i="4"/>
  <c r="H62" i="4"/>
  <c r="I61" i="4"/>
  <c r="H61" i="4"/>
  <c r="I60" i="4"/>
  <c r="H60" i="4"/>
  <c r="H59" i="4"/>
  <c r="F59" i="4"/>
  <c r="H41" i="4"/>
  <c r="I41" i="4" s="1"/>
  <c r="H40" i="4"/>
  <c r="I40" i="4" s="1"/>
  <c r="H39" i="4"/>
  <c r="I39" i="4" s="1"/>
  <c r="H37" i="4"/>
  <c r="I37" i="4" s="1"/>
  <c r="H36" i="4"/>
  <c r="I36" i="4" s="1"/>
  <c r="H35" i="4"/>
  <c r="I35" i="4" s="1"/>
  <c r="H34" i="4"/>
  <c r="I34" i="4" s="1"/>
  <c r="H33" i="4"/>
  <c r="I33" i="4" s="1"/>
  <c r="H32" i="4"/>
  <c r="I32" i="4" s="1"/>
  <c r="H28" i="4"/>
  <c r="I28" i="4" s="1"/>
  <c r="H27" i="4"/>
  <c r="I27" i="4" s="1"/>
  <c r="H26" i="4"/>
  <c r="I26" i="4" s="1"/>
  <c r="H25" i="4"/>
  <c r="I25" i="4" s="1"/>
  <c r="H24" i="4"/>
  <c r="I24" i="4" s="1"/>
  <c r="H23" i="4"/>
  <c r="I23" i="4" s="1"/>
  <c r="H22" i="4"/>
  <c r="I22" i="4" s="1"/>
  <c r="H21" i="4"/>
  <c r="I21" i="4" s="1"/>
  <c r="H20" i="4"/>
  <c r="I20" i="4" s="1"/>
  <c r="H19" i="4"/>
  <c r="I19" i="4" s="1"/>
  <c r="H18" i="4"/>
  <c r="I18" i="4" s="1"/>
  <c r="H17" i="4"/>
  <c r="I17" i="4" s="1"/>
  <c r="H16" i="4"/>
  <c r="I16" i="4" s="1"/>
  <c r="I30" i="4" l="1"/>
  <c r="I176" i="4"/>
  <c r="G300" i="2" s="1"/>
  <c r="I208" i="4"/>
  <c r="I336" i="4"/>
  <c r="I182" i="4"/>
  <c r="I304" i="4"/>
  <c r="I59" i="4"/>
  <c r="I381" i="4"/>
  <c r="I268" i="4"/>
  <c r="I274" i="4"/>
  <c r="I298" i="4"/>
  <c r="I38" i="4"/>
  <c r="I310" i="4"/>
  <c r="I188" i="4"/>
  <c r="I382" i="4"/>
  <c r="I15" i="4"/>
  <c r="I392" i="4"/>
  <c r="G430" i="2" s="1"/>
  <c r="H430" i="2" s="1"/>
  <c r="I430" i="2" s="1"/>
  <c r="H282" i="2" l="1"/>
  <c r="I282" i="2" s="1"/>
  <c r="I303" i="4"/>
  <c r="G351" i="2" s="1"/>
  <c r="H351" i="2" s="1"/>
  <c r="I351" i="2" s="1"/>
  <c r="I181" i="4"/>
  <c r="G305" i="2" s="1"/>
  <c r="I273" i="4"/>
  <c r="G330" i="2" s="1"/>
  <c r="I335" i="4"/>
  <c r="G374" i="2" s="1"/>
  <c r="H374" i="2" s="1"/>
  <c r="I297" i="4"/>
  <c r="G349" i="2" s="1"/>
  <c r="H349" i="2" s="1"/>
  <c r="I349" i="2" s="1"/>
  <c r="I267" i="4"/>
  <c r="G329" i="2" s="1"/>
  <c r="I207" i="4"/>
  <c r="I380" i="4"/>
  <c r="G429" i="2" s="1"/>
  <c r="H429" i="2" s="1"/>
  <c r="I187" i="4"/>
  <c r="G306" i="2" s="1"/>
  <c r="I309" i="4"/>
  <c r="G352" i="2" s="1"/>
  <c r="H352" i="2" s="1"/>
  <c r="I352" i="2" s="1"/>
  <c r="I58" i="4"/>
  <c r="I13" i="4"/>
  <c r="G277" i="2" l="1"/>
  <c r="H277" i="2" s="1"/>
  <c r="I277" i="2" s="1"/>
  <c r="I261" i="2" s="1"/>
  <c r="I34" i="2" s="1"/>
  <c r="P17" i="3" s="1"/>
  <c r="I540" i="2"/>
  <c r="D33" i="7" s="1"/>
  <c r="G394" i="2"/>
  <c r="H394" i="2" s="1"/>
  <c r="I394" i="2" s="1"/>
  <c r="I378" i="2" s="1"/>
  <c r="I44" i="2" s="1"/>
  <c r="I30" i="2"/>
  <c r="P15" i="3" s="1"/>
  <c r="G71" i="2"/>
  <c r="H71" i="2" s="1"/>
  <c r="G350" i="2"/>
  <c r="H350" i="2" s="1"/>
  <c r="I350" i="2" s="1"/>
  <c r="I335" i="2" s="1"/>
  <c r="G309" i="2"/>
  <c r="H309" i="2" s="1"/>
  <c r="I309" i="2" s="1"/>
  <c r="I374" i="2"/>
  <c r="I357" i="2" s="1"/>
  <c r="I429" i="2"/>
  <c r="I406" i="2" s="1"/>
  <c r="I48" i="2" s="1"/>
  <c r="H330" i="2"/>
  <c r="I330" i="2" s="1"/>
  <c r="H329" i="2"/>
  <c r="I329" i="2" s="1"/>
  <c r="H306" i="2"/>
  <c r="I306" i="2" s="1"/>
  <c r="H305" i="2"/>
  <c r="I305" i="2" s="1"/>
  <c r="H300" i="2"/>
  <c r="H483" i="2"/>
  <c r="I483" i="2" s="1"/>
  <c r="H491" i="2"/>
  <c r="I491" i="2" s="1"/>
  <c r="H492" i="2"/>
  <c r="I492" i="2" s="1"/>
  <c r="H484" i="2"/>
  <c r="I484" i="2" s="1"/>
  <c r="H241" i="2"/>
  <c r="I241" i="2" s="1"/>
  <c r="H242" i="2"/>
  <c r="I242" i="2" s="1"/>
  <c r="I254" i="2"/>
  <c r="H286" i="2"/>
  <c r="I286" i="2" s="1"/>
  <c r="H287" i="2"/>
  <c r="I287" i="2" s="1"/>
  <c r="H288" i="2"/>
  <c r="I288" i="2" s="1"/>
  <c r="H289" i="2"/>
  <c r="I289" i="2" s="1"/>
  <c r="H291" i="2"/>
  <c r="I291" i="2" s="1"/>
  <c r="H293" i="2"/>
  <c r="I293" i="2" s="1"/>
  <c r="H294" i="2"/>
  <c r="I294" i="2" s="1"/>
  <c r="H295" i="2"/>
  <c r="I295" i="2" s="1"/>
  <c r="H298" i="2"/>
  <c r="I298" i="2" s="1"/>
  <c r="H297" i="2"/>
  <c r="I297" i="2" s="1"/>
  <c r="H315" i="2"/>
  <c r="I315" i="2" s="1"/>
  <c r="H316" i="2"/>
  <c r="I316" i="2" s="1"/>
  <c r="H317" i="2"/>
  <c r="I317" i="2" s="1"/>
  <c r="H318" i="2"/>
  <c r="I318" i="2" s="1"/>
  <c r="H320" i="2"/>
  <c r="I320" i="2" s="1"/>
  <c r="H321" i="2"/>
  <c r="I321" i="2" s="1"/>
  <c r="H322" i="2"/>
  <c r="I322" i="2" s="1"/>
  <c r="H323" i="2"/>
  <c r="I323" i="2" s="1"/>
  <c r="H324" i="2"/>
  <c r="I324" i="2" s="1"/>
  <c r="H331" i="2"/>
  <c r="I331" i="2" s="1"/>
  <c r="B11" i="3"/>
  <c r="R10" i="3"/>
  <c r="B12" i="3"/>
  <c r="B10" i="3"/>
  <c r="D26" i="7" l="1"/>
  <c r="D25" i="7"/>
  <c r="D27" i="7"/>
  <c r="T15" i="3"/>
  <c r="AB15" i="3"/>
  <c r="Z15" i="3"/>
  <c r="W15" i="3"/>
  <c r="U15" i="3"/>
  <c r="X15" i="3"/>
  <c r="AA15" i="3"/>
  <c r="Y15" i="3"/>
  <c r="AC15" i="3"/>
  <c r="AE15" i="3"/>
  <c r="V15" i="3"/>
  <c r="AD15" i="3"/>
  <c r="I482" i="2"/>
  <c r="I314" i="2"/>
  <c r="I40" i="2"/>
  <c r="P20" i="3" s="1"/>
  <c r="I240" i="2"/>
  <c r="I42" i="2"/>
  <c r="P21" i="3" s="1"/>
  <c r="I300" i="2"/>
  <c r="I285" i="2" s="1"/>
  <c r="I71" i="2"/>
  <c r="N18" i="2" s="1"/>
  <c r="P22" i="3"/>
  <c r="P23" i="3"/>
  <c r="I32" i="2" l="1"/>
  <c r="I202" i="2"/>
  <c r="I26" i="2" s="1"/>
  <c r="D24" i="7"/>
  <c r="D30" i="7" s="1"/>
  <c r="D22" i="7" s="1"/>
  <c r="D17" i="7" s="1"/>
  <c r="I28" i="2"/>
  <c r="P14" i="3" s="1"/>
  <c r="I54" i="2"/>
  <c r="P26" i="3" s="1"/>
  <c r="I38" i="2"/>
  <c r="P19" i="3" s="1"/>
  <c r="T20" i="3"/>
  <c r="W20" i="3"/>
  <c r="Z20" i="3"/>
  <c r="Y20" i="3"/>
  <c r="V20" i="3"/>
  <c r="U20" i="3"/>
  <c r="AE20" i="3"/>
  <c r="AB20" i="3"/>
  <c r="AA20" i="3"/>
  <c r="AD20" i="3"/>
  <c r="AC20" i="3"/>
  <c r="X20" i="3"/>
  <c r="T21" i="3"/>
  <c r="AA21" i="3"/>
  <c r="AD21" i="3"/>
  <c r="AC21" i="3"/>
  <c r="AB21" i="3"/>
  <c r="W21" i="3"/>
  <c r="Z21" i="3"/>
  <c r="Y21" i="3"/>
  <c r="X21" i="3"/>
  <c r="V21" i="3"/>
  <c r="U21" i="3"/>
  <c r="AE21" i="3"/>
  <c r="T22" i="3"/>
  <c r="AA22" i="3"/>
  <c r="AD22" i="3"/>
  <c r="Z22" i="3"/>
  <c r="V22" i="3"/>
  <c r="AC22" i="3"/>
  <c r="AE22" i="3"/>
  <c r="Y22" i="3"/>
  <c r="AB22" i="3"/>
  <c r="W22" i="3"/>
  <c r="U22" i="3"/>
  <c r="X22" i="3"/>
  <c r="T25" i="3"/>
  <c r="W25" i="3"/>
  <c r="Z25" i="3"/>
  <c r="AC25" i="3"/>
  <c r="AB25" i="3"/>
  <c r="V25" i="3"/>
  <c r="Y25" i="3"/>
  <c r="X25" i="3"/>
  <c r="AE25" i="3"/>
  <c r="U25" i="3"/>
  <c r="AA25" i="3"/>
  <c r="AD25" i="3"/>
  <c r="T23" i="3"/>
  <c r="AE23" i="3"/>
  <c r="U23" i="3"/>
  <c r="AB23" i="3"/>
  <c r="AA23" i="3"/>
  <c r="AD23" i="3"/>
  <c r="X23" i="3"/>
  <c r="W23" i="3"/>
  <c r="Z23" i="3"/>
  <c r="AC23" i="3"/>
  <c r="V23" i="3"/>
  <c r="Y23" i="3"/>
  <c r="I70" i="2"/>
  <c r="I20" i="2" s="1"/>
  <c r="P11" i="3" s="1"/>
  <c r="P16" i="3"/>
  <c r="P24" i="3"/>
  <c r="D16" i="7" l="1"/>
  <c r="D19" i="7"/>
  <c r="D15" i="7"/>
  <c r="D18" i="7"/>
  <c r="Y26" i="3"/>
  <c r="AE26" i="3"/>
  <c r="T26" i="3"/>
  <c r="Z26" i="3"/>
  <c r="U26" i="3"/>
  <c r="AA26" i="3"/>
  <c r="V26" i="3"/>
  <c r="AB26" i="3"/>
  <c r="W26" i="3"/>
  <c r="AC26" i="3"/>
  <c r="X26" i="3"/>
  <c r="AD26" i="3"/>
  <c r="T14" i="3"/>
  <c r="AB14" i="3"/>
  <c r="AE14" i="3"/>
  <c r="W14" i="3"/>
  <c r="Z14" i="3"/>
  <c r="AC14" i="3"/>
  <c r="U14" i="3"/>
  <c r="X14" i="3"/>
  <c r="AA14" i="3"/>
  <c r="AD14" i="3"/>
  <c r="V14" i="3"/>
  <c r="Y14" i="3"/>
  <c r="AE19" i="3"/>
  <c r="Z19" i="3"/>
  <c r="Y19" i="3"/>
  <c r="AD19" i="3"/>
  <c r="X19" i="3"/>
  <c r="AC19" i="3"/>
  <c r="T19" i="3"/>
  <c r="AA19" i="3"/>
  <c r="W19" i="3"/>
  <c r="V19" i="3"/>
  <c r="U19" i="3"/>
  <c r="AB19" i="3"/>
  <c r="I36" i="2"/>
  <c r="P18" i="3" s="1"/>
  <c r="T16" i="3"/>
  <c r="W16" i="3"/>
  <c r="Z16" i="3"/>
  <c r="Y16" i="3"/>
  <c r="V16" i="3"/>
  <c r="U16" i="3"/>
  <c r="AE16" i="3"/>
  <c r="AB16" i="3"/>
  <c r="AA16" i="3"/>
  <c r="AD16" i="3"/>
  <c r="AC16" i="3"/>
  <c r="X16" i="3"/>
  <c r="T17" i="3"/>
  <c r="AA17" i="3"/>
  <c r="AD17" i="3"/>
  <c r="AC17" i="3"/>
  <c r="AB17" i="3"/>
  <c r="W17" i="3"/>
  <c r="Z17" i="3"/>
  <c r="Y17" i="3"/>
  <c r="X17" i="3"/>
  <c r="V17" i="3"/>
  <c r="U17" i="3"/>
  <c r="AE17" i="3"/>
  <c r="T24" i="3"/>
  <c r="V24" i="3"/>
  <c r="Y24" i="3"/>
  <c r="AE24" i="3"/>
  <c r="U24" i="3"/>
  <c r="AA24" i="3"/>
  <c r="AD24" i="3"/>
  <c r="AB24" i="3"/>
  <c r="W24" i="3"/>
  <c r="Z24" i="3"/>
  <c r="AC24" i="3"/>
  <c r="X24" i="3"/>
  <c r="P10" i="3"/>
  <c r="D14" i="7" l="1"/>
  <c r="D12" i="7" s="1"/>
  <c r="AC18" i="3"/>
  <c r="U18" i="3"/>
  <c r="W18" i="3"/>
  <c r="X18" i="3"/>
  <c r="AB18" i="3"/>
  <c r="T18" i="3"/>
  <c r="Z18" i="3"/>
  <c r="AE18" i="3"/>
  <c r="Y18" i="3"/>
  <c r="AA18" i="3"/>
  <c r="AD18" i="3"/>
  <c r="V18" i="3"/>
  <c r="T13" i="3"/>
  <c r="X13" i="3"/>
  <c r="AB13" i="3"/>
  <c r="Y13" i="3"/>
  <c r="AC13" i="3"/>
  <c r="AD13" i="3"/>
  <c r="U13" i="3"/>
  <c r="AE13" i="3"/>
  <c r="V13" i="3"/>
  <c r="Z13" i="3"/>
  <c r="AA13" i="3"/>
  <c r="W13" i="3"/>
  <c r="U10" i="3"/>
  <c r="Y10" i="3"/>
  <c r="AC10" i="3"/>
  <c r="V10" i="3"/>
  <c r="Z10" i="3"/>
  <c r="AD10" i="3"/>
  <c r="W10" i="3"/>
  <c r="AA10" i="3"/>
  <c r="AE10" i="3"/>
  <c r="X10" i="3"/>
  <c r="AB10" i="3"/>
  <c r="T10" i="3"/>
  <c r="T11" i="3"/>
  <c r="X11" i="3"/>
  <c r="AB11" i="3"/>
  <c r="U11" i="3"/>
  <c r="Y11" i="3"/>
  <c r="AC11" i="3"/>
  <c r="V11" i="3"/>
  <c r="Z11" i="3"/>
  <c r="AD11" i="3"/>
  <c r="W11" i="3"/>
  <c r="AA11" i="3"/>
  <c r="AE11" i="3"/>
  <c r="I96" i="2" l="1"/>
  <c r="I93" i="2"/>
  <c r="I94" i="2"/>
  <c r="I91" i="2"/>
  <c r="I87" i="2"/>
  <c r="I90" i="2"/>
  <c r="I86" i="2" l="1"/>
  <c r="I85" i="2" s="1"/>
  <c r="I106" i="2"/>
  <c r="I104" i="2" s="1"/>
  <c r="I110" i="2"/>
  <c r="I113" i="2" l="1"/>
  <c r="I111" i="2"/>
  <c r="F112" i="2" l="1"/>
  <c r="I112" i="2" s="1"/>
  <c r="I109" i="2" s="1"/>
  <c r="I73" i="2" l="1"/>
  <c r="K73" i="2" s="1"/>
  <c r="K22" i="2" l="1"/>
  <c r="I57" i="2"/>
  <c r="M58" i="2"/>
  <c r="P12" i="3"/>
  <c r="P35" i="3" s="1"/>
  <c r="P42" i="3" l="1"/>
  <c r="N57" i="2"/>
  <c r="K71" i="2"/>
  <c r="I542" i="2"/>
  <c r="Y12" i="3"/>
  <c r="I36" i="3" s="1"/>
  <c r="K58" i="2"/>
  <c r="V12" i="3"/>
  <c r="F36" i="3" s="1"/>
  <c r="P36" i="3"/>
  <c r="AE12" i="3"/>
  <c r="O36" i="3" s="1"/>
  <c r="W12" i="3"/>
  <c r="G36" i="3" s="1"/>
  <c r="M57" i="2"/>
  <c r="AD12" i="3"/>
  <c r="N36" i="3" s="1"/>
  <c r="P18" i="2"/>
  <c r="AC12" i="3"/>
  <c r="M36" i="3" s="1"/>
  <c r="AA12" i="3"/>
  <c r="K36" i="3" s="1"/>
  <c r="U12" i="3"/>
  <c r="E36" i="3" s="1"/>
  <c r="AB12" i="3"/>
  <c r="L36" i="3" s="1"/>
  <c r="Z12" i="3"/>
  <c r="J36" i="3" s="1"/>
  <c r="X12" i="3"/>
  <c r="H36" i="3" s="1"/>
  <c r="T12" i="3"/>
  <c r="D36" i="3" s="1"/>
  <c r="D38" i="3" s="1"/>
  <c r="C26" i="3" l="1"/>
  <c r="C15" i="3"/>
  <c r="I544" i="2"/>
  <c r="D34" i="6"/>
  <c r="D26" i="6" s="1"/>
  <c r="I35" i="3"/>
  <c r="M35" i="3"/>
  <c r="E38" i="3"/>
  <c r="F38" i="3" s="1"/>
  <c r="G38" i="3" s="1"/>
  <c r="H38" i="3" s="1"/>
  <c r="I38" i="3" s="1"/>
  <c r="J38" i="3" s="1"/>
  <c r="K38" i="3" s="1"/>
  <c r="L38" i="3" s="1"/>
  <c r="M38" i="3" s="1"/>
  <c r="N38" i="3" s="1"/>
  <c r="O38" i="3" s="1"/>
  <c r="O35" i="3"/>
  <c r="K35" i="3"/>
  <c r="G35" i="3"/>
  <c r="H35" i="3"/>
  <c r="J35" i="3"/>
  <c r="C18" i="3"/>
  <c r="C12" i="3"/>
  <c r="C24" i="3"/>
  <c r="C20" i="3"/>
  <c r="C23" i="3"/>
  <c r="C10" i="3"/>
  <c r="C19" i="3"/>
  <c r="C16" i="3"/>
  <c r="F35" i="3"/>
  <c r="C11" i="3"/>
  <c r="C25" i="3"/>
  <c r="C17" i="3"/>
  <c r="C14" i="3"/>
  <c r="L35" i="3"/>
  <c r="C22" i="3"/>
  <c r="C21" i="3"/>
  <c r="E35" i="3"/>
  <c r="D35" i="3"/>
  <c r="D37" i="3" s="1"/>
  <c r="N35" i="3"/>
  <c r="K60" i="2" l="1"/>
  <c r="D25" i="6"/>
  <c r="D28" i="6"/>
  <c r="D27" i="6"/>
  <c r="E37" i="3"/>
  <c r="F37" i="3" s="1"/>
  <c r="G37" i="3" s="1"/>
  <c r="H37" i="3" s="1"/>
  <c r="I37" i="3" s="1"/>
  <c r="J37" i="3" s="1"/>
  <c r="K37" i="3" s="1"/>
  <c r="L37" i="3" s="1"/>
  <c r="M37" i="3" s="1"/>
  <c r="N37" i="3" s="1"/>
  <c r="O37" i="3" s="1"/>
  <c r="D24" i="6" l="1"/>
  <c r="D31" i="6" s="1"/>
  <c r="D22" i="6" s="1"/>
  <c r="D18" i="6" s="1"/>
  <c r="D17" i="6" l="1"/>
  <c r="D16" i="6"/>
  <c r="D19" i="6"/>
  <c r="D15" i="6"/>
  <c r="D14" i="6" l="1"/>
  <c r="D12" i="6" s="1"/>
  <c r="G12" i="6" s="1"/>
  <c r="G13" i="6" l="1"/>
</calcChain>
</file>

<file path=xl/comments1.xml><?xml version="1.0" encoding="utf-8"?>
<comments xmlns="http://schemas.openxmlformats.org/spreadsheetml/2006/main">
  <authors>
    <author>Sarah</author>
  </authors>
  <commentList>
    <comment ref="B106" authorId="0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A peça é de 1,80
</t>
        </r>
      </text>
    </comment>
  </commentList>
</comments>
</file>

<file path=xl/connections.xml><?xml version="1.0" encoding="utf-8"?>
<connections xmlns="http://schemas.openxmlformats.org/spreadsheetml/2006/main">
  <connection id="1" name="INTERCEPTOR A" type="6" refreshedVersion="4" background="1" saveData="1">
    <textPr codePage="850" sourceFile="Z:\Itambacuri\DIMENSIONAMENTO\ESGINI\INTERCEPTOR A.ege" delimited="0" decimal="," thousands=".">
      <textFields count="26">
        <textField/>
        <textField position="8"/>
        <textField position="14"/>
        <textField position="21"/>
        <textField position="29"/>
        <textField position="38"/>
        <textField position="47"/>
        <textField position="56"/>
        <textField position="61"/>
        <textField position="69"/>
        <textField position="72"/>
        <textField position="78"/>
        <textField position="86"/>
        <textField position="94"/>
        <textField position="102"/>
        <textField position="107"/>
        <textField position="110"/>
        <textField position="112"/>
        <textField position="115"/>
        <textField position="118"/>
        <textField position="121"/>
        <textField position="126"/>
        <textField position="143"/>
        <textField position="159"/>
        <textField position="175"/>
        <textField position="203"/>
      </textFields>
    </textPr>
  </connection>
  <connection id="2" name="INTERCEPTOR B" type="6" refreshedVersion="4" background="1" saveData="1">
    <textPr codePage="850" sourceFile="Z:\Itambacuri\DIMENSIONAMENTO\ESGINI\INTERCEPTOR B.ege" delimited="0" decimal="," thousands=".">
      <textFields count="26">
        <textField/>
        <textField position="5"/>
        <textField position="14"/>
        <textField position="21"/>
        <textField position="29"/>
        <textField position="38"/>
        <textField position="47"/>
        <textField position="56"/>
        <textField position="61"/>
        <textField position="69"/>
        <textField position="72"/>
        <textField position="78"/>
        <textField position="86"/>
        <textField position="94"/>
        <textField position="102"/>
        <textField position="107"/>
        <textField position="110"/>
        <textField position="112"/>
        <textField position="115"/>
        <textField position="118"/>
        <textField position="121"/>
        <textField position="126"/>
        <textField position="143"/>
        <textField position="159"/>
        <textField position="175"/>
        <textField position="203"/>
      </textFields>
    </textPr>
  </connection>
  <connection id="3" name="INTERCEPTOR C" type="6" refreshedVersion="4" background="1" saveData="1">
    <textPr codePage="850" sourceFile="Z:\Itambacuri\DIMENSIONAMENTO\ESGINI\INTERCEPTOR C.ege" delimited="0" decimal="," thousands=".">
      <textFields count="26">
        <textField/>
        <textField position="5"/>
        <textField position="14"/>
        <textField position="21"/>
        <textField position="29"/>
        <textField position="38"/>
        <textField position="47"/>
        <textField position="56"/>
        <textField position="61"/>
        <textField position="66"/>
        <textField position="72"/>
        <textField position="78"/>
        <textField position="86"/>
        <textField position="94"/>
        <textField position="102"/>
        <textField position="107"/>
        <textField position="110"/>
        <textField position="112"/>
        <textField position="115"/>
        <textField position="118"/>
        <textField position="121"/>
        <textField position="126"/>
        <textField position="143"/>
        <textField position="159"/>
        <textField position="175"/>
        <textField position="203"/>
      </textFields>
    </textPr>
  </connection>
  <connection id="4" name="INTERCEPTOR D" type="6" refreshedVersion="4" background="1" saveData="1">
    <textPr codePage="850" sourceFile="Z:\Itambacuri\DIMENSIONAMENTO\ESGINI\INTERCEPTOR D.ege" delimited="0" decimal="," thousands=".">
      <textFields count="26">
        <textField/>
        <textField position="5"/>
        <textField position="14"/>
        <textField position="21"/>
        <textField position="29"/>
        <textField position="38"/>
        <textField position="47"/>
        <textField position="56"/>
        <textField position="61"/>
        <textField position="66"/>
        <textField position="72"/>
        <textField position="78"/>
        <textField position="86"/>
        <textField position="94"/>
        <textField position="102"/>
        <textField position="107"/>
        <textField position="110"/>
        <textField position="112"/>
        <textField position="115"/>
        <textField position="118"/>
        <textField position="121"/>
        <textField position="126"/>
        <textField position="143"/>
        <textField position="159"/>
        <textField position="175"/>
        <textField position="203"/>
      </textFields>
    </textPr>
  </connection>
  <connection id="5" name="INTERCEPTOR E" type="6" refreshedVersion="4" background="1" saveData="1">
    <textPr codePage="850" sourceFile="Z:\Itambacuri\ORÇAMENTO\INTERCEPTOR E.ege" delimited="0" decimal="," thousands=".">
      <textFields count="25">
        <textField/>
        <textField position="5"/>
        <textField position="14"/>
        <textField position="21"/>
        <textField position="29"/>
        <textField position="38"/>
        <textField position="47"/>
        <textField position="56"/>
        <textField position="61"/>
        <textField position="66"/>
        <textField position="78"/>
        <textField position="86"/>
        <textField position="94"/>
        <textField position="102"/>
        <textField position="107"/>
        <textField position="110"/>
        <textField position="112"/>
        <textField position="115"/>
        <textField position="118"/>
        <textField position="121"/>
        <textField position="126"/>
        <textField position="143"/>
        <textField position="159"/>
        <textField position="175"/>
        <textField position="203"/>
      </textFields>
    </textPr>
  </connection>
  <connection id="6" name="INTERCEPTOR F" type="6" refreshedVersion="4" background="1" saveData="1">
    <textPr codePage="850" sourceFile="Z:\Itambacuri\DIMENSIONAMENTO\ESGINI\INTERCEPTOR F.ege" delimited="0" decimal="," thousands=".">
      <textFields count="26">
        <textField/>
        <textField position="5"/>
        <textField position="14"/>
        <textField position="21"/>
        <textField position="29"/>
        <textField position="38"/>
        <textField position="47"/>
        <textField position="56"/>
        <textField position="61"/>
        <textField position="67"/>
        <textField position="72"/>
        <textField position="78"/>
        <textField position="86"/>
        <textField position="94"/>
        <textField position="102"/>
        <textField position="107"/>
        <textField position="110"/>
        <textField position="112"/>
        <textField position="115"/>
        <textField position="118"/>
        <textField position="121"/>
        <textField position="126"/>
        <textField position="143"/>
        <textField position="159"/>
        <textField position="175"/>
        <textField position="203"/>
      </textFields>
    </textPr>
  </connection>
  <connection id="7" name="INTERCEPTOR G" type="6" refreshedVersion="4" background="1" saveData="1">
    <textPr codePage="850" sourceFile="Z:\Itambacuri\DIMENSIONAMENTO\ESGINI\INTERCEPTOR G.ege" delimited="0" decimal="," thousands=".">
      <textFields count="26">
        <textField/>
        <textField position="5"/>
        <textField position="14"/>
        <textField position="21"/>
        <textField position="29"/>
        <textField position="38"/>
        <textField position="47"/>
        <textField position="56"/>
        <textField position="61"/>
        <textField position="67"/>
        <textField position="72"/>
        <textField position="78"/>
        <textField position="86"/>
        <textField position="94"/>
        <textField position="102"/>
        <textField position="107"/>
        <textField position="110"/>
        <textField position="112"/>
        <textField position="115"/>
        <textField position="118"/>
        <textField position="121"/>
        <textField position="126"/>
        <textField position="143"/>
        <textField position="159"/>
        <textField position="175"/>
        <textField position="203"/>
      </textFields>
    </textPr>
  </connection>
  <connection id="8" name="INTERCEPTOR H" type="6" refreshedVersion="4" background="1" saveData="1">
    <textPr codePage="850" sourceFile="Z:\Itambacuri\DIMENSIONAMENTO\ESGINI\INTERCEPTOR H.ege" delimited="0" decimal="," thousands=".">
      <textFields count="26">
        <textField/>
        <textField position="5"/>
        <textField position="14"/>
        <textField position="21"/>
        <textField position="29"/>
        <textField position="38"/>
        <textField position="47"/>
        <textField position="56"/>
        <textField position="61"/>
        <textField position="67"/>
        <textField position="72"/>
        <textField position="78"/>
        <textField position="86"/>
        <textField position="94"/>
        <textField position="102"/>
        <textField position="107"/>
        <textField position="110"/>
        <textField position="112"/>
        <textField position="115"/>
        <textField position="118"/>
        <textField position="121"/>
        <textField position="126"/>
        <textField position="143"/>
        <textField position="159"/>
        <textField position="177"/>
        <textField position="203"/>
      </textFields>
    </textPr>
  </connection>
  <connection id="9" name="INTERCEPTOR I" type="6" refreshedVersion="4" background="1" saveData="1">
    <textPr codePage="850" sourceFile="Z:\Itambacuri\DIMENSIONAMENTO\ESGINI\INTERCEPTOR I.ege" delimited="0" decimal="," thousands=".">
      <textFields count="26">
        <textField/>
        <textField position="5"/>
        <textField position="14"/>
        <textField position="21"/>
        <textField position="29"/>
        <textField position="38"/>
        <textField position="47"/>
        <textField position="56"/>
        <textField position="61"/>
        <textField position="69"/>
        <textField position="72"/>
        <textField position="78"/>
        <textField position="86"/>
        <textField position="94"/>
        <textField position="102"/>
        <textField position="107"/>
        <textField position="110"/>
        <textField position="112"/>
        <textField position="115"/>
        <textField position="118"/>
        <textField position="121"/>
        <textField position="126"/>
        <textField position="143"/>
        <textField position="159"/>
        <textField position="175"/>
        <textField position="203"/>
      </textFields>
    </textPr>
  </connection>
  <connection id="10" name="INTERCEPTOR J" type="6" refreshedVersion="4" background="1" saveData="1">
    <textPr codePage="850" sourceFile="Z:\Itambacuri\DIMENSIONAMENTO\ESGINI\INTERCEPTOR J.ege" delimited="0" decimal="," thousands=".">
      <textFields count="26">
        <textField/>
        <textField position="5"/>
        <textField position="14"/>
        <textField position="21"/>
        <textField position="29"/>
        <textField position="38"/>
        <textField position="47"/>
        <textField position="56"/>
        <textField position="61"/>
        <textField position="67"/>
        <textField position="72"/>
        <textField position="78"/>
        <textField position="86"/>
        <textField position="94"/>
        <textField position="102"/>
        <textField position="107"/>
        <textField position="110"/>
        <textField position="112"/>
        <textField position="115"/>
        <textField position="118"/>
        <textField position="121"/>
        <textField position="126"/>
        <textField position="143"/>
        <textField position="159"/>
        <textField position="175"/>
        <textField position="203"/>
      </textFields>
    </textPr>
  </connection>
  <connection id="11" name="INTERCEPTOR M" type="6" refreshedVersion="4" background="1" saveData="1">
    <textPr codePage="850" sourceFile="Z:\Itambacuri\DIMENSIONAMENTO\ESGINI\INTERCEPTOR M.ege" delimited="0" decimal="," thousands=".">
      <textFields count="25">
        <textField/>
        <textField position="5"/>
        <textField position="14"/>
        <textField position="21"/>
        <textField position="29"/>
        <textField position="38"/>
        <textField position="47"/>
        <textField position="56"/>
        <textField position="61"/>
        <textField position="69"/>
        <textField position="78"/>
        <textField position="86"/>
        <textField position="94"/>
        <textField position="102"/>
        <textField position="107"/>
        <textField position="110"/>
        <textField position="112"/>
        <textField position="115"/>
        <textField position="118"/>
        <textField position="121"/>
        <textField position="126"/>
        <textField position="143"/>
        <textField position="159"/>
        <textField position="175"/>
        <textField position="203"/>
      </textFields>
    </textPr>
  </connection>
</connections>
</file>

<file path=xl/sharedStrings.xml><?xml version="1.0" encoding="utf-8"?>
<sst xmlns="http://schemas.openxmlformats.org/spreadsheetml/2006/main" count="5945" uniqueCount="2759">
  <si>
    <t>PLANTIO DE ARVORE COM ALTURA MAIOR DO QUE 2,00 METROS</t>
  </si>
  <si>
    <t>CAP FOFO JE DN  100</t>
  </si>
  <si>
    <t>FLANGE CEGO FOFO PN 10  DN 600</t>
  </si>
  <si>
    <t>EXTREMIDADE FOFO JMF PN 10 DN 600</t>
  </si>
  <si>
    <t>TE FOFO FFF PN 16 DN   100 X 100</t>
  </si>
  <si>
    <t>CRUZETA FOFO BBBB JE DN 100 X 100</t>
  </si>
  <si>
    <t>TUBO DE POLIETILENO DE ALTA DENSIDADE, PEAD, PE-80, DE 75 MM X 6,9 MM PAREDE, ( SRD 11 - PN 12,5 ) P/REDE DE AGUA, ISO 4427/96</t>
  </si>
  <si>
    <t>JOELHO PVC C/ROSCA 90G P/ AGUA FRIA PREDIAL 2"</t>
  </si>
  <si>
    <t>REGISTRO PVC ESFERA VS ROSCAVEL DN 2"</t>
  </si>
  <si>
    <t>CURVA 90º FOFO BB JE DN 150</t>
  </si>
  <si>
    <t>ARRUELA BORRACHA P/ FLANGE PN 10 DN  600</t>
  </si>
  <si>
    <t>ARRUELA BORRACHA P/ FLANGE PN 10 DN  150</t>
  </si>
  <si>
    <t>ARRUELA BORRACHA P/ FLANGE PN 10 DN  100</t>
  </si>
  <si>
    <t>PARAFUSO SEXT C/PORCA M16X 80MM 5.6PB25</t>
  </si>
  <si>
    <t>PARAFUSO SEXT C/PORCA M20X 90MM 5.6PB25</t>
  </si>
  <si>
    <t>ARRUELA BORRACHA P/ FLANGE PN 10 DN  300</t>
  </si>
  <si>
    <t>REGISTRO GAVETA FOFO RCBC PN 16 DN 150</t>
  </si>
  <si>
    <t>LEITO FILTRANTE - COLOCACAO DE PEDREGULHOS NOS FILTROS</t>
  </si>
  <si>
    <t>LEITO FILTRANTE - COLOCACAO DE AREIA NOS FILTROS</t>
  </si>
  <si>
    <t xml:space="preserve">ALVENARIA EM TIJOLO CERAMICO MACICO 5X10X20CM ESPELHO (ESPESSURA 5CM),   </t>
  </si>
  <si>
    <t>TUBO PVC EB-644 P/ REDE COLET ESG JE DN 100MM</t>
  </si>
  <si>
    <t>REGISTRO GAVETA FOFO RCFV PN 16 DN 150</t>
  </si>
  <si>
    <t xml:space="preserve">PISO CIMENTADO RUSTICO TRACO 1:3 (CIMENTO E AREIA), ESPESSURA 2,0CM, P   </t>
  </si>
  <si>
    <t xml:space="preserve">MONOVIA EM PERFIL METALICO " I " DE 6" - FORNECIMENTO E INSTALACAO                                                                                                                  </t>
  </si>
  <si>
    <t>TOCO FOFO FF PN 10 DN 100 X 0,50 M</t>
  </si>
  <si>
    <t>CURVA 90G FOFO FF PN 16 DN 100</t>
  </si>
  <si>
    <t>CURVA 45G FOFO FF PN 16 DN 100</t>
  </si>
  <si>
    <t>VALVULA RET FOFO PORT UN FF PN10 DN 100</t>
  </si>
  <si>
    <t>REGISTRO GAVETA FOFO RCFV PN 25 DN 100</t>
  </si>
  <si>
    <t>JUNTA DESMONTAGEM TRAVADA AXIAL. 100PN16</t>
  </si>
  <si>
    <t>JUNCAO FOFO45 GR C/FLANGES PN-10/16 DN 100X100</t>
  </si>
  <si>
    <t>FLANGE CEGO FOFO PN 16  DN 100</t>
  </si>
  <si>
    <t>REDUCAO FOFO FF PN 16 DN 150 X 100</t>
  </si>
  <si>
    <t xml:space="preserve">CAIXA EM ALVENARIA ENTERRADA, DE TIJOLOS CERAMICOS MACICOS 1/2 VEZ DIM   </t>
  </si>
  <si>
    <t>OFICIAL INSTALADOR HIDRAULICO</t>
  </si>
  <si>
    <t>AUXILIAR DE ENCANADOR OU BOMBEIRO HIDRAULICO</t>
  </si>
  <si>
    <t>VEDACAO PVC 100 MM P/SAIDA VASO SANITARIO TIPO EG-27 TIGRE OU SIMILAR</t>
  </si>
  <si>
    <t>RALO SECO PVC CONICO 100 X 40 MM C/GRELHA QUADRADA BRANCA</t>
  </si>
  <si>
    <t>VASO SANITARIO SIFONADO LOUCA BRANCA - PADRAO POPULAR</t>
  </si>
  <si>
    <t>LAVATORIO LOUCA COR SUSPENSO 29,5 X 39CM OU EQUIV - PADRAO POPULAR</t>
  </si>
  <si>
    <t>PARAFUSO LATAO ACAB CROMADO P/ FIXAR PECA SANITARIA - INCL PORCA CEGA, ARRUELA E BUCHA DE NYLON S-10</t>
  </si>
  <si>
    <t>CAIXA D'AGUA FIBRA DE VIDRO 1000L</t>
  </si>
  <si>
    <t>QUADRO DE DISTRIBUICAO DE EMBUTIR SEM BARRAMENTO P/ 3 DISJUNTORES UNIPOLARES, COM PORTA EM CHAPA DE ACO GALV</t>
  </si>
  <si>
    <t>ELETRODUTO PVC FLEXIVEL CORRUGADO 32MM TIPO TIGREFLEX OU EQUIV</t>
  </si>
  <si>
    <t>FECHADURA EMBUTIR EXTERNA (C/ CILINDRO) COMPLETA - LINHA POPULAR</t>
  </si>
  <si>
    <t>FECHADURA EMBUTIR P/ PORTA DE BANHEIRO, COMPLETA - LINHA POPULAR</t>
  </si>
  <si>
    <t>TE FOFO BBB JE DN 150 X 150</t>
  </si>
  <si>
    <t>CJ</t>
  </si>
  <si>
    <t>DISCRIMINAÇÃO</t>
  </si>
  <si>
    <t>CÓDIGO</t>
  </si>
  <si>
    <t>FONTE</t>
  </si>
  <si>
    <t>QUANTIDADE</t>
  </si>
  <si>
    <t xml:space="preserve">DATA: </t>
  </si>
  <si>
    <t>EXECUÇÃO DE LASTRO EM CONCRETO (1:2,5:6), PREPARO MANUAL</t>
  </si>
  <si>
    <t>05.01</t>
  </si>
  <si>
    <t>05.02</t>
  </si>
  <si>
    <t>05.03</t>
  </si>
  <si>
    <t>05.04</t>
  </si>
  <si>
    <t>C R O N O G R A M A     F Í S I C O - F I N A N C E I R O</t>
  </si>
  <si>
    <t>PREÇO              TOTAL (R$)</t>
  </si>
  <si>
    <t>h</t>
  </si>
  <si>
    <t>m²</t>
  </si>
  <si>
    <t>m³</t>
  </si>
  <si>
    <t>m</t>
  </si>
  <si>
    <t>un</t>
  </si>
  <si>
    <t xml:space="preserve">un </t>
  </si>
  <si>
    <t>mês</t>
  </si>
  <si>
    <t>tXkm</t>
  </si>
  <si>
    <t>PROJETO:</t>
  </si>
  <si>
    <t>ITEM</t>
  </si>
  <si>
    <t xml:space="preserve">ATIVIDADES </t>
  </si>
  <si>
    <t>PART.%</t>
  </si>
  <si>
    <t>MÊS 01</t>
  </si>
  <si>
    <t>MÊS 02</t>
  </si>
  <si>
    <t>MÊS 03</t>
  </si>
  <si>
    <t>MÊS 04</t>
  </si>
  <si>
    <t>SUB-TOTAL</t>
  </si>
  <si>
    <t>PERCENTUAL GLOBAL SIMPLES</t>
  </si>
  <si>
    <t>VALOR SIMPLES EM R$</t>
  </si>
  <si>
    <t>PERCENTUAL GLOBAL ACUMULADO</t>
  </si>
  <si>
    <t>VALOR ACUMULADO EM R$</t>
  </si>
  <si>
    <t>ESTAÇÃO DE TRATAMENTO DE ESGOTOS</t>
  </si>
  <si>
    <t>74115/001</t>
  </si>
  <si>
    <t>74142/004</t>
  </si>
  <si>
    <t>CERCA COM MOURÕES DE CONCRETO, SEÇÃO "T" PONTA INCLINADA, 7,5X7,5CM, ESPAÇAMENTO DE 3M, CRAVADOS 0,5M, COM 11 FIOS DE ARAME FARPADO Nº14 CLASSE 250 - FORNEC E COLOC.</t>
  </si>
  <si>
    <t>74236/001</t>
  </si>
  <si>
    <t>GRAMA BATATAIS EM PLACAS</t>
  </si>
  <si>
    <t xml:space="preserve">CLIENTE: </t>
  </si>
  <si>
    <t>CIDADE:</t>
  </si>
  <si>
    <t>PREÇO</t>
  </si>
  <si>
    <t>Unitário (R$)</t>
  </si>
  <si>
    <t>SIMPLES</t>
  </si>
  <si>
    <t>BDI OU ADM</t>
  </si>
  <si>
    <t xml:space="preserve">FOLHA RESUMO </t>
  </si>
  <si>
    <t>SINAPI</t>
  </si>
  <si>
    <t>73805/001</t>
  </si>
  <si>
    <t>BARRACAO DE OBRA PARA ALOJAMENTO/ESCRITORIO, PISO EM PINHO 3A, PAREDES EM COMPENSADO 10MM, COBERTURA EM TELHA AMIANTO 6MM, INCLUSO INSTALACOES ELETRICAS E ESQUADRIAS</t>
  </si>
  <si>
    <t>74209/001</t>
  </si>
  <si>
    <t>PLACA DE OBRA EM CHAPA DE ACO GALVANIZADO</t>
  </si>
  <si>
    <t xml:space="preserve">TRANSPORTE COMERCIAL COM CAMINHAO CARROCERIA 9 T, RODOVIA PAVIMENTADA     </t>
  </si>
  <si>
    <t>74210/001</t>
  </si>
  <si>
    <t>COPASA</t>
  </si>
  <si>
    <t>74219/001</t>
  </si>
  <si>
    <t>PASSADICOS DE MADEIRA PARA PEDESTRES</t>
  </si>
  <si>
    <t>REDE INTERCEPTORA DE ESGOTOS</t>
  </si>
  <si>
    <t>73965/010</t>
  </si>
  <si>
    <t>ESCAVACAO MANUAL DE VALA EM MATERIAL DE 1A CATEGORIA ATE 1,5M EXCLUINDO ESGOTAMENTO / ESCORAMENTO</t>
  </si>
  <si>
    <t>73965/011</t>
  </si>
  <si>
    <t>ESCAVACAO MANUAL DE VALA EM MATERIAL DE 1A CATEGORIA DE 1,5 ATE 3M EXCLUINDO ESGOTAMENTO / ESCORAMENTO</t>
  </si>
  <si>
    <t>73965/008</t>
  </si>
  <si>
    <t>ESCAVACAO MANUAL DE VALA EM LODO, ATE 1,5M, EXCLUINDO ESGOTAMENTO/ESCORAMENTO</t>
  </si>
  <si>
    <t>73965/009</t>
  </si>
  <si>
    <t>74151/001</t>
  </si>
  <si>
    <t>74015/001</t>
  </si>
  <si>
    <t>REATERRO E COMPACTACAO MECANICO DE VALA COM COMPACTADOR MANUAL TIPO SOQUETE VIBRATORIO</t>
  </si>
  <si>
    <t>MÊS 07</t>
  </si>
  <si>
    <t>MÊS 08</t>
  </si>
  <si>
    <t>MÊS 09</t>
  </si>
  <si>
    <t>MÊS 10</t>
  </si>
  <si>
    <t>MÊS 11</t>
  </si>
  <si>
    <t>MÊS 12</t>
  </si>
  <si>
    <t>74034/001</t>
  </si>
  <si>
    <t>ESPALHAMENTO DE MATERIAL DE 1A CATEGORIA COM TRATOR DE ESTEIRA COM 153 HP</t>
  </si>
  <si>
    <t>73891/001</t>
  </si>
  <si>
    <t>ESGOTAMENTO COM MOTO-BOMBA AUTOESCOVANTE</t>
  </si>
  <si>
    <t>73902/001</t>
  </si>
  <si>
    <t>CAMADA DRENANTE COM BRITA NUM 3</t>
  </si>
  <si>
    <t>73840/003</t>
  </si>
  <si>
    <t>ASSENTAMENTO TUBO PVC COM JUNTA ELASTICA - DN 150 P/ESGOTO</t>
  </si>
  <si>
    <t/>
  </si>
  <si>
    <t>TUBO PVC EB-644 P/ REDE COLET ESG JE DN 150MM</t>
  </si>
  <si>
    <t>LOCAÇÃO DE ADUTORAS, COLETORES TRONCO E INTERCEPTORES - ATÉ DN 500 MM, INCLUSIVE TOPOGRAFO</t>
  </si>
  <si>
    <t>73859/001</t>
  </si>
  <si>
    <t>73840/005</t>
  </si>
  <si>
    <t>LIMPEZA MECANIZADA DE TERRENO, INCLUSIVE RETIRADA DE ARVORE ENTRE 0,05M E 0,15M DE DIAMETRO</t>
  </si>
  <si>
    <t>ESCAVACAO, CARGA E TRANSPORTE DE MATERIAL DE 1A CATEGORIA, CAMINHO DESERVICO REVESTIMENTO PRIMARIO, COM ESCAVADEIRA HIDRAULICA E CAMINHAO BASCULANTE 6 M3, DMT 800 ATE 1.000 M</t>
  </si>
  <si>
    <t>74005/001</t>
  </si>
  <si>
    <t xml:space="preserve">COMPACTACAO MECANICA, SEM CONTROLE DO GC (C/COMPACTADOR PLACA 400 KG)     </t>
  </si>
  <si>
    <t>74077/001</t>
  </si>
  <si>
    <t>LOCACAO CONVENCIONAL DE OBRA, ATRAVÉS DE GABARITO DE TABUAS CORRIDAS PONTALETADAS, SEM REAPROVEITAMENTO</t>
  </si>
  <si>
    <t>74164/004</t>
  </si>
  <si>
    <t>LASTRO DE BRITA</t>
  </si>
  <si>
    <t>TRATAMENTO PRELIMINAR</t>
  </si>
  <si>
    <t>73932/001</t>
  </si>
  <si>
    <t>GRADE DE FERRO EM BARRA CHATA 3/16"</t>
  </si>
  <si>
    <t>COTAÇÃO</t>
  </si>
  <si>
    <t>FORNECIMENTO E INSTALAÇÃO DE TERMINAIS DOS TUBOS DE DISTRIBUIÇÃO, EM FIBRA DE VIDRO E RESINA DE POLIÉSTER, CONFORME PROJETO</t>
  </si>
  <si>
    <t>73840/001</t>
  </si>
  <si>
    <t>ASSENTAMENTO TUBO PVC COM JUNTA ELASTICA - DN 100 P/ESGOTO</t>
  </si>
  <si>
    <t>73998/003</t>
  </si>
  <si>
    <t>ALV ESTRUTURAL BL CONC 15X20X40CM -4.5MPA, ARG.CIM/CAL/AREIA 1:5:11</t>
  </si>
  <si>
    <t>74001/001</t>
  </si>
  <si>
    <t xml:space="preserve">REBOCO COM ARGAMASSA PRE-FABRICADA, ESPESSURA 0,5CM, PREPARO MECANICO     </t>
  </si>
  <si>
    <t>REGISTRO GAVETA 1" REF 1509-C - C/ CANOPLA ACAB CROMADO SIMPLES</t>
  </si>
  <si>
    <t>01.02</t>
  </si>
  <si>
    <t>01.03</t>
  </si>
  <si>
    <t>01.04</t>
  </si>
  <si>
    <t>01.05</t>
  </si>
  <si>
    <t>02.01</t>
  </si>
  <si>
    <t>03.01</t>
  </si>
  <si>
    <t>EDIFICAÇÃO ADMINISTRATIVA - UNIDADE DE APOIO</t>
  </si>
  <si>
    <t>03.02</t>
  </si>
  <si>
    <t>04.01</t>
  </si>
  <si>
    <t>TUBO PVC EB-644 P/ REDE COLET ESG JE DN 250MM</t>
  </si>
  <si>
    <t>TUBO FOFO PF PN 10 DN 150 X 0,60 M</t>
  </si>
  <si>
    <t>01.01</t>
  </si>
  <si>
    <t xml:space="preserve">MOBILIZAÇÃO E DESMOBILIZAÇÃO                                 </t>
  </si>
  <si>
    <t>01.06</t>
  </si>
  <si>
    <t>73840/006</t>
  </si>
  <si>
    <t>73887/003</t>
  </si>
  <si>
    <t>00009818</t>
  </si>
  <si>
    <t>00009821</t>
  </si>
  <si>
    <t>REDUÇÃO FOFO CONCÊNTRICA DN 200X150</t>
  </si>
  <si>
    <t>CURVA 90º FOFO FLANGEADA DN 200</t>
  </si>
  <si>
    <t>TUBO FOFO FLANGEADO DN 200 L = 0,63m</t>
  </si>
  <si>
    <t>VÁLVULA DE RETENÇÃO COM PORTINHOLAS FOFO FF DN 200</t>
  </si>
  <si>
    <t>JUNTA DESMONTAGEM TRAVADA AXIAL. 200PN16</t>
  </si>
  <si>
    <t>REGISTRO CHATO FOFO FLANGEADO E COM VOLANTE DN 200</t>
  </si>
  <si>
    <t>TUBO FOFO FLANGE PONTA DN 200 L = 0,80m</t>
  </si>
  <si>
    <t>ABF 10 DN 150</t>
  </si>
  <si>
    <t>ABF 10 DN 200</t>
  </si>
  <si>
    <t>73967/002</t>
  </si>
  <si>
    <t>TERRAPLENAGEM GERAL</t>
  </si>
  <si>
    <t xml:space="preserve">REATORES UASB </t>
  </si>
  <si>
    <t>FORNECIMENTO E INSTALAÇÃO DE PLACA VERTEDORA, EM PRFV, NAS DIMENSÕES (38X65)CM, COM VEDAÇÃO EM BORRACHA E FECHAMENTO EM PARAFUSOS, CONFORME PROJETO</t>
  </si>
  <si>
    <t>FORNECIMENTO E INSTALAÇÃO DE PLACA VERTEDORA, EM PRFV, NAS DIMENSÕES (46X45)CM, COM VEDAÇÃO EM BORRACHA E FECHAMENTO EM PARAFUSOS, CONFORME PROJETO</t>
  </si>
  <si>
    <t>TUBO FOFO FLANGE E FLANGE DN 100 - L = 0,22 M</t>
  </si>
  <si>
    <t>TUBO FOFO PONTA E FLANGE DN 100 - L = 5,00 M</t>
  </si>
  <si>
    <t>VÁLVULA DE ESFERA FECHAMENTO RÁPIDO AÇO INOX DN 2"</t>
  </si>
  <si>
    <t>00025886</t>
  </si>
  <si>
    <t>00003508</t>
  </si>
  <si>
    <t>00009828</t>
  </si>
  <si>
    <t>TUBO PVC DEFOFO EB-1208 P/ REDE AGUA JE 1 MPA DN 150MM</t>
  </si>
  <si>
    <t>00011671</t>
  </si>
  <si>
    <t>FILTRO BIOLÓGICO PERCOLADOR</t>
  </si>
  <si>
    <t>DECANTADOR</t>
  </si>
  <si>
    <t>CURVA 90G FOFO BB JE DN 150</t>
  </si>
  <si>
    <t>CURVA 45G FOFO BB JE DN 150</t>
  </si>
  <si>
    <t>TUBO FOFO FLANGE E PONTA DN 150 L = 0,92 M</t>
  </si>
  <si>
    <t>LEITOS DE SECAGEM</t>
  </si>
  <si>
    <t>73816/001</t>
  </si>
  <si>
    <t>EXECUÇÃO DE DRENO COM TUBOS DE PVC CORRUGADO FLEXÍVEL PERFURADO - DN 100</t>
  </si>
  <si>
    <t>73873/004</t>
  </si>
  <si>
    <t>73873/003</t>
  </si>
  <si>
    <t>73963/002</t>
  </si>
  <si>
    <t>POCO DE VISITA PARA REDE DE ESG. SANIT., EM ANEIS DE CONCRETO, DIÂMETRO = 60CM, PROF = 100CM, INCLUINDO DEGRAU, EXCLUINDO TAMPAO FERRO FUNDIDO.</t>
  </si>
  <si>
    <t>00009817</t>
  </si>
  <si>
    <t>ESCAVACAO MEC DE VALA ESCORADA COM RETRO 75 HP, EM MATERIAL DE 1A CATEGORIA ATÉ 1,5M DE PROFUNDIDADE, EXCLUINDO ESGOTAMENTO E ESCORAMENTO</t>
  </si>
  <si>
    <t>CURVA PVC SOLD 90G P/ AGUA FRIA PREDIAL 25 MM</t>
  </si>
  <si>
    <t>00009826</t>
  </si>
  <si>
    <t>TUBO PVC DEFOFO EB-1208 P/ REDE AGUA JE 1 MPA DN 250MM</t>
  </si>
  <si>
    <t>TUBO FOFO FLANGE PONTA DN 250 L = 5,80m</t>
  </si>
  <si>
    <t>TUBO FOFO FLANGEADO DN 250 L = 5,80m</t>
  </si>
  <si>
    <t>TUBO FOFO FLANGEADO DN 250 L = 3,10m</t>
  </si>
  <si>
    <t>CURVA 90º FOFO BB JE DN 250</t>
  </si>
  <si>
    <t>CURVA 90º FOFO FF PN10 DN 250</t>
  </si>
  <si>
    <t>REDUCAO FOFO PB JE DN  350 X  250</t>
  </si>
  <si>
    <t>TUBO FOFO PONTAS LISAS DN 150 L = 1,00m</t>
  </si>
  <si>
    <t>TUBO FOFO FLANGE PONTA DN 150 L = 4,50m</t>
  </si>
  <si>
    <t>CURVA 45º FOFO BB PN10 DN 150</t>
  </si>
  <si>
    <t>CURVA 90º FOFO FF PN10 DN 150</t>
  </si>
  <si>
    <t>EXTREMIDADE FOFO ABAVED PF PN 10 DN 150</t>
  </si>
  <si>
    <t>CURVA PVC 90G NBR-10569 P/ REDE COLET ESG PB JE DN 100MM</t>
  </si>
  <si>
    <t>73950/001</t>
  </si>
  <si>
    <t>CAIXA TIPO BOCA LOBO 30X90X90CM, EM ALV TIJ MACICO 1 VEZ, REVESTIDA COM ARGAMASSA 1:4 CIMENTO:AREIA, SOBRE BASE DE CONCRETO SIMPLES FCK=10MPA, COM GRELHA FOFO 135KG, INCLUINDO ESCAVACAO E REATERRO.</t>
  </si>
  <si>
    <t>TUBO FOFO FP DN 200 - L = 0,50 M</t>
  </si>
  <si>
    <t>ELEVATÓRIA DE RECIRCULAÇÃO</t>
  </si>
  <si>
    <t>ELEVATÓRIA FINAL</t>
  </si>
  <si>
    <t>MÊS 05</t>
  </si>
  <si>
    <t>MÊS 06</t>
  </si>
  <si>
    <t>REDUCAO FOFO PB JE DN  200 X  150</t>
  </si>
  <si>
    <t>ESCAVACAO E CARGA MATERIAL 1A CATEGORIA, UTILIZANDO TRATOR DE ESTEIRAS</t>
  </si>
  <si>
    <t>PÓRTICO PARA RETIRADA DAS BOMBAS EM PERFIS METÁLICOS, CONFORME PROJETO</t>
  </si>
  <si>
    <t>TE FOFO FFF PN 10 DN   250 X 250</t>
  </si>
  <si>
    <t xml:space="preserve">TUBO FOFO CILÍNDRICO DN 100 - L = 2,81 M                              </t>
  </si>
  <si>
    <t>TUBO FOFO PF PN 10 DN 100 X 1,79 M</t>
  </si>
  <si>
    <t>TE FOFO FFF PN 10 DN   100 X 100</t>
  </si>
  <si>
    <t>FLANGE CEGO FOFO PN 10  DN 150</t>
  </si>
  <si>
    <t>TUBO FOFO FF PN 10 DN 150 X 2,33 M</t>
  </si>
  <si>
    <t>REDUÇÃO CONCÊNTRICA EM AÇO CARBONO COM EXTREMIDADES BISELADAS PARA SOLDA, DN 3"X2"</t>
  </si>
  <si>
    <t>VÁLVULA CORTA CHAMAS DN 3"</t>
  </si>
  <si>
    <t>FLANGE COM PESCOÇO DE AÇO FORJADO, DN 2.1/2"</t>
  </si>
  <si>
    <t>TUBO FOFO FLANGEADO DN 200 L = 0,68m</t>
  </si>
  <si>
    <t>TUBO FOFO FLANGEADO DN 200 L = 0,56m</t>
  </si>
  <si>
    <t>TUBO FOFO FLANGE E BOLSA DN 350 L = 0,70 M</t>
  </si>
  <si>
    <t>TE FOFO FFF PN 10 DN   350 X 350</t>
  </si>
  <si>
    <t>TUBO FOFO FLANGE E PONTA DN 350 L = 0,90 M</t>
  </si>
  <si>
    <t>CURVA 90G FOFO BB JE DN 350</t>
  </si>
  <si>
    <t>73873/002</t>
  </si>
  <si>
    <t>LEITO FILTRANTE - FORN.E ENCHIMENTO C/ BRITA NO. 4</t>
  </si>
  <si>
    <t>TE FOFO FFF DN   150 X 150</t>
  </si>
  <si>
    <t>04.02</t>
  </si>
  <si>
    <t>TUBO PVC SOLDAVEL EB-892 P/AGUA FRIA PREDIAL DN 32MM</t>
  </si>
  <si>
    <t>00009869</t>
  </si>
  <si>
    <t>TUBO PVC SOLDAVEL EB-892 P/AGUA FRIA PREDIAL DN 25MM</t>
  </si>
  <si>
    <t>00009868</t>
  </si>
  <si>
    <t>TUBO PVC SOLDAVEL EB-892 P/AGUA FRIA PREDIAL DN 20MM</t>
  </si>
  <si>
    <t>00009867</t>
  </si>
  <si>
    <t>JOELHO PVC SOLD 90G P/AGUA FRIA PREDIAL 40 MM</t>
  </si>
  <si>
    <t>TE PVC SOLD 90G P/ AGUA FRIA PREDIAL 32MM</t>
  </si>
  <si>
    <t>00007140</t>
  </si>
  <si>
    <t>BUCHA REDUCAO PVC SOLD CURTA P/ AGUA FRIA PRED 32MM X 25MM</t>
  </si>
  <si>
    <t>00000829</t>
  </si>
  <si>
    <t>BUCHA REDUCAO PVC SOLD CURTA P/ AGUA FRIA PRED 25MM X 20MM</t>
  </si>
  <si>
    <t>00000828</t>
  </si>
  <si>
    <t>TE REDUCAO PVC SOLD 90G P/ AGUA FRIA PREDIAL 25 MM X 20 MM</t>
  </si>
  <si>
    <t>00007104</t>
  </si>
  <si>
    <t>JOELHO PVC SOLD 90G P/AGUA FRIA PREDIAL 32 MM</t>
  </si>
  <si>
    <t>00003536</t>
  </si>
  <si>
    <t>JOELHO PVC SOLD 90G P/AGUA FRIA PREDIAL 25 MM</t>
  </si>
  <si>
    <t>00003542</t>
  </si>
  <si>
    <t>UNIAO PVC SOLD P/AGUA FRIA PREDIAL 32MM</t>
  </si>
  <si>
    <t>00009895</t>
  </si>
  <si>
    <t>JOELHO PVC SOLD 90G C/BUCHA DE LATAO 20MM X 1/2"</t>
  </si>
  <si>
    <t>ADAPTADOR PVC SOLDAVEL CURTO C/ BOLSA E ROSCA P/ REGISTRO 32MM X 1"</t>
  </si>
  <si>
    <t>00000108</t>
  </si>
  <si>
    <t>ADAPTADOR PVC SOLDAVEL CURTO C/ BOLSA E ROSCA P/ REGISTRO 25MM X 3/4"</t>
  </si>
  <si>
    <t>00000065</t>
  </si>
  <si>
    <t>REGISTRO PRESSAO 3/4" REF 1416 - C/ CANOPLA ACAB CROMADO SIMPLES</t>
  </si>
  <si>
    <t>ADAPTADOR PVC SOLDAVEL C/ FLANGES E ANEL DE VEDACAO P/ CAIXA D' AGUA 40MM 11/4"</t>
  </si>
  <si>
    <t>00000098</t>
  </si>
  <si>
    <t>00000097</t>
  </si>
  <si>
    <t>ADAPTADOR PVC SOLDAVEL C/ FLANGES E ANEL DE VEDACAO P/ CAIXA D' AGUA 25MM 3/4"</t>
  </si>
  <si>
    <t>ADAPTADOR PVC SOLDAVEL C/ FLANGES E ANEL DE VEDACAO P/ CAIXA D' AGUA 32MM 1"</t>
  </si>
  <si>
    <t>00000096</t>
  </si>
  <si>
    <t>JOELHO PVC SOLD 45G P/ AGUA FRIA PRED 25 MM</t>
  </si>
  <si>
    <t>00003500</t>
  </si>
  <si>
    <t>TE PVC SOLD 90G P/ AGUA FRIA PREDIAL 40MM</t>
  </si>
  <si>
    <t>00007141</t>
  </si>
  <si>
    <t>REGISTRO GAVETA 3/4" REF 1509-C - C/ CANOPLA ACAB CROMADO SIMPLES</t>
  </si>
  <si>
    <t>00006005</t>
  </si>
  <si>
    <t>00006014</t>
  </si>
  <si>
    <t>ADAPTADOR PVC SOLDAVEL CURTO C/ BOLSA E ROSCA P/ REGISTRO 40MM X 1 1/4"</t>
  </si>
  <si>
    <t>00000109</t>
  </si>
  <si>
    <t>LUVA PVC SOLDAVEL C/ BUCHA LATAO 20 MM X 1/2"</t>
  </si>
  <si>
    <t>00003855</t>
  </si>
  <si>
    <t>TE PVC SOLD 90G P/ AGUA FRIA PREDIAL 25MM</t>
  </si>
  <si>
    <t>00007139</t>
  </si>
  <si>
    <t>ADAPTADOR PVC SOLDAVEL CURTO C/ BOLSA E ROSCA P/ REGISTRO 20MM X 1/2"</t>
  </si>
  <si>
    <t>00000107</t>
  </si>
  <si>
    <t>UNIAO PVC SOLD P/AGUA FRIA PREDIAL 25MM</t>
  </si>
  <si>
    <t>00009906</t>
  </si>
  <si>
    <t>UNIAO PVC SOLD P/AGUA FRIA PREDIAL 20MM</t>
  </si>
  <si>
    <t>00009905</t>
  </si>
  <si>
    <t>TUBO PVC SERIE NORMAL - ESGOTO PREDIAL DN 75MM - NBR 5688</t>
  </si>
  <si>
    <t>00009837</t>
  </si>
  <si>
    <t>CURVA PVC 90G CURTA PVC P/ ESG PREDIAL DN 100MM</t>
  </si>
  <si>
    <t>00001966</t>
  </si>
  <si>
    <t>TE SANITARIO PVC P/ ESG PREDIAL DN 50X50MM</t>
  </si>
  <si>
    <t>00007097</t>
  </si>
  <si>
    <t>JOELHO PVC SERIE R P/ ESG PREDIAL 90G DN 50 MM</t>
  </si>
  <si>
    <t>00020155</t>
  </si>
  <si>
    <t>LUVA CORRER PVC P/ ESG PREDIAL DN 50MM</t>
  </si>
  <si>
    <t>00003848</t>
  </si>
  <si>
    <t>CAIXA SIFONADA PVC 150 X 185 X 75MM C/ GRELHA QUADRADA BRANCA</t>
  </si>
  <si>
    <t>00011714</t>
  </si>
  <si>
    <t>CAIXA SIFONADA PVC 150 X 185 X 75MM C/ TAMPA CEGA QUADRADA BRANCA</t>
  </si>
  <si>
    <t>00011715</t>
  </si>
  <si>
    <t>JOELHO PVC SOLD 90G BB P/ ESG PREDIAL DN 40MM</t>
  </si>
  <si>
    <t>CAIXA SIFONADA PVC 100 X 100 X 50MM C/ GRELHA REDONDA BRANCA</t>
  </si>
  <si>
    <t>00005103</t>
  </si>
  <si>
    <t>00003895</t>
  </si>
  <si>
    <t>LUVA CORRER PVC P/ ESG PREDIAL DN 75MM</t>
  </si>
  <si>
    <t>LUVA CORRER PVC P/ ESG PREDIAL DN 100MM</t>
  </si>
  <si>
    <t>00003893</t>
  </si>
  <si>
    <t>SIFAO PLASTICO P/ LAVATORIO/PIA TIPO COPO 40 MM</t>
  </si>
  <si>
    <t>00006145</t>
  </si>
  <si>
    <t>BUCHA REDUCAO PVC SOLD CURTA P/ AGUA FRIA PRED 50MM X 40MM</t>
  </si>
  <si>
    <t>00000819</t>
  </si>
  <si>
    <t>JUNCAO SIMPLES PVC P/ ESG PREDIAL DN 50X50MM</t>
  </si>
  <si>
    <t>00003662</t>
  </si>
  <si>
    <t>JUNCAO SIMPLES PVC P/ ESG PREDIAL DN 75X75MM</t>
  </si>
  <si>
    <t>00003658</t>
  </si>
  <si>
    <t>TE SANITARIO PVC P/ ESG PREDIAL DN 100X100MM</t>
  </si>
  <si>
    <t>00007091</t>
  </si>
  <si>
    <t>CAP PVC SERIE R P/ ESG PREDIAL DN 100 MM</t>
  </si>
  <si>
    <t>00020088</t>
  </si>
  <si>
    <t>CURVA PVC LONGA 90G P/ ESG PREDIAL DN 100MM</t>
  </si>
  <si>
    <t>00001970</t>
  </si>
  <si>
    <t>BRACO OU HASTE C/CANOPLA PLASTICA 1/2" P/ CHUVEIRO ELETRICO"</t>
  </si>
  <si>
    <t>00011679</t>
  </si>
  <si>
    <t>CHUVEIRO ELETRICO PLASTICO/PVC CROMADO TIPO DUCHA 110/220V</t>
  </si>
  <si>
    <t>00007607</t>
  </si>
  <si>
    <t>MICTORIO SIFONADO LOUCA BRANCA C/PERTENCES</t>
  </si>
  <si>
    <t>00010432</t>
  </si>
  <si>
    <t>CAIXA DE GORDURA DUPLA EM CONCRETO PRE-MOLDADO DN 60MM COM TAMPA - FORNECIMENTO E INSTALACAO</t>
  </si>
  <si>
    <t>74051/001</t>
  </si>
  <si>
    <t>BANCADA DO LABORATÓRIO EM LAMINADO MELAMÍNICO TIPO POST-FORMING E CUBA DE AÇO INOX 40X35X15 CM</t>
  </si>
  <si>
    <t>DIVISORIA EM MARMORITE ESPESSURA 35MM, CHUMBAMENTO NO PISO E PAREDE COM ARGAMASSA DE CIMENTO E AREIA, POLIMENTO MANUAL, EXCLUSIVE FERRAGENSDIVISORIAS EM MADEIRA OU PAINEIS PRE-FABRICADOS</t>
  </si>
  <si>
    <t>73774/001</t>
  </si>
  <si>
    <t>TELHAMENTO COM TELHA DE FIBROCIMENTO ONDULADA, ESPESSURA 6MM, INCLUSO JUNTAS DE VEDACAO E ACESSORIOS DE FIXACAO</t>
  </si>
  <si>
    <t>74088/001</t>
  </si>
  <si>
    <t>73910/002</t>
  </si>
  <si>
    <t>PORTA DE MADEIRA COMPENSADA LISA PARA CERA/VERNIZ, 0,60X2,10M, INCLUSOADUELA 1A, ALIZAR 1A E DOBRADICA COM ANEL</t>
  </si>
  <si>
    <t>73910/005</t>
  </si>
  <si>
    <t>PORTA DE MADEIRA COMPENSADA LISA PARA CERA/VERNIZ, 0,80X2,10M, INCLUSOADUELA 1A, ALIZAR 1A E DOBRADICA COM ANEL</t>
  </si>
  <si>
    <t>00007796</t>
  </si>
  <si>
    <t>TUBO CONCRETO SIMPLES CLASSE PS1, PB NBR-8890 DN 300MM P/AGUAS PLUVIAIS</t>
  </si>
  <si>
    <t>73974/001</t>
  </si>
  <si>
    <t>ADMINISTRAÇÃO DA OBRA</t>
  </si>
  <si>
    <t>01.07</t>
  </si>
  <si>
    <t>01.08</t>
  </si>
  <si>
    <t xml:space="preserve">74210/001 </t>
  </si>
  <si>
    <t>BARRACAO PARA DEPOSITO EM TABUAS DE MADEIRA, COBERTURA EM FIBROCIMENTO 4 MM, INCLUSO PISO ARGAMASSA TRAÇO 1:6 (CIMENTO E AREIA)</t>
  </si>
  <si>
    <t>73847/005</t>
  </si>
  <si>
    <t>ALUGUEL CONTAINER/SANIT C/7 VASOS/1 LAVAT/1 MIC LARG=2,20M COMPR=6,20M ALT=2,50M CHAPA ACO NERV TRAPEZ FORRO C/ISOLTERMO-ACUST CHASSIS REFORC PISO COMPENS NAVAL INCL INST ELET/HIDRO-SANIT EXCL TRANSP/CARGA/DESCARGA</t>
  </si>
  <si>
    <t xml:space="preserve">73803/001 </t>
  </si>
  <si>
    <t>GALPAO ABERTO PROVISORIO EM MADEIRA, COBERTURA EM TELHA DE FIBROCIMENTO 6MM, INCLUSO PREPARO DO TERRENO M2 120,99</t>
  </si>
  <si>
    <t>73960/001</t>
  </si>
  <si>
    <t>INSTAL/LIGACAO PROVISORIA ELETRICA BAIXA TENSAO P/CANT OBRA ,M3-CHAVE 100A CARGA 3KWH,20CV EXCL FORN MEDIDOR</t>
  </si>
  <si>
    <t>74220/001</t>
  </si>
  <si>
    <t xml:space="preserve">74039/001 </t>
  </si>
  <si>
    <t>CERCA COM MOURÕES DE MADEIRA ROLIÇA D=11CM, ESPAÇAMENTO DE 2M, ALTURA LIVRE DE 1M, CRAVADOS 0,50M, COM 5 FIOS DE ARAME FARPADO Nº14 CLASSE 2 50 - FORNEC E COLOC.</t>
  </si>
  <si>
    <t>74219/002</t>
  </si>
  <si>
    <t>TRAVESSIA DE MADEIRA PARA VEICULOS</t>
  </si>
  <si>
    <t>TAPUME DE CHAPA DE MADEIRA COMPENSADA (6MM) - PINTURA A CAL- APROVEITAMENTO 2 X</t>
  </si>
  <si>
    <t>02.03</t>
  </si>
  <si>
    <t>02.04</t>
  </si>
  <si>
    <t>02.05</t>
  </si>
  <si>
    <t>00003607</t>
  </si>
  <si>
    <t xml:space="preserve">TUBO FOFO FLANGE PONTA DN 100 L=1,00m </t>
  </si>
  <si>
    <t>TUBO FLANGEADO DN 100 L=1,73m</t>
  </si>
  <si>
    <t>TUBO FLANGEADO DN 100 L=1,03m</t>
  </si>
  <si>
    <t>TUBO FLANGEADO DN 100 L=0,44m</t>
  </si>
  <si>
    <t>kg</t>
  </si>
  <si>
    <t>02.02</t>
  </si>
  <si>
    <t>TUBO FLANGEADO DN 100 L=0,48m</t>
  </si>
  <si>
    <t xml:space="preserve">TUBO FOFO FLANGE PONTA DN 100 L=1,10m </t>
  </si>
  <si>
    <t>00000246</t>
  </si>
  <si>
    <t>00006138</t>
  </si>
  <si>
    <t>00011711</t>
  </si>
  <si>
    <t>00010420</t>
  </si>
  <si>
    <t>00010429</t>
  </si>
  <si>
    <t>00011955</t>
  </si>
  <si>
    <t>00011868</t>
  </si>
  <si>
    <t>00013399</t>
  </si>
  <si>
    <t>00002690</t>
  </si>
  <si>
    <t>00003080</t>
  </si>
  <si>
    <t>00003097</t>
  </si>
  <si>
    <t>00006021</t>
  </si>
  <si>
    <t>REGISTRO PRESSAO 1/2" REF 1416 - C/ CANOPLA ACAB CROMADO SIMPLES</t>
  </si>
  <si>
    <t>00007606</t>
  </si>
  <si>
    <t>TORNEIRA DE BOIA REAL 3/4" C/ BALAO METALICO</t>
  </si>
  <si>
    <t>00009836</t>
  </si>
  <si>
    <t>TUBO PVC P/ ESG PREDIAL DN 100MM</t>
  </si>
  <si>
    <t>00009838</t>
  </si>
  <si>
    <t>TUBO PVC P/ ESG PREDIAL DN 50MM</t>
  </si>
  <si>
    <t>00009835</t>
  </si>
  <si>
    <t>TUBO PVC P/ ESG PREDIAL DN 40MM</t>
  </si>
  <si>
    <t>00003517</t>
  </si>
  <si>
    <t>JOELHO PVC SOLD 45G BB P/ ESG PREDIAL DN 40MM</t>
  </si>
  <si>
    <t>INTERLIGAÇÕES  E EMISSÁRIO</t>
  </si>
  <si>
    <t>QUEIMADOR DE BIOGÁS</t>
  </si>
  <si>
    <t>00006013</t>
  </si>
  <si>
    <t>TUBO PVC EB-644 P/ REDE COLET ESG JE DN 300MM</t>
  </si>
  <si>
    <t>BARRACAO PARA DEPOSITO EM TABUAS DE MADEIRA, COBERTURA EM FIBROCIMENTO  4 MM, INCLUSO PISO ARGAMASSA TRAÇO 1:6 (CIMENTO E AREIA) "PARA ESTOCAGEM DE TUBOS DE PVC."</t>
  </si>
  <si>
    <t>JOELHO PVC SOLD 90G C/BUCHA DE LATAO 25MM X 3/4"</t>
  </si>
  <si>
    <t>LUVA PVC SOLD P/AGUA FRIA PREDIAL 20 MM</t>
  </si>
  <si>
    <t>REGISTRO GAV FºFº CBOR.RCFV.ESG.PN16.DN350MM</t>
  </si>
  <si>
    <t>74067/002</t>
  </si>
  <si>
    <t>JANELA ALUMINIO DE CORRER, 2 FOLHAS PARA VIDRO, COM BANDEIRA, LINHA 25</t>
  </si>
  <si>
    <t xml:space="preserve">LUVA REDUCAO PVC SOLDAVEL / ROSCA C/ BUCHA LATAO 25MM X 1/2" </t>
  </si>
  <si>
    <t>JOELHO PVC SOLD 45G P/ AGUA FRIA PRED 20 MM</t>
  </si>
  <si>
    <t xml:space="preserve">TE PVC SOLD 90G C/ BUCHA LATAO NA BOLSA CENTRAL 25MM X 3/4" </t>
  </si>
  <si>
    <t xml:space="preserve">VEDACAO PVC 100 MM P/SAIDA VASO SANITARIO TIPO EG-27 TIGRE OU SIMILAR </t>
  </si>
  <si>
    <t>VÁLVULA DE ALÍVIO DE PRESSÃO A VÁCUO, DN 2.1/2"</t>
  </si>
  <si>
    <t>FORNECIMENTO E INSTALAÇÃO DE TAMPAS DE FIBRA DE VIDRO OU AÇO INOX, NAS DIMENSÕES (160X160)CM, CONFORME PROJETO</t>
  </si>
  <si>
    <t>FORNECIMENTO E INSTALAÇÃO DE TAMPAS  EM FIBRA DE VIDRO OU AÇO INOX, NAS DIMENSÕES (110X85)CM, CONFORME PROJETO</t>
  </si>
  <si>
    <t>FORNECIMENTO E INSTALAÇÃO DE TAMPAS  EM FIBRA DE VIDRO OU AÇO INOX, NAS DIMENSÕES (170X170)CM, CONFORME PROJETO</t>
  </si>
  <si>
    <t>FORNECIMENTO E INSTALAÇÃO DE TAMPAS  EM FIBRA DE VIDRO OU AÇO INOX, NAS DIMENSÕES (80X80)CM, CONFORME PROJETO</t>
  </si>
  <si>
    <t>FORNECIMENTO E INSTALAÇÃO DE TAMPAS  EM FIBRA DE VIDRO OU AÇO INOX, NAS DIMENSÕES (90X80)CM, CONFORME PROJETO</t>
  </si>
  <si>
    <t>FORNECIMENTO E INSTALAÇÃO DE PLACA VERTEDORA, EM PRFV OU AÇO INOX, NAS DIMENSÕES (54X58)CM, COM VEDAÇÃO EM BORRACHA E FECHAMENTO EM PARAFUSOS, CONFORME PROJETO</t>
  </si>
  <si>
    <t>FORNECIMENTO E INSTALAÇÃO DE COMPORTA EM ARDÓSIA OU AÇO INOX, NAS DIMENSÕES (27X80X2)CM, COM VEDAÇÃO EM BORRACHA E FECHAMENTO EM PARAFUSOS, CONFORME PROJETO</t>
  </si>
  <si>
    <t>BANCADA DA COPA EM MÁRMORE DUPLA POLIDA, ESPESSURA 2 CM, COM CUBA DE AÇO INOX 40X35X15 CM</t>
  </si>
  <si>
    <t>UNIDADE</t>
  </si>
  <si>
    <t>COTOVELO 90G AÇO CARB NPT CL.3000 2"</t>
  </si>
  <si>
    <t>TERMINAL DE VENTILAÇÃO PVC ESG DN 50</t>
  </si>
  <si>
    <t xml:space="preserve">TAMPAO DE FERRO FUNDIDO DN 600 T-109 OU T-48 (P-COPASA 107/ OU 139/) - ASSENTAMENTO                                                                                     </t>
  </si>
  <si>
    <t>00003516</t>
  </si>
  <si>
    <t>TOTAL GERAL</t>
  </si>
  <si>
    <t>CURVA 45º FOFO FF PN10 DN 200 ESGOTO</t>
  </si>
  <si>
    <t>VALVULA BORB FOFO WAF. PN25 ALAV DN75(B)</t>
  </si>
  <si>
    <t>TE RED.FOFO FFF PN 25 DN 150 X 100</t>
  </si>
  <si>
    <t>PARAFUSO SEXT C/PORCA M27X120 5.6PB25</t>
  </si>
  <si>
    <t>CURVA 22º30' FOFO BB JE DN 250</t>
  </si>
  <si>
    <t>COMPOSIÇÕES DE CUSTO</t>
  </si>
  <si>
    <t xml:space="preserve">DATA   : </t>
  </si>
  <si>
    <t xml:space="preserve">PROJETO:        </t>
  </si>
  <si>
    <t>LOCALIDADE:</t>
  </si>
  <si>
    <t>Item</t>
  </si>
  <si>
    <t>Fonte</t>
  </si>
  <si>
    <t>Código</t>
  </si>
  <si>
    <t>Discriminação</t>
  </si>
  <si>
    <t>Unidade</t>
  </si>
  <si>
    <t>Quantidade</t>
  </si>
  <si>
    <t>TOTAL (R$)</t>
  </si>
  <si>
    <t>L.SOCIAIS</t>
  </si>
  <si>
    <t>01.00.00</t>
  </si>
  <si>
    <t>CE-001</t>
  </si>
  <si>
    <t>CUSTO MENSAL DA ADMINISTRAÇÃO LOCAL DA OBRA</t>
  </si>
  <si>
    <t>01.01.00</t>
  </si>
  <si>
    <t>MÃO DE OBRA INDIRETA</t>
  </si>
  <si>
    <t>01.01.01</t>
  </si>
  <si>
    <t>ENGENHEIRO OU ARQUITETO/PLENO  - DE OBRA</t>
  </si>
  <si>
    <t>01.01.02</t>
  </si>
  <si>
    <t>01.01.03</t>
  </si>
  <si>
    <t>FEITOR OU ENCARREGADO GERAL DA OBRA DA ETE</t>
  </si>
  <si>
    <t>01.01.04</t>
  </si>
  <si>
    <t>FEITOR OU ENCARREGADO GERAL DOS INTERCEPTORES</t>
  </si>
  <si>
    <t>01.01.05</t>
  </si>
  <si>
    <t>AUXILIAR DE ESCRITÓRIO</t>
  </si>
  <si>
    <t>01.01.06</t>
  </si>
  <si>
    <t>ALMOXARIFE</t>
  </si>
  <si>
    <t>01.01.07</t>
  </si>
  <si>
    <t>TOPÓGRAFO</t>
  </si>
  <si>
    <t>01.01.08</t>
  </si>
  <si>
    <t>AUXILIAR DE TOPOGRAFIA</t>
  </si>
  <si>
    <t>01.01.09</t>
  </si>
  <si>
    <t>APONTADOR OU APROPRIADOR</t>
  </si>
  <si>
    <t>01.01.10</t>
  </si>
  <si>
    <t>SERVENTE (FAXINA E FOLGA DO VIGIA)</t>
  </si>
  <si>
    <t>01.01.11</t>
  </si>
  <si>
    <t>MOTORISTA DE VEICULO LEVE</t>
  </si>
  <si>
    <t>01.01.12</t>
  </si>
  <si>
    <t>MOTORISTA DE BASCULANTE</t>
  </si>
  <si>
    <t>01.01.13</t>
  </si>
  <si>
    <t>MOTORISTA DE CAMINHAO</t>
  </si>
  <si>
    <t>VIGIA NOTURNO</t>
  </si>
  <si>
    <t>01.02.00</t>
  </si>
  <si>
    <t xml:space="preserve">VEÍCULOS, MÁQUINAS EQUIPAMENTOS </t>
  </si>
  <si>
    <t>01.02.01</t>
  </si>
  <si>
    <t>VEICULO COMERCIAL LEVE - CAPACIDADE DE CARGA ATE 700 KG COM MOTOR A GASOLINA TIPO VW-SAVEIRO OU SIMILAR</t>
  </si>
  <si>
    <t>01.02.03</t>
  </si>
  <si>
    <t>CAMINHÃO BASCULANTE 5,0M3/11T DIESEL TIPO MERCEDES 142HP LK-1214 OU EQUIV (INCL MANUT/OPERACAO)</t>
  </si>
  <si>
    <t>01.02.04</t>
  </si>
  <si>
    <t>CAMINHAO FORD F-4000 OU EQUIV C/ CARROCERIA MADEIRA FIXA - CAP CARGA ATE 5,0T (INCL.MANUT/OPERACAO)</t>
  </si>
  <si>
    <t>01.02.05</t>
  </si>
  <si>
    <t>01.02.06</t>
  </si>
  <si>
    <t>NIVEL OTICO C/ PRECISAO +/- 0,7MM TIPO WILD NA-2 OU EQUIVALENTE</t>
  </si>
  <si>
    <t>VIBRADOR DE IMERSAO C/ MOTOR ELETRICO 2HP MONOFASICO QUALQUER DIAM C/ MANGOTE</t>
  </si>
  <si>
    <t>BETONEIRA 320L DIESEL 5,5HP S/ CARREGADOR MECANICO</t>
  </si>
  <si>
    <t>01.03.00</t>
  </si>
  <si>
    <t>CONSUMOS</t>
  </si>
  <si>
    <t>01.03.01</t>
  </si>
  <si>
    <t>TARIFA DE CONSUMO DE ENERGIA ELETRICA COMERCIAL, BAIXA TENSAO</t>
  </si>
  <si>
    <t>kwh</t>
  </si>
  <si>
    <t>01.03.02</t>
  </si>
  <si>
    <t>OLEO DIESEL COMBUSTIVEL COMUM</t>
  </si>
  <si>
    <t>L</t>
  </si>
  <si>
    <t>01.03.03</t>
  </si>
  <si>
    <t>GASOLINA COMUM</t>
  </si>
  <si>
    <t>02</t>
  </si>
  <si>
    <t>CE-002</t>
  </si>
  <si>
    <t>PERFIL ACO ESTRUTURAL "H" - 6" X 6" (QUALQUER ESPESSURA)</t>
  </si>
  <si>
    <t>SOLDADOR</t>
  </si>
  <si>
    <t>AUXILIAR</t>
  </si>
  <si>
    <t>SERRALHEIRO</t>
  </si>
  <si>
    <t>AUXILIAR DE SERRALHEIRO</t>
  </si>
  <si>
    <t>03</t>
  </si>
  <si>
    <t>CE-003</t>
  </si>
  <si>
    <t>FORNECIMENTO E INSTALAÇÃO DE TERMINAIS DOS TUBOS DE DISTRIBUIÇÃO, EM FIBRA DE VIDRO E RESINA DE POLIÉSTER OU CHAPA DE AÇO INOX, CONFORME PROJETO</t>
  </si>
  <si>
    <t xml:space="preserve">CHAPA ACO INOX E = 4MM (32KG/M2) </t>
  </si>
  <si>
    <t xml:space="preserve">AUXILIAR DE SERRALHEIRO </t>
  </si>
  <si>
    <t>03.03</t>
  </si>
  <si>
    <t>04</t>
  </si>
  <si>
    <t>CE-004</t>
  </si>
  <si>
    <t>FORNECIMENTO E INSTALAÇÃO DE PLACA VERTEDORA, EM PRFV OU AÇO INOX, NAS DIMENSÕES (38X65)CM, COM VEDAÇÃO EM BORRACHA E FECHAMENTO EM PARAFUSOS, CONFORME PROJETO</t>
  </si>
  <si>
    <t>CHAPA ALUMINIO E = 6MM</t>
  </si>
  <si>
    <t xml:space="preserve">CANTONEIRA "U" ALUMINIO ABAS IGUAIS 1" E = 3/32 " </t>
  </si>
  <si>
    <t>04.03</t>
  </si>
  <si>
    <t>04.04</t>
  </si>
  <si>
    <t>05</t>
  </si>
  <si>
    <t>CE-005</t>
  </si>
  <si>
    <t>FORNECIMENTO E INSTALAÇÃO DE PLACA VERTEDORA, EM PRFV OU AÇO INOX, NAS DIMENSÕES (46X45)CM, COM VEDAÇÃO EM BORRACHA E FECHAMENTO EM PARAFUSOS, CONFORME PROJETO</t>
  </si>
  <si>
    <t>FORNECIMENTO E INSTALAÇÃO DE TAMPAS  EM FIBRA DE VIDRO OU AÇO INOX, NAS DIMENSÕES (160X160)CM, CONFORME PROJETO</t>
  </si>
  <si>
    <t>06.01</t>
  </si>
  <si>
    <t>06.02</t>
  </si>
  <si>
    <t>06.03</t>
  </si>
  <si>
    <t>06.04</t>
  </si>
  <si>
    <t>07</t>
  </si>
  <si>
    <t>07.01</t>
  </si>
  <si>
    <t>07.02</t>
  </si>
  <si>
    <t>07.03</t>
  </si>
  <si>
    <t>07.04</t>
  </si>
  <si>
    <t>08</t>
  </si>
  <si>
    <t>CE-008</t>
  </si>
  <si>
    <t>08.01</t>
  </si>
  <si>
    <t>08.02</t>
  </si>
  <si>
    <t>08.03</t>
  </si>
  <si>
    <t>08.04</t>
  </si>
  <si>
    <t>CE-010</t>
  </si>
  <si>
    <t>FORNECIMENTO E INSTALAÇÃO DE COMPORTA EM ARDÓSIA OU AÇO INOX, NAS DIMENSÕES (27X80)CM, COM VEDAÇÃO EM BORRACHA E FECHAMENTO EM PARAFUSOS, CONFORME PROJETO</t>
  </si>
  <si>
    <t>CHAPA LAMINADO MELAMINICO LISO FOSCO E = 1,3MM (1,25X3,08M)</t>
  </si>
  <si>
    <t xml:space="preserve">TORNEIRA CROMADA 1/2" OU 3/4" REF 1159 P/ PIA COZ - PADRAO POPULAR </t>
  </si>
  <si>
    <t xml:space="preserve">CUBA ACO INOXIDAVEL NUM 3 (40,0X34,0X11,5) CM </t>
  </si>
  <si>
    <t>VALVULA EM METAL CROMADO TIPO AMERICANA 3.1/2" X 1.1/2" P/ PIA DE COZINHA</t>
  </si>
  <si>
    <t>PEDREIRO</t>
  </si>
  <si>
    <t>SERVENTE</t>
  </si>
  <si>
    <t>BOMBEIRO HIDRAULICO</t>
  </si>
  <si>
    <t>AUXILIAR DE BOMBEIRO HIDRAULICO</t>
  </si>
  <si>
    <t>BANCA MARMORE BRANCO NACIONAL E = 3CM, POLIDO C/ FURO PARA CUBA</t>
  </si>
  <si>
    <t>TUBO FOFO ESGOTO PB K92GS DN350 x 6,00M</t>
  </si>
  <si>
    <t>CE-018</t>
  </si>
  <si>
    <t>CE-020</t>
  </si>
  <si>
    <t>CE-021</t>
  </si>
  <si>
    <t>CE-022</t>
  </si>
  <si>
    <t>CE-023</t>
  </si>
  <si>
    <t>CE-024</t>
  </si>
  <si>
    <t>CE-025</t>
  </si>
  <si>
    <t>TUBO FOFO ESGOTO PB K92GS DN300 x  6,00M</t>
  </si>
  <si>
    <t>TUBO FOFO ÁGUA PB 2GS K7 DN  150X6,00M (81,42 m)</t>
  </si>
  <si>
    <t xml:space="preserve">TUBO FOFO CILÍNDRICO DN 250 - L =3,60 M (2 peças)                       </t>
  </si>
  <si>
    <t xml:space="preserve">TUBO FOFO CILÍNDRICO DN 150 - L = 0,25 M (2 peças)                      </t>
  </si>
  <si>
    <t>REGISTRO GAVETA FOFO RCFV PN 16 DN 100</t>
  </si>
  <si>
    <t>TE FOFO BBB JE DN 350 X 350</t>
  </si>
  <si>
    <t>01.02.02</t>
  </si>
  <si>
    <t>TUBO FOFO ESGOTO PB JE2GS DN  150X6,0 M</t>
  </si>
  <si>
    <t>TUBO FOFO ESGOTO PB JE2GS DN  200X6,0 M</t>
  </si>
  <si>
    <t>DEMONSTRATIVO DO CÁLCULO DO BDI DE SERVIÇOS</t>
  </si>
  <si>
    <t>Descrição</t>
  </si>
  <si>
    <t>Percentual</t>
  </si>
  <si>
    <t>Valor</t>
  </si>
  <si>
    <t>01.00</t>
  </si>
  <si>
    <t>CUSTO DIRETO</t>
  </si>
  <si>
    <t>02.00</t>
  </si>
  <si>
    <t>CUSTOS INDIRETOS</t>
  </si>
  <si>
    <t>Administração central</t>
  </si>
  <si>
    <t>Riscos</t>
  </si>
  <si>
    <t>Despesas Financeiras</t>
  </si>
  <si>
    <t>03.00</t>
  </si>
  <si>
    <t>PREÇO DE CUSTO</t>
  </si>
  <si>
    <t>04.00</t>
  </si>
  <si>
    <t>TRIBUTOS</t>
  </si>
  <si>
    <t>Cofins</t>
  </si>
  <si>
    <t>Pis/Pasep</t>
  </si>
  <si>
    <t>Iss</t>
  </si>
  <si>
    <t>Percentuais incidentes sobre o preço de venda</t>
  </si>
  <si>
    <t>05.00</t>
  </si>
  <si>
    <t>LUCRO LÍQUIDO</t>
  </si>
  <si>
    <t>06.00</t>
  </si>
  <si>
    <t>PREÇO DE VENDA</t>
  </si>
  <si>
    <t>07.00</t>
  </si>
  <si>
    <t>BDI</t>
  </si>
  <si>
    <t xml:space="preserve">Tribunal de Contas da União - TCU </t>
  </si>
  <si>
    <t>DEMONSTRATIVO DO CÁLCULO DO BDI DE MATERIAIS</t>
  </si>
  <si>
    <t>MÊS REF.:</t>
  </si>
  <si>
    <t>CUSTO DIRETO DO MATERIAL</t>
  </si>
  <si>
    <t>LUCRO</t>
  </si>
  <si>
    <t>PREÇO DE VENDA DO MATERIAL</t>
  </si>
  <si>
    <t>04.05</t>
  </si>
  <si>
    <t>04.06</t>
  </si>
  <si>
    <t>04.07</t>
  </si>
  <si>
    <t>74138/004</t>
  </si>
  <si>
    <t>CONCRETO USINADO BOMBEADO FCK=30MPA, INCLUSIVE COLOCACAO, ESPALHAMENTO E ADENSAMENTO MECANICO.</t>
  </si>
  <si>
    <t>74254/002</t>
  </si>
  <si>
    <t>ARMACAO ACO CA-50, DIAM. 6,3 (1/4) À 12,5MM(1/2) -FORNECIMENTO/ CORTE (PERDA DE 10%) / DOBRA / COLOCAÇÃO.</t>
  </si>
  <si>
    <t>COTAÇÃO DE MATERIAIS EM FERRO FUNDIDO</t>
  </si>
  <si>
    <t>PREÇO UNITÁRIO COTAÇÃO 1 (R$)</t>
  </si>
  <si>
    <t>PREÇO UNITÁRIO COTAÇÃO 2 (R$)</t>
  </si>
  <si>
    <t>PREÇO UNITÁRIO COTAÇÃO 3 (R$)</t>
  </si>
  <si>
    <t>MENOR PREÇO UNITÁRIO (R$)</t>
  </si>
  <si>
    <t>PAM</t>
  </si>
  <si>
    <t>01</t>
  </si>
  <si>
    <t>TUBO FOFO ESGOTO PB JE2GS DN  250X6,0 M</t>
  </si>
  <si>
    <t>02.06</t>
  </si>
  <si>
    <t>02.07</t>
  </si>
  <si>
    <t>02.08</t>
  </si>
  <si>
    <t>02.09</t>
  </si>
  <si>
    <t>02.10</t>
  </si>
  <si>
    <t>02.11</t>
  </si>
  <si>
    <t>02.12</t>
  </si>
  <si>
    <t>02.13</t>
  </si>
  <si>
    <t>02.14</t>
  </si>
  <si>
    <t>02.15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</si>
  <si>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</si>
  <si>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</si>
  <si>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</si>
  <si>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</si>
  <si>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</si>
  <si>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</si>
  <si>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</si>
  <si>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</si>
  <si>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</si>
  <si>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</si>
  <si>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</si>
  <si>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</si>
  <si>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</si>
  <si>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03.17</t>
  </si>
  <si>
    <t>03.18</t>
  </si>
  <si>
    <t>03.19</t>
  </si>
  <si>
    <t>03.20</t>
  </si>
  <si>
    <t>03.21</t>
  </si>
  <si>
    <t>03.22</t>
  </si>
  <si>
    <t>03.23</t>
  </si>
  <si>
    <t>03.24</t>
  </si>
  <si>
    <t>ABF PN 10 DN  600</t>
  </si>
  <si>
    <t>03.25</t>
  </si>
  <si>
    <t>ABF PN 10 DN  150</t>
  </si>
  <si>
    <t>03.26</t>
  </si>
  <si>
    <t>ABF PN 10 DN  100</t>
  </si>
  <si>
    <t>03.27</t>
  </si>
  <si>
    <t>03.28</t>
  </si>
  <si>
    <t>03.29</t>
  </si>
  <si>
    <t>ABF PN 10 DN  350</t>
  </si>
  <si>
    <t>05.05</t>
  </si>
  <si>
    <t>05.06</t>
  </si>
  <si>
    <t>05.07</t>
  </si>
  <si>
    <t>05.08</t>
  </si>
  <si>
    <t>05.09</t>
  </si>
  <si>
    <t>05.10</t>
  </si>
  <si>
    <t>05.11</t>
  </si>
  <si>
    <t>05.12</t>
  </si>
  <si>
    <t>ABF PN 10 DN  300</t>
  </si>
  <si>
    <t>05.13</t>
  </si>
  <si>
    <t>05.14</t>
  </si>
  <si>
    <t>06.</t>
  </si>
  <si>
    <t>07.05</t>
  </si>
  <si>
    <t>07.06</t>
  </si>
  <si>
    <t>07.07</t>
  </si>
  <si>
    <t>07.08</t>
  </si>
  <si>
    <t>07.09</t>
  </si>
  <si>
    <t>07.10</t>
  </si>
  <si>
    <t>07.11</t>
  </si>
  <si>
    <t>07.12</t>
  </si>
  <si>
    <t>07.13</t>
  </si>
  <si>
    <t>07.14</t>
  </si>
  <si>
    <t>07.15</t>
  </si>
  <si>
    <t>07.16</t>
  </si>
  <si>
    <t>07.17</t>
  </si>
  <si>
    <t>08.05</t>
  </si>
  <si>
    <t>08.06</t>
  </si>
  <si>
    <t>08.07</t>
  </si>
  <si>
    <t>08.08</t>
  </si>
  <si>
    <t>08.09</t>
  </si>
  <si>
    <t>08.10</t>
  </si>
  <si>
    <t>08.11</t>
  </si>
  <si>
    <t>08.12</t>
  </si>
  <si>
    <t>08.13</t>
  </si>
  <si>
    <t>08.14</t>
  </si>
  <si>
    <t>08.15</t>
  </si>
  <si>
    <t>08.16</t>
  </si>
  <si>
    <t>08.17</t>
  </si>
  <si>
    <t>REGULARIZACAO E COMPACTACAO DE SUBLEITO ATE 20 CM DE ESPESSURA</t>
  </si>
  <si>
    <t>PISO CIMENTADO LISO (QUEIMADO) TRACO 1:4 (CIMENTO E AREIA), ESPESSURA 2,0CM, PREPARO MANUAL, INCLUSO JUNTAS DE DILATACAO</t>
  </si>
  <si>
    <t>74079/001</t>
  </si>
  <si>
    <t>LOCACAO CONVENCIONAL DE OBRA, ATRAVÉS DE GABARITO DE TABUAS CORRIDAS PONTALETADAS, COM REAPROVEITAMENTO DE 10 VEZES.</t>
  </si>
  <si>
    <t>74077/002</t>
  </si>
  <si>
    <t>CORTE=</t>
  </si>
  <si>
    <t>ATERRO=</t>
  </si>
  <si>
    <t>TRANSPORTE COMERCIAL COM CAMINHAO BASCULANTE 6 M3, RODOVIA EM LEITO NATURAL</t>
  </si>
  <si>
    <t>txkm</t>
  </si>
  <si>
    <t>ATERRO MECANIZADO COMPACTADO C/EMPRESTIMO</t>
  </si>
  <si>
    <t>ESCAVACAO MECANICA CAMPO ABERTO EM SOLO EXCETO ROCHA ATE 2,00M PROFUNDIDADE</t>
  </si>
  <si>
    <t>ESCAVACAO E CARGA MATERIAL 1A CATEGORIA, UTILIZANDO TRATOR DE ESTEIRAS DE 110 A 160HP COM LAMINA, PESO OPERACIONAL * 13T E PA CARREGADEIRA COM 170 HP.</t>
  </si>
  <si>
    <t>74010/001</t>
  </si>
  <si>
    <t>CARGA E DESCARGA MECANICA DE SOLO UTILIZANDO CAMINHAO BASCULANTE 5,0M3/11T E PA CARREGADEIRA SOBRE PNEUS * 105 HP * CAP. 1,72M3.</t>
  </si>
  <si>
    <t>ARMACAO ACO CA-50, DIAM. 6,3 (1/4) À 12,5MM(1/2) -FORNECIMENTO/ CORTE (KG PERDA DE 10%) / DOBRA / COLOCAÇÃO.</t>
  </si>
  <si>
    <t>COMPOSIÇÃO</t>
  </si>
  <si>
    <t>RUFO EM CHAPA DE ACO GALVANIZADO N.24, DESENVOLVIMENTO 16CM</t>
  </si>
  <si>
    <t>CALHA EM CHAPA DE ACO GALVANIZADO N.24, DESENVOLVIMENTO 33CM</t>
  </si>
  <si>
    <t>FORNECIMENTO E INSTALACAO DE TALHA E TROLEY MANUAL DE 1 TONELADA</t>
  </si>
  <si>
    <t>EXECUCAO DE CIMBRAMENTO PARA ESCORAMENTO DE FORMAS ELEVADAS DE  MADEIRA (LAJES E VIGAS), ACIMA DE 3,30 M DE PE DIREITO, COM PONTALETES (8,0 X8,0 CM) DE MADEIRA DE LEI 1A QUALIDADE E PECAS DE MADEIRA DE 2,5 X 10,0 CM DE 2A QUALIDADE, NAO APARELHADA.</t>
  </si>
  <si>
    <t>GUARDA-CORPO EM TUBO DE ACO GALVANIZADO 1 1/2"</t>
  </si>
  <si>
    <t>REGULARIZACAO E COMPACTACAO MANUAL DE TERRENO COM SOQUETE</t>
  </si>
  <si>
    <t>CONCRETO USINADO BOMBEADO FCK=30MPA, INCLUSIVE COLOCAÇÃO, ESPALHAMENTO E ACABAMENTO</t>
  </si>
  <si>
    <t>TAMPAO FOFO ARTICULADO 57KG DIAM ABERT 600MM P/ POCO VISITA DE REDE AGUA PLUVIAL, ESGOTO ETC</t>
  </si>
  <si>
    <t>SERVIÇOS PRELIMINARES</t>
  </si>
  <si>
    <t>CADASTRO DE REDES, INCLUSIVE TOPOGRAFO E DESENHISTA M 0,66</t>
  </si>
  <si>
    <t>ESCAVAÇÃO DE VALAS</t>
  </si>
  <si>
    <t xml:space="preserve">ESCAVACAO MANUAL DE VALA EM LODO, DE 1,5 ATE 3M, EXCLUINDO ESGOTAMENTO   </t>
  </si>
  <si>
    <t>79507/006</t>
  </si>
  <si>
    <t>ESCAVACAO MANUAL VALA ATE 2M EM ROCHA C/EXPLOSIVO</t>
  </si>
  <si>
    <t>ESCORAMENTO DE VALAS</t>
  </si>
  <si>
    <t>ESCORAMENTO DE VALAS TIPO DESCONTINUO</t>
  </si>
  <si>
    <t>ESCORAMENTO DE VALAS TIPO CONTINUO</t>
  </si>
  <si>
    <t>73877/001</t>
  </si>
  <si>
    <t>ESCORAMENTO DE VALAS COM PRANCHOES METALICOS - AREA CRAVADA</t>
  </si>
  <si>
    <t>EMPRÉSTIMOS E BOTA FORA</t>
  </si>
  <si>
    <t xml:space="preserve">DRENAGEM                                                                                                              </t>
  </si>
  <si>
    <t>73890/001</t>
  </si>
  <si>
    <t>ENSECADEIRA DE MADEIRA COM PAREDE SIMPLES</t>
  </si>
  <si>
    <t>POÇOS DE VISITA</t>
  </si>
  <si>
    <t>73963/028</t>
  </si>
  <si>
    <t>POCO VISITA ESG SANIT ANEL CONC PRE-MOLD PROF=1,20M C/TAMPAO FF TIPO MEDIO(AD)D=60CM 125KG/DEGRAUS FF/REJUNTAMENTO ANEIS/REVEST LISO CALHA INTERNA C/ARG CIM/AREIA 1:4. BASE/BANQUETA EM CONCR FCK=10MPA</t>
  </si>
  <si>
    <t>73963/029</t>
  </si>
  <si>
    <t>POCO VISITA ESG SANIT ANEL CONC PRE-MOLD PROF=1,40M C/TAMPAO FF TIPO MEDIO(AD)D=60CM 125KG/DEGRAUS FF/REJUNTAMENTO ANEIS/REVEST LISO CALHA INTERNA C/ARG CIM/AREIA 1:4. BASE/BANQUETA EM CONCR FCK=10MPA</t>
  </si>
  <si>
    <t>73963/030</t>
  </si>
  <si>
    <t>POCO VISITA ESG SANIT ANEL CONC PRE-MOLD PROF=1,50M C/TAMPAO FF TIPO MEDIO(AD)D=60CM 125KG/DEGRAUS FF/REJUNTAMENTO ANEIS/REVEST LISO CALHA INTERNA C/ARG CIM/AREIA 1:4. BASE/BANQUETA EM CONCR FCK=10MPA</t>
  </si>
  <si>
    <t>73963/031</t>
  </si>
  <si>
    <t>POCO VISITA ESG SANIT ANEL CONC PRE-MOLD PROF=1,60M C/TAMPAO FF TIPO MEDIO(AD)D=60CM 125KG/DEGRAUS FF/REJUNTAMENTO ANEIS/REVEST LISO CALHA INTERNA C/ARG CIM/AREIA 1:4. BASE/BANQUETA EM CONCR FCK=10MPA</t>
  </si>
  <si>
    <t>73963/033</t>
  </si>
  <si>
    <t>POCO VISITA ESG SANIT ANEL CONC PRE-MOLD PROF=2,00M C/TAMPAO FF TIPO MEDIO(AD)D=60CM 125KG/DEGRAUS FF/REJUNTAMENTO ANEIS/REVEST LISO CALHA INTERNA C/ARG CIM/AREIA 1:4. BASE/BANQUETA EM CONCR FCK=10MPA</t>
  </si>
  <si>
    <t>73963/034</t>
  </si>
  <si>
    <t>POCO VISITA ESG SANIT ANEL CONC PRE-MOLD PROF=2,30M C/TAMPAO FF TIPO MEDIO(AD)D=60CM 125KG/DEGRAUS FF/REJUNTAMENTO ANEIS/REVEST LISO CALHA INTERNA C/ARG CIM/AREIA 1:4. BASE/BANQUETA EM CONCR FCK=10MPA</t>
  </si>
  <si>
    <t>FORNECIMENTO E ASSENTAMENTO DE TUBULAÇÃO</t>
  </si>
  <si>
    <t>POCO VISITA ESG SANIT ANEL CONC PRE-MOLD PROF=1,70M C/TAMPAO FF TIPO MEDIO(AD)D=60CM 125KG/DEGRAUS FF/REJUNTAMENTO ANEIS/REVEST LISO CALHA INTERNA C/ARG CIM/AREIA 1:4. BASE/BANQUETA EM CONCR FCK=10MPA</t>
  </si>
  <si>
    <t>POCO VISITA ESG SANIT ANEL CONC PRE-MOLD PROF=3,20M C/TAMPAO FF TIPO MEDIO(AD)D=60CM 125KG/DEGRAUS FF/REJUNTAMENTO ANEIS/REVEST LISO CALHA INTERNA C/ARG CIM/AREIA 1:4. BASE/BANQUETA EM CONCR FCK=10MPA</t>
  </si>
  <si>
    <t>73963/032</t>
  </si>
  <si>
    <t>73963/037</t>
  </si>
  <si>
    <t>ASSENTAMENTO TUBO PVC COM JUNTA ELASTICA, DN 250 MM - (OU RPVC, OU PRFV) - PARA ESGOTO.</t>
  </si>
  <si>
    <t>ASSENTAMENTO TUBO PVC COM JUNTA ELASTICA, DN 300 MM - (OU RPVC, OU PRFV) - PARA ESGOTO.</t>
  </si>
  <si>
    <t>ASSENTAMENTO SIMPLES DE TUBOS DE FERRO FUNDIDO (FOFO) C/ JUNTA ELASTICA - DN 150 - INCLUSIVE TRANSPORTE</t>
  </si>
  <si>
    <t>01.09</t>
  </si>
  <si>
    <t>01.10</t>
  </si>
  <si>
    <t>TUBO ACO PRETO SEM COSTURA SCHEDULE 40/NBR 5590 DN INT 2" E = 3,91MM - 5,43KG/M</t>
  </si>
  <si>
    <t>TUBO PVC ROSCAVEL EB-892  2"</t>
  </si>
  <si>
    <t>TE REDUCAO FERRO GALV 90G C/ ROSCA 3" X 2.1/2"</t>
  </si>
  <si>
    <t>JUNCAO PVC 45G NBR 10569 P/ REDE COLET ESG JE BBB DN 100MM</t>
  </si>
  <si>
    <t>TORNEIRA METAL AMARELO 3/4" CURTA REF 1128 P/ JARDIM</t>
  </si>
  <si>
    <t>JOELHO FERRO GALV 90G ROSCA MACHO/FEMEA 1/2"</t>
  </si>
  <si>
    <t>DISSIPADOR DE ENERGIA CONFORME PROJETO</t>
  </si>
  <si>
    <t>74023/005</t>
  </si>
  <si>
    <t>TRANSPORTE HORIZONTAL DE MATERIAIS DIVERSOS A 100M</t>
  </si>
  <si>
    <t>73998/004</t>
  </si>
  <si>
    <t>ALVENARIA DE BLOCOS DE CONCRETO ESTRUTURAL 14X19X39CM, ESPESSURA 14CM</t>
  </si>
  <si>
    <t>ENROCAMENTO COM PEDRA ARGAMASSADA TRAÇO 1:4 COM PEDRA DE MÃO</t>
  </si>
  <si>
    <t>CE-026</t>
  </si>
  <si>
    <t>FORNECIMENTO DO MATERIAL HIDRÁULICO DO REATOR UASB</t>
  </si>
  <si>
    <t>APLICAÇÃO DO MATERIAL HIDRÁULICO DO REATOR UASB</t>
  </si>
  <si>
    <t xml:space="preserve">FORNECIMENTO  DO MATERIAL HIDRÁULICO DO FILTRO PERCOLADOR </t>
  </si>
  <si>
    <t>APLICAÇÃO DO MATERIAL HIDRÁULICO DO DECANTADOR</t>
  </si>
  <si>
    <t>APLICAÇÃO DO MATERIAL HIDRÁULICO DOS LEITOS DE SECAGEM</t>
  </si>
  <si>
    <t>FORNECIMENTO MATERIAL HIDRÁULICO DOS LEITOS DE SECAGEM</t>
  </si>
  <si>
    <t>APLICAÇÃO DO MATERIAL HIDRÁULICO DA ELEVATÓRIA DE RECIRCULAÇÃO</t>
  </si>
  <si>
    <t>APLICAÇÃO DO MATERIAL HIDRÁULICO DA UNIDADE DE APOIO</t>
  </si>
  <si>
    <t>FORNECIMENTO DO MATERIAL HIDRÁULICO DA ELEVATÓRIA DE RECIRCULAÇÃO</t>
  </si>
  <si>
    <t>FORNECIMENTO DO MATERIAL HIDRÁULICO DA UNIDADE DE APOIO</t>
  </si>
  <si>
    <t>18.00</t>
  </si>
  <si>
    <t>23.00</t>
  </si>
  <si>
    <t>24.00</t>
  </si>
  <si>
    <t>08.00</t>
  </si>
  <si>
    <t>10.00</t>
  </si>
  <si>
    <t>COPERSAN</t>
  </si>
  <si>
    <t>DEMOLIÇÃO E RECOMPOSIÇÃO DE PAVIMENTOS</t>
  </si>
  <si>
    <t>73801/002</t>
  </si>
  <si>
    <t>DEMOLICAO DE CAMADA DE ASSENTAMENTO/CONTRAPISO COM USO DE PONTEIRO, ESPESSURA ATE 4CM</t>
  </si>
  <si>
    <t>73892/002</t>
  </si>
  <si>
    <t>EXECUÇÃO DE CALÇADA EM CONCRETO 1:3:5 (FCK=12 MPA) PREPARO MECÂNICO, E= 7CM</t>
  </si>
  <si>
    <t>DEMOLICAO DE PAVIMENTACAO ASFALTICA, EXCLUSIVE TRANSPORTE DO MATERIAL RETIRADO</t>
  </si>
  <si>
    <t>LIGAÇÕES DOMICILIARES</t>
  </si>
  <si>
    <t>73784/001</t>
  </si>
  <si>
    <t>LIGAÇÃO DE ESGOTO EM TUBO PVC ESGOTO SÉRIE-R DN 100MM, DA CAIXA ATÉ A REDE, INCLUINDO ESCAVAÇÃO E REATERRO ATÉ 1,00M, COMPOSTO POR 10,50 M DE TUBO PVC SÉRIE-R ESGOTO DN 100MM, JUNÇÃO SIMPLES PVC PARA ESGOTO PREDIAL DN 100X100MM E CURVA PVC 90GRAUS PARA REDES COLETORAS DE ESGOTOS</t>
  </si>
  <si>
    <t>29.00</t>
  </si>
  <si>
    <t>CE-028</t>
  </si>
  <si>
    <t>CE-029</t>
  </si>
  <si>
    <t>ESCAVACAO MECANICA DE VALA EM MATERIAL 2A. CATEGORIA DE 2,01 ATE 4,00 M DE PROFUNDIDADE COM UTILIZACAO DE ESCAVADEIRA HIDRAULICA</t>
  </si>
  <si>
    <t>73965/012</t>
  </si>
  <si>
    <t>ESCAVACAO MANUAL DE VALA EM MATERIAL DE 1A CATEGORIA DE 3 ATE 4,5M EXCLUINDO ESGOTAMENTO / ESCORAMENTO</t>
  </si>
  <si>
    <t>79506/002</t>
  </si>
  <si>
    <t xml:space="preserve">ESCAVAÇÃO MANUAL DE VALA/CAVA EM LODO, ENTRE 3 E 4,5 M DE PROFUNDIDADE </t>
  </si>
  <si>
    <t>RECOMPOSIÇÃO DE PAVIMENTACAO ASFALTICA, EXCLUSIVE TRANSPORTE DO MATERIAL RETIRADO</t>
  </si>
  <si>
    <t>BASE PARA PAVIMENTACAO COM BRITA GRADUADA, INCLUSIVE COMPACTACAO</t>
  </si>
  <si>
    <t>PINTURA DE LIGACAO COM EMULSAO RR-2C</t>
  </si>
  <si>
    <t>74221/001</t>
  </si>
  <si>
    <t>SINALIZACAO DE TRANSITO - NOTURNA</t>
  </si>
  <si>
    <t>CONE DE SINALIZACAO MEDIO DE BORRACHA</t>
  </si>
  <si>
    <t>DISTRIBUIDOR ROTATIVO, CONFORME PROJETO</t>
  </si>
  <si>
    <t>FORNECIMENTO DO MATERIAL HIDRÁULICO DO DECANTADOR</t>
  </si>
  <si>
    <t>REMOVEDOR DE LODO, CONFORME PROJETO</t>
  </si>
  <si>
    <t>MATERIAL HIDRÁULICO DAO QUEIMADOR DE BIOGÁS</t>
  </si>
  <si>
    <t>INSTALAÇÃO DO QUEIMADOR DE BIOGÁS</t>
  </si>
  <si>
    <t>CE-027</t>
  </si>
  <si>
    <t xml:space="preserve">BDI </t>
  </si>
  <si>
    <t>MATERIAIS</t>
  </si>
  <si>
    <t>SERVIÇOS</t>
  </si>
  <si>
    <t>CALHA PARSHALL 6" EM FIBRA DE VIDRO</t>
  </si>
  <si>
    <t>COMPORTA MANUAL EM  AÇO INOX, NAS DIMENSÕES UTEIS (80X50)CM, COM VEDAÇÃO EM BORRACHA E FECHAMENTO EM PARAFUSOS, CONFORME PROJETO</t>
  </si>
  <si>
    <t>MONTAGEM HIDRÁULICA DO TRATAMENTO PRELIMINAR</t>
  </si>
  <si>
    <t>POR METRO</t>
  </si>
  <si>
    <t>CE-030</t>
  </si>
  <si>
    <t>CE-031</t>
  </si>
  <si>
    <t>CE-032</t>
  </si>
  <si>
    <t>CE-033</t>
  </si>
  <si>
    <t>CE-034</t>
  </si>
  <si>
    <t>CE-035</t>
  </si>
  <si>
    <t>CE-036</t>
  </si>
  <si>
    <t>CE-037</t>
  </si>
  <si>
    <t>74156/003</t>
  </si>
  <si>
    <t>ESTACA A TRADO (BROCA) D=20CM C/CONCRETO FCK=15MPA (SEM ARMAÇÃO)</t>
  </si>
  <si>
    <t>74198/002</t>
  </si>
  <si>
    <t>SUMIDOURO EM ALVENARIA DE TIJOLO CERAMICO MACIÇO DIAMETRO 1,40M E ALTURA 5,00M, COM TAMPA EM CONCRETO ARMADO DIAMETRO 1,60M E ESPESSURA 10CM</t>
  </si>
  <si>
    <t>PORTAO PARA VEICULOS EM BARRAS DE FERRO RETANGULAR CHATA E TELA DE ARAME GALVANIZADO, FIO 8 BWG, MALHA QUADRADA 5X5CM, INCLUSIVE CADEADO E PINTURA PVA EM PILARES DE APOIO DE CONCRETO</t>
  </si>
  <si>
    <t>PORTAO PARA PEDESTRES EM BARRAS DE FERRO RETANGULAR CHATA E TELA DE ARAME GALVANIZADO, FIO 8 BWG, MALHA QUADRADA 5X5CM, INCLUSIVE CADEADO E PINTURA PVA EM PILARES DE APOIO DE CONCRETO</t>
  </si>
  <si>
    <t>CAIXA DE PASSAGEM 40X40X50 FUNDO BRITA COM TAMPA</t>
  </si>
  <si>
    <t>CARGA MECANIZADA E REMOCAO E ENTULHO COM TRANSPORTE ATE 1KM</t>
  </si>
  <si>
    <t>74007/002</t>
  </si>
  <si>
    <t>FORMA TABUAS MADEIRA 3A P/ PECAS CONCRETO ARM, REAPR 2X, INCL MONTAGEM E DESMONTAGEM.</t>
  </si>
  <si>
    <t>73929/001</t>
  </si>
  <si>
    <t>IMPERMEABILIZACAO DE SUPERFICIE COM CIMENTO ESPECIAL CRISTALIZANTE COM ADESIVO LIQUIDO DE ALTA PERFORMANCE A BASE DE RESINA ACRÍLICA, UMA DE MAO.</t>
  </si>
  <si>
    <t>CONCRETO ARMADO DOSADO 15 MPA INCL MAT P/ 1 M3 PREPARO CONF COMP 5845 COLOC CONF COMP 7090 14 M2 DE AREA MOLDADA FORMAS E ESCORAMENTO CONF COMPS 5306 E 5708 60 KG DE ACO CA-50 INC MAO DE OBRA P/CORTE DOBRAGEM MONTAGEM E COLO</t>
  </si>
  <si>
    <t>CONCRETO NAO ESTRUTURAL, CONSUMO 210KG/M3, PREPARO COM BETONEIRA, SEM LANCAMENTO</t>
  </si>
  <si>
    <t>DESMATAMENTO E LIMPEZA MECANIZADA DE TERRENO COM REMOCAO DE CAMADA VEGETAL, UTILIZANDO TRATOR DE ESTEIRAS</t>
  </si>
  <si>
    <t>FORMA TABUAS MADEIRA 3A P/ PECAS CONCRETO ARM, REAPR 2X, INCL MONTAGEM E DESMONTAGEM</t>
  </si>
  <si>
    <t>TANQUE DE MÁRMORE SINTÉTICO SUSPENSO, 22L OU EQUIVALENTE, INCLUSO SIFÃ O TIPO GARRAFA EM PVC, VÁLVULA PLÁSTICA E TORNEIRA DE METAL CROMADO PADRÃO POPULAR - FORNECIMENTO E INSTALAÇÃO. AF_12/2013_P</t>
  </si>
  <si>
    <t>GOOD STEEL</t>
  </si>
  <si>
    <t>CE-038</t>
  </si>
  <si>
    <t xml:space="preserve">Planilha elaborada conforme proferido no acordão 2622/2013 do </t>
  </si>
  <si>
    <t>Risco</t>
  </si>
  <si>
    <t>CPRB</t>
  </si>
  <si>
    <t>ADMINISTRAÇÃO LOCAL DA OBRA, COMPOSIÇÃO EM APENSO, CONFORME ACORDÃO 2622/2013 DO TRIBUNAL DE CONTAS DA UNIÃO - TCU</t>
  </si>
  <si>
    <t>de 4,13 a 10,89%</t>
  </si>
  <si>
    <t>QUEIMADOR DE BIOGÁS COM IGNITOR AUTOMÁTICO E ENERGIA SOLAR MODELO LGM - 3.2 MARCA ITACRETO (EQUIPAMENTO PATENTEADO)APRESENTADA APENAS UMA COTAÇÃO</t>
  </si>
  <si>
    <t>CLIENTE:    PREFEITURA DE PRESIDENTE OLEGÁRIO</t>
  </si>
  <si>
    <t>AGOSTO/2014</t>
  </si>
  <si>
    <t>CIDADE:     PRESIDENTE OLEGÁRIO - MG</t>
  </si>
  <si>
    <t>BLOCO DE ANCORAGEM 90º</t>
  </si>
  <si>
    <t xml:space="preserve">ELEVATÓRIA PÓS TRATAMENTO PRELIMINAR </t>
  </si>
  <si>
    <t>FORNECIMENTO E INSTALAÇÃO DO SEPARADOR TRIFÁSICO</t>
  </si>
  <si>
    <t>10.01</t>
  </si>
  <si>
    <t>10.02</t>
  </si>
  <si>
    <t>TUBO OU CANTONEIRA ALUMINIO ABAS IGUAIS 2" E = 1/4"</t>
  </si>
  <si>
    <t>CANTONEIRA - DN 2"X2" e=3mm</t>
  </si>
  <si>
    <t>CHAPA DE ALUMINIO e= 3mm</t>
  </si>
  <si>
    <t>CARPINTEIRO DE FORMAS</t>
  </si>
  <si>
    <t>REBITE DE ALUMINIO VAZADO DE REPUXO, 4,76 X 12 MM - (1KG=1025UNID)</t>
  </si>
  <si>
    <t>TELHA DE FIBRA DE VIDRO ONDULADA, E = 0,6 MM, DE *0,50 X 2,44* M</t>
  </si>
  <si>
    <t xml:space="preserve">CHUMBADOR OMEGA C/PARAFUSO OM1404 1/4" </t>
  </si>
  <si>
    <t>CHUMBADOR 5/8 X 6"</t>
  </si>
  <si>
    <t>ALVENARIA EM TIJOLO CERAMICO MACICO 5X10X20CM 1/2 VEZ (ESPESSURA 10CM), ASSENTADO COM ARGAMASSA TRACO 1:2:8 (CIMENTO, CAL E AREIA)</t>
  </si>
  <si>
    <t>IMPERMEABILIZACAO DE SUPERFICIE COM ARGAMASSA DE CIMENTO E AREIA (MEDIA), TRACO 1:3, COM ADITIVO IMPERMEABILIZANTE, E=2CM.</t>
  </si>
  <si>
    <t>REBOCO TRACO 1:3 (CIMENTO E AREIA MEDIA NAO PENEIRADA), BASE PARA TINTA EPOXI, PREPARO MANUAL DA ARGAMASSA</t>
  </si>
  <si>
    <t>FORNECIMENTO E INSTALAÇÃO DE TAMPAS  EM FIBRA DE VIDRO OU AÇO INOX, NAS DIMENSÕES (120X30)CM, CONFORME PROJETO</t>
  </si>
  <si>
    <t xml:space="preserve">APLICAÇÃO DO MATERIAL HIDRÁULICO DO FILTRO PERCOLADOR </t>
  </si>
  <si>
    <t>ARRUELA BORRACHA P/ FLANGE PN 10 DN  250</t>
  </si>
  <si>
    <t>CURVA 90º FOFO BB JE DN 100</t>
  </si>
  <si>
    <t>CURVA 45º FOFO BB JE DN 100</t>
  </si>
  <si>
    <t>TUBO FOFO PB K9 DN 100X6,00M</t>
  </si>
  <si>
    <t>FLANGE AV.FOFO PN16 DN 100</t>
  </si>
  <si>
    <t>TUBO FOFO PB K9 DN 150X6,00M</t>
  </si>
  <si>
    <t>FLANGE AV.FOFO PN16 DN 150</t>
  </si>
  <si>
    <t>TUBO FOFO ESG.PB 0,6MPA DN 100X6,00M</t>
  </si>
  <si>
    <t>TUBO FOFO ESG.PB 0,6MPA DN 250X6,00M</t>
  </si>
  <si>
    <t>FLANGE AV.FOFO PN16 DN 250</t>
  </si>
  <si>
    <t xml:space="preserve">TE FERRO GALV 90G C/ ROSCA 2" </t>
  </si>
  <si>
    <t>18.01</t>
  </si>
  <si>
    <t>18.02</t>
  </si>
  <si>
    <t>18.03</t>
  </si>
  <si>
    <t>18.04</t>
  </si>
  <si>
    <t xml:space="preserve"> AMPLIAÇÃO E MELHORIAS NO SISTEMA DE ESGOTOS SANITÁRIOS</t>
  </si>
  <si>
    <t>PROJETO:   AMPLIAÇÃO E MELHORIAS NO SISTEMA DE ESGOTOS SANITÁRIOS</t>
  </si>
  <si>
    <t>TUBO FOFO PB K7 DN 300X6,00M</t>
  </si>
  <si>
    <t>TE FOFO FFF PN10 DN 300</t>
  </si>
  <si>
    <t>CURVA 90º FOFO FF PN16 DN 300</t>
  </si>
  <si>
    <t>TE FOFO FFF PN16 DN 300</t>
  </si>
  <si>
    <t>TUBO PVC DRENAGEM CORRUGADO FLEXIVEL PERFURADO DN 100 OU 110</t>
  </si>
  <si>
    <t>CURVA 90º FOFO BB JE DN 300</t>
  </si>
  <si>
    <t>TUBO PVC DEFOFO EB-1208 P/ REDE AGUA JE 1 MPA DN 300MM</t>
  </si>
  <si>
    <t>ESCAVACAO MANUAL DE VALA EM MATERIAL DE 1A CATEGORIA ATE 1,5M EXCLUIN DO ESGOTAMENTO / ESCORAMENTO</t>
  </si>
  <si>
    <t>CONTRAPISO EM ARGAMASSA TRAÇO 1:4 (CIMENTO E AREIA), PREPARO MANUAL, APLICADO EM ÁREAS SECAS MAIORES QUE 10M2 SOBRE LAJE, ADERIDO, ESPESSURA 2CM, ACABAMENTO REFORÇADO. AF_06/2014</t>
  </si>
  <si>
    <t>73834/001</t>
  </si>
  <si>
    <t>INSTALACAO DE CONJ.MOTO BOMBA SUBMERSIVEL ATE 10 CV</t>
  </si>
  <si>
    <t>ABRIGO DOS QCM'S</t>
  </si>
  <si>
    <t>TUBO FOFO PB K7 DN 150X6,00M</t>
  </si>
  <si>
    <t>ARRUELA BORRACHA FLANGE PN10 DN150</t>
  </si>
  <si>
    <t>FORNECIMENTO DO MATERIAL HIDRÁULICO DA ELEVATÓRIA PÓS TRATAMENTO PRELIMINAR</t>
  </si>
  <si>
    <t>REDUÇÃO FOFO FF CONCÊNTRICA DN 200X150</t>
  </si>
  <si>
    <t>CURVA 90º FOFO BB JE DN 200</t>
  </si>
  <si>
    <t>FLANGE AV.FOFO PN16 DN 200</t>
  </si>
  <si>
    <t>TUBO FOFO PB K7 DN 200X6,00M</t>
  </si>
  <si>
    <t>VALVULA RET.FOFO PORT.DUP.WAF.PN25 DN200</t>
  </si>
  <si>
    <t>JUNTA GIBAULT FOFO DN 200</t>
  </si>
  <si>
    <t>CURVA 45º FOFO FF PN16 DN 200</t>
  </si>
  <si>
    <t>JUNCAO FOFO 45 GR C/FLANGES PN-16 DN 200X200</t>
  </si>
  <si>
    <t>REDUCAO FOFO FF PN10 DN 250X 200</t>
  </si>
  <si>
    <t>ARRUELA BORRACHA FLANGE PN10 DN200</t>
  </si>
  <si>
    <t>REGISTRO GAV.FOFO OVAL ROFC PN25 DN100</t>
  </si>
  <si>
    <t>73972/002</t>
  </si>
  <si>
    <t>CONCRETO FCK=20MPA, VIRADO EM BETONEIRA, SEM LANCAMENTO</t>
  </si>
  <si>
    <t>74157/003</t>
  </si>
  <si>
    <t>LANCAMENTO/APLICACAO MANUAL DE CONCRETO EM ESTRUTURAS</t>
  </si>
  <si>
    <t>ALVENARIA DE VEDAÇÃO DE BLOCOS CERÂMICOS FURADOS NA HORIZONTAL DE 14X9X19CM (ESPESSURA 14CM) DE PAREDES COM ÁREA LÍQUIDA MAIOR OU IGUAL A 6M² SEM VÃOS E ARGAMASSA DE ASSENTAMENTO COM PREPARO EM BETONEIRA. AF_06/2014_P</t>
  </si>
  <si>
    <t>73931/001</t>
  </si>
  <si>
    <t>ESTRUTURA EM MADEIRA APARELHADA, PARA TELHA ONDULADA DE FIBROCIMENTO, ALUMINIO OU PLASTICA, APOIADA EM LAJE OU PAREDE</t>
  </si>
  <si>
    <t>COBERTURA COM TELHA DE FIBROCIMENTO ONDULADA, ESPESSURA 8 MM, INCLUINDO ACESSORIOS, EXCLUINDO MADEIRAMENTO</t>
  </si>
  <si>
    <t>CONDUTOR PARA CALHA DE BEIRAL, DE PVC, DIAMETRO 88 MM, INCLUINDO CONEXOES E BRACADEIRAS - FORNECIMENTO E COLOCACAO</t>
  </si>
  <si>
    <t>CHAPISCO APLICADO TANTO EM PILARES E VIGAS DE CONCRETO COMO EM ALVENARIA DE FACHADA SEM PRESENÇA DE VÃOS, COM COLHER DE PEDREIRO. ARGAMASSA TRAÇO 1:3 COM PREPARO MANUAL. AF_06/2014</t>
  </si>
  <si>
    <t>REBOCO COM ARGAMASSA PRE-FABRICADA, ESPESSURA 0,5CM, PREPARO MECANICO DA ARGAMASSA</t>
  </si>
  <si>
    <t>74071/002</t>
  </si>
  <si>
    <t>PORTA DE ABRIR EM ALUMINIO TIPO VENEZIANA, COM GUARNICAO</t>
  </si>
  <si>
    <t>JANELA BASCULANTE DE ALUMINIO</t>
  </si>
  <si>
    <t>APLICAÇÃO MANUAL DE PINTURA COM TINTA LÁTEX ACRÍLICA EM PAREDES, DUAS DEMÃOS. AF_06/2014</t>
  </si>
  <si>
    <t>VIDRO LISO COMUM TRANSPARENTE, ESPESSURA 3MM</t>
  </si>
  <si>
    <t>74202/001</t>
  </si>
  <si>
    <t>LAJE PRE-MOLDADA P/FORRO, SOBRECARGA 100KG/M2, VAOS ATE 3,50M/E=8CM, C/LAJOTAS E CAP.C/CONC FCK=20MPA, 3CM, INTER-EIXO 38CM, C/ESCORAMENTO (REAPR.3X) E FERRAGEM NEGATIVA</t>
  </si>
  <si>
    <t>TE REDUCAO PVC SOLD 90G P/ AGUA FRIA PREDIAL 32 MM X 25 MM</t>
  </si>
  <si>
    <t>TUBO ACO GALV C/ COSTURA DIN 2440/NBR 5580 CLASSE MEDIA DN 1/2" (15MM) E = 2,65MM - 1,22KG/M</t>
  </si>
  <si>
    <t>TUBO ACO PRETO SEM COSTURA SCHEDULE 40/NBR 5590 DN INT 1" E = 3,38MM - 2,50KG/M</t>
  </si>
  <si>
    <t>NIPEL FERRO GALV ROSCA 3/4"</t>
  </si>
  <si>
    <t>KIT CAVALETE PVC C/ REGISTRO 3/4"</t>
  </si>
  <si>
    <t>CURVA 45º FOFO BB JE DN 250</t>
  </si>
  <si>
    <t>CURVA 45º FOFO BB JE DN 150</t>
  </si>
  <si>
    <t>TE FOFO BBB JE DN 300 X 300</t>
  </si>
  <si>
    <t>TE REDUCAO FERRO GALV 90G ROSCA 2" X 1"</t>
  </si>
  <si>
    <t>BUCHA REDUCAO FERRO GALV ROSCA REF. 2"X1"</t>
  </si>
  <si>
    <t>73887/006</t>
  </si>
  <si>
    <t>ASSENTAMENTO SIMPLES DE TUBOS DE FERRO FUNDIDO (FOFO) C/ JUNTA ELASTICA - DN 300 - INCLUSIVE TRANSPORTE</t>
  </si>
  <si>
    <t>ESCAVACAO MEC.VALA ESCORADA MAT 1A CAT C/RETRO DE 1,5 A 3M- EXCLUSIVE ESGOT E ESCORAMENTO</t>
  </si>
  <si>
    <t>NÃO TEM</t>
  </si>
  <si>
    <t>CANTONEIRA ALUMINIO ABAS IGUAIS 2" E = 1/4"</t>
  </si>
  <si>
    <t>CHAPA ALUMINIO E = 6MM KG</t>
  </si>
  <si>
    <t>TELA ARAME GALV FIO 10 BWG (3,4MM) MALHA 2" (5 X 5CM) QUADRADA OU LOSANGO H= 2,0M</t>
  </si>
  <si>
    <t>TUBO ACO GALV C/ COSTURA DIN 2440/NBR 5580 CLASSE MEDIA DN 2" (50MM) E=3,65MM - 5,10KG/M</t>
  </si>
  <si>
    <t>PARAFUSO ACO CHUMBADOR PARABOLT 3/8" X 75MM</t>
  </si>
  <si>
    <t>REBITE DE ALUMINIO VAZADO DE REPUXO, 3,2 X 8MM - (1KG=1025UNID)</t>
  </si>
  <si>
    <t>FORNECIMENTO DE CESTO EM FIO DE AÇO DE 3 MM, MALHA DE 5 CM, NAS DIMENSÕES (45x45x45) CM, INCLUSIVE GUIAS LATERAIS EM TUBO GALVANIZADO DN 2" E SISTEMA DE FIXAÇÃO,  CONFORME PROJETO</t>
  </si>
  <si>
    <t>PADRÃO DE ENTRADA DE ÁGUA</t>
  </si>
  <si>
    <t>PLANTIO DE ARBUSTO COM ALTURA 50 A 100CM, EM CAVA DE 60X60X60CM</t>
  </si>
  <si>
    <t>73834/002</t>
  </si>
  <si>
    <t xml:space="preserve">INSTALACAO DE CONJ.MOTO BOMBA SUBMERSIVEL DE 11 A 25 CV </t>
  </si>
  <si>
    <t>74104/001</t>
  </si>
  <si>
    <t>CHAPISCO APLICADO TANTO EM PILARES E VIGAS DE CONCRETO COMO EM ALVENARIAS DE PAREDES INTERNAS, COM ROLO PARA TEXTURA ACRÍLICA. ARGAMASSA TRAÇO 1:4 E EMULSÃO POLIMÉRICA (ADESIVO) COM PREPARO EM BETONEIRA 400L. AF_06/2014</t>
  </si>
  <si>
    <t>AZULEJO COR BRILHANTE 15 X 15 CM EXTRA</t>
  </si>
  <si>
    <t>ALVENARIA DE VEDAÇÃO DE BLOCOS VAZADOS DE CONCRETO DE 14X19X39CM (ESPESSURA 14CM) DE PAREDES COM ÁREA LÍQUIDA MENOR QUE 6M² SEM VÃOS E ARGAMASSA DE ASSENTAMENTO COM PREPARO EM BETONEIRA. AF_06/2014_P</t>
  </si>
  <si>
    <t>QUADRO DE COMANDO PARA ACIONAMENTO DE 02 MOTORES ELÉTRICOS DE INDUÇÃO EM BAIXA TENSÃO, POTÊNCIA 10 CV, 220V-CA, TRIFÁSICOS, PARTIDA POR INVERSOR DE FREQUÊNCIA, USO ABRIGADO.</t>
  </si>
  <si>
    <t>73827/001</t>
  </si>
  <si>
    <t>KIT CAVALETE PVC COM REGISTRO 1/2" - FORNECIMENTO E INSTALAÇÃO</t>
  </si>
  <si>
    <t>74217/003</t>
  </si>
  <si>
    <t>HIDROMETRO 1,50M3/H, D=1/2" - FORNECIMENTO E INSTALACAO</t>
  </si>
  <si>
    <t>74253/001</t>
  </si>
  <si>
    <t>RAMAL PREDIAL EM TUBO PEAD 20MM - FORNECIMENTO, INSTALAÇÃO, ESCAVAÇÃO E REATERRO</t>
  </si>
  <si>
    <t>LIGACAO DA REDE 50MM AO RAMAL PREDIAL 1/2"</t>
  </si>
  <si>
    <t>01.02.07</t>
  </si>
  <si>
    <t>FORMA PLANA P/VIGA, PILAR E PAREDE EM CHAPA RESINADA E= 10 MM</t>
  </si>
  <si>
    <t>73406</t>
  </si>
  <si>
    <t>CONCRETO FCK=15MPA (1:2,5:3) , INCLUIDO PREPARO MECANICO, LANCAMENTO E ADENSAMENTO.</t>
  </si>
  <si>
    <t>AJUDANTE DE PEDREIRO</t>
  </si>
  <si>
    <t xml:space="preserve">IMPRIMACAO DE BASE DE PAVIMENTACAO COM EMULSAO CM-70 </t>
  </si>
  <si>
    <t>73759/002</t>
  </si>
  <si>
    <t>PRE-MISTURADO A FRIO COM EMULSAO RM-1C, INCLUSO USINAGEM E  APLICACAO EXCLUSIVE TRANSPORTE</t>
  </si>
  <si>
    <t>BLOCO DE ANCORAGEM 45º/22º</t>
  </si>
  <si>
    <t>FORNECIMENTO DO MATERIAL HIDRÁULICO DO TRATAMENTO PRELIMINAR</t>
  </si>
  <si>
    <t>23.01</t>
  </si>
  <si>
    <t>23.02</t>
  </si>
  <si>
    <t>23.03</t>
  </si>
  <si>
    <t>23.04</t>
  </si>
  <si>
    <t>24.01</t>
  </si>
  <si>
    <t>24.02</t>
  </si>
  <si>
    <t>29.01</t>
  </si>
  <si>
    <t>29.02</t>
  </si>
  <si>
    <t>29.03</t>
  </si>
  <si>
    <t>29.04</t>
  </si>
  <si>
    <t>CE-039</t>
  </si>
  <si>
    <t>CE-040</t>
  </si>
  <si>
    <t>CE-041</t>
  </si>
  <si>
    <t>CE-042</t>
  </si>
  <si>
    <t>CE-043</t>
  </si>
  <si>
    <t>CE-044</t>
  </si>
  <si>
    <t>FORNECIMENTO DO MATERIAL HIDRÁULICO DO QUEIMADOR DE GÁS</t>
  </si>
  <si>
    <t>TUBO ACO PRETO SEM COSTURA SCHEDULE 40/NBR 5590 DN INT 3/4" E = 2,87MM - 1,69KG/M</t>
  </si>
  <si>
    <t>JOELHO FERRO GALV 45G ROSCA 1"</t>
  </si>
  <si>
    <t>VALVULA DE ESFERA EM BRONZE REF 1552-B 3/4" BRUTA</t>
  </si>
  <si>
    <t>VALVULA DE ESFERA EM BRONZE REF 1552-B 1" BRUTA</t>
  </si>
  <si>
    <t>NIPEL FERRO GALV ROSCA 1" UN</t>
  </si>
  <si>
    <t>TE REDUCAO FERRO GALV 90G ROSCA 1" X 3/4"</t>
  </si>
  <si>
    <t>EMBOÇO, PARA RECEBIMENTO DE CERÂMICA, EM ARGAMASSA TRAÇO 1:2:8, PREPARO MECÂNICO COM BETONEIRA 400L, APLICADO MANUALMENTE EM FACES INTERNAS DE PAREDES DE AMBIENTES COM ÁREA MENOR QUE 5M2, ESPESSURA DE 20MM, COM EXECUÇÃO DE TALISCAS. AF_06/2014</t>
  </si>
  <si>
    <t>73963/035</t>
  </si>
  <si>
    <t>POCO VISITA ESG SANIT ANEL CONC PRE-MOLD PROF=2,60M C/TAMPAO FF TIPO MEDIO(AD)D=60CM 125KG/DEGRAUS FF/REJUNTAMENTO ANEIS/REVEST LISO CALHA INTERNA C/ARG CIM/AREIA 1:4. BASE/BANQUETA EM CONCR FCK=10MPA</t>
  </si>
  <si>
    <t>ASSENTAMENTO TUBO PVC COM JUNTA ELASTICA - DN 250 P/ESGOTO</t>
  </si>
  <si>
    <t>73888/001</t>
  </si>
  <si>
    <t>ASSENTAMENTO TUBO PVC COM JUNTA ELASTICA, DN 50 MM - (OU RPVC, OU PVC DEFOFO, OU PRFV) - PARA AGUA.</t>
  </si>
  <si>
    <t>ASSENTAMENTO TUBO PVC COM JUNTA ELASTICA - DN 300 P/ESGOTO</t>
  </si>
  <si>
    <t>HASTE DE PROLONGAMENTO 1.1/8 3,10M</t>
  </si>
  <si>
    <t>PEDESTAL DE SUSPENSAO SIMPLES D 400X400</t>
  </si>
  <si>
    <t>REGISTRO FOFO CBOR.FV S14 PN10 DN200</t>
  </si>
  <si>
    <t>FLANGE AV. FOFO PN10  DN300</t>
  </si>
  <si>
    <t>REGISTRO FOFO CBOR.FC S14 PN16 DN300</t>
  </si>
  <si>
    <t>MANCAL INTER.FOFO P/HASTE PROL.DN 1.1/8"</t>
  </si>
  <si>
    <t>COMPORTA QUADRADA FOFO DUP. SENT. 200mm</t>
  </si>
  <si>
    <t>73935/002</t>
  </si>
  <si>
    <t>ALVENARIA EM TIJOLO CERAMICO FURADO 9X19X19CM, 1 VEZ (ESPESSURA 19 CM) , ASSENTADO EM ARGAMASSA TRACO 1:4 (CIMENTO E AREIA MEDIA NAO PENEIRADA), PREPARO MANUAL, JUNTA1 CM</t>
  </si>
  <si>
    <t>Garantias</t>
  </si>
  <si>
    <t>Seguros</t>
  </si>
  <si>
    <t>Percentuais incidentes sobre o preço de custo</t>
  </si>
  <si>
    <t>Percentual incidente sobre a diferença entre o preço de venda e os tributos</t>
  </si>
  <si>
    <t>C/BDI-M</t>
  </si>
  <si>
    <t>=</t>
  </si>
  <si>
    <t>C/BDI-S</t>
  </si>
  <si>
    <t>PISO CIMENTADO TRACO 1:3 (CIMENTO E AREIA) ACABAMENTO RUSTICO ESPESSURA 2 CM COM JUNTAS PLASTICAS DE DILATACAO, PREPARO MANUAL DA ARGAMASSA</t>
  </si>
  <si>
    <t>79517/001</t>
  </si>
  <si>
    <t xml:space="preserve">LOCACAO CONVENCIONAL DE OBRA, ATRAVÉS DE GABARITO DE TABUAS CORRIDAS PONTALETADAS, SEM REAPROVEITAMENTO </t>
  </si>
  <si>
    <t xml:space="preserve">SERVICOS TOPOGRAFICOS PARA PAVIMENTACAO, INCLUSIVE NOTA DE SERVICOS, ACOMPANHAMENTO E GREIDE </t>
  </si>
  <si>
    <t>ESCAVACAO MEC VALA N ESCOR MAT 1A CAT C/RETROESCAV ATE 1,50M EXCL ESGOTAMENTO</t>
  </si>
  <si>
    <t>PREFEITURA DEITAMBACURI</t>
  </si>
  <si>
    <t>ITAMBACURI - MG</t>
  </si>
  <si>
    <t>AGO/2015</t>
  </si>
  <si>
    <t>AGOSTO/2015</t>
  </si>
  <si>
    <t>PREFEITURA DE ITAMBACURI - MG</t>
  </si>
  <si>
    <t>PREFEITURA DE ITAMBACURI</t>
  </si>
  <si>
    <t>ITAMBACURI- MG</t>
  </si>
  <si>
    <t>03.00.00</t>
  </si>
  <si>
    <t>03.01.00</t>
  </si>
  <si>
    <t>03.01.01</t>
  </si>
  <si>
    <t>03.01.02</t>
  </si>
  <si>
    <t>03.01.03</t>
  </si>
  <si>
    <t>03.01.04</t>
  </si>
  <si>
    <t>03.01.05</t>
  </si>
  <si>
    <t>03.01.06</t>
  </si>
  <si>
    <t>03.01.07</t>
  </si>
  <si>
    <t>03.01.08</t>
  </si>
  <si>
    <t>03.01.09</t>
  </si>
  <si>
    <t>03.02.00</t>
  </si>
  <si>
    <t>03.02.01</t>
  </si>
  <si>
    <t>03.02.02</t>
  </si>
  <si>
    <t>03.02.03</t>
  </si>
  <si>
    <t>03.02.04</t>
  </si>
  <si>
    <t>03.02.05</t>
  </si>
  <si>
    <t>03.02.06</t>
  </si>
  <si>
    <t>03.02.07</t>
  </si>
  <si>
    <t>03.02.08</t>
  </si>
  <si>
    <t>03.02.09</t>
  </si>
  <si>
    <t>03.02.10</t>
  </si>
  <si>
    <t>03.03.00</t>
  </si>
  <si>
    <t>03.03.01</t>
  </si>
  <si>
    <t>03.03.02</t>
  </si>
  <si>
    <t>03.03.03</t>
  </si>
  <si>
    <t>03.03.04</t>
  </si>
  <si>
    <t>03.04.00</t>
  </si>
  <si>
    <t>03.04.01</t>
  </si>
  <si>
    <t>03.04.02</t>
  </si>
  <si>
    <t>03.05.00</t>
  </si>
  <si>
    <t>03.05.01</t>
  </si>
  <si>
    <t>03.05.02</t>
  </si>
  <si>
    <t>03.05.03</t>
  </si>
  <si>
    <t>03.05.04</t>
  </si>
  <si>
    <t>03.06.00</t>
  </si>
  <si>
    <t>03.06.01</t>
  </si>
  <si>
    <t>03.06.02</t>
  </si>
  <si>
    <t>03.06.03</t>
  </si>
  <si>
    <t>03.06.04</t>
  </si>
  <si>
    <t>03.07.00</t>
  </si>
  <si>
    <t>03.07.01</t>
  </si>
  <si>
    <t>03.07.02</t>
  </si>
  <si>
    <t>03.07.03</t>
  </si>
  <si>
    <t>03.08.00</t>
  </si>
  <si>
    <t>03.08.01</t>
  </si>
  <si>
    <t>03.08.02</t>
  </si>
  <si>
    <t>03.08.03</t>
  </si>
  <si>
    <t>03.08.04</t>
  </si>
  <si>
    <t>03.08.05</t>
  </si>
  <si>
    <t>03.08.06</t>
  </si>
  <si>
    <t>03.09.00</t>
  </si>
  <si>
    <t>03.09.01</t>
  </si>
  <si>
    <t>03.09.02</t>
  </si>
  <si>
    <t>03.09.03</t>
  </si>
  <si>
    <t>03.09.04</t>
  </si>
  <si>
    <t>03.10.00</t>
  </si>
  <si>
    <t>03.10.01</t>
  </si>
  <si>
    <t>04.00.00</t>
  </si>
  <si>
    <t>04.13.01</t>
  </si>
  <si>
    <t>04.13.02</t>
  </si>
  <si>
    <t>04.13.03</t>
  </si>
  <si>
    <t>04.13.04</t>
  </si>
  <si>
    <t>04.13.05</t>
  </si>
  <si>
    <t>04.13.06</t>
  </si>
  <si>
    <t>04.13.07</t>
  </si>
  <si>
    <t>04.13.08</t>
  </si>
  <si>
    <t>04.13.09</t>
  </si>
  <si>
    <t>04.13.10</t>
  </si>
  <si>
    <t>04.13.11</t>
  </si>
  <si>
    <t>04.13.12</t>
  </si>
  <si>
    <t>04.13.13</t>
  </si>
  <si>
    <t>04.12.01</t>
  </si>
  <si>
    <t>04.12.02</t>
  </si>
  <si>
    <t>04.12.03</t>
  </si>
  <si>
    <t>04.12.04</t>
  </si>
  <si>
    <t>04.12.05</t>
  </si>
  <si>
    <t>04.12.06</t>
  </si>
  <si>
    <t>04.12.07</t>
  </si>
  <si>
    <t>04.12.08</t>
  </si>
  <si>
    <t>04.12.09</t>
  </si>
  <si>
    <t>04.12.10</t>
  </si>
  <si>
    <t>04.12.11</t>
  </si>
  <si>
    <t>04.11.01</t>
  </si>
  <si>
    <t>04.11.02</t>
  </si>
  <si>
    <t>04.11.03</t>
  </si>
  <si>
    <t>04.11.04</t>
  </si>
  <si>
    <t>04.11.05</t>
  </si>
  <si>
    <t>04.11.06</t>
  </si>
  <si>
    <t>04.11.07</t>
  </si>
  <si>
    <t>04.11.08</t>
  </si>
  <si>
    <t>04.11.09</t>
  </si>
  <si>
    <t>04.11.10</t>
  </si>
  <si>
    <t>04.11.11</t>
  </si>
  <si>
    <t>04.11.12</t>
  </si>
  <si>
    <t>04.11.13</t>
  </si>
  <si>
    <t>04.11.14</t>
  </si>
  <si>
    <t>04.11.15</t>
  </si>
  <si>
    <t>04.11.16</t>
  </si>
  <si>
    <t>04.11.17</t>
  </si>
  <si>
    <t>04.11.18</t>
  </si>
  <si>
    <t>04.11.19</t>
  </si>
  <si>
    <t>04.11.20</t>
  </si>
  <si>
    <t>04.11.21</t>
  </si>
  <si>
    <t>04.11.22</t>
  </si>
  <si>
    <t>04.01.01</t>
  </si>
  <si>
    <t>04.01.02</t>
  </si>
  <si>
    <t>04.01.03</t>
  </si>
  <si>
    <t>04.02.01</t>
  </si>
  <si>
    <t>04.02.02</t>
  </si>
  <si>
    <t>04.02.03</t>
  </si>
  <si>
    <t>04.02.04</t>
  </si>
  <si>
    <t>04.02.05</t>
  </si>
  <si>
    <t>04.02.06</t>
  </si>
  <si>
    <t>04.02.07</t>
  </si>
  <si>
    <t>04.02.08</t>
  </si>
  <si>
    <t>04.02.09</t>
  </si>
  <si>
    <t>04.02.10</t>
  </si>
  <si>
    <t>04.02.11</t>
  </si>
  <si>
    <t>04.02.12</t>
  </si>
  <si>
    <t>04.02.13</t>
  </si>
  <si>
    <t>04.02.14</t>
  </si>
  <si>
    <t>04.02.15</t>
  </si>
  <si>
    <t>04.02.16</t>
  </si>
  <si>
    <t>04.02.17</t>
  </si>
  <si>
    <t>04.02.18</t>
  </si>
  <si>
    <t>04.02.19</t>
  </si>
  <si>
    <t>04.02.20</t>
  </si>
  <si>
    <t>04.02.21</t>
  </si>
  <si>
    <t>04.02.22</t>
  </si>
  <si>
    <t>04.02.23</t>
  </si>
  <si>
    <t>04.02.24</t>
  </si>
  <si>
    <t>04.02.25</t>
  </si>
  <si>
    <t>04.02.26</t>
  </si>
  <si>
    <t>04.02.27</t>
  </si>
  <si>
    <t>04.03.01</t>
  </si>
  <si>
    <t>04.03.02</t>
  </si>
  <si>
    <t>04.03.03</t>
  </si>
  <si>
    <t>04.03.04</t>
  </si>
  <si>
    <t>04.03.05</t>
  </si>
  <si>
    <t>04.03.06</t>
  </si>
  <si>
    <t>04.03.07</t>
  </si>
  <si>
    <t>04.03.08</t>
  </si>
  <si>
    <t>04.03.09</t>
  </si>
  <si>
    <t>04.03.10</t>
  </si>
  <si>
    <t>04.03.11</t>
  </si>
  <si>
    <t>04.03.12</t>
  </si>
  <si>
    <t>04.03.13</t>
  </si>
  <si>
    <t>04.03.14</t>
  </si>
  <si>
    <t>04.03.15</t>
  </si>
  <si>
    <t>04.03.16</t>
  </si>
  <si>
    <t>04.03.17</t>
  </si>
  <si>
    <t>04.04.01</t>
  </si>
  <si>
    <t>04.04.02</t>
  </si>
  <si>
    <t>04.04.03</t>
  </si>
  <si>
    <t>04.04.04</t>
  </si>
  <si>
    <t>04.04.05</t>
  </si>
  <si>
    <t>04.04.06</t>
  </si>
  <si>
    <t>04.04.07</t>
  </si>
  <si>
    <t>04.04.08</t>
  </si>
  <si>
    <t>04.04.09</t>
  </si>
  <si>
    <t>04.04.10</t>
  </si>
  <si>
    <t>04.04.11</t>
  </si>
  <si>
    <t>04.04.12</t>
  </si>
  <si>
    <t>04.04.13</t>
  </si>
  <si>
    <t>04.04.14</t>
  </si>
  <si>
    <t>04.04.15</t>
  </si>
  <si>
    <t>04.04.16</t>
  </si>
  <si>
    <t>04.04.17</t>
  </si>
  <si>
    <t>04.04.18</t>
  </si>
  <si>
    <t>04.04.19</t>
  </si>
  <si>
    <t>04.04.20</t>
  </si>
  <si>
    <t>04.04.21</t>
  </si>
  <si>
    <t>04.04.22</t>
  </si>
  <si>
    <t>04.05.01</t>
  </si>
  <si>
    <t>04.05.02</t>
  </si>
  <si>
    <t>04.05.03</t>
  </si>
  <si>
    <t>04.05.04</t>
  </si>
  <si>
    <t>04.05.05</t>
  </si>
  <si>
    <t>04.05.06</t>
  </si>
  <si>
    <t>04.05.07</t>
  </si>
  <si>
    <t>04.05.08</t>
  </si>
  <si>
    <t>04.05.09</t>
  </si>
  <si>
    <t>04.05.10</t>
  </si>
  <si>
    <t>04.05.11</t>
  </si>
  <si>
    <t>04.05.12</t>
  </si>
  <si>
    <t>04.05.13</t>
  </si>
  <si>
    <t>04.05.14</t>
  </si>
  <si>
    <t>04.05.15</t>
  </si>
  <si>
    <t>04.05.16</t>
  </si>
  <si>
    <t>04.05.17</t>
  </si>
  <si>
    <t>04.05.18</t>
  </si>
  <si>
    <t>04.05.19</t>
  </si>
  <si>
    <t>04.05.20</t>
  </si>
  <si>
    <t>04.05.21</t>
  </si>
  <si>
    <t>04.05.22</t>
  </si>
  <si>
    <t>04.05.23</t>
  </si>
  <si>
    <t>04.05.24</t>
  </si>
  <si>
    <t>04.05.25</t>
  </si>
  <si>
    <t>04.05.26</t>
  </si>
  <si>
    <t>04.05.27</t>
  </si>
  <si>
    <t>04.06.01</t>
  </si>
  <si>
    <t>04.06.02</t>
  </si>
  <si>
    <t>04.06.03</t>
  </si>
  <si>
    <t>04.06.04</t>
  </si>
  <si>
    <t>04.06.05</t>
  </si>
  <si>
    <t>04.06.06</t>
  </si>
  <si>
    <t>04.06.07</t>
  </si>
  <si>
    <t>04.06.08</t>
  </si>
  <si>
    <t>04.06.09</t>
  </si>
  <si>
    <t>04.06.10</t>
  </si>
  <si>
    <t>04.06.11</t>
  </si>
  <si>
    <t>04.06.12</t>
  </si>
  <si>
    <t>04.06.13</t>
  </si>
  <si>
    <t>04.06.14</t>
  </si>
  <si>
    <t>04.06.15</t>
  </si>
  <si>
    <t>04.06.16</t>
  </si>
  <si>
    <t>04.06.17</t>
  </si>
  <si>
    <t>04.06.18</t>
  </si>
  <si>
    <t>04.06.19</t>
  </si>
  <si>
    <t>04.07.01</t>
  </si>
  <si>
    <t>04.07.02</t>
  </si>
  <si>
    <t>04.07.03</t>
  </si>
  <si>
    <t>04.07.04</t>
  </si>
  <si>
    <t>04.07.05</t>
  </si>
  <si>
    <t>04.07.06</t>
  </si>
  <si>
    <t>04.07.07</t>
  </si>
  <si>
    <t>04.07.08</t>
  </si>
  <si>
    <t>04.07.09</t>
  </si>
  <si>
    <t>04.07.10</t>
  </si>
  <si>
    <t>04.07.11</t>
  </si>
  <si>
    <t>04.07.12</t>
  </si>
  <si>
    <t>04.07.13</t>
  </si>
  <si>
    <t>04.07.14</t>
  </si>
  <si>
    <t>04.07.15</t>
  </si>
  <si>
    <t>04.07.16</t>
  </si>
  <si>
    <t>04.07.17</t>
  </si>
  <si>
    <t>04.07.18</t>
  </si>
  <si>
    <t>04.07.19</t>
  </si>
  <si>
    <t>04.08.01</t>
  </si>
  <si>
    <t>04.08.02</t>
  </si>
  <si>
    <t>04.08.03</t>
  </si>
  <si>
    <t>04.08.04</t>
  </si>
  <si>
    <t>04.08.05</t>
  </si>
  <si>
    <t>04.08.06</t>
  </si>
  <si>
    <t>04.08.07</t>
  </si>
  <si>
    <t>04.08.08</t>
  </si>
  <si>
    <t>04.08.09</t>
  </si>
  <si>
    <t>04.08.10</t>
  </si>
  <si>
    <t>04.08.11</t>
  </si>
  <si>
    <t>04.08.12</t>
  </si>
  <si>
    <t>04.08.13</t>
  </si>
  <si>
    <t>04.08.14</t>
  </si>
  <si>
    <t>04.08.15</t>
  </si>
  <si>
    <t>04.08.16</t>
  </si>
  <si>
    <t>04.08.17</t>
  </si>
  <si>
    <t>04.08.18</t>
  </si>
  <si>
    <t>04.08.19</t>
  </si>
  <si>
    <t>04.09.01</t>
  </si>
  <si>
    <t>04.09.02</t>
  </si>
  <si>
    <t>04.09.03</t>
  </si>
  <si>
    <t>04.09.04</t>
  </si>
  <si>
    <t>04.09.05</t>
  </si>
  <si>
    <t>04.09.06</t>
  </si>
  <si>
    <t>04.09.07</t>
  </si>
  <si>
    <t>04.09.08</t>
  </si>
  <si>
    <t>04.09.09</t>
  </si>
  <si>
    <t>04.09.10</t>
  </si>
  <si>
    <t>04.09.11</t>
  </si>
  <si>
    <t>04.09.12</t>
  </si>
  <si>
    <t>04.09.13</t>
  </si>
  <si>
    <t>04.09.14</t>
  </si>
  <si>
    <t>04.09.15</t>
  </si>
  <si>
    <t>04.09.16</t>
  </si>
  <si>
    <t>04.09.17</t>
  </si>
  <si>
    <t>04.09.18</t>
  </si>
  <si>
    <t>04.09.19</t>
  </si>
  <si>
    <t>04.09.20</t>
  </si>
  <si>
    <t>04.09.21</t>
  </si>
  <si>
    <t>04.09.22</t>
  </si>
  <si>
    <t>04.10.01</t>
  </si>
  <si>
    <t>04.10.02</t>
  </si>
  <si>
    <t>04.10.03</t>
  </si>
  <si>
    <t>04.10.04</t>
  </si>
  <si>
    <t>04.10.05</t>
  </si>
  <si>
    <t>04.10.06</t>
  </si>
  <si>
    <t>04.10.07</t>
  </si>
  <si>
    <t>04.10.08</t>
  </si>
  <si>
    <t>04.10.09</t>
  </si>
  <si>
    <t>04.10.10</t>
  </si>
  <si>
    <t>04.10.11</t>
  </si>
  <si>
    <t>04.10.12</t>
  </si>
  <si>
    <t>04.10.13</t>
  </si>
  <si>
    <t>04.10.14</t>
  </si>
  <si>
    <t>04.10.15</t>
  </si>
  <si>
    <t>04.10.16</t>
  </si>
  <si>
    <t>04.10.17</t>
  </si>
  <si>
    <t>04.10.18</t>
  </si>
  <si>
    <t>04.10.19</t>
  </si>
  <si>
    <t>04.10.20</t>
  </si>
  <si>
    <t>04.10.21</t>
  </si>
  <si>
    <t>04.10.22</t>
  </si>
  <si>
    <t>04.10.23</t>
  </si>
  <si>
    <t>04.10.24</t>
  </si>
  <si>
    <t>04.10.25</t>
  </si>
  <si>
    <t>04.10.26</t>
  </si>
  <si>
    <t>04.10.27</t>
  </si>
  <si>
    <t>04.10.28</t>
  </si>
  <si>
    <t>CONJUNTO MOTO BOMBA KSB, MODELO KRT K 150-315, 1160 RPM, ROTOR 295 mm, POTÊNCIA 18 CV, CÓDIGO DO MOTOR 20 6W PONTO DE OPERAÇÃO : Q = 211,93 m³/h e H = 12,72 m</t>
  </si>
  <si>
    <t>FORNECIMENTO DO MATERIAL HIDRÁULICO DA REDE INTERCEPTORA DE ESGOTOS</t>
  </si>
  <si>
    <t>TUBO PVC EB-644 P/ REDE COLET ESG JE DN 200MM</t>
  </si>
  <si>
    <t>73840/004</t>
  </si>
  <si>
    <t>ASSENTAMENTO TUBO PVC COM JUNTA ELASTICA, DN 200 MM - (OU RPVC, OU PRF</t>
  </si>
  <si>
    <t>73887/004</t>
  </si>
  <si>
    <t>ASSENTAMENTO SIMPLES DE TUBOS DE FERRO FUNDIDO (FOFO) C/ JUNTA ELASTICA - DN 200 - INCLUSIVE TRANSPORTE</t>
  </si>
  <si>
    <t>03.08.07</t>
  </si>
  <si>
    <t>03.08.08</t>
  </si>
  <si>
    <t>ESCAVAÇÕES / REATERROS E ESCORAMENTOS</t>
  </si>
  <si>
    <t>B</t>
  </si>
  <si>
    <t xml:space="preserve">A </t>
  </si>
  <si>
    <t>C</t>
  </si>
  <si>
    <t xml:space="preserve">D </t>
  </si>
  <si>
    <t xml:space="preserve">E </t>
  </si>
  <si>
    <t>F</t>
  </si>
  <si>
    <t>G</t>
  </si>
  <si>
    <t>H</t>
  </si>
  <si>
    <t>I</t>
  </si>
  <si>
    <t>J</t>
  </si>
  <si>
    <t>M</t>
  </si>
  <si>
    <t>ESCAVAÇÃO</t>
  </si>
  <si>
    <t>REATERRO</t>
  </si>
  <si>
    <t>ESCOR. PONTALET.</t>
  </si>
  <si>
    <t>ESCOR. DESC.</t>
  </si>
  <si>
    <t>ESCOR. CONT.</t>
  </si>
  <si>
    <t>APILOAMENTO</t>
  </si>
  <si>
    <t>ESCOR. ESP.</t>
  </si>
  <si>
    <t>TOTAL</t>
  </si>
  <si>
    <t>ESCAVACAO MECANICA DE VALA EM MATERIAL 2A. CATEGORIA DE 4,01 ATE 6,00M DE PROFUNDIDADE COM UTILIZACAO DE ESCAVADEIRA HIDRAULICA</t>
  </si>
  <si>
    <t>03.02.11</t>
  </si>
  <si>
    <t>ESCORAMENTO DE MADEIRA EM VALAS, TIPO PONTALETEAMENTO</t>
  </si>
  <si>
    <t>APILOAMENTO E REATERRO DE VALAS</t>
  </si>
  <si>
    <t>APILOAMENTO COM MACO DE 30KG</t>
  </si>
  <si>
    <t>CONJUNTO MOTO BOMBA KSB, MODELO KRT K 150 - 315, 1160 RPM, ROTOR 250 mm, POTÊNCIA 10 CV, CÓDIGO DO MOTOR 9 6U PONTO DE OPERAÇÃO : Q = 211,93 m³/h e H = 7,68 m</t>
  </si>
  <si>
    <t>1 150 35</t>
  </si>
  <si>
    <t>0 0,50</t>
  </si>
  <si>
    <t>PVC</t>
  </si>
  <si>
    <t>11-0</t>
  </si>
  <si>
    <t>INTERCEP</t>
  </si>
  <si>
    <t>TOR A</t>
  </si>
  <si>
    <t>PVA01</t>
  </si>
  <si>
    <t>PVA02</t>
  </si>
  <si>
    <t>P</t>
  </si>
  <si>
    <t>8003828.8333450,430,430,66</t>
  </si>
  <si>
    <t>PVA03</t>
  </si>
  <si>
    <t>8003841.1079140,430,430,66</t>
  </si>
  <si>
    <t>PVA04</t>
  </si>
  <si>
    <t>8003862.1343140,430,430,66</t>
  </si>
  <si>
    <t>PVA05</t>
  </si>
  <si>
    <t>FoF</t>
  </si>
  <si>
    <t>o0,00</t>
  </si>
  <si>
    <t>8003882.5721110,440,441,19</t>
  </si>
  <si>
    <t>PVA06</t>
  </si>
  <si>
    <t>8003890.8099310,440,441,19</t>
  </si>
  <si>
    <t>PVA07</t>
  </si>
  <si>
    <t>8003890.4131680,430,430,66</t>
  </si>
  <si>
    <t>PVA08</t>
  </si>
  <si>
    <t>8003890.6553760,430,430,66</t>
  </si>
  <si>
    <t>PVA09</t>
  </si>
  <si>
    <t>8003885.0292770,430,470,66</t>
  </si>
  <si>
    <t>PVA10</t>
  </si>
  <si>
    <t>8003879.4031790,430,540,66</t>
  </si>
  <si>
    <t>PVA11</t>
  </si>
  <si>
    <t>8003901.2802440,430,540,66</t>
  </si>
  <si>
    <t>PVA12</t>
  </si>
  <si>
    <t>8003912.9046870,430,540,66</t>
  </si>
  <si>
    <t>PVA13</t>
  </si>
  <si>
    <t>8003892.8700210,430,540,66</t>
  </si>
  <si>
    <t>PVA14</t>
  </si>
  <si>
    <t>8003903.7938840,430,540,66</t>
  </si>
  <si>
    <t>PVA14A</t>
  </si>
  <si>
    <t>8003901.1719580,430,540,66</t>
  </si>
  <si>
    <t>PVA15</t>
  </si>
  <si>
    <t>8003928.0008130,430,540,66</t>
  </si>
  <si>
    <t>PVA16</t>
  </si>
  <si>
    <t>8003929.4870980,430,540,66</t>
  </si>
  <si>
    <t>PVA17</t>
  </si>
  <si>
    <t>8003921.0768380,430,540,66</t>
  </si>
  <si>
    <t>PVA17A</t>
  </si>
  <si>
    <t>8003905.3606550,430,540,66</t>
  </si>
  <si>
    <t>PVA18</t>
  </si>
  <si>
    <t>8003884.2681530,430,540,66</t>
  </si>
  <si>
    <t>PVA19</t>
  </si>
  <si>
    <t>8003834.8180510,430,540,66</t>
  </si>
  <si>
    <t>PVA20</t>
  </si>
  <si>
    <t>8003790.5240180,430,540,66</t>
  </si>
  <si>
    <t>PVA20A</t>
  </si>
  <si>
    <t>8003764.2069030,430,540,66</t>
  </si>
  <si>
    <t>PVA21</t>
  </si>
  <si>
    <t>8003744.7221360,430,540,66</t>
  </si>
  <si>
    <t>PVA22</t>
  </si>
  <si>
    <t>8003710.5999990,430,540,66</t>
  </si>
  <si>
    <t>PVA23</t>
  </si>
  <si>
    <t>8003694.2043270,430,540,66</t>
  </si>
  <si>
    <t>PVA24</t>
  </si>
  <si>
    <t>8003653.1105540,500,640,82</t>
  </si>
  <si>
    <t>PVA25</t>
  </si>
  <si>
    <t>8003614.7494830,500,640,82</t>
  </si>
  <si>
    <t>PVA26</t>
  </si>
  <si>
    <t>8003592.8830070,530,670,89</t>
  </si>
  <si>
    <t>PVA27</t>
  </si>
  <si>
    <t>8003577.4297120,530,670,89</t>
  </si>
  <si>
    <t>PVA28</t>
  </si>
  <si>
    <t>8003552.7903670,460,571,12</t>
  </si>
  <si>
    <t>PVA29</t>
  </si>
  <si>
    <t>8003508.8373920,620,801,15</t>
  </si>
  <si>
    <t>PVA30</t>
  </si>
  <si>
    <t>8003467.2818510,690,891,35</t>
  </si>
  <si>
    <t>PVA31</t>
  </si>
  <si>
    <t>8003424.9271660,690,891,35</t>
  </si>
  <si>
    <t>PVA32</t>
  </si>
  <si>
    <t>8003377.8406740,690,891,35</t>
  </si>
  <si>
    <t>PVA33</t>
  </si>
  <si>
    <t>8003330.8804210,690,891,35</t>
  </si>
  <si>
    <t>PVA34</t>
  </si>
  <si>
    <t>8003258.9266280,690,891,35</t>
  </si>
  <si>
    <t>PVA35</t>
  </si>
  <si>
    <t>8003186.3539580,690,891,35</t>
  </si>
  <si>
    <t>PVA36</t>
  </si>
  <si>
    <t>8003113.3469960,690,891,35</t>
  </si>
  <si>
    <t>PVA37</t>
  </si>
  <si>
    <t>8003040.3400340,690,891,35</t>
  </si>
  <si>
    <t>PVA38</t>
  </si>
  <si>
    <t>8002967.8828460,690,891,35</t>
  </si>
  <si>
    <t>PVA39</t>
  </si>
  <si>
    <t>8002915.9251870,690,891,35</t>
  </si>
  <si>
    <t>PVA40</t>
  </si>
  <si>
    <t>o5,25</t>
  </si>
  <si>
    <t>8002907.8015670,640,811,78</t>
  </si>
  <si>
    <t>PVA41</t>
  </si>
  <si>
    <t>8002848.8183210,821,051,75</t>
  </si>
  <si>
    <t>PVA42</t>
  </si>
  <si>
    <t>8002848.56686 0,821,051,75</t>
  </si>
  <si>
    <t>PVA43</t>
  </si>
  <si>
    <t>8002769.8083140,821,051,75</t>
  </si>
  <si>
    <t>PVA44</t>
  </si>
  <si>
    <t>8002691.84757 0,821,051,75</t>
  </si>
  <si>
    <t>PVA45</t>
  </si>
  <si>
    <t>8002614.2378270,821,051,75</t>
  </si>
  <si>
    <t>PVA46</t>
  </si>
  <si>
    <t>8002535.5245050,821,051,75</t>
  </si>
  <si>
    <t>PVA47</t>
  </si>
  <si>
    <t>8002510.7058960,821,051,75</t>
  </si>
  <si>
    <t>PVA48</t>
  </si>
  <si>
    <t>8002477.9673180,821,051,75</t>
  </si>
  <si>
    <t>PVA49</t>
  </si>
  <si>
    <t>8002442.2683090,821,051,75</t>
  </si>
  <si>
    <t>PVA50</t>
  </si>
  <si>
    <t>8002418.6683410,821,051,75</t>
  </si>
  <si>
    <t>PVA51</t>
  </si>
  <si>
    <t>8002418.6859150,821,051,75</t>
  </si>
  <si>
    <t>PVA52</t>
  </si>
  <si>
    <t>8002384.4536010,821,051,75</t>
  </si>
  <si>
    <t>PVA53</t>
  </si>
  <si>
    <t>8002354.7513720,821,051,75</t>
  </si>
  <si>
    <t>PVA54</t>
  </si>
  <si>
    <t>8002335.6909170,821,051,75</t>
  </si>
  <si>
    <t>PVA55</t>
  </si>
  <si>
    <t>8002299.5320250,821,051,75</t>
  </si>
  <si>
    <t>PVA56</t>
  </si>
  <si>
    <t>8002281.59395 0,821,051,75</t>
  </si>
  <si>
    <t>PVA57</t>
  </si>
  <si>
    <t>8002276.88876 0,821,051,75</t>
  </si>
  <si>
    <t>ELV.FI</t>
  </si>
  <si>
    <t>8002245.6885020,821,051,75</t>
  </si>
  <si>
    <t>PVB01</t>
  </si>
  <si>
    <t>PVB02</t>
  </si>
  <si>
    <t>8003651.93227 0,520,521,02</t>
  </si>
  <si>
    <t>PVB03</t>
  </si>
  <si>
    <t>8003699.9015410,520,521,02</t>
  </si>
  <si>
    <t>PVB04</t>
  </si>
  <si>
    <t>8003695.8223340,520,521,02</t>
  </si>
  <si>
    <t>PVB05</t>
  </si>
  <si>
    <t>8003679.5601230,520,521,02</t>
  </si>
  <si>
    <t>PVB06</t>
  </si>
  <si>
    <t>8003682.7385550,520,521,02</t>
  </si>
  <si>
    <t>PVB07</t>
  </si>
  <si>
    <t>8003682.23456 0,520,631,02</t>
  </si>
  <si>
    <t>PVB08</t>
  </si>
  <si>
    <t>8003691.5114510,520,631,02</t>
  </si>
  <si>
    <t>PVB09</t>
  </si>
  <si>
    <t>8003715.8757730,520,631,02</t>
  </si>
  <si>
    <t>PVB10</t>
  </si>
  <si>
    <t>8003705.4425050,560,671,18</t>
  </si>
  <si>
    <t>PVB11</t>
  </si>
  <si>
    <t>8003731.1226810,520,631,02</t>
  </si>
  <si>
    <t>PVB12</t>
  </si>
  <si>
    <t>8003757.5079040,520,631,02</t>
  </si>
  <si>
    <t>PVB13</t>
  </si>
  <si>
    <t>8003761.9260040,520,631,02</t>
  </si>
  <si>
    <t>PVB14</t>
  </si>
  <si>
    <t>8003758.4251010,520,631,02</t>
  </si>
  <si>
    <t>PVB15</t>
  </si>
  <si>
    <t>8003752.4837290,450,580,70</t>
  </si>
  <si>
    <t>PVB16</t>
  </si>
  <si>
    <t>8003723.2463030,450,580,70</t>
  </si>
  <si>
    <t>PVB17</t>
  </si>
  <si>
    <t>8003697.70878 0,450,580,70</t>
  </si>
  <si>
    <t>PVB18</t>
  </si>
  <si>
    <t>8003673.7089520,450,580,70</t>
  </si>
  <si>
    <t>PVB19</t>
  </si>
  <si>
    <t>8003632.1388230,450,580,70</t>
  </si>
  <si>
    <t>PVB20</t>
  </si>
  <si>
    <t>8003589.95524 0,450,580,70</t>
  </si>
  <si>
    <t>PVB21</t>
  </si>
  <si>
    <t>8003565.0335240,450,580,70</t>
  </si>
  <si>
    <t>PVB22</t>
  </si>
  <si>
    <t>8003557.5702890,450,580,70</t>
  </si>
  <si>
    <t>PVB23</t>
  </si>
  <si>
    <t>8003542.9123790,450,580,70</t>
  </si>
  <si>
    <t>PVB24</t>
  </si>
  <si>
    <t>8003532.3543530,450,580,70</t>
  </si>
  <si>
    <t>PVB25</t>
  </si>
  <si>
    <t>8003482.3393630,490,630,80</t>
  </si>
  <si>
    <t>PVB26</t>
  </si>
  <si>
    <t>8003462.6435820,490,630,80</t>
  </si>
  <si>
    <t>PVB27</t>
  </si>
  <si>
    <t>8003445.72169 0,490,630,80</t>
  </si>
  <si>
    <t>PVB28</t>
  </si>
  <si>
    <t>8003397.8315480,490,630,80</t>
  </si>
  <si>
    <t>PVB29</t>
  </si>
  <si>
    <t>8003369.1453970,490,630,80</t>
  </si>
  <si>
    <t>PVB30</t>
  </si>
  <si>
    <t>8003317.7855120,490,630,80</t>
  </si>
  <si>
    <t>PVB31</t>
  </si>
  <si>
    <t>8003282.9635770,490,630,80</t>
  </si>
  <si>
    <t>PVB32</t>
  </si>
  <si>
    <t>8003286.0326590,490,630,80</t>
  </si>
  <si>
    <t>PVB33</t>
  </si>
  <si>
    <t>8003259.5603690,490,630,80</t>
  </si>
  <si>
    <t>PVB34</t>
  </si>
  <si>
    <t>8003231.5992860,490,630,80</t>
  </si>
  <si>
    <t>PVB35</t>
  </si>
  <si>
    <t>8003204.5684220,490,630,80</t>
  </si>
  <si>
    <t>PVB36</t>
  </si>
  <si>
    <t>8003197.6101420,490,630,80</t>
  </si>
  <si>
    <t>PVB37</t>
  </si>
  <si>
    <t>8003173.8165420,490,630,80</t>
  </si>
  <si>
    <t>PVB38</t>
  </si>
  <si>
    <t>8003157.7845450,550,690,97</t>
  </si>
  <si>
    <t>PVB39</t>
  </si>
  <si>
    <t>8003134.0093450,550,690,97</t>
  </si>
  <si>
    <t>PVB40</t>
  </si>
  <si>
    <t>8003098.0719750,550,690,97</t>
  </si>
  <si>
    <t>PVB41</t>
  </si>
  <si>
    <t>8003085.7516590,550,690,97</t>
  </si>
  <si>
    <t>PVB42</t>
  </si>
  <si>
    <t>8003075.5789820,550,690,97</t>
  </si>
  <si>
    <t>PVB43</t>
  </si>
  <si>
    <t>8003025.0362070,550,690,97</t>
  </si>
  <si>
    <t>PVB44</t>
  </si>
  <si>
    <t>8002999.1460490,550,690,97</t>
  </si>
  <si>
    <t>PVC32</t>
  </si>
  <si>
    <t>8003015.9974620,450,581,05</t>
  </si>
  <si>
    <t>PVC01</t>
  </si>
  <si>
    <t>PVC02</t>
  </si>
  <si>
    <t>8003740.9138260,430,430,66</t>
  </si>
  <si>
    <t>PVC03</t>
  </si>
  <si>
    <t>8003709.0320340,430,430,66</t>
  </si>
  <si>
    <t>PVC04</t>
  </si>
  <si>
    <t>8003687.0533980,430,430,66</t>
  </si>
  <si>
    <t>PVC05</t>
  </si>
  <si>
    <t>8003639.7554090,430,430,66</t>
  </si>
  <si>
    <t>PVC06</t>
  </si>
  <si>
    <t>8003582.1104490,430,430,66</t>
  </si>
  <si>
    <t>PVC07</t>
  </si>
  <si>
    <t>8003553.4074340,430,430,66</t>
  </si>
  <si>
    <t>PVC08</t>
  </si>
  <si>
    <t>8003540.5174310,430,430,66</t>
  </si>
  <si>
    <t>PVC09</t>
  </si>
  <si>
    <t>8003550.3576550,430,430,66</t>
  </si>
  <si>
    <t>PVC10</t>
  </si>
  <si>
    <t>8003498.3307010,430,430,66</t>
  </si>
  <si>
    <t>PVC11</t>
  </si>
  <si>
    <t>8003492.5943430,430,430,66</t>
  </si>
  <si>
    <t>PVC12</t>
  </si>
  <si>
    <t>8003456.0488140,430,470,66</t>
  </si>
  <si>
    <t>PVC13</t>
  </si>
  <si>
    <t>8003429.7213370,430,470,66</t>
  </si>
  <si>
    <t>PVC14</t>
  </si>
  <si>
    <t>8003423.0393340,430,470,66</t>
  </si>
  <si>
    <t>PVC15</t>
  </si>
  <si>
    <t>8003381.6419440,430,470,66</t>
  </si>
  <si>
    <t>PVC16</t>
  </si>
  <si>
    <t>8003354.3564950,430,470,66</t>
  </si>
  <si>
    <t>PVC17</t>
  </si>
  <si>
    <t>8003337.4904820,430,470,66</t>
  </si>
  <si>
    <t>PVC18</t>
  </si>
  <si>
    <t>8003320.5570430,430,470,66</t>
  </si>
  <si>
    <t>PVC19</t>
  </si>
  <si>
    <t>8003298.6458420,430,490,66</t>
  </si>
  <si>
    <t>PVC20</t>
  </si>
  <si>
    <t>8003283.7249820,430,490,66</t>
  </si>
  <si>
    <t>PVC21</t>
  </si>
  <si>
    <t>8003275.6218160,430,490,66</t>
  </si>
  <si>
    <t>PVC22</t>
  </si>
  <si>
    <t>8003238.6437930,430,490,66</t>
  </si>
  <si>
    <t>PVC23</t>
  </si>
  <si>
    <t>8003213.5276840,430,490,66</t>
  </si>
  <si>
    <t>PVC24</t>
  </si>
  <si>
    <t>8003195.8662990,430,490,66</t>
  </si>
  <si>
    <t>PVC25</t>
  </si>
  <si>
    <t>8003192.7499390,430,490,66</t>
  </si>
  <si>
    <t>PVC26</t>
  </si>
  <si>
    <t>8003200.0449340,430,490,66</t>
  </si>
  <si>
    <t>PVC27</t>
  </si>
  <si>
    <t>8003190.3158220,430,490,66</t>
  </si>
  <si>
    <t>PVC28</t>
  </si>
  <si>
    <t>8003178.3230820,430,490,66</t>
  </si>
  <si>
    <t>PVC29</t>
  </si>
  <si>
    <t>8003121.4007340,430,490,66</t>
  </si>
  <si>
    <t>PVC30</t>
  </si>
  <si>
    <t>8003100.6420120,430,490,66</t>
  </si>
  <si>
    <t>PVC31</t>
  </si>
  <si>
    <t>8003079.2435370,430,490,66</t>
  </si>
  <si>
    <t>8003015.9974620,430,490,66</t>
  </si>
  <si>
    <t>PVC33</t>
  </si>
  <si>
    <t>8002991.0995350,580,751,03</t>
  </si>
  <si>
    <t>PVC34</t>
  </si>
  <si>
    <t>8002949.1854510,580,751,03</t>
  </si>
  <si>
    <t>PVC35</t>
  </si>
  <si>
    <t>8002909.2597490,580,751,03</t>
  </si>
  <si>
    <t>PVC36</t>
  </si>
  <si>
    <t>8002889.4261830,580,751,03</t>
  </si>
  <si>
    <t>PVC37</t>
  </si>
  <si>
    <t>8002851.5497160,580,751,03</t>
  </si>
  <si>
    <t>PVC38</t>
  </si>
  <si>
    <t>8002830.8804030,580,751,03</t>
  </si>
  <si>
    <t>PVC39</t>
  </si>
  <si>
    <t>8002817.0005170,580,751,03</t>
  </si>
  <si>
    <t>PVC40</t>
  </si>
  <si>
    <t>8002797.4570710,580,751,03</t>
  </si>
  <si>
    <t>PVC41</t>
  </si>
  <si>
    <t>8002717.4623430,580,751,03</t>
  </si>
  <si>
    <t>PVC42</t>
  </si>
  <si>
    <t>8002657.4725640,580,751,03</t>
  </si>
  <si>
    <t>PVC43</t>
  </si>
  <si>
    <t>8002622.6623520,580,751,03</t>
  </si>
  <si>
    <t>PVC44</t>
  </si>
  <si>
    <t>8002587.8521410,580,751,03</t>
  </si>
  <si>
    <t>PVC45</t>
  </si>
  <si>
    <t>8002520.8190580,580,751,03</t>
  </si>
  <si>
    <t>PVC46</t>
  </si>
  <si>
    <t>8002453.7859740,580,751,03</t>
  </si>
  <si>
    <t>PVC47</t>
  </si>
  <si>
    <t>8002434.0146730,580,751,03</t>
  </si>
  <si>
    <t>PVC48</t>
  </si>
  <si>
    <t>8002364.9682930,580,751,03</t>
  </si>
  <si>
    <t>PVC49</t>
  </si>
  <si>
    <t>8002300.4273150,580,751,03</t>
  </si>
  <si>
    <t>PVC50</t>
  </si>
  <si>
    <t>8002229.6367040,580,751,03</t>
  </si>
  <si>
    <t>PVC51</t>
  </si>
  <si>
    <t>8002207.0920090,580,751,03</t>
  </si>
  <si>
    <t>ELV.F</t>
  </si>
  <si>
    <t>8002244.2095940,580,751,03</t>
  </si>
  <si>
    <t>PVD01</t>
  </si>
  <si>
    <t>PVD02</t>
  </si>
  <si>
    <t>8003870.5525920,430,430,66</t>
  </si>
  <si>
    <t>PVD03</t>
  </si>
  <si>
    <t>8003877.0177780,430,430,66</t>
  </si>
  <si>
    <t>PVD04</t>
  </si>
  <si>
    <t>8003861.8990020,430,430,66</t>
  </si>
  <si>
    <t>PVD05</t>
  </si>
  <si>
    <t>8003888.4066080,430,430,66</t>
  </si>
  <si>
    <t>PVD06</t>
  </si>
  <si>
    <t>8003900.4044190,430,430,66</t>
  </si>
  <si>
    <t>PVD07</t>
  </si>
  <si>
    <t>8003883.9794650,430,430,66</t>
  </si>
  <si>
    <t>PVD08</t>
  </si>
  <si>
    <t>8003893.4014360,430,430,66</t>
  </si>
  <si>
    <t>PVD09</t>
  </si>
  <si>
    <t>8003891.5750440,430,430,66</t>
  </si>
  <si>
    <t>PVD10</t>
  </si>
  <si>
    <t>8003907.27512 0,430,430,66</t>
  </si>
  <si>
    <t>PVD11</t>
  </si>
  <si>
    <t>8003915.2685380,430,430,66</t>
  </si>
  <si>
    <t>PVD12</t>
  </si>
  <si>
    <t>8003921.4508370,430,430,66</t>
  </si>
  <si>
    <t>PVD13</t>
  </si>
  <si>
    <t>8003901.9852740,430,430,66</t>
  </si>
  <si>
    <t>PVD14</t>
  </si>
  <si>
    <t>8003876.10808 0,430,430,66</t>
  </si>
  <si>
    <t>PVD15</t>
  </si>
  <si>
    <t>8003821.1122220,430,480,66</t>
  </si>
  <si>
    <t>PVD16</t>
  </si>
  <si>
    <t>8003785.0279590,430,480,66</t>
  </si>
  <si>
    <t>PVD17</t>
  </si>
  <si>
    <t>8003753.0992490,430,480,66</t>
  </si>
  <si>
    <t>PVD18</t>
  </si>
  <si>
    <t>8003720.8599560,430,480,66</t>
  </si>
  <si>
    <t>PVD19</t>
  </si>
  <si>
    <t>8003684.9535030,430,480,66</t>
  </si>
  <si>
    <t>PVD20</t>
  </si>
  <si>
    <t>8003642.6582050,430,480,66</t>
  </si>
  <si>
    <t>PVD21</t>
  </si>
  <si>
    <t>8003611.2436510,430,480,66</t>
  </si>
  <si>
    <t>PVD22</t>
  </si>
  <si>
    <t>8003599.3339150,430,480,66</t>
  </si>
  <si>
    <t>PVD23</t>
  </si>
  <si>
    <t>8003566.3312710,440,570,67</t>
  </si>
  <si>
    <t>PVD24</t>
  </si>
  <si>
    <t>8003558.8354230,440,570,67</t>
  </si>
  <si>
    <t>PVD25</t>
  </si>
  <si>
    <t>8003536.7990440,440,570,67</t>
  </si>
  <si>
    <t>PVD26</t>
  </si>
  <si>
    <t>9  PVC</t>
  </si>
  <si>
    <t>8003498.1523180,530,691,02</t>
  </si>
  <si>
    <t>PVD27</t>
  </si>
  <si>
    <t>4  PVC</t>
  </si>
  <si>
    <t>8003430.4847780,550,711,04</t>
  </si>
  <si>
    <t>PVD28</t>
  </si>
  <si>
    <t>8003397.5135710,550,711,04</t>
  </si>
  <si>
    <t>PVD29</t>
  </si>
  <si>
    <t>8003322.0733390,550,711,04</t>
  </si>
  <si>
    <t>5  FoF</t>
  </si>
  <si>
    <t>0             0,440,561,06</t>
  </si>
  <si>
    <t>PVE01</t>
  </si>
  <si>
    <t>PVE02</t>
  </si>
  <si>
    <t>FoFo0,89</t>
  </si>
  <si>
    <t>8004669.3340150,460,521,28</t>
  </si>
  <si>
    <t>PVE03</t>
  </si>
  <si>
    <t>FoFo0,00</t>
  </si>
  <si>
    <t>8004659.5271680,460,521,28</t>
  </si>
  <si>
    <t>PVE04</t>
  </si>
  <si>
    <t>8004653.7415890,460,521,28</t>
  </si>
  <si>
    <t>PVE05</t>
  </si>
  <si>
    <t>8004641.2961940,460,521,28</t>
  </si>
  <si>
    <t>PVE06</t>
  </si>
  <si>
    <t>8004634.0690940,460,521,28</t>
  </si>
  <si>
    <t>PVE07</t>
  </si>
  <si>
    <t>8004603.1677190,460,521,28</t>
  </si>
  <si>
    <t>PVE08</t>
  </si>
  <si>
    <t>8004571.4424150,460,521,28</t>
  </si>
  <si>
    <t>PVE09</t>
  </si>
  <si>
    <t>8004554.1782410,460,521,28</t>
  </si>
  <si>
    <t>PVE10</t>
  </si>
  <si>
    <t>8004519.5679380,460,521,28</t>
  </si>
  <si>
    <t>PVE11</t>
  </si>
  <si>
    <t>8004478.3207440,460,521,28</t>
  </si>
  <si>
    <t>PVE12</t>
  </si>
  <si>
    <t>8004469.6168130,460,521,28</t>
  </si>
  <si>
    <t>PVE13</t>
  </si>
  <si>
    <t>8004456.2181930,460,521,28</t>
  </si>
  <si>
    <t>PVE14</t>
  </si>
  <si>
    <t>8004443.9017310,460,521,28</t>
  </si>
  <si>
    <t>PVE15</t>
  </si>
  <si>
    <t>8004431.5644460,460,521,28</t>
  </si>
  <si>
    <t>PVE16</t>
  </si>
  <si>
    <t>8004418.3429640,460,521,28</t>
  </si>
  <si>
    <t>PVE17</t>
  </si>
  <si>
    <t>8004394.3311380,460,521,28</t>
  </si>
  <si>
    <t>PVE18</t>
  </si>
  <si>
    <t>8004342.5099290,460,521,28</t>
  </si>
  <si>
    <t>PVE19</t>
  </si>
  <si>
    <t>8004311.3610740,460,521,28</t>
  </si>
  <si>
    <t>PVE20</t>
  </si>
  <si>
    <t>8004296.0595780,460,521,28</t>
  </si>
  <si>
    <t>PVE21</t>
  </si>
  <si>
    <t>8004264.0416470,460,521,28</t>
  </si>
  <si>
    <t>PVE22</t>
  </si>
  <si>
    <t>FoFo0,54</t>
  </si>
  <si>
    <t>8004224.0787070,460,591,28</t>
  </si>
  <si>
    <t>PVE23</t>
  </si>
  <si>
    <t>8004182.8896150,460,591,28</t>
  </si>
  <si>
    <t>PVE24</t>
  </si>
  <si>
    <t>8004166.8948040,460,591,28</t>
  </si>
  <si>
    <t>PVE25</t>
  </si>
  <si>
    <t>8004140.3992330,460,591,28</t>
  </si>
  <si>
    <t>PVE26</t>
  </si>
  <si>
    <t>8004126.71085 0,460,591,28</t>
  </si>
  <si>
    <t>PVE27</t>
  </si>
  <si>
    <t>PVC 0,00</t>
  </si>
  <si>
    <t>8004071.9001390,430,560,66</t>
  </si>
  <si>
    <t>PVE29</t>
  </si>
  <si>
    <t>8004021.78622 0,430,560,66</t>
  </si>
  <si>
    <t>PVE28</t>
  </si>
  <si>
    <t>PVC 0,98</t>
  </si>
  <si>
    <t>8004021.78622 0,430,500,66</t>
  </si>
  <si>
    <t>PVE30</t>
  </si>
  <si>
    <t>8004007.2370180,490,630,81</t>
  </si>
  <si>
    <t>PVE31</t>
  </si>
  <si>
    <t>8003942.8207630,490,630,81</t>
  </si>
  <si>
    <t>PVE32</t>
  </si>
  <si>
    <t>8003927.3794350,490,631,36</t>
  </si>
  <si>
    <t>PVE33</t>
  </si>
  <si>
    <t>8003897.0251080,490,630,81</t>
  </si>
  <si>
    <t>PVE36</t>
  </si>
  <si>
    <t>8003874.7368960,490,630,81</t>
  </si>
  <si>
    <t>PVE34</t>
  </si>
  <si>
    <t>PVE35</t>
  </si>
  <si>
    <t>FoFo0,30</t>
  </si>
  <si>
    <t>8003866.0568550,430,431,11</t>
  </si>
  <si>
    <t>PVC 0,30</t>
  </si>
  <si>
    <t>8003874.7368960,430,430,66</t>
  </si>
  <si>
    <t>PVE37</t>
  </si>
  <si>
    <t>8003838.1031150,520,670,89</t>
  </si>
  <si>
    <t>PVE38</t>
  </si>
  <si>
    <t>8003784.0974870,520,670,89</t>
  </si>
  <si>
    <t>PVE39</t>
  </si>
  <si>
    <t>8003773.3056370,480,611,24</t>
  </si>
  <si>
    <t>PVE40</t>
  </si>
  <si>
    <t>8003704.3963280,520,670,89</t>
  </si>
  <si>
    <t>PVE41</t>
  </si>
  <si>
    <t>8003636.6441930,520,670,89</t>
  </si>
  <si>
    <t>PVE42</t>
  </si>
  <si>
    <t>8003594.8082330,520,670,89</t>
  </si>
  <si>
    <t>8003552.7903670,520,670,89</t>
  </si>
  <si>
    <t>PVF01</t>
  </si>
  <si>
    <t>PVF02</t>
  </si>
  <si>
    <t>8004630.5848671,001,004,22</t>
  </si>
  <si>
    <t>PVF03</t>
  </si>
  <si>
    <t>8004611.4848620,740,742,19</t>
  </si>
  <si>
    <t>PVF04</t>
  </si>
  <si>
    <t>8004543.3572911,031,034,54</t>
  </si>
  <si>
    <t>PVF05</t>
  </si>
  <si>
    <t>8004485.6608340,520,521,02</t>
  </si>
  <si>
    <t>PVF06</t>
  </si>
  <si>
    <t>8004426.0210610,520,521,02</t>
  </si>
  <si>
    <t>PVF07</t>
  </si>
  <si>
    <t>8004373.91587 0,520,521,02</t>
  </si>
  <si>
    <t>PVF08</t>
  </si>
  <si>
    <t>8004335.5823710,520,521,02</t>
  </si>
  <si>
    <t>PVF09</t>
  </si>
  <si>
    <t>8004262.76502 0,520,521,02</t>
  </si>
  <si>
    <t>PVF10</t>
  </si>
  <si>
    <t>8004187.22542 0,520,521,02</t>
  </si>
  <si>
    <t>PVF11</t>
  </si>
  <si>
    <t>8004109.7775470,520,521,02</t>
  </si>
  <si>
    <t>PVF12</t>
  </si>
  <si>
    <t>8004044.1835190,670,671,73</t>
  </si>
  <si>
    <t>PVF13</t>
  </si>
  <si>
    <t>8003972.2764840,520,521,02</t>
  </si>
  <si>
    <t>PVF14</t>
  </si>
  <si>
    <t>8003925.9887450,520,521,02</t>
  </si>
  <si>
    <t>PVF15</t>
  </si>
  <si>
    <t>8003876.7982150,520,521,02</t>
  </si>
  <si>
    <t>PVF16</t>
  </si>
  <si>
    <t>8003798.2632340,520,521,02</t>
  </si>
  <si>
    <t>PVF17</t>
  </si>
  <si>
    <t>8003731.6007170,520,521,02</t>
  </si>
  <si>
    <t>PVF18</t>
  </si>
  <si>
    <t>8003705.6271550,520,521,02</t>
  </si>
  <si>
    <t>PVF19</t>
  </si>
  <si>
    <t>8003689.6315650,520,521,02</t>
  </si>
  <si>
    <t>PVF20</t>
  </si>
  <si>
    <t>8003672.3233940,560,721,05</t>
  </si>
  <si>
    <t>PVF21</t>
  </si>
  <si>
    <t>8003619.0475230,560,721,05</t>
  </si>
  <si>
    <t>PVF22</t>
  </si>
  <si>
    <t>8003601.8262780,560,721,05</t>
  </si>
  <si>
    <t>PVF23</t>
  </si>
  <si>
    <t>8003581.6650010,560,721,05</t>
  </si>
  <si>
    <t>PVF24</t>
  </si>
  <si>
    <t>8003503.3607030,560,721,05</t>
  </si>
  <si>
    <t>PVF25</t>
  </si>
  <si>
    <t>8003424.9363250,560,721,05</t>
  </si>
  <si>
    <t>PVF26</t>
  </si>
  <si>
    <t>8003356.0460330,560,721,05</t>
  </si>
  <si>
    <t>PVF27</t>
  </si>
  <si>
    <t>8003321.1579  0,580,731,07</t>
  </si>
  <si>
    <t>PVF28</t>
  </si>
  <si>
    <t>8003304.5530910,580,731,07</t>
  </si>
  <si>
    <t>PVF29</t>
  </si>
  <si>
    <t>8003301.1799910,580,731,07</t>
  </si>
  <si>
    <t>PVF30</t>
  </si>
  <si>
    <t>8003266.2021630,580,751,05</t>
  </si>
  <si>
    <t>PVF31</t>
  </si>
  <si>
    <t>8003186.2078270,600,771,09</t>
  </si>
  <si>
    <t>PVF32</t>
  </si>
  <si>
    <t>8003164.4490260,600,771,09</t>
  </si>
  <si>
    <t>PVF33</t>
  </si>
  <si>
    <t>8003143.0715550,600,771,09</t>
  </si>
  <si>
    <t>PVF34</t>
  </si>
  <si>
    <t>8003086.5310240,600,771,09</t>
  </si>
  <si>
    <t>PVF35</t>
  </si>
  <si>
    <t>8003007.02043 0,600,771,09</t>
  </si>
  <si>
    <t>PVF36</t>
  </si>
  <si>
    <t>8002957.45155 0,600,771,09</t>
  </si>
  <si>
    <t>8002915.9251870,600,771,09</t>
  </si>
  <si>
    <t>PVG01</t>
  </si>
  <si>
    <t>PVG02</t>
  </si>
  <si>
    <t>8003706.5465630,650,651,62</t>
  </si>
  <si>
    <t>PVG03</t>
  </si>
  <si>
    <t>8003698.23558 0,520,521,02</t>
  </si>
  <si>
    <t>PVG04</t>
  </si>
  <si>
    <t>8003679.5252460,520,521,02</t>
  </si>
  <si>
    <t>PVG05</t>
  </si>
  <si>
    <t>8003630.4773510,520,611,02</t>
  </si>
  <si>
    <t>PVG06</t>
  </si>
  <si>
    <t>8003598.7170730,630,741,56</t>
  </si>
  <si>
    <t>PVG07</t>
  </si>
  <si>
    <t>8003542.6226880,520,611,02</t>
  </si>
  <si>
    <t>PVG08</t>
  </si>
  <si>
    <t>8003469.6325940,520,611,02</t>
  </si>
  <si>
    <t>PVG09</t>
  </si>
  <si>
    <t>8003390.4340890,520,611,02</t>
  </si>
  <si>
    <t>PVG10</t>
  </si>
  <si>
    <t>8003362.7392090,740,972,22</t>
  </si>
  <si>
    <t>0             0,570,741,24</t>
  </si>
  <si>
    <t>PVH01</t>
  </si>
  <si>
    <t>PVH02</t>
  </si>
  <si>
    <t>8003337.6078340,520,521,02</t>
  </si>
  <si>
    <t>PVH03</t>
  </si>
  <si>
    <t>8003295.4672760,520,521,02</t>
  </si>
  <si>
    <t>PVH04</t>
  </si>
  <si>
    <t>8003307.7575110,790,792,52</t>
  </si>
  <si>
    <t>PVH05</t>
  </si>
  <si>
    <t>8003353.9919111,001,004,29</t>
  </si>
  <si>
    <t>PVH06</t>
  </si>
  <si>
    <t>8003394.0811550,800,802,62</t>
  </si>
  <si>
    <t>PVH07</t>
  </si>
  <si>
    <t>8003416.7073990,520,521,02</t>
  </si>
  <si>
    <t>PVH08</t>
  </si>
  <si>
    <t>8003399.1093470,520,521,02</t>
  </si>
  <si>
    <t>PVH09</t>
  </si>
  <si>
    <t>8003388.8402190,810,812,70</t>
  </si>
  <si>
    <t>8003362.7392090,880,883,19</t>
  </si>
  <si>
    <t>PVI01</t>
  </si>
  <si>
    <t>PVI02</t>
  </si>
  <si>
    <t>8004170.6108910,520,521,02</t>
  </si>
  <si>
    <t>PVI03</t>
  </si>
  <si>
    <t>8004155.9995350,520,521,02</t>
  </si>
  <si>
    <t>PVI04</t>
  </si>
  <si>
    <t>8004140.9338240,520,521,02</t>
  </si>
  <si>
    <t>PVI05</t>
  </si>
  <si>
    <t>8004106.5754470,520,521,02</t>
  </si>
  <si>
    <t>PVI06</t>
  </si>
  <si>
    <t>8004081.9503250,520,521,02</t>
  </si>
  <si>
    <t>PVI07</t>
  </si>
  <si>
    <t>8004039.6292820,520,521,02</t>
  </si>
  <si>
    <t>PVI08</t>
  </si>
  <si>
    <t>8003999.3848110,430,430,66</t>
  </si>
  <si>
    <t>PVI09</t>
  </si>
  <si>
    <t>8003924.9153680,430,430,66</t>
  </si>
  <si>
    <t>8003890.66338 0,430,430,66</t>
  </si>
  <si>
    <t>PVJ01</t>
  </si>
  <si>
    <t>PVJ02</t>
  </si>
  <si>
    <t>8003610.5823290,880,883,21</t>
  </si>
  <si>
    <t>PVJ03</t>
  </si>
  <si>
    <t>8003543.3079240,520,521,02</t>
  </si>
  <si>
    <t>PVJ04</t>
  </si>
  <si>
    <t>8003464.7801950,520,521,02</t>
  </si>
  <si>
    <t>PVJ05</t>
  </si>
  <si>
    <t>8003386.2278550,520,521,02</t>
  </si>
  <si>
    <t>PVJ06</t>
  </si>
  <si>
    <t>8003335.2851280,520,521,02</t>
  </si>
  <si>
    <t>8003266.2021630,610,611,40</t>
  </si>
  <si>
    <t>PVM01</t>
  </si>
  <si>
    <t>PVM02</t>
  </si>
  <si>
    <t>PVC 0,73</t>
  </si>
  <si>
    <t>8003138.8197730,520,561,02</t>
  </si>
  <si>
    <t>PVM03</t>
  </si>
  <si>
    <t>8003152.6289530,520,561,02</t>
  </si>
  <si>
    <t>PVM04</t>
  </si>
  <si>
    <t>8003140.4542130,560,591,98</t>
  </si>
  <si>
    <t>PVM05</t>
  </si>
  <si>
    <t>8003136.4771330,460,491,29</t>
  </si>
  <si>
    <t>PVM06</t>
  </si>
  <si>
    <t>8003126.2120041,441,5416,2</t>
  </si>
  <si>
    <t>PVM07</t>
  </si>
  <si>
    <t>8003123.6407580,520,561,02</t>
  </si>
  <si>
    <t>PVM08</t>
  </si>
  <si>
    <t>8003131.3240810,520,561,02</t>
  </si>
  <si>
    <t>PVM09</t>
  </si>
  <si>
    <t>8003160.9910190,420,441,03</t>
  </si>
  <si>
    <t>PVM10</t>
  </si>
  <si>
    <t>8003162.4502250,520,561,02</t>
  </si>
  <si>
    <t>PVM11</t>
  </si>
  <si>
    <t>8003187.0882540,930,993,60</t>
  </si>
  <si>
    <t>PVM12</t>
  </si>
  <si>
    <t>8003213.6989080,520,561,02</t>
  </si>
  <si>
    <t>PVM13</t>
  </si>
  <si>
    <t>8003227.8317180,520,561,02</t>
  </si>
  <si>
    <t>PVM14</t>
  </si>
  <si>
    <t>8003229.8646850,520,561,02</t>
  </si>
  <si>
    <t>PVM15</t>
  </si>
  <si>
    <t>8003231.4592710,520,561,02</t>
  </si>
  <si>
    <t>PVM16</t>
  </si>
  <si>
    <t>8003235.6778420,520,561,02</t>
  </si>
  <si>
    <t>PVM17</t>
  </si>
  <si>
    <t>8003240.9811530,520,561,02</t>
  </si>
  <si>
    <t>PVM18</t>
  </si>
  <si>
    <t>8003255.0826140,520,561,02</t>
  </si>
  <si>
    <t>PVM19</t>
  </si>
  <si>
    <t>8003258.0071941,131,215,60</t>
  </si>
  <si>
    <t>PVM20</t>
  </si>
  <si>
    <t>8003276.0780190,560,602,00</t>
  </si>
  <si>
    <t>PVM21</t>
  </si>
  <si>
    <t>8003279.0360440,971,043,98</t>
  </si>
  <si>
    <t>PVM22</t>
  </si>
  <si>
    <t>8003309.4659310,860,913,01</t>
  </si>
  <si>
    <t>PVM23</t>
  </si>
  <si>
    <t>8003313.9366970,520,561,02</t>
  </si>
  <si>
    <t>PVM24</t>
  </si>
  <si>
    <t>8003289.1991090,520,561,02</t>
  </si>
  <si>
    <t>PVM25</t>
  </si>
  <si>
    <t>8003275.5500130,520,561,02</t>
  </si>
  <si>
    <t>PVM26</t>
  </si>
  <si>
    <t>8003256.2779160,650,701,66</t>
  </si>
  <si>
    <t>PVM27</t>
  </si>
  <si>
    <t>8003279.6873580,480,511,42</t>
  </si>
  <si>
    <t>PVM28</t>
  </si>
  <si>
    <t>8003312.4680280,420,441,03</t>
  </si>
  <si>
    <t>PVM29</t>
  </si>
  <si>
    <t>FoFo1,46</t>
  </si>
  <si>
    <t>8003346.3876640,750,983,54</t>
  </si>
  <si>
    <t>PVM30</t>
  </si>
  <si>
    <t>8003354.8364160,911,203,21</t>
  </si>
  <si>
    <t>PVM31</t>
  </si>
  <si>
    <t>8003343.3822630,761,002,14</t>
  </si>
  <si>
    <t>PVM32</t>
  </si>
  <si>
    <t>8003337.6790210,951,253,52</t>
  </si>
  <si>
    <t>PVM33</t>
  </si>
  <si>
    <t>8003311.6366830,560,731,10</t>
  </si>
  <si>
    <t>PVM34</t>
  </si>
  <si>
    <t>8003266.2736810,690,911,75</t>
  </si>
  <si>
    <t>PVM35</t>
  </si>
  <si>
    <t>8003248.65169 0,550,711,04</t>
  </si>
  <si>
    <t>PVM36</t>
  </si>
  <si>
    <t>8003168.7972930,550,711,04</t>
  </si>
  <si>
    <t>PVM37</t>
  </si>
  <si>
    <t>PVC 1,45</t>
  </si>
  <si>
    <t>8003089.1827130,580,731,07</t>
  </si>
  <si>
    <t>PVM38</t>
  </si>
  <si>
    <t>8003009.1877820,580,731,07</t>
  </si>
  <si>
    <t>PVM39</t>
  </si>
  <si>
    <t>8002951.3347740,580,731,07</t>
  </si>
  <si>
    <t>8002907.7935641,391,837,31</t>
  </si>
  <si>
    <t>Profundidade do PV's (m)</t>
  </si>
  <si>
    <t>qnt</t>
  </si>
  <si>
    <t>AÉREO</t>
  </si>
  <si>
    <t>73963/036</t>
  </si>
  <si>
    <t>POCO VISITA ESG SANIT ANEL CONC PRE-MOLD PROF=2,90M C/TAMPAO FF TIPO MEDIO(AD)D=60CM 125KG/DEGRAUS FF/REJUNTAMENTO ANEIS/REVEST LISO CALHA INTERNA C/ARG CIM/AREIA 1:4. BASE/BANQUETA EM CONCR FCK=10MPA</t>
  </si>
  <si>
    <t>POCO VISITA ESG SANIT ANEL CONC PRE-MOLD PROF=3,50M C/TAMPAO FF TIPO MEDIO(AD)D=60CM 125KG/DEGRAUS FF/REJUNTAMENTO ANEIS/REVEST LISO CALHA INTERNA C/ARG CIM/AREIA 1:4. BASE/BANQUETA EM CONCR FCK=10MPA</t>
  </si>
  <si>
    <t>POCO VISITA ESG SANIT ANEL CONC PRE-MOLD PROF=3,80M C/TAMPAO FF TIPO MEDIO(AD)D=60CM 125KG/DEGRAUS FF/REJUNTAMENTO ANEIS/REVEST LISO CALHA INTERNA C/ARG CIM/AREIA 1:4. BASE/BANQUETA EM CONCR FCK=10MPA</t>
  </si>
  <si>
    <t>POCO VISITA ESG SANIT ANEL CONC PRE-MOLD PROF=4,10M C/TAMPAO FF TIPO MEDIO(AD)D=60CM 125KG/DEGRAUS FF/REJUNTAMENTO ANEIS/REVEST LISO CALHA INTERNA C/ARG CIM/AREIA 1:4. BASE/BANQUETA EM CONCR FCK=10MPA</t>
  </si>
  <si>
    <t>POCO VISITA ESG SANIT ANEL CONC PRE-MOLD PROF=4,40M C/TAMPAO FF TIPO MEDIO(AD)D=60CM 125KG/DEGRAUS FF/REJUNTAMENTO ANEIS/REVEST LISO CALHA INTERNA C/ARG CIM/AREIA 1:4. BASE/BANQUETA EM CONCR FCK=10MPA</t>
  </si>
  <si>
    <t>POCO VISITA ESG SANIT ANEL CONC PRE-MOLD PROF=4,70M C/TAMPAO FF TIPO MEDIO(AD)D=60CM 125KG/DEGRAUS FF/REJUNTAMENTO ANEIS/REVEST LISO CALHA INTERNA C/ARG CIM/AREIA 1:4. BASE/BANQUETA EM CONCR FCK=10MPA</t>
  </si>
  <si>
    <t>73963/038</t>
  </si>
  <si>
    <t>73963/039</t>
  </si>
  <si>
    <t>73963/040</t>
  </si>
  <si>
    <t>73963/041</t>
  </si>
  <si>
    <t>73963/042</t>
  </si>
  <si>
    <t>3963/043</t>
  </si>
  <si>
    <t>POCO VISITA ESG SANIT ANEL CONC PRE-MOLD PROF=5,00M C/TAMPAO FF TIPO MEDIO(AD)D=60CM 125KG/DEGRAUS FF/REJUNTAMENTO ANEIS/REVEST LISO CALHA INTERNA C/ARG CIM/AREIA 1:4. BASE/BANQUETA EM CONCR FCK=10MPA</t>
  </si>
  <si>
    <t>ETE - RESERVATÓRIO METÁLICO ELEVADO 5 M3</t>
  </si>
  <si>
    <t>Serviços Preliminares</t>
  </si>
  <si>
    <t>LOCACAO DE ESTRUTURAS (GABARITO/TABEIRA) - OBRAS</t>
  </si>
  <si>
    <t>ACERTO E NIVELAMENTO DE TERRENO</t>
  </si>
  <si>
    <t>Movimento de Terra</t>
  </si>
  <si>
    <t>ESCAVACAO MANUAL DE VALAS (SOLO SECO), PROFUNDIDADE ATE 1.50 M</t>
  </si>
  <si>
    <t>ACERTO E VERIFICACAO DO NIVELAMENTO DE FUNDO DE VALAS</t>
  </si>
  <si>
    <t>ATERRO DE VALAS E CAVAS DE FUNDACAO, C/ CONTROLE DO GRAU DE COMPACTACAO DE NO MINIMO 95% DO PROCTOR NORMAL</t>
  </si>
  <si>
    <t>CARGA MANUAL (MATERIAL EM GERAL), EM CAMINHÃO</t>
  </si>
  <si>
    <t>TRANSPORTE MANUAL (TERRA, AREIA, ENTULHO) DISTANCIA ATÉ 100 M</t>
  </si>
  <si>
    <t>CARGA E DESCARGA MECANICA (MATERIAL EM GERAL)</t>
  </si>
  <si>
    <t>TRANSPORTE EM PERIMETRO URBANO A GRANEL - DISTANCIA ATE 1,0 KM</t>
  </si>
  <si>
    <t>ESPALHAMENTO DE SOLO EM BOTA FORA</t>
  </si>
  <si>
    <t>Contenção, Escor., Esgot. e Drenagem</t>
  </si>
  <si>
    <t>FORMA E DESFORMA EM CHAPA COMPENSADA RESINADA E=12MM</t>
  </si>
  <si>
    <t>DRENAGEM COM PEDRA BRITADA Nº 2</t>
  </si>
  <si>
    <t>Fundações e Estruturas</t>
  </si>
  <si>
    <t>ARMADURA DE ACO CA 50, FORNECIMENTO E COLOCACAO</t>
  </si>
  <si>
    <t>CONCRETO USINADO BOMBEADO FCK=15MPA, INCLUSIVE LANCAMENTO E ADENSAMENT</t>
  </si>
  <si>
    <t>FORNECIMENTO E TRANSPORTE DE CONCRETO USINADO 35 MPA INCLUSIVE LANÇAMENTO E ADENSAMENTO</t>
  </si>
  <si>
    <t>BROCA DE CONCRETO (DIAMETRO= 20 CM), CONSUMO MINIMO DE CIMENTO 150 KG/M3</t>
  </si>
  <si>
    <t>Fornecimentos e Assentamentos</t>
  </si>
  <si>
    <t>ASSENTAMENTO DE MATERIAIS, RESERVATORIO METALICO ELEVADO 5M3</t>
  </si>
  <si>
    <t>Serviços Específicos</t>
  </si>
  <si>
    <t>FORNECIMENTO, TRANSPORTE E MONTAGEM DE RESERVATORIO METALICO ELEVADO 5M3</t>
  </si>
  <si>
    <t>76444/002</t>
  </si>
  <si>
    <t>74255/001</t>
  </si>
  <si>
    <t>74254/001</t>
  </si>
  <si>
    <t xml:space="preserve">74138/001 </t>
  </si>
  <si>
    <t>74138/005</t>
  </si>
  <si>
    <t>CP 004</t>
  </si>
  <si>
    <t>04.11.23</t>
  </si>
  <si>
    <t>ESTRUTURAS DE CONCRETO</t>
  </si>
  <si>
    <t>73761/001</t>
  </si>
  <si>
    <t>ARRASAMENTO DE TUBULAO DE CONCRETO D=0,80M.</t>
  </si>
  <si>
    <t>ESCAVACAO MANUAL CAMPO ABERTO P/TUBULAO - FUSTE E/OU BASE (PARA TODAS AS PROFUNDIDADES)</t>
  </si>
  <si>
    <t>73820/001</t>
  </si>
  <si>
    <t>FORMA CURVA EM CHAPA DE MADEIRA COMPENSADA RESINADA 21 MM, PARA ESTRUURAS DE CONCRETO.</t>
  </si>
  <si>
    <t>03.08.09</t>
  </si>
  <si>
    <t>03.08.10</t>
  </si>
  <si>
    <t>03.08.11</t>
  </si>
  <si>
    <t>03.08.12</t>
  </si>
  <si>
    <t>03.08.13</t>
  </si>
  <si>
    <t>03.08.14</t>
  </si>
  <si>
    <t>03.08.15</t>
  </si>
  <si>
    <t>03.08.16</t>
  </si>
  <si>
    <t>03.09.05</t>
  </si>
  <si>
    <t>03.09.06</t>
  </si>
  <si>
    <t>03.09.07</t>
  </si>
  <si>
    <t>03.09.08</t>
  </si>
  <si>
    <t>03.10.02</t>
  </si>
  <si>
    <t>03.10.03</t>
  </si>
  <si>
    <t>03.10.04</t>
  </si>
  <si>
    <t>03.11.00</t>
  </si>
  <si>
    <t>03.11.01</t>
  </si>
  <si>
    <t>QUANTITATIVOS</t>
  </si>
  <si>
    <t>CORTE</t>
  </si>
  <si>
    <t>ATERRO</t>
  </si>
  <si>
    <t>SEÇÃO</t>
  </si>
  <si>
    <t>A</t>
  </si>
  <si>
    <t>D</t>
  </si>
  <si>
    <t>E</t>
  </si>
  <si>
    <t>dx =</t>
  </si>
  <si>
    <t>BOTA FORA</t>
  </si>
  <si>
    <t>TERRAPLENAGEM</t>
  </si>
  <si>
    <t>URBANIZAÇÃO</t>
  </si>
  <si>
    <t>04.11.24</t>
  </si>
  <si>
    <t>74012/001</t>
  </si>
  <si>
    <t>SARJETA EM CONCRETO, PREPARO MANUAL, COM SEIXO ROLADO, ESPESSURA = 8CM , LARGURA = 40CM.</t>
  </si>
  <si>
    <t>IMPRIMACAO DE BASE DE PAVIMENTACAO COM EMULSAO CM-30</t>
  </si>
  <si>
    <t xml:space="preserve">PINTURA DE LIGACAO COM EMULSAO RR-2C </t>
  </si>
  <si>
    <t>t</t>
  </si>
  <si>
    <t>FABRICAÇÃO E APLICAÇÃO DE CONCRETO BETUMINOSO USINADO A QUENTE(CBUQ),CAP 50/70, EXCLUSIVE TRANSPORTE</t>
  </si>
  <si>
    <t>73789/001</t>
  </si>
  <si>
    <t>MEIO-FIO DE CONCRETO MOLDADO NO LOCAL, USINADO 15 MPA, COM 0,45 M ALTURA X 0,15 M BASE, REJUNTE EM ARGAMASSA TRACO 1:3,5 (CIMENTO E AREIA)</t>
  </si>
  <si>
    <t>04.13.14</t>
  </si>
  <si>
    <t>FORNECIMENTO DO MATERIAL HIDRÁULICO DA ELEVATÓRIA FINAL</t>
  </si>
  <si>
    <t>TUBO CONCRETO ARMADO CLASSE EA-2 PB JE NBR-8890/2007 DN 400MM P/ ESG SANITARIO</t>
  </si>
  <si>
    <t>TUBO CONCRETO ARMADO CLASSE EA-2 PB JE NBR-8890/2007 DN 600MM P/ ESG SANITARIO</t>
  </si>
  <si>
    <t>TUBO PVC EB-644 P/ REDE COLET ESG JE DN 100M</t>
  </si>
  <si>
    <t>CURVA PVC 45G NBR-10569 P/ REDE COLET ESG PB JE DN 100MM</t>
  </si>
  <si>
    <t>CURVA FERRO GALVANIZADO 90G ROSCA FEMEA REF. 1"</t>
  </si>
  <si>
    <t>CE-006</t>
  </si>
  <si>
    <t>APLICAÇÃO DO MATERIAL HIDRÁULICO EM ELEVATÓRIA DE ESGOTOS</t>
  </si>
  <si>
    <t>CE-007</t>
  </si>
  <si>
    <t>APLICAÇÃO DO MATERIAL HIDRÁULICO EM ELEVATÓRIAS DE ESGOTOS</t>
  </si>
  <si>
    <t>CE-009</t>
  </si>
  <si>
    <t>CE-011</t>
  </si>
  <si>
    <t>ABRIGO PARA OS QCM'S</t>
  </si>
  <si>
    <t>CE-012</t>
  </si>
  <si>
    <t>CE-013</t>
  </si>
  <si>
    <t>CE-014</t>
  </si>
  <si>
    <t>CE-015</t>
  </si>
  <si>
    <t>CE-016</t>
  </si>
  <si>
    <t>CE-017</t>
  </si>
  <si>
    <t>CE-019</t>
  </si>
  <si>
    <t>PROCESSOS E DRENAGEM</t>
  </si>
  <si>
    <t>ÁGUA FRIA</t>
  </si>
  <si>
    <t>APLICAÇÃO DO MATERIAL HIDRÁULICO DAS INTERLIGAÇÕES DE PROCESSO, DRENAGEM E ÁGUA FRIA</t>
  </si>
  <si>
    <t>INTERLIGAÇÕES DE PROCESSOS, DRENAGEM E ÁGUA FRIA</t>
  </si>
  <si>
    <t>FORNECIMENTO DO MATERIAL HIDRÁULICO DAS INTERLIGAÇÕES DE PROCESSO, DRENAGEM E ÁGUA FRIA</t>
  </si>
  <si>
    <t>TUBO PVC SOLDAVEL EB-892 P/AGUA FRIA PREDIAL DN 50MM</t>
  </si>
  <si>
    <t>CAP PVC SOLD P/ AGUA FRIA PREDIAL 50 MM</t>
  </si>
  <si>
    <t>COLAR DE TOMADA PVC PBA CL20 CONF. NBR 5647</t>
  </si>
  <si>
    <t>TE FOFO BBB JE DN 150</t>
  </si>
  <si>
    <t>73879/002</t>
  </si>
  <si>
    <t>ASSENTAMENTO DE TUBO DE CONCRETO DIAMETRO 400 MM, JUNTAS COM ANEL DE BORRACHA, MONTAGEM COM AUXÍLIO DE EQUIPAMENTOS</t>
  </si>
  <si>
    <t>ASSENTAMENTO DE TUBO DE CONCRETO DIAMETRO 600 MM, JUNTAS COM ANEL DE BORRACHA, MONTAGEM COM AUXÍLIO DE EQUIPAMENTOS</t>
  </si>
  <si>
    <t>73879/004</t>
  </si>
  <si>
    <t xml:space="preserve">ASSENTAMENTO DE TUBOS E CONEXOES PVC JS DN 25 DE 32 MM                                                                                                                                                                                          </t>
  </si>
  <si>
    <t xml:space="preserve">ASSENTAMENTO DE TUBOS E CONEXOES PVC JS DN 32 DE 40 MM                                                                                                                                                                                          </t>
  </si>
  <si>
    <t xml:space="preserve">ASSENTAMENTO DE TUBOS E CONEXOES DE FERRO GALVANIZADO, JUNTA ROSCAVEL, DIAMETRO = 2"                                                                                                                                                            </t>
  </si>
  <si>
    <t xml:space="preserve">ASSENTAMENTO DE TUBOS E CONEXOES DE FERRO GALVANIZADO, JUNTA ROSCAVEL, DIAMETRO = 1"                                                                                                                                                            </t>
  </si>
  <si>
    <t xml:space="preserve">ASSENTAMENTO DE TUBOS E CONEXOES DE FERRO GALVANIZADO, JUNTA ROSCAVEL, DIAMETRO = 1/2"                                                                                                                                                          </t>
  </si>
  <si>
    <t>04.11.25</t>
  </si>
  <si>
    <t>04.11.26</t>
  </si>
  <si>
    <t>04.11.27</t>
  </si>
  <si>
    <t>04.11.28</t>
  </si>
  <si>
    <t>04.11.29</t>
  </si>
  <si>
    <t>LOCAÇÃO DE REDES DE ÁGUA OU DE ESGOTO, INCLUSIVE TOPOGRAFO</t>
  </si>
  <si>
    <t>CURVA 90º FOFO FF PN25 DN 100</t>
  </si>
  <si>
    <t>TOCO FOFO FF PN10 DN100X0,50M</t>
  </si>
  <si>
    <t>REGISTRO FOFO CBOR.FV S15 PN25 DN100</t>
  </si>
  <si>
    <t>TUBO FOFO FF PN10 DN100X1,00M</t>
  </si>
  <si>
    <t>HASTE DE PROLONGAMENTO COM ROSCAS L=5,65m</t>
  </si>
  <si>
    <t>COMPORTA CIRCULAR DE SENTIDO DUPLO DN 300</t>
  </si>
  <si>
    <t>TUBO PVC PBV SERIE R P/ ESG OU AGUAS PLUVIAIS PREDIAL DN 75MM</t>
  </si>
  <si>
    <t>TUBO PVC PBV SERIE R P/ ESG OU AGUAS PLUVIAIS PREDIAL DN 50MM</t>
  </si>
  <si>
    <t>ARRUELA BORRACHA FLANGE PN10 DN100</t>
  </si>
  <si>
    <t>PARAFUSO C/PORCAS P/ FLANGE PN10 DN16x80</t>
  </si>
  <si>
    <t>PARAFUSO C/PORCAS P/ FLANGES DN20 x 90</t>
  </si>
  <si>
    <t>06.05</t>
  </si>
  <si>
    <t>06.06</t>
  </si>
  <si>
    <t>06.07</t>
  </si>
  <si>
    <t>06.08</t>
  </si>
  <si>
    <t>06.09</t>
  </si>
  <si>
    <t>06.10</t>
  </si>
  <si>
    <t>06.11</t>
  </si>
  <si>
    <t>06.12</t>
  </si>
  <si>
    <t>06.13</t>
  </si>
  <si>
    <t>06.14</t>
  </si>
  <si>
    <t>06.15</t>
  </si>
  <si>
    <t>06.16</t>
  </si>
  <si>
    <t>06.17</t>
  </si>
  <si>
    <t>06.18</t>
  </si>
  <si>
    <t>06.19</t>
  </si>
  <si>
    <t>06.20</t>
  </si>
  <si>
    <t>06.21</t>
  </si>
  <si>
    <t>06.22</t>
  </si>
  <si>
    <t>06.23</t>
  </si>
  <si>
    <t>06.24</t>
  </si>
  <si>
    <t>06.25</t>
  </si>
  <si>
    <t>CURVA 90º FOFO FF PN10 DN 200</t>
  </si>
  <si>
    <t>TE RED.FOFO FFF PN25 DN 150X 100</t>
  </si>
  <si>
    <t>APLICAÇÃO DO MATERIAL HIDRÁULICO DA ELEVATÓRIA PÓS TRATAMENTO PRELIMINAR</t>
  </si>
  <si>
    <t>TUBO FLANGEADO DN 100 L=1,50m</t>
  </si>
  <si>
    <t>REDUÇÃO F°F° CONCÊNTRICA DN 100X80</t>
  </si>
  <si>
    <t>09.00</t>
  </si>
  <si>
    <t>09.01</t>
  </si>
  <si>
    <t>09.02</t>
  </si>
  <si>
    <t>09.03</t>
  </si>
  <si>
    <t>09.04</t>
  </si>
  <si>
    <t>09.05</t>
  </si>
  <si>
    <t>09.06</t>
  </si>
  <si>
    <t>11.00</t>
  </si>
  <si>
    <t>11.01</t>
  </si>
  <si>
    <t>11.02</t>
  </si>
  <si>
    <t>11.03</t>
  </si>
  <si>
    <t>11.04</t>
  </si>
  <si>
    <t>11.05</t>
  </si>
  <si>
    <t>11.06</t>
  </si>
  <si>
    <t>11.07</t>
  </si>
  <si>
    <t>11.08</t>
  </si>
  <si>
    <t>11.09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</si>
  <si>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</si>
  <si>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</si>
  <si>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</si>
  <si>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</si>
  <si>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</si>
  <si>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</si>
  <si>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</si>
  <si>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</si>
  <si>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</si>
  <si>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</si>
  <si>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</si>
  <si>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</si>
  <si>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12.00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</si>
  <si>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</si>
  <si>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</si>
  <si>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</si>
  <si>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</si>
  <si>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</si>
  <si>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</si>
  <si>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</si>
  <si>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</si>
  <si>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</si>
  <si>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</si>
  <si>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</si>
  <si>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</si>
  <si>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</si>
  <si>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</si>
  <si>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</si>
  <si>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</si>
  <si>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</si>
  <si>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12.18</t>
  </si>
  <si>
    <t>12.19</t>
  </si>
  <si>
    <t>12.20</t>
  </si>
  <si>
    <t>12.21</t>
  </si>
  <si>
    <t>13.00</t>
  </si>
  <si>
    <t>13.01</t>
  </si>
  <si>
    <t>13.02</t>
  </si>
  <si>
    <t>14.00</t>
  </si>
  <si>
    <t>14.01</t>
  </si>
  <si>
    <t>14.02</t>
  </si>
  <si>
    <t>14.03</t>
  </si>
  <si>
    <t>15.00</t>
  </si>
  <si>
    <t>15.01</t>
  </si>
  <si>
    <t>15.02</t>
  </si>
  <si>
    <t>15.03</t>
  </si>
  <si>
    <t>15.04</t>
  </si>
  <si>
    <t>16.00</t>
  </si>
  <si>
    <t>16.01</t>
  </si>
  <si>
    <t>16.02</t>
  </si>
  <si>
    <t>16.03</t>
  </si>
  <si>
    <t>16.04</t>
  </si>
  <si>
    <t>17.00</t>
  </si>
  <si>
    <t>17.01</t>
  </si>
  <si>
    <t>17.02</t>
  </si>
  <si>
    <t>17.03</t>
  </si>
  <si>
    <t>17.04</t>
  </si>
  <si>
    <t>17.05</t>
  </si>
  <si>
    <t>17.06</t>
  </si>
  <si>
    <t>17.07</t>
  </si>
  <si>
    <t>17.08</t>
  </si>
  <si>
    <t>17.09</t>
  </si>
  <si>
    <t>17.10</t>
  </si>
  <si>
    <t>17.11</t>
  </si>
  <si>
    <t>17.12</t>
  </si>
  <si>
    <t>19.00</t>
  </si>
  <si>
    <t>19.01</t>
  </si>
  <si>
    <t>19.02</t>
  </si>
  <si>
    <t>19.03</t>
  </si>
  <si>
    <t>19.04</t>
  </si>
  <si>
    <t>20.00</t>
  </si>
  <si>
    <t>20.01</t>
  </si>
  <si>
    <t>20.02</t>
  </si>
  <si>
    <t>20.03</t>
  </si>
  <si>
    <t>20.04</t>
  </si>
  <si>
    <t>20.05</t>
  </si>
  <si>
    <t>20.06</t>
  </si>
  <si>
    <t>20.07</t>
  </si>
  <si>
    <t>20.08</t>
  </si>
  <si>
    <t>20.09</t>
  </si>
  <si>
    <t>20.10</t>
  </si>
  <si>
    <t>20.11</t>
  </si>
  <si>
    <t>20.12</t>
  </si>
  <si>
    <t>20.13</t>
  </si>
  <si>
    <t>20.14</t>
  </si>
  <si>
    <t>20.15</t>
  </si>
  <si>
    <t>20.16</t>
  </si>
  <si>
    <t>20.17</t>
  </si>
  <si>
    <t>20.18</t>
  </si>
  <si>
    <t>20.19</t>
  </si>
  <si>
    <t>20.20</t>
  </si>
  <si>
    <t>20.21</t>
  </si>
  <si>
    <t>20.22</t>
  </si>
  <si>
    <t>20.23</t>
  </si>
  <si>
    <t>20.24</t>
  </si>
  <si>
    <t>20.25</t>
  </si>
  <si>
    <t>20.26</t>
  </si>
  <si>
    <t>20.27</t>
  </si>
  <si>
    <t>20.28</t>
  </si>
  <si>
    <t>20.29</t>
  </si>
  <si>
    <t>20.30</t>
  </si>
  <si>
    <t>20.31</t>
  </si>
  <si>
    <t>20.32</t>
  </si>
  <si>
    <t>20.33</t>
  </si>
  <si>
    <t>20.34</t>
  </si>
  <si>
    <t>20.35</t>
  </si>
  <si>
    <t>20.36</t>
  </si>
  <si>
    <t>20.37</t>
  </si>
  <si>
    <t>20.38</t>
  </si>
  <si>
    <t>20.39</t>
  </si>
  <si>
    <t>20.40</t>
  </si>
  <si>
    <t>20.41</t>
  </si>
  <si>
    <t>21.00</t>
  </si>
  <si>
    <t>21.01</t>
  </si>
  <si>
    <t>21.02</t>
  </si>
  <si>
    <t>22.00</t>
  </si>
  <si>
    <t>22.01</t>
  </si>
  <si>
    <t>22.02</t>
  </si>
  <si>
    <t>22.03</t>
  </si>
  <si>
    <t>22.04</t>
  </si>
  <si>
    <t>24.03</t>
  </si>
  <si>
    <t>24.04</t>
  </si>
  <si>
    <t>24.05</t>
  </si>
  <si>
    <t>24.06</t>
  </si>
  <si>
    <t>24.07</t>
  </si>
  <si>
    <t>24.08</t>
  </si>
  <si>
    <t>24.09</t>
  </si>
  <si>
    <t>24.10</t>
  </si>
  <si>
    <t>24.11</t>
  </si>
  <si>
    <t>24.12</t>
  </si>
  <si>
    <t>25.00</t>
  </si>
  <si>
    <t>25.01</t>
  </si>
  <si>
    <t>25.02</t>
  </si>
  <si>
    <t>26.00</t>
  </si>
  <si>
    <t>26.01</t>
  </si>
  <si>
    <t>26.02</t>
  </si>
  <si>
    <t>26.03</t>
  </si>
  <si>
    <t>26.04</t>
  </si>
  <si>
    <t>27.00</t>
  </si>
  <si>
    <t>27.01</t>
  </si>
  <si>
    <t>27.02</t>
  </si>
  <si>
    <t>27.03</t>
  </si>
  <si>
    <t>27.04</t>
  </si>
  <si>
    <t>28.00</t>
  </si>
  <si>
    <t>28.01</t>
  </si>
  <si>
    <t>28.02</t>
  </si>
  <si>
    <t>28.03</t>
  </si>
  <si>
    <t>28.04</t>
  </si>
  <si>
    <t>29.05</t>
  </si>
  <si>
    <t>29.06</t>
  </si>
  <si>
    <t>29.07</t>
  </si>
  <si>
    <t>29.08</t>
  </si>
  <si>
    <t>29.09</t>
  </si>
  <si>
    <t>29.10</t>
  </si>
  <si>
    <t>29.11</t>
  </si>
  <si>
    <t>29.12</t>
  </si>
  <si>
    <t>29.13</t>
  </si>
  <si>
    <t>29.14</t>
  </si>
  <si>
    <t>30.00</t>
  </si>
  <si>
    <t>30.01</t>
  </si>
  <si>
    <t>30.02</t>
  </si>
  <si>
    <t>31.00</t>
  </si>
  <si>
    <t>31.01</t>
  </si>
  <si>
    <t>31.02</t>
  </si>
  <si>
    <t>31.03</t>
  </si>
  <si>
    <t>31.04</t>
  </si>
  <si>
    <t>32.00</t>
  </si>
  <si>
    <t>32.01</t>
  </si>
  <si>
    <t>32.02</t>
  </si>
  <si>
    <t>32.03</t>
  </si>
  <si>
    <t>32.04</t>
  </si>
  <si>
    <t>32.05</t>
  </si>
  <si>
    <t>32.06</t>
  </si>
  <si>
    <t>32.07</t>
  </si>
  <si>
    <t>33.00</t>
  </si>
  <si>
    <t>33.01</t>
  </si>
  <si>
    <t>33.02</t>
  </si>
  <si>
    <t>34.00</t>
  </si>
  <si>
    <t>34.01</t>
  </si>
  <si>
    <t>34.02</t>
  </si>
  <si>
    <t>34.03</t>
  </si>
  <si>
    <t>34.04</t>
  </si>
  <si>
    <t>34.05</t>
  </si>
  <si>
    <t>34.06</t>
  </si>
  <si>
    <t>34.07</t>
  </si>
  <si>
    <t>34.08</t>
  </si>
  <si>
    <t>34.09</t>
  </si>
  <si>
    <t>34.10</t>
  </si>
  <si>
    <t>34.11</t>
  </si>
  <si>
    <t>34.12</t>
  </si>
  <si>
    <t>34.13</t>
  </si>
  <si>
    <t>34.14</t>
  </si>
  <si>
    <t>34.15</t>
  </si>
  <si>
    <t>34.16</t>
  </si>
  <si>
    <t>34.17</t>
  </si>
  <si>
    <t>34.18</t>
  </si>
  <si>
    <t>34.19</t>
  </si>
  <si>
    <t>35.00</t>
  </si>
  <si>
    <t>35.01</t>
  </si>
  <si>
    <t>35.02</t>
  </si>
  <si>
    <t>36.00</t>
  </si>
  <si>
    <t>36.01</t>
  </si>
  <si>
    <t>36.02</t>
  </si>
  <si>
    <t>36.03</t>
  </si>
  <si>
    <t>36.04</t>
  </si>
  <si>
    <t>36.05</t>
  </si>
  <si>
    <t>36.06</t>
  </si>
  <si>
    <t>36.07</t>
  </si>
  <si>
    <t>36.08</t>
  </si>
  <si>
    <t>36.09</t>
  </si>
  <si>
    <t>36.10</t>
  </si>
  <si>
    <t>37.00</t>
  </si>
  <si>
    <t>37.01</t>
  </si>
  <si>
    <t>37.02</t>
  </si>
  <si>
    <t>37.03</t>
  </si>
  <si>
    <t>37.04</t>
  </si>
  <si>
    <t>37.05</t>
  </si>
  <si>
    <t>37.06</t>
  </si>
  <si>
    <t>37.07</t>
  </si>
  <si>
    <t>37.08</t>
  </si>
  <si>
    <t>37.09</t>
  </si>
  <si>
    <t>38.00</t>
  </si>
  <si>
    <t>38.01</t>
  </si>
  <si>
    <t>38.02</t>
  </si>
  <si>
    <t>38.03</t>
  </si>
  <si>
    <t>38.04</t>
  </si>
  <si>
    <t>38.05</t>
  </si>
  <si>
    <t>38.06</t>
  </si>
  <si>
    <t>38.07</t>
  </si>
  <si>
    <t>38.08</t>
  </si>
  <si>
    <t>38.09</t>
  </si>
  <si>
    <t>38.10</t>
  </si>
  <si>
    <t>38.11</t>
  </si>
  <si>
    <t>38.12</t>
  </si>
  <si>
    <t>38.13</t>
  </si>
  <si>
    <t>38.14</t>
  </si>
  <si>
    <t>38.15</t>
  </si>
  <si>
    <t>38.16</t>
  </si>
  <si>
    <t>38.17</t>
  </si>
  <si>
    <t>38.18</t>
  </si>
  <si>
    <t>38.19</t>
  </si>
  <si>
    <t>38.20</t>
  </si>
  <si>
    <t>38.21</t>
  </si>
  <si>
    <t>38.22</t>
  </si>
  <si>
    <t>38.23</t>
  </si>
  <si>
    <t>38.24</t>
  </si>
  <si>
    <t>38.25</t>
  </si>
  <si>
    <t>38.26</t>
  </si>
  <si>
    <t>38.27</t>
  </si>
  <si>
    <t>38.28</t>
  </si>
  <si>
    <t>38.29</t>
  </si>
  <si>
    <t>38.30</t>
  </si>
  <si>
    <t>38.31</t>
  </si>
  <si>
    <t>38.32</t>
  </si>
  <si>
    <t>38.33</t>
  </si>
  <si>
    <t>38.34</t>
  </si>
  <si>
    <t>38.35</t>
  </si>
  <si>
    <t>38.36</t>
  </si>
  <si>
    <t>38.37</t>
  </si>
  <si>
    <t>38.38</t>
  </si>
  <si>
    <t>38.39</t>
  </si>
  <si>
    <t>38.40</t>
  </si>
  <si>
    <t>38.41</t>
  </si>
  <si>
    <t>38.42</t>
  </si>
  <si>
    <t>38.43</t>
  </si>
  <si>
    <t>38.44</t>
  </si>
  <si>
    <t>38.45</t>
  </si>
  <si>
    <t>38.46</t>
  </si>
  <si>
    <t>38.47</t>
  </si>
  <si>
    <t>38.48</t>
  </si>
  <si>
    <t>38.49</t>
  </si>
  <si>
    <t>38.50</t>
  </si>
  <si>
    <t>38.51</t>
  </si>
  <si>
    <t>38.52</t>
  </si>
  <si>
    <t>38.53</t>
  </si>
  <si>
    <t>38.54</t>
  </si>
  <si>
    <t>38.55</t>
  </si>
  <si>
    <t>38.56</t>
  </si>
  <si>
    <t>38.57</t>
  </si>
  <si>
    <t>38.58</t>
  </si>
  <si>
    <t>38.59</t>
  </si>
  <si>
    <t>38.60</t>
  </si>
  <si>
    <t>38.61</t>
  </si>
  <si>
    <t>38.62</t>
  </si>
  <si>
    <t>38.63</t>
  </si>
  <si>
    <t>38.64</t>
  </si>
  <si>
    <t>38.65</t>
  </si>
  <si>
    <t>38.66</t>
  </si>
  <si>
    <t>38.67</t>
  </si>
  <si>
    <t>38.68</t>
  </si>
  <si>
    <t>38.69</t>
  </si>
  <si>
    <t>38.70</t>
  </si>
  <si>
    <t>38.71</t>
  </si>
  <si>
    <t>38.72</t>
  </si>
  <si>
    <t>38.73</t>
  </si>
  <si>
    <t>38.74</t>
  </si>
  <si>
    <t>38.75</t>
  </si>
  <si>
    <t>39.00</t>
  </si>
  <si>
    <t>39.01</t>
  </si>
  <si>
    <t>39.02</t>
  </si>
  <si>
    <t>40.00</t>
  </si>
  <si>
    <t>40.01</t>
  </si>
  <si>
    <t>40.02</t>
  </si>
  <si>
    <t>40.03</t>
  </si>
  <si>
    <t>40.04</t>
  </si>
  <si>
    <t>41.00</t>
  </si>
  <si>
    <t>41.01</t>
  </si>
  <si>
    <t>41.02</t>
  </si>
  <si>
    <t>42.01</t>
  </si>
  <si>
    <t>42.02</t>
  </si>
  <si>
    <t>42.03</t>
  </si>
  <si>
    <t>42.04</t>
  </si>
  <si>
    <t>42.05</t>
  </si>
  <si>
    <t>42.06</t>
  </si>
  <si>
    <t>42.07</t>
  </si>
  <si>
    <t>42.08</t>
  </si>
  <si>
    <t>41.03</t>
  </si>
  <si>
    <t>41.04</t>
  </si>
  <si>
    <t>41.05</t>
  </si>
  <si>
    <t>41.06</t>
  </si>
  <si>
    <t>41.07</t>
  </si>
  <si>
    <t>41.08</t>
  </si>
  <si>
    <t>41.09</t>
  </si>
  <si>
    <t>41.10</t>
  </si>
  <si>
    <t>41.11</t>
  </si>
  <si>
    <t>42.00</t>
  </si>
  <si>
    <t>42.09</t>
  </si>
  <si>
    <t>42.10</t>
  </si>
  <si>
    <t>42.11</t>
  </si>
  <si>
    <t>42.12</t>
  </si>
  <si>
    <t>42.13</t>
  </si>
  <si>
    <t>42.14</t>
  </si>
  <si>
    <t>42.15</t>
  </si>
  <si>
    <t>42.16</t>
  </si>
  <si>
    <t>42.17</t>
  </si>
  <si>
    <t>42.18</t>
  </si>
  <si>
    <t>42.19</t>
  </si>
  <si>
    <t>42.20</t>
  </si>
  <si>
    <t>42.21</t>
  </si>
  <si>
    <t>42.22</t>
  </si>
  <si>
    <t>42.23</t>
  </si>
  <si>
    <t>42.24</t>
  </si>
  <si>
    <t>42.25</t>
  </si>
  <si>
    <t>42.26</t>
  </si>
  <si>
    <t>42.27</t>
  </si>
  <si>
    <t>42.28</t>
  </si>
  <si>
    <t>42.29</t>
  </si>
  <si>
    <t>42.30</t>
  </si>
  <si>
    <t>42.31</t>
  </si>
  <si>
    <t>42.32</t>
  </si>
  <si>
    <t>42.33</t>
  </si>
  <si>
    <t>42.34</t>
  </si>
  <si>
    <t>42.35</t>
  </si>
  <si>
    <t>42.36</t>
  </si>
  <si>
    <t>42.37</t>
  </si>
  <si>
    <t>42.38</t>
  </si>
  <si>
    <t>42.39</t>
  </si>
  <si>
    <t>43.00</t>
  </si>
  <si>
    <t>43.01</t>
  </si>
  <si>
    <t>43.02</t>
  </si>
  <si>
    <t>44.01</t>
  </si>
  <si>
    <t>44.02</t>
  </si>
  <si>
    <t>44.03</t>
  </si>
  <si>
    <t>44.04</t>
  </si>
  <si>
    <t>44.05</t>
  </si>
  <si>
    <t>44.06</t>
  </si>
  <si>
    <t>44.07</t>
  </si>
  <si>
    <t>44.08</t>
  </si>
  <si>
    <t>45.00</t>
  </si>
  <si>
    <t>45.01</t>
  </si>
  <si>
    <t>45.02</t>
  </si>
  <si>
    <t>CE-045</t>
  </si>
  <si>
    <t>44.00</t>
  </si>
  <si>
    <t>44.09</t>
  </si>
  <si>
    <t>44.10</t>
  </si>
  <si>
    <t>44.11</t>
  </si>
  <si>
    <t>44.12</t>
  </si>
  <si>
    <t>44.13</t>
  </si>
  <si>
    <t>44.14</t>
  </si>
  <si>
    <t>44.15</t>
  </si>
  <si>
    <t>44.16</t>
  </si>
  <si>
    <t>44.17</t>
  </si>
  <si>
    <t>44.18</t>
  </si>
  <si>
    <t>45.03</t>
  </si>
  <si>
    <t>45.04</t>
  </si>
  <si>
    <t>45.05</t>
  </si>
  <si>
    <t>45.06</t>
  </si>
  <si>
    <t>45.07</t>
  </si>
  <si>
    <t>46.00</t>
  </si>
  <si>
    <t>46.01</t>
  </si>
  <si>
    <t>46.02</t>
  </si>
  <si>
    <t>CE-046</t>
  </si>
  <si>
    <t>47.00</t>
  </si>
  <si>
    <t>47.01</t>
  </si>
  <si>
    <t>47.02</t>
  </si>
  <si>
    <t>47.03</t>
  </si>
  <si>
    <t>47.04</t>
  </si>
  <si>
    <t>CE-047</t>
  </si>
  <si>
    <t>48.00</t>
  </si>
  <si>
    <t>48.01</t>
  </si>
  <si>
    <t>48.02</t>
  </si>
  <si>
    <t>48.03</t>
  </si>
  <si>
    <t>48.04</t>
  </si>
  <si>
    <t>CE-048</t>
  </si>
  <si>
    <t>04.11.30</t>
  </si>
  <si>
    <t>04.11.31</t>
  </si>
  <si>
    <t>CONJUNTO MOTO BOMBA KSB, MODELO KRT E 80 - 251, 1160 RPM, ROTOR 270 mm, POTÊNCIA 6C V, CÓDIGO DO MOTOR 4 6U PONTO DE OPERAÇÃO : Q = 66,13 m³/h e H = 12,13 m</t>
  </si>
  <si>
    <t>QUADRO DE COMANDO PARA ACIONAMENTO DE 02 MOTORES ELÉTRICOS DE INDUÇÃO EM BAIXA TENSÃO, POTÊNCIA 18 CV, 220V-CA, TRIFÁSICOS, PARTIDA POR INVERSOR DE FREQUÊNCIA, USO ABRIGADO.</t>
  </si>
  <si>
    <t>QUADRO DE COMANDO PARA ACIONAMENTO DE 02 MOTORES ELÉTRICOS DE INDUÇÃO EM BAIXA TENSÃO, POTÊNCIA 6 CV, 220V-CA, TRIFÁSICOS, PARTIDA POR INVERSOR DE FREQUÊNCIA, USO ABRIGADO.</t>
  </si>
  <si>
    <t>02.00.00</t>
  </si>
  <si>
    <t>02.01.00</t>
  </si>
  <si>
    <t>34.20</t>
  </si>
  <si>
    <t>CLIENTE:     PREFEITURA MUNICIPAL DE POTIM</t>
  </si>
  <si>
    <t>CIDADE:      POTIM-SP</t>
  </si>
  <si>
    <t>PROJETO:  AFASTAMENTO E TRATAMENTO DO ESGOTO SANITÁRIO DA SEDE DE POTIM</t>
  </si>
  <si>
    <t>FEV/2016</t>
  </si>
  <si>
    <t>TRANSPORTE DE ENTULHO COM CAMINHAO BASCULANTE 6 M3, RODOVIA PAVIMENTADA, DMT 0,5 A 1,0 KM</t>
  </si>
  <si>
    <t>ENCANADOR OU BOMBEIRO HIDRAULICO</t>
  </si>
  <si>
    <t>00002696</t>
  </si>
  <si>
    <t>REFERENCIAS DE PREÇOS: SINAPI  (INSUMOS E SERVIÇOS C/ DESONERAÇÃO - DEZEMBRO / 2015)</t>
  </si>
  <si>
    <t>A L T E R N A T I V A  0 2  -  R E A T O R   U A S B   E   F I L T R O   A N A E R Ó B I O   P E R C O L A D O R</t>
  </si>
  <si>
    <t>E S T I M A T I V A   O R Ç A M E N T Á R I A</t>
  </si>
  <si>
    <t>REDE COLETORA DE ESGOTOS</t>
  </si>
  <si>
    <t>M3</t>
  </si>
  <si>
    <t>74005/002</t>
  </si>
  <si>
    <t>COMPACTACAO MECANICA C/ CONTROLE DO GC&gt;=95% DO PN (AREAS) (C/MONIVELADORA 140 HP E ROLO COMPRESSOR VIBRATORIO 80 HP)</t>
  </si>
  <si>
    <t>FOTOREATOR</t>
  </si>
  <si>
    <t>73818/001</t>
  </si>
  <si>
    <t>PAVIMENTACAO EM PEDRISCO, ESPESSURA 5CM</t>
  </si>
  <si>
    <t>ELEVATÓRIA NA REDE COLETORA DE ESGOTOS</t>
  </si>
  <si>
    <t>LOCAÇÃO CONVENCIONAL DE OBRA ATRAVËS DE GABARITO DE TÁBUAS CORRIDAS PONTALETEADAS SEM REPAROVEITAMENTO</t>
  </si>
  <si>
    <t>73962/021</t>
  </si>
  <si>
    <t>ESCAVACAO DE VALA ESCORADA EM MATERIAL 1A CATEGORIA , PROFUNDIDADE ATE 1,5 M COM ESCAVADEIRA HIDRAULICA 105 HP(CAPACIDADE DE 0,78M3), SEM ESGOTAMENTO</t>
  </si>
  <si>
    <t>04.01.04</t>
  </si>
  <si>
    <t>73962/004</t>
  </si>
  <si>
    <t>ESCAVACAO DE VALA NAO ESCORADA EM MATERIAL DE 1A CATEGORIA COM PROFUNDIDADE DE 1,5 ATE 3M COM RETROESCAVADEIRA 75HP, SEM ESGOTAMENTO</t>
  </si>
  <si>
    <t>04.01.05</t>
  </si>
  <si>
    <t>04.01.06</t>
  </si>
  <si>
    <t>04.01.07</t>
  </si>
  <si>
    <t>04.01.08</t>
  </si>
  <si>
    <t>04.01.09</t>
  </si>
  <si>
    <t>04.01.10</t>
  </si>
  <si>
    <t>04.01.11</t>
  </si>
  <si>
    <t>74075/005</t>
  </si>
  <si>
    <t>FORMA MADEIRA COMP RESINADA 14MM P/ESTRUTURA REAPROV 2 VEZES - CORTE/MONTAGEM/ESCORAMENTO/DESFORMA</t>
  </si>
  <si>
    <t>04.01.12</t>
  </si>
  <si>
    <t>73983/001</t>
  </si>
  <si>
    <t>CONCRETO ARMADO FCK=15MPA (PREP.NA OBRA C/BETONEIRA), INCLUSIVE IMPERMEABILIZANTE (ESTRUTURAS</t>
  </si>
  <si>
    <t>04.01.13</t>
  </si>
  <si>
    <t>FORNECIMENTO DO MATERIAL HIDRÁULICO DAS ELEVATÓRIAS</t>
  </si>
  <si>
    <t>04.01.14</t>
  </si>
  <si>
    <t>APLICAÇÃO DO MATERIAL HIDRÁULICO DAS ELEVATÓRIAS</t>
  </si>
  <si>
    <t>04.01.16</t>
  </si>
  <si>
    <t>BOMBA SUBMERSIVEL SCHNEIDER BCS 320 POTÊNCIA 4,0CV, 3450 rpm, TRIFÁSICA OU SIMILAR</t>
  </si>
  <si>
    <t>04.01.17</t>
  </si>
  <si>
    <t>04.01.18</t>
  </si>
  <si>
    <t>MURETA PARA ABRIGO DOS QUADROS DE COMANDO DOS MOTORES "QCM's"</t>
  </si>
  <si>
    <t>04.01.20</t>
  </si>
  <si>
    <t>ELT-002</t>
  </si>
  <si>
    <t>INSTALAÇÕES ELÉTRICAS ELEVATÓRIAS DE 4 CV</t>
  </si>
  <si>
    <t>04.01.21</t>
  </si>
  <si>
    <t>FORNECIMENTO E INSTALAÇÃO DE CESTO EM FIO DE AÇO DE 3 MM, MALHA DE 5 CM, NAS DIMENSÕES (45x45x45) CM, INCLUSIVE GUIAS LATERAIS EM TUBO GALVANIZADO DN 2" E SISTEMA DE FIXAÇÃO,  CONFORME PROJETO</t>
  </si>
  <si>
    <t>LINHA DE RECALQUE / GRAVIDADE</t>
  </si>
  <si>
    <t>73888/004</t>
  </si>
  <si>
    <t>ASSENTAMENTO TUBO PVC COM JUNTA ELASTICA, DN 150 MM - (OU RPVC, OU PVC DEFOFO, OU PRFV).</t>
  </si>
  <si>
    <t>FORNECIMENTO DO MATERIAL HIDRÁULICO DAS LINHAS DE RECALQUE</t>
  </si>
  <si>
    <t>05.00.00</t>
  </si>
  <si>
    <t>05.01.00</t>
  </si>
  <si>
    <t>05.02.00</t>
  </si>
  <si>
    <t>05.03.00</t>
  </si>
  <si>
    <t>05.04.00</t>
  </si>
  <si>
    <t>05.05.00</t>
  </si>
  <si>
    <t>05.06.00</t>
  </si>
  <si>
    <t>05.07.00</t>
  </si>
  <si>
    <t>05.08.00</t>
  </si>
  <si>
    <t>05.09.00</t>
  </si>
  <si>
    <t>05.10.00</t>
  </si>
  <si>
    <t>05.11.00</t>
  </si>
  <si>
    <t>05.12.00</t>
  </si>
  <si>
    <t>05.13.00</t>
  </si>
  <si>
    <t>05.14.00</t>
  </si>
  <si>
    <t>ELEVATÓRIA E LINHA DE RECALQUE- BAIRRO MIGUEL VIEIRA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</si>
</sst>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(* #,##0.00_);_(* \(#,##0.00\);_(* &quot;-&quot;??_);_(@_)"/>
    <numFmt numFmtId="165" formatCode="_(* #,##0.000_);_(* \(#,##0.000\);_(* &quot;-&quot;??_);_(@_)"/>
    <numFmt numFmtId="166" formatCode="0.00000"/>
    <numFmt numFmtId="167" formatCode="dd/mm/yy;@"/>
    <numFmt numFmtId="168" formatCode="#,##0.00;[Red]#,##0.00"/>
    <numFmt numFmtId="169" formatCode="0.000"/>
  </numFmts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"/>
      <family val="2"/>
    </font>
    <font>
      <sz val="11"/>
      <color indexed="10"/>
      <name val="Arial"/>
      <family val="2"/>
    </font>
    <font>
      <b/>
      <sz val="11"/>
      <color indexed="10"/>
      <name val="Arial"/>
      <family val="2"/>
    </font>
    <font>
      <sz val="10"/>
      <name val="Arial Black"/>
      <family val="2"/>
    </font>
    <font>
      <b/>
      <sz val="11"/>
      <color theme="1"/>
      <name val="Calibri"/>
      <family val="2"/>
      <scheme val="minor"/>
    </font>
    <font>
      <b/>
      <sz val="13"/>
      <name val="Arial"/>
      <family val="2"/>
    </font>
    <font>
      <sz val="13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</fills>
  <borders count="81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</borders>
  <cellStyleXfs count="27">
    <xf numFmtId="0" fontId="0" fillId="0" borderId="0"/>
    <xf numFmtId="0" fontId="1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9" fontId="1" fillId="0" borderId="0" applyFont="0" applyFill="0" applyBorder="0" applyAlignment="0" applyProtection="0"/>
    <xf numFmtId="0" fontId="11" fillId="0" borderId="1" applyNumberFormat="0" applyFill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616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164" fontId="3" fillId="0" borderId="0" xfId="25" applyFont="1" applyAlignment="1">
      <alignment wrapText="1"/>
    </xf>
    <xf numFmtId="0" fontId="3" fillId="2" borderId="0" xfId="0" applyFont="1" applyFill="1" applyAlignment="1"/>
    <xf numFmtId="0" fontId="3" fillId="2" borderId="0" xfId="0" applyFont="1" applyFill="1" applyAlignment="1">
      <alignment wrapText="1"/>
    </xf>
    <xf numFmtId="0" fontId="3" fillId="2" borderId="0" xfId="0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wrapText="1"/>
    </xf>
    <xf numFmtId="0" fontId="12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2" fontId="1" fillId="0" borderId="29" xfId="0" applyNumberFormat="1" applyFont="1" applyBorder="1" applyAlignment="1">
      <alignment horizontal="center" vertical="center" wrapText="1"/>
    </xf>
    <xf numFmtId="1" fontId="1" fillId="0" borderId="29" xfId="23" applyNumberFormat="1" applyFont="1" applyBorder="1" applyAlignment="1">
      <alignment horizontal="center" vertical="center"/>
    </xf>
    <xf numFmtId="1" fontId="1" fillId="0" borderId="30" xfId="23" applyNumberFormat="1" applyFont="1" applyBorder="1" applyAlignment="1">
      <alignment horizontal="center" vertical="center"/>
    </xf>
    <xf numFmtId="164" fontId="5" fillId="0" borderId="31" xfId="25" applyFont="1" applyBorder="1" applyAlignment="1">
      <alignment horizontal="right" vertical="center"/>
    </xf>
    <xf numFmtId="164" fontId="1" fillId="0" borderId="0" xfId="25" applyFont="1" applyBorder="1" applyAlignment="1">
      <alignment vertical="center"/>
    </xf>
    <xf numFmtId="0" fontId="5" fillId="0" borderId="18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2" fontId="1" fillId="2" borderId="5" xfId="0" applyNumberFormat="1" applyFont="1" applyFill="1" applyBorder="1" applyAlignment="1">
      <alignment horizontal="center" vertical="center" wrapText="1"/>
    </xf>
    <xf numFmtId="1" fontId="1" fillId="2" borderId="5" xfId="23" applyNumberFormat="1" applyFont="1" applyFill="1" applyBorder="1" applyAlignment="1">
      <alignment horizontal="center" vertical="center"/>
    </xf>
    <xf numFmtId="1" fontId="1" fillId="2" borderId="32" xfId="23" applyNumberFormat="1" applyFont="1" applyFill="1" applyBorder="1" applyAlignment="1">
      <alignment horizontal="center" vertical="center"/>
    </xf>
    <xf numFmtId="164" fontId="5" fillId="0" borderId="11" xfId="25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/>
    </xf>
    <xf numFmtId="2" fontId="1" fillId="0" borderId="5" xfId="0" applyNumberFormat="1" applyFont="1" applyBorder="1" applyAlignment="1">
      <alignment horizontal="center" vertical="center" wrapText="1"/>
    </xf>
    <xf numFmtId="1" fontId="1" fillId="0" borderId="5" xfId="23" applyNumberFormat="1" applyFont="1" applyBorder="1" applyAlignment="1">
      <alignment horizontal="center" vertical="center"/>
    </xf>
    <xf numFmtId="1" fontId="1" fillId="0" borderId="32" xfId="23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center"/>
    </xf>
    <xf numFmtId="2" fontId="1" fillId="0" borderId="19" xfId="0" applyNumberFormat="1" applyFont="1" applyBorder="1" applyAlignment="1">
      <alignment horizontal="center" vertical="center" wrapText="1"/>
    </xf>
    <xf numFmtId="0" fontId="5" fillId="0" borderId="33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4" fontId="1" fillId="0" borderId="0" xfId="0" applyNumberFormat="1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164" fontId="3" fillId="0" borderId="4" xfId="25" applyNumberFormat="1" applyFont="1" applyBorder="1" applyAlignment="1">
      <alignment horizontal="center" vertical="center" wrapText="1"/>
    </xf>
    <xf numFmtId="164" fontId="16" fillId="0" borderId="4" xfId="25" applyNumberFormat="1" applyFont="1" applyBorder="1" applyAlignment="1">
      <alignment vertical="center" wrapText="1"/>
    </xf>
    <xf numFmtId="164" fontId="3" fillId="0" borderId="0" xfId="25" applyNumberFormat="1" applyFont="1" applyAlignment="1">
      <alignment wrapText="1"/>
    </xf>
    <xf numFmtId="164" fontId="16" fillId="0" borderId="0" xfId="25" applyNumberFormat="1" applyFont="1" applyAlignment="1">
      <alignment wrapText="1"/>
    </xf>
    <xf numFmtId="0" fontId="3" fillId="0" borderId="0" xfId="0" applyFont="1" applyFill="1" applyBorder="1" applyAlignment="1"/>
    <xf numFmtId="0" fontId="3" fillId="0" borderId="0" xfId="0" applyFont="1" applyFill="1" applyAlignment="1">
      <alignment wrapText="1"/>
    </xf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24" xfId="0" applyFont="1" applyBorder="1" applyAlignment="1"/>
    <xf numFmtId="0" fontId="3" fillId="0" borderId="0" xfId="0" applyFont="1" applyBorder="1" applyAlignment="1"/>
    <xf numFmtId="0" fontId="4" fillId="2" borderId="1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4" fontId="4" fillId="2" borderId="4" xfId="0" applyNumberFormat="1" applyFont="1" applyFill="1" applyBorder="1" applyAlignment="1">
      <alignment horizontal="right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vertical="center" wrapText="1"/>
    </xf>
    <xf numFmtId="2" fontId="3" fillId="0" borderId="24" xfId="0" applyNumberFormat="1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164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vertical="center" wrapText="1"/>
    </xf>
    <xf numFmtId="0" fontId="3" fillId="0" borderId="0" xfId="0" applyFont="1" applyAlignment="1"/>
    <xf numFmtId="0" fontId="3" fillId="0" borderId="14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0" borderId="4" xfId="25" applyNumberFormat="1" applyFont="1" applyBorder="1" applyAlignment="1">
      <alignment vertical="center" wrapText="1"/>
    </xf>
    <xf numFmtId="164" fontId="3" fillId="0" borderId="6" xfId="25" applyFont="1" applyBorder="1" applyAlignment="1">
      <alignment vertical="center" wrapText="1"/>
    </xf>
    <xf numFmtId="0" fontId="3" fillId="0" borderId="5" xfId="0" applyFont="1" applyBorder="1" applyAlignment="1">
      <alignment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left" vertical="center"/>
    </xf>
    <xf numFmtId="2" fontId="3" fillId="0" borderId="0" xfId="0" applyNumberFormat="1" applyFont="1" applyBorder="1" applyAlignment="1"/>
    <xf numFmtId="0" fontId="5" fillId="0" borderId="0" xfId="0" applyFont="1" applyAlignment="1">
      <alignment horizontal="right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right"/>
    </xf>
    <xf numFmtId="0" fontId="15" fillId="0" borderId="51" xfId="0" applyFont="1" applyBorder="1" applyAlignment="1">
      <alignment horizontal="center"/>
    </xf>
    <xf numFmtId="0" fontId="15" fillId="0" borderId="46" xfId="0" applyFont="1" applyBorder="1" applyAlignment="1">
      <alignment horizontal="center"/>
    </xf>
    <xf numFmtId="0" fontId="15" fillId="0" borderId="52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9" fillId="0" borderId="53" xfId="0" applyFont="1" applyBorder="1" applyAlignment="1">
      <alignment horizontal="center"/>
    </xf>
    <xf numFmtId="0" fontId="9" fillId="0" borderId="47" xfId="0" applyFont="1" applyBorder="1"/>
    <xf numFmtId="0" fontId="9" fillId="0" borderId="47" xfId="0" applyFont="1" applyBorder="1" applyAlignment="1">
      <alignment horizontal="center"/>
    </xf>
    <xf numFmtId="164" fontId="9" fillId="0" borderId="54" xfId="25" applyFont="1" applyBorder="1"/>
    <xf numFmtId="164" fontId="5" fillId="0" borderId="0" xfId="25" applyFont="1"/>
    <xf numFmtId="0" fontId="15" fillId="0" borderId="53" xfId="0" applyFont="1" applyBorder="1" applyAlignment="1">
      <alignment horizontal="center"/>
    </xf>
    <xf numFmtId="0" fontId="15" fillId="0" borderId="47" xfId="0" applyFont="1" applyBorder="1"/>
    <xf numFmtId="0" fontId="15" fillId="0" borderId="47" xfId="0" applyFont="1" applyBorder="1" applyAlignment="1">
      <alignment horizontal="center"/>
    </xf>
    <xf numFmtId="0" fontId="15" fillId="0" borderId="54" xfId="0" applyFont="1" applyBorder="1"/>
    <xf numFmtId="10" fontId="9" fillId="0" borderId="47" xfId="0" applyNumberFormat="1" applyFont="1" applyBorder="1" applyAlignment="1">
      <alignment horizontal="center"/>
    </xf>
    <xf numFmtId="43" fontId="9" fillId="0" borderId="54" xfId="0" applyNumberFormat="1" applyFont="1" applyBorder="1"/>
    <xf numFmtId="43" fontId="5" fillId="0" borderId="0" xfId="0" applyNumberFormat="1" applyFont="1"/>
    <xf numFmtId="10" fontId="15" fillId="0" borderId="47" xfId="0" applyNumberFormat="1" applyFont="1" applyBorder="1" applyAlignment="1">
      <alignment horizontal="center"/>
    </xf>
    <xf numFmtId="43" fontId="15" fillId="0" borderId="54" xfId="0" applyNumberFormat="1" applyFont="1" applyBorder="1"/>
    <xf numFmtId="43" fontId="0" fillId="0" borderId="0" xfId="0" applyNumberFormat="1"/>
    <xf numFmtId="0" fontId="15" fillId="0" borderId="47" xfId="0" applyFont="1" applyFill="1" applyBorder="1"/>
    <xf numFmtId="10" fontId="15" fillId="0" borderId="47" xfId="0" applyNumberFormat="1" applyFont="1" applyFill="1" applyBorder="1" applyAlignment="1">
      <alignment horizontal="center"/>
    </xf>
    <xf numFmtId="43" fontId="0" fillId="0" borderId="0" xfId="0" applyNumberFormat="1" applyFill="1"/>
    <xf numFmtId="0" fontId="15" fillId="0" borderId="14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0" fillId="0" borderId="24" xfId="0" applyBorder="1"/>
    <xf numFmtId="0" fontId="0" fillId="0" borderId="0" xfId="0" applyBorder="1"/>
    <xf numFmtId="0" fontId="0" fillId="0" borderId="59" xfId="0" applyBorder="1"/>
    <xf numFmtId="0" fontId="9" fillId="0" borderId="24" xfId="0" applyFont="1" applyBorder="1"/>
    <xf numFmtId="0" fontId="0" fillId="0" borderId="21" xfId="0" applyFill="1" applyBorder="1"/>
    <xf numFmtId="0" fontId="0" fillId="0" borderId="22" xfId="0" applyFill="1" applyBorder="1"/>
    <xf numFmtId="0" fontId="0" fillId="0" borderId="22" xfId="0" applyBorder="1"/>
    <xf numFmtId="0" fontId="0" fillId="0" borderId="23" xfId="0" applyBorder="1"/>
    <xf numFmtId="164" fontId="3" fillId="2" borderId="0" xfId="25" applyFont="1" applyFill="1" applyAlignment="1"/>
    <xf numFmtId="0" fontId="9" fillId="0" borderId="22" xfId="0" applyFont="1" applyBorder="1" applyAlignment="1">
      <alignment horizontal="right" vertical="center"/>
    </xf>
    <xf numFmtId="167" fontId="9" fillId="0" borderId="23" xfId="0" quotePrefix="1" applyNumberFormat="1" applyFont="1" applyBorder="1" applyAlignment="1">
      <alignment horizontal="center" vertical="center"/>
    </xf>
    <xf numFmtId="0" fontId="4" fillId="4" borderId="15" xfId="0" applyNumberFormat="1" applyFont="1" applyFill="1" applyBorder="1" applyAlignment="1">
      <alignment vertical="center"/>
    </xf>
    <xf numFmtId="0" fontId="4" fillId="4" borderId="9" xfId="0" applyFont="1" applyFill="1" applyBorder="1" applyAlignment="1">
      <alignment vertical="center" wrapText="1"/>
    </xf>
    <xf numFmtId="0" fontId="4" fillId="4" borderId="9" xfId="0" applyFont="1" applyFill="1" applyBorder="1" applyAlignment="1">
      <alignment horizontal="center" vertical="center" wrapText="1"/>
    </xf>
    <xf numFmtId="164" fontId="4" fillId="4" borderId="9" xfId="0" applyNumberFormat="1" applyFont="1" applyFill="1" applyBorder="1" applyAlignment="1">
      <alignment vertical="center" wrapText="1"/>
    </xf>
    <xf numFmtId="164" fontId="4" fillId="4" borderId="9" xfId="0" applyNumberFormat="1" applyFont="1" applyFill="1" applyBorder="1" applyAlignment="1">
      <alignment horizontal="right" vertical="center" wrapText="1"/>
    </xf>
    <xf numFmtId="2" fontId="5" fillId="4" borderId="29" xfId="23" applyNumberFormat="1" applyFont="1" applyFill="1" applyBorder="1" applyAlignment="1">
      <alignment horizontal="center" vertical="center"/>
    </xf>
    <xf numFmtId="164" fontId="5" fillId="4" borderId="31" xfId="25" applyFont="1" applyFill="1" applyBorder="1" applyAlignment="1">
      <alignment vertical="center"/>
    </xf>
    <xf numFmtId="164" fontId="5" fillId="4" borderId="5" xfId="25" applyFont="1" applyFill="1" applyBorder="1" applyAlignment="1">
      <alignment horizontal="center" vertical="center"/>
    </xf>
    <xf numFmtId="164" fontId="5" fillId="4" borderId="11" xfId="25" applyFont="1" applyFill="1" applyBorder="1" applyAlignment="1">
      <alignment vertical="center"/>
    </xf>
    <xf numFmtId="2" fontId="5" fillId="4" borderId="5" xfId="23" applyNumberFormat="1" applyFont="1" applyFill="1" applyBorder="1" applyAlignment="1">
      <alignment horizontal="center" vertical="center"/>
    </xf>
    <xf numFmtId="2" fontId="5" fillId="4" borderId="11" xfId="23" applyNumberFormat="1" applyFont="1" applyFill="1" applyBorder="1" applyAlignment="1">
      <alignment horizontal="center" vertical="center"/>
    </xf>
    <xf numFmtId="164" fontId="5" fillId="4" borderId="19" xfId="25" applyFont="1" applyFill="1" applyBorder="1" applyAlignment="1">
      <alignment horizontal="center" vertical="center"/>
    </xf>
    <xf numFmtId="164" fontId="5" fillId="4" borderId="12" xfId="25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right" vertical="center" wrapText="1"/>
    </xf>
    <xf numFmtId="164" fontId="4" fillId="4" borderId="22" xfId="0" applyNumberFormat="1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right" vertical="center" wrapText="1"/>
    </xf>
    <xf numFmtId="164" fontId="4" fillId="4" borderId="9" xfId="0" applyNumberFormat="1" applyFont="1" applyFill="1" applyBorder="1" applyAlignment="1">
      <alignment horizontal="center" vertical="center" wrapText="1"/>
    </xf>
    <xf numFmtId="164" fontId="4" fillId="4" borderId="13" xfId="0" applyNumberFormat="1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 wrapText="1"/>
    </xf>
    <xf numFmtId="4" fontId="4" fillId="4" borderId="9" xfId="0" applyNumberFormat="1" applyFont="1" applyFill="1" applyBorder="1" applyAlignment="1">
      <alignment horizontal="right" vertical="center" wrapText="1"/>
    </xf>
    <xf numFmtId="164" fontId="4" fillId="4" borderId="13" xfId="0" applyNumberFormat="1" applyFont="1" applyFill="1" applyBorder="1" applyAlignment="1">
      <alignment vertical="center" wrapText="1"/>
    </xf>
    <xf numFmtId="164" fontId="5" fillId="4" borderId="46" xfId="0" applyNumberFormat="1" applyFont="1" applyFill="1" applyBorder="1" applyAlignment="1">
      <alignment horizontal="center" vertical="center" wrapText="1"/>
    </xf>
    <xf numFmtId="164" fontId="5" fillId="4" borderId="52" xfId="0" applyNumberFormat="1" applyFont="1" applyFill="1" applyBorder="1" applyAlignment="1">
      <alignment horizontal="center" vertical="center" wrapText="1"/>
    </xf>
    <xf numFmtId="164" fontId="5" fillId="4" borderId="47" xfId="0" applyNumberFormat="1" applyFont="1" applyFill="1" applyBorder="1" applyAlignment="1">
      <alignment horizontal="center" vertical="center" wrapText="1"/>
    </xf>
    <xf numFmtId="164" fontId="5" fillId="4" borderId="54" xfId="0" applyNumberFormat="1" applyFont="1" applyFill="1" applyBorder="1" applyAlignment="1">
      <alignment horizontal="center" vertical="center" wrapText="1"/>
    </xf>
    <xf numFmtId="164" fontId="8" fillId="4" borderId="47" xfId="0" applyNumberFormat="1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left" vertical="center"/>
    </xf>
    <xf numFmtId="0" fontId="9" fillId="4" borderId="22" xfId="0" applyFont="1" applyFill="1" applyBorder="1" applyAlignment="1">
      <alignment horizontal="right" vertical="center"/>
    </xf>
    <xf numFmtId="167" fontId="9" fillId="4" borderId="23" xfId="0" quotePrefix="1" applyNumberFormat="1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0" fontId="9" fillId="4" borderId="7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5" borderId="0" xfId="0" applyFont="1" applyFill="1" applyAlignment="1">
      <alignment wrapText="1"/>
    </xf>
    <xf numFmtId="0" fontId="3" fillId="6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/>
    <xf numFmtId="164" fontId="3" fillId="0" borderId="0" xfId="0" applyNumberFormat="1" applyFont="1" applyFill="1" applyBorder="1" applyAlignment="1"/>
    <xf numFmtId="164" fontId="3" fillId="0" borderId="0" xfId="25" applyFont="1" applyFill="1" applyBorder="1" applyAlignment="1"/>
    <xf numFmtId="43" fontId="3" fillId="0" borderId="0" xfId="0" applyNumberFormat="1" applyFont="1" applyFill="1" applyBorder="1" applyAlignment="1"/>
    <xf numFmtId="10" fontId="3" fillId="0" borderId="0" xfId="23" applyNumberFormat="1" applyFont="1" applyFill="1" applyBorder="1" applyAlignment="1"/>
    <xf numFmtId="0" fontId="3" fillId="0" borderId="14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wrapText="1"/>
    </xf>
    <xf numFmtId="0" fontId="3" fillId="2" borderId="60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vertical="center" wrapText="1"/>
    </xf>
    <xf numFmtId="164" fontId="3" fillId="2" borderId="60" xfId="25" applyNumberFormat="1" applyFont="1" applyFill="1" applyBorder="1" applyAlignment="1">
      <alignment horizontal="right" vertical="center"/>
    </xf>
    <xf numFmtId="0" fontId="4" fillId="4" borderId="60" xfId="0" applyFont="1" applyFill="1" applyBorder="1" applyAlignment="1">
      <alignment vertical="center" wrapText="1"/>
    </xf>
    <xf numFmtId="0" fontId="3" fillId="4" borderId="60" xfId="0" applyFont="1" applyFill="1" applyBorder="1" applyAlignment="1">
      <alignment horizontal="center" vertical="center"/>
    </xf>
    <xf numFmtId="164" fontId="3" fillId="4" borderId="60" xfId="25" applyNumberFormat="1" applyFont="1" applyFill="1" applyBorder="1" applyAlignment="1">
      <alignment horizontal="right" vertical="center"/>
    </xf>
    <xf numFmtId="0" fontId="3" fillId="0" borderId="60" xfId="0" applyFont="1" applyFill="1" applyBorder="1" applyAlignment="1">
      <alignment vertical="center" wrapText="1"/>
    </xf>
    <xf numFmtId="164" fontId="3" fillId="0" borderId="60" xfId="25" applyNumberFormat="1" applyFont="1" applyFill="1" applyBorder="1" applyAlignment="1">
      <alignment horizontal="right" vertical="center"/>
    </xf>
    <xf numFmtId="0" fontId="3" fillId="5" borderId="60" xfId="0" applyFont="1" applyFill="1" applyBorder="1" applyAlignment="1">
      <alignment vertical="center" wrapText="1"/>
    </xf>
    <xf numFmtId="164" fontId="3" fillId="5" borderId="60" xfId="25" applyNumberFormat="1" applyFont="1" applyFill="1" applyBorder="1" applyAlignment="1">
      <alignment horizontal="right" vertical="center"/>
    </xf>
    <xf numFmtId="164" fontId="3" fillId="0" borderId="60" xfId="25" applyFont="1" applyFill="1" applyBorder="1" applyAlignment="1">
      <alignment vertical="center"/>
    </xf>
    <xf numFmtId="164" fontId="3" fillId="3" borderId="0" xfId="25" applyFont="1" applyFill="1" applyAlignment="1"/>
    <xf numFmtId="164" fontId="3" fillId="3" borderId="0" xfId="25" applyFont="1" applyFill="1" applyAlignment="1">
      <alignment wrapText="1"/>
    </xf>
    <xf numFmtId="0" fontId="3" fillId="0" borderId="60" xfId="0" applyFont="1" applyFill="1" applyBorder="1" applyAlignment="1">
      <alignment horizontal="center" vertical="center"/>
    </xf>
    <xf numFmtId="0" fontId="3" fillId="0" borderId="60" xfId="0" applyFont="1" applyFill="1" applyBorder="1"/>
    <xf numFmtId="0" fontId="3" fillId="0" borderId="0" xfId="0" applyFont="1" applyFill="1" applyBorder="1" applyAlignment="1">
      <alignment vertical="center" wrapText="1"/>
    </xf>
    <xf numFmtId="4" fontId="3" fillId="0" borderId="60" xfId="0" applyNumberFormat="1" applyFont="1" applyFill="1" applyBorder="1" applyAlignment="1"/>
    <xf numFmtId="0" fontId="3" fillId="0" borderId="60" xfId="0" applyNumberFormat="1" applyFont="1" applyFill="1" applyBorder="1"/>
    <xf numFmtId="4" fontId="3" fillId="5" borderId="60" xfId="0" applyNumberFormat="1" applyFont="1" applyFill="1" applyBorder="1" applyAlignment="1"/>
    <xf numFmtId="0" fontId="3" fillId="0" borderId="60" xfId="0" applyFont="1" applyFill="1" applyBorder="1" applyAlignment="1"/>
    <xf numFmtId="0" fontId="4" fillId="0" borderId="61" xfId="0" applyNumberFormat="1" applyFont="1" applyFill="1" applyBorder="1" applyAlignment="1">
      <alignment horizontal="center" vertical="center" wrapText="1"/>
    </xf>
    <xf numFmtId="0" fontId="4" fillId="0" borderId="61" xfId="0" applyFont="1" applyFill="1" applyBorder="1" applyAlignment="1">
      <alignment vertical="center" wrapText="1"/>
    </xf>
    <xf numFmtId="0" fontId="4" fillId="0" borderId="61" xfId="0" applyFont="1" applyFill="1" applyBorder="1" applyAlignment="1">
      <alignment horizontal="center" vertical="center" wrapText="1"/>
    </xf>
    <xf numFmtId="164" fontId="4" fillId="0" borderId="61" xfId="25" applyNumberFormat="1" applyFont="1" applyFill="1" applyBorder="1" applyAlignment="1">
      <alignment horizontal="center" vertical="center" wrapText="1"/>
    </xf>
    <xf numFmtId="164" fontId="4" fillId="0" borderId="61" xfId="25" applyFont="1" applyFill="1" applyBorder="1" applyAlignment="1">
      <alignment horizontal="right" vertical="center" wrapText="1"/>
    </xf>
    <xf numFmtId="0" fontId="4" fillId="4" borderId="60" xfId="0" quotePrefix="1" applyNumberFormat="1" applyFont="1" applyFill="1" applyBorder="1" applyAlignment="1">
      <alignment horizontal="left" vertical="center"/>
    </xf>
    <xf numFmtId="164" fontId="3" fillId="4" borderId="60" xfId="25" applyFont="1" applyFill="1" applyBorder="1" applyAlignment="1">
      <alignment vertical="center"/>
    </xf>
    <xf numFmtId="0" fontId="3" fillId="0" borderId="60" xfId="0" applyNumberFormat="1" applyFont="1" applyFill="1" applyBorder="1" applyAlignment="1">
      <alignment horizontal="left" vertical="center"/>
    </xf>
    <xf numFmtId="0" fontId="3" fillId="0" borderId="60" xfId="0" applyFont="1" applyBorder="1"/>
    <xf numFmtId="0" fontId="3" fillId="2" borderId="60" xfId="0" applyNumberFormat="1" applyFont="1" applyFill="1" applyBorder="1" applyAlignment="1">
      <alignment horizontal="left" vertical="center"/>
    </xf>
    <xf numFmtId="0" fontId="3" fillId="0" borderId="60" xfId="0" applyNumberFormat="1" applyFont="1" applyBorder="1" applyAlignment="1">
      <alignment horizontal="left" vertical="center"/>
    </xf>
    <xf numFmtId="0" fontId="3" fillId="5" borderId="60" xfId="0" applyFont="1" applyFill="1" applyBorder="1" applyAlignment="1">
      <alignment wrapText="1"/>
    </xf>
    <xf numFmtId="0" fontId="3" fillId="0" borderId="60" xfId="0" applyNumberFormat="1" applyFont="1" applyBorder="1" applyAlignment="1">
      <alignment horizontal="center" vertical="center" wrapText="1"/>
    </xf>
    <xf numFmtId="0" fontId="3" fillId="2" borderId="60" xfId="0" applyFont="1" applyFill="1" applyBorder="1" applyAlignment="1">
      <alignment wrapText="1"/>
    </xf>
    <xf numFmtId="164" fontId="4" fillId="0" borderId="61" xfId="25" applyNumberFormat="1" applyFont="1" applyFill="1" applyBorder="1" applyAlignment="1">
      <alignment horizontal="right" vertical="center" wrapText="1"/>
    </xf>
    <xf numFmtId="10" fontId="4" fillId="4" borderId="64" xfId="23" applyNumberFormat="1" applyFont="1" applyFill="1" applyBorder="1" applyAlignment="1">
      <alignment horizontal="center" vertical="center"/>
    </xf>
    <xf numFmtId="164" fontId="4" fillId="7" borderId="0" xfId="25" applyFont="1" applyFill="1" applyBorder="1" applyAlignment="1">
      <alignment horizontal="right" vertical="center" wrapText="1"/>
    </xf>
    <xf numFmtId="164" fontId="3" fillId="7" borderId="0" xfId="25" applyFont="1" applyFill="1" applyBorder="1" applyAlignment="1">
      <alignment wrapText="1"/>
    </xf>
    <xf numFmtId="164" fontId="3" fillId="7" borderId="0" xfId="25" applyFont="1" applyFill="1" applyBorder="1" applyAlignment="1">
      <alignment horizontal="center" vertical="center" wrapText="1"/>
    </xf>
    <xf numFmtId="164" fontId="0" fillId="7" borderId="0" xfId="25" applyFont="1" applyFill="1" applyBorder="1" applyAlignment="1">
      <alignment vertical="center"/>
    </xf>
    <xf numFmtId="164" fontId="4" fillId="7" borderId="0" xfId="25" applyFont="1" applyFill="1" applyBorder="1" applyAlignment="1">
      <alignment vertical="center"/>
    </xf>
    <xf numFmtId="164" fontId="3" fillId="7" borderId="0" xfId="25" applyFont="1" applyFill="1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164" fontId="3" fillId="0" borderId="5" xfId="25" applyFont="1" applyFill="1" applyBorder="1" applyAlignment="1">
      <alignment horizontal="center" vertical="center" wrapText="1"/>
    </xf>
    <xf numFmtId="0" fontId="3" fillId="0" borderId="5" xfId="0" quotePrefix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 vertical="center" wrapText="1"/>
    </xf>
    <xf numFmtId="164" fontId="3" fillId="3" borderId="5" xfId="25" applyFont="1" applyFill="1" applyBorder="1" applyAlignment="1">
      <alignment horizontal="center" vertical="center" wrapText="1"/>
    </xf>
    <xf numFmtId="164" fontId="3" fillId="3" borderId="11" xfId="25" applyFont="1" applyFill="1" applyBorder="1" applyAlignment="1">
      <alignment horizontal="center" vertical="center" wrapText="1"/>
    </xf>
    <xf numFmtId="0" fontId="3" fillId="0" borderId="5" xfId="0" quotePrefix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distributed" wrapText="1"/>
    </xf>
    <xf numFmtId="164" fontId="3" fillId="2" borderId="5" xfId="25" applyFont="1" applyFill="1" applyBorder="1" applyAlignment="1">
      <alignment horizontal="center" vertical="center" wrapText="1"/>
    </xf>
    <xf numFmtId="4" fontId="4" fillId="0" borderId="62" xfId="23" applyNumberFormat="1" applyFont="1" applyFill="1" applyBorder="1" applyAlignment="1">
      <alignment horizontal="center"/>
    </xf>
    <xf numFmtId="10" fontId="4" fillId="0" borderId="51" xfId="23" applyNumberFormat="1" applyFont="1" applyFill="1" applyBorder="1" applyAlignment="1">
      <alignment horizontal="center"/>
    </xf>
    <xf numFmtId="10" fontId="4" fillId="0" borderId="46" xfId="23" applyNumberFormat="1" applyFont="1" applyFill="1" applyBorder="1" applyAlignment="1">
      <alignment horizontal="center" vertical="center"/>
    </xf>
    <xf numFmtId="10" fontId="4" fillId="0" borderId="52" xfId="23" applyNumberFormat="1" applyFont="1" applyFill="1" applyBorder="1" applyAlignment="1">
      <alignment horizontal="center" vertical="center"/>
    </xf>
    <xf numFmtId="4" fontId="4" fillId="0" borderId="48" xfId="23" applyNumberFormat="1" applyFont="1" applyFill="1" applyBorder="1" applyAlignment="1">
      <alignment horizontal="center" vertical="center"/>
    </xf>
    <xf numFmtId="4" fontId="4" fillId="0" borderId="63" xfId="0" applyNumberFormat="1" applyFont="1" applyFill="1" applyBorder="1" applyAlignment="1"/>
    <xf numFmtId="164" fontId="1" fillId="0" borderId="73" xfId="25" applyFont="1" applyBorder="1" applyAlignment="1">
      <alignment vertical="center"/>
    </xf>
    <xf numFmtId="164" fontId="1" fillId="0" borderId="74" xfId="25" applyFont="1" applyBorder="1" applyAlignment="1">
      <alignment vertical="center"/>
    </xf>
    <xf numFmtId="164" fontId="1" fillId="0" borderId="75" xfId="25" applyFont="1" applyBorder="1" applyAlignment="1">
      <alignment vertical="center"/>
    </xf>
    <xf numFmtId="164" fontId="1" fillId="0" borderId="65" xfId="25" applyFont="1" applyBorder="1" applyAlignment="1">
      <alignment vertical="center"/>
    </xf>
    <xf numFmtId="164" fontId="1" fillId="0" borderId="68" xfId="25" applyFont="1" applyBorder="1" applyAlignment="1">
      <alignment vertical="center"/>
    </xf>
    <xf numFmtId="164" fontId="1" fillId="0" borderId="70" xfId="25" applyFont="1" applyBorder="1" applyAlignment="1">
      <alignment vertical="center"/>
    </xf>
    <xf numFmtId="164" fontId="1" fillId="0" borderId="66" xfId="25" applyFont="1" applyBorder="1" applyAlignment="1">
      <alignment vertical="center"/>
    </xf>
    <xf numFmtId="164" fontId="1" fillId="0" borderId="67" xfId="25" applyFont="1" applyBorder="1" applyAlignment="1">
      <alignment vertical="center"/>
    </xf>
    <xf numFmtId="164" fontId="1" fillId="0" borderId="69" xfId="25" applyFont="1" applyBorder="1" applyAlignment="1">
      <alignment vertical="center"/>
    </xf>
    <xf numFmtId="164" fontId="1" fillId="0" borderId="71" xfId="25" applyFont="1" applyBorder="1" applyAlignment="1">
      <alignment vertical="center"/>
    </xf>
    <xf numFmtId="164" fontId="1" fillId="0" borderId="72" xfId="25" applyFont="1" applyBorder="1" applyAlignment="1">
      <alignment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4" fontId="4" fillId="2" borderId="9" xfId="0" applyNumberFormat="1" applyFont="1" applyFill="1" applyBorder="1" applyAlignment="1">
      <alignment horizontal="right" vertical="center" wrapText="1"/>
    </xf>
    <xf numFmtId="164" fontId="4" fillId="2" borderId="9" xfId="0" applyNumberFormat="1" applyFont="1" applyFill="1" applyBorder="1" applyAlignment="1">
      <alignment horizontal="center" vertical="center" wrapText="1"/>
    </xf>
    <xf numFmtId="164" fontId="4" fillId="2" borderId="13" xfId="0" applyNumberFormat="1" applyFont="1" applyFill="1" applyBorder="1" applyAlignment="1">
      <alignment vertical="center" wrapText="1"/>
    </xf>
    <xf numFmtId="0" fontId="4" fillId="2" borderId="76" xfId="0" applyFont="1" applyFill="1" applyBorder="1" applyAlignment="1">
      <alignment horizontal="center" vertical="center" wrapText="1"/>
    </xf>
    <xf numFmtId="0" fontId="4" fillId="2" borderId="77" xfId="0" applyFont="1" applyFill="1" applyBorder="1" applyAlignment="1">
      <alignment horizontal="center" vertical="center" wrapText="1"/>
    </xf>
    <xf numFmtId="0" fontId="3" fillId="2" borderId="77" xfId="0" applyFont="1" applyFill="1" applyBorder="1" applyAlignment="1">
      <alignment horizontal="center" vertical="center" wrapText="1"/>
    </xf>
    <xf numFmtId="0" fontId="1" fillId="2" borderId="77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3" fillId="0" borderId="5" xfId="0" applyFont="1" applyFill="1" applyBorder="1"/>
    <xf numFmtId="0" fontId="3" fillId="0" borderId="5" xfId="0" applyNumberFormat="1" applyFont="1" applyFill="1" applyBorder="1"/>
    <xf numFmtId="49" fontId="3" fillId="0" borderId="5" xfId="0" applyNumberFormat="1" applyFont="1" applyFill="1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2" borderId="5" xfId="0" quotePrefix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left" vertical="distributed" wrapText="1"/>
    </xf>
    <xf numFmtId="164" fontId="3" fillId="3" borderId="5" xfId="25" applyFont="1" applyFill="1" applyBorder="1" applyAlignment="1">
      <alignment horizontal="center" vertical="center"/>
    </xf>
    <xf numFmtId="164" fontId="7" fillId="2" borderId="77" xfId="25" applyFont="1" applyFill="1" applyBorder="1" applyAlignment="1">
      <alignment horizontal="right" vertical="center" wrapText="1"/>
    </xf>
    <xf numFmtId="164" fontId="8" fillId="2" borderId="77" xfId="25" applyFont="1" applyFill="1" applyBorder="1" applyAlignment="1">
      <alignment horizontal="center" vertical="center" wrapText="1"/>
    </xf>
    <xf numFmtId="164" fontId="5" fillId="2" borderId="78" xfId="25" applyFont="1" applyFill="1" applyBorder="1" applyAlignment="1">
      <alignment horizontal="center" vertical="center" wrapText="1"/>
    </xf>
    <xf numFmtId="164" fontId="3" fillId="4" borderId="5" xfId="25" applyFont="1" applyFill="1" applyBorder="1" applyAlignment="1">
      <alignment horizontal="right" vertical="center" wrapText="1"/>
    </xf>
    <xf numFmtId="164" fontId="3" fillId="4" borderId="5" xfId="25" applyFont="1" applyFill="1" applyBorder="1" applyAlignment="1">
      <alignment horizontal="center" vertical="center" wrapText="1"/>
    </xf>
    <xf numFmtId="164" fontId="3" fillId="2" borderId="5" xfId="25" applyFont="1" applyFill="1" applyBorder="1" applyAlignment="1">
      <alignment horizontal="right" vertical="center" wrapText="1"/>
    </xf>
    <xf numFmtId="164" fontId="3" fillId="0" borderId="5" xfId="25" applyFont="1" applyFill="1" applyBorder="1" applyAlignment="1">
      <alignment horizontal="right" vertical="center" wrapText="1"/>
    </xf>
    <xf numFmtId="164" fontId="3" fillId="0" borderId="5" xfId="25" applyFont="1" applyFill="1" applyBorder="1" applyAlignment="1">
      <alignment horizontal="right" vertical="center"/>
    </xf>
    <xf numFmtId="164" fontId="3" fillId="0" borderId="5" xfId="25" applyFont="1" applyFill="1" applyBorder="1" applyAlignment="1">
      <alignment vertical="center"/>
    </xf>
    <xf numFmtId="164" fontId="3" fillId="0" borderId="5" xfId="25" applyFont="1" applyBorder="1" applyAlignment="1">
      <alignment horizontal="right" vertical="center" wrapText="1"/>
    </xf>
    <xf numFmtId="164" fontId="3" fillId="0" borderId="5" xfId="25" applyFont="1" applyBorder="1" applyAlignment="1">
      <alignment horizontal="center" vertical="center" wrapText="1"/>
    </xf>
    <xf numFmtId="164" fontId="3" fillId="2" borderId="5" xfId="25" applyFont="1" applyFill="1" applyBorder="1" applyAlignment="1">
      <alignment horizontal="right" vertical="center"/>
    </xf>
    <xf numFmtId="164" fontId="3" fillId="2" borderId="5" xfId="25" applyFont="1" applyFill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164" fontId="3" fillId="0" borderId="5" xfId="25" applyFont="1" applyBorder="1" applyAlignment="1">
      <alignment vertical="center" wrapText="1"/>
    </xf>
    <xf numFmtId="0" fontId="15" fillId="0" borderId="15" xfId="0" applyFont="1" applyBorder="1" applyAlignment="1">
      <alignment vertical="center"/>
    </xf>
    <xf numFmtId="0" fontId="15" fillId="0" borderId="9" xfId="0" applyFont="1" applyBorder="1" applyAlignment="1">
      <alignment vertical="center"/>
    </xf>
    <xf numFmtId="4" fontId="15" fillId="0" borderId="9" xfId="0" applyNumberFormat="1" applyFont="1" applyBorder="1" applyAlignment="1">
      <alignment horizontal="center" vertical="center"/>
    </xf>
    <xf numFmtId="0" fontId="15" fillId="0" borderId="13" xfId="0" applyFont="1" applyBorder="1" applyAlignment="1">
      <alignment vertical="center"/>
    </xf>
    <xf numFmtId="0" fontId="9" fillId="4" borderId="21" xfId="0" applyFont="1" applyFill="1" applyBorder="1" applyAlignment="1">
      <alignment vertical="center"/>
    </xf>
    <xf numFmtId="0" fontId="9" fillId="4" borderId="22" xfId="0" applyFont="1" applyFill="1" applyBorder="1" applyAlignment="1">
      <alignment vertical="center"/>
    </xf>
    <xf numFmtId="4" fontId="9" fillId="4" borderId="22" xfId="0" applyNumberFormat="1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4" fontId="9" fillId="0" borderId="22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167" fontId="9" fillId="0" borderId="23" xfId="0" applyNumberFormat="1" applyFont="1" applyBorder="1" applyAlignment="1">
      <alignment horizontal="center" vertical="center"/>
    </xf>
    <xf numFmtId="0" fontId="9" fillId="4" borderId="15" xfId="0" applyFont="1" applyFill="1" applyBorder="1" applyAlignment="1">
      <alignment vertical="center"/>
    </xf>
    <xf numFmtId="0" fontId="9" fillId="4" borderId="9" xfId="0" applyFont="1" applyFill="1" applyBorder="1" applyAlignment="1">
      <alignment vertical="center"/>
    </xf>
    <xf numFmtId="4" fontId="9" fillId="4" borderId="9" xfId="0" applyNumberFormat="1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vertical="center"/>
    </xf>
    <xf numFmtId="0" fontId="9" fillId="4" borderId="9" xfId="0" applyFont="1" applyFill="1" applyBorder="1" applyAlignment="1">
      <alignment horizontal="right" vertical="center"/>
    </xf>
    <xf numFmtId="0" fontId="9" fillId="4" borderId="13" xfId="0" quotePrefix="1" applyFont="1" applyFill="1" applyBorder="1" applyAlignment="1">
      <alignment vertical="center"/>
    </xf>
    <xf numFmtId="0" fontId="9" fillId="0" borderId="24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4" fontId="9" fillId="0" borderId="0" xfId="0" applyNumberFormat="1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vertical="center"/>
    </xf>
    <xf numFmtId="0" fontId="15" fillId="0" borderId="13" xfId="0" applyFont="1" applyFill="1" applyBorder="1" applyAlignment="1">
      <alignment vertical="center"/>
    </xf>
    <xf numFmtId="0" fontId="9" fillId="4" borderId="25" xfId="0" applyFont="1" applyFill="1" applyBorder="1" applyAlignment="1">
      <alignment horizontal="center" vertical="center"/>
    </xf>
    <xf numFmtId="0" fontId="9" fillId="4" borderId="26" xfId="0" applyFont="1" applyFill="1" applyBorder="1" applyAlignment="1">
      <alignment horizontal="center" vertical="center"/>
    </xf>
    <xf numFmtId="0" fontId="9" fillId="4" borderId="27" xfId="0" applyFont="1" applyFill="1" applyBorder="1" applyAlignment="1">
      <alignment horizontal="center" vertical="center"/>
    </xf>
    <xf numFmtId="0" fontId="3" fillId="0" borderId="79" xfId="0" applyFont="1" applyBorder="1" applyAlignment="1"/>
    <xf numFmtId="0" fontId="3" fillId="0" borderId="80" xfId="0" applyFont="1" applyBorder="1" applyAlignment="1"/>
    <xf numFmtId="0" fontId="3" fillId="0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" fontId="1" fillId="8" borderId="5" xfId="23" applyNumberFormat="1" applyFont="1" applyFill="1" applyBorder="1" applyAlignment="1">
      <alignment horizontal="center" vertical="center"/>
    </xf>
    <xf numFmtId="1" fontId="1" fillId="8" borderId="32" xfId="23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0" fontId="5" fillId="9" borderId="18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vertical="center"/>
    </xf>
    <xf numFmtId="2" fontId="1" fillId="9" borderId="5" xfId="0" applyNumberFormat="1" applyFont="1" applyFill="1" applyBorder="1" applyAlignment="1">
      <alignment horizontal="center" vertical="center" wrapText="1"/>
    </xf>
    <xf numFmtId="1" fontId="1" fillId="9" borderId="5" xfId="23" applyNumberFormat="1" applyFont="1" applyFill="1" applyBorder="1" applyAlignment="1">
      <alignment horizontal="center" vertical="center"/>
    </xf>
    <xf numFmtId="1" fontId="1" fillId="9" borderId="32" xfId="23" applyNumberFormat="1" applyFont="1" applyFill="1" applyBorder="1" applyAlignment="1">
      <alignment horizontal="center" vertical="center"/>
    </xf>
    <xf numFmtId="164" fontId="5" fillId="9" borderId="11" xfId="25" applyFont="1" applyFill="1" applyBorder="1" applyAlignment="1">
      <alignment horizontal="right" vertical="center"/>
    </xf>
    <xf numFmtId="14" fontId="9" fillId="4" borderId="23" xfId="0" quotePrefix="1" applyNumberFormat="1" applyFont="1" applyFill="1" applyBorder="1" applyAlignment="1">
      <alignment horizontal="left" vertical="center" wrapText="1"/>
    </xf>
    <xf numFmtId="10" fontId="3" fillId="0" borderId="0" xfId="0" applyNumberFormat="1" applyFont="1" applyBorder="1" applyAlignment="1"/>
    <xf numFmtId="10" fontId="3" fillId="2" borderId="0" xfId="23" applyNumberFormat="1" applyFont="1" applyFill="1" applyAlignment="1"/>
    <xf numFmtId="0" fontId="3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9" fontId="3" fillId="0" borderId="0" xfId="23" applyFont="1" applyFill="1" applyBorder="1" applyAlignment="1"/>
    <xf numFmtId="10" fontId="3" fillId="0" borderId="56" xfId="23" applyNumberFormat="1" applyFont="1" applyFill="1" applyBorder="1" applyAlignment="1"/>
    <xf numFmtId="0" fontId="3" fillId="0" borderId="58" xfId="0" applyFont="1" applyFill="1" applyBorder="1" applyAlignment="1"/>
    <xf numFmtId="0" fontId="3" fillId="0" borderId="24" xfId="0" applyFont="1" applyFill="1" applyBorder="1" applyAlignment="1">
      <alignment vertical="center" wrapText="1"/>
    </xf>
    <xf numFmtId="0" fontId="3" fillId="0" borderId="59" xfId="0" applyFont="1" applyFill="1" applyBorder="1" applyAlignment="1">
      <alignment vertical="center" wrapText="1"/>
    </xf>
    <xf numFmtId="10" fontId="3" fillId="0" borderId="21" xfId="23" applyNumberFormat="1" applyFont="1" applyFill="1" applyBorder="1" applyAlignment="1"/>
    <xf numFmtId="0" fontId="3" fillId="0" borderId="23" xfId="0" applyFont="1" applyFill="1" applyBorder="1" applyAlignment="1"/>
    <xf numFmtId="0" fontId="3" fillId="0" borderId="5" xfId="0" applyNumberFormat="1" applyFont="1" applyFill="1" applyBorder="1" applyAlignment="1">
      <alignment horizontal="center" vertical="center" wrapText="1"/>
    </xf>
    <xf numFmtId="164" fontId="3" fillId="3" borderId="5" xfId="25" applyFont="1" applyFill="1" applyBorder="1" applyAlignment="1">
      <alignment vertical="center" wrapText="1"/>
    </xf>
    <xf numFmtId="164" fontId="3" fillId="0" borderId="5" xfId="25" applyFont="1" applyFill="1" applyBorder="1" applyAlignment="1">
      <alignment vertical="center" wrapText="1"/>
    </xf>
    <xf numFmtId="0" fontId="3" fillId="3" borderId="0" xfId="0" applyFont="1" applyFill="1" applyAlignment="1"/>
    <xf numFmtId="0" fontId="3" fillId="3" borderId="0" xfId="0" applyFont="1" applyFill="1" applyBorder="1" applyAlignment="1">
      <alignment horizontal="center" vertical="center"/>
    </xf>
    <xf numFmtId="0" fontId="3" fillId="3" borderId="0" xfId="0" applyFont="1" applyFill="1" applyAlignment="1">
      <alignment wrapText="1"/>
    </xf>
    <xf numFmtId="0" fontId="3" fillId="2" borderId="5" xfId="0" applyFont="1" applyFill="1" applyBorder="1" applyAlignment="1">
      <alignment horizontal="left" vertical="distributed" wrapText="1"/>
    </xf>
    <xf numFmtId="0" fontId="3" fillId="3" borderId="0" xfId="0" applyFont="1" applyFill="1" applyBorder="1" applyAlignment="1"/>
    <xf numFmtId="164" fontId="4" fillId="0" borderId="5" xfId="25" applyFont="1" applyFill="1" applyBorder="1" applyAlignment="1">
      <alignment wrapText="1"/>
    </xf>
    <xf numFmtId="164" fontId="3" fillId="0" borderId="5" xfId="25" applyFont="1" applyFill="1" applyBorder="1" applyAlignment="1">
      <alignment horizontal="center" vertical="center"/>
    </xf>
    <xf numFmtId="0" fontId="3" fillId="0" borderId="5" xfId="0" applyFont="1" applyFill="1" applyBorder="1" applyAlignment="1"/>
    <xf numFmtId="0" fontId="3" fillId="5" borderId="0" xfId="0" applyFont="1" applyFill="1" applyBorder="1" applyAlignment="1"/>
    <xf numFmtId="164" fontId="4" fillId="0" borderId="0" xfId="25" applyFont="1" applyFill="1" applyBorder="1" applyAlignment="1"/>
    <xf numFmtId="0" fontId="9" fillId="0" borderId="21" xfId="0" applyFont="1" applyBorder="1"/>
    <xf numFmtId="1" fontId="1" fillId="0" borderId="5" xfId="23" applyNumberFormat="1" applyFont="1" applyFill="1" applyBorder="1" applyAlignment="1">
      <alignment horizontal="center" vertical="center"/>
    </xf>
    <xf numFmtId="1" fontId="1" fillId="0" borderId="32" xfId="23" applyNumberFormat="1" applyFont="1" applyFill="1" applyBorder="1" applyAlignment="1">
      <alignment horizontal="center" vertical="center"/>
    </xf>
    <xf numFmtId="164" fontId="4" fillId="4" borderId="5" xfId="25" applyFont="1" applyFill="1" applyBorder="1" applyAlignment="1">
      <alignment horizontal="right" vertical="center" wrapText="1"/>
    </xf>
    <xf numFmtId="0" fontId="0" fillId="0" borderId="47" xfId="0" applyBorder="1"/>
    <xf numFmtId="0" fontId="0" fillId="0" borderId="47" xfId="0" applyBorder="1" applyAlignment="1">
      <alignment horizontal="center"/>
    </xf>
    <xf numFmtId="0" fontId="5" fillId="0" borderId="47" xfId="0" applyFont="1" applyBorder="1" applyAlignment="1">
      <alignment horizontal="center"/>
    </xf>
    <xf numFmtId="164" fontId="0" fillId="0" borderId="47" xfId="25" applyFont="1" applyBorder="1" applyAlignment="1">
      <alignment horizontal="center"/>
    </xf>
    <xf numFmtId="164" fontId="5" fillId="0" borderId="47" xfId="0" applyNumberFormat="1" applyFont="1" applyBorder="1" applyAlignment="1">
      <alignment horizontal="center"/>
    </xf>
    <xf numFmtId="17" fontId="0" fillId="0" borderId="0" xfId="0" applyNumberFormat="1"/>
    <xf numFmtId="3" fontId="0" fillId="0" borderId="0" xfId="0" applyNumberFormat="1"/>
    <xf numFmtId="0" fontId="0" fillId="0" borderId="0" xfId="0" applyAlignment="1">
      <alignment horizontal="center"/>
    </xf>
    <xf numFmtId="0" fontId="0" fillId="7" borderId="47" xfId="0" applyFill="1" applyBorder="1" applyAlignment="1">
      <alignment horizontal="center"/>
    </xf>
    <xf numFmtId="0" fontId="19" fillId="7" borderId="47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2" fontId="0" fillId="7" borderId="47" xfId="0" applyNumberFormat="1" applyFill="1" applyBorder="1" applyAlignment="1">
      <alignment horizontal="center"/>
    </xf>
    <xf numFmtId="164" fontId="3" fillId="0" borderId="0" xfId="25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2" fontId="5" fillId="0" borderId="0" xfId="0" applyNumberFormat="1" applyFont="1"/>
    <xf numFmtId="0" fontId="4" fillId="0" borderId="0" xfId="0" applyFont="1" applyFill="1" applyAlignment="1">
      <alignment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 wrapText="1"/>
    </xf>
    <xf numFmtId="164" fontId="4" fillId="0" borderId="5" xfId="25" applyFont="1" applyFill="1" applyBorder="1" applyAlignment="1">
      <alignment horizontal="right" vertical="center"/>
    </xf>
    <xf numFmtId="164" fontId="4" fillId="0" borderId="5" xfId="25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6" borderId="0" xfId="0" applyFont="1" applyFill="1" applyAlignment="1">
      <alignment wrapText="1"/>
    </xf>
    <xf numFmtId="10" fontId="4" fillId="0" borderId="64" xfId="23" applyNumberFormat="1" applyFont="1" applyFill="1" applyBorder="1" applyAlignment="1">
      <alignment horizontal="center" vertical="center"/>
    </xf>
    <xf numFmtId="164" fontId="0" fillId="0" borderId="0" xfId="25" applyFont="1" applyFill="1" applyBorder="1" applyAlignment="1">
      <alignment vertical="center"/>
    </xf>
    <xf numFmtId="164" fontId="3" fillId="0" borderId="0" xfId="25" applyFont="1" applyFill="1" applyBorder="1" applyAlignment="1">
      <alignment vertical="center"/>
    </xf>
    <xf numFmtId="169" fontId="4" fillId="0" borderId="15" xfId="0" applyNumberFormat="1" applyFont="1" applyFill="1" applyBorder="1" applyAlignment="1"/>
    <xf numFmtId="169" fontId="4" fillId="0" borderId="13" xfId="0" applyNumberFormat="1" applyFont="1" applyFill="1" applyBorder="1" applyAlignment="1"/>
    <xf numFmtId="0" fontId="4" fillId="4" borderId="5" xfId="0" applyFont="1" applyFill="1" applyBorder="1" applyAlignment="1">
      <alignment horizontal="center" vertical="center" wrapText="1"/>
    </xf>
    <xf numFmtId="0" fontId="3" fillId="3" borderId="18" xfId="0" applyNumberFormat="1" applyFont="1" applyFill="1" applyBorder="1" applyAlignment="1">
      <alignment horizontal="center" wrapText="1"/>
    </xf>
    <xf numFmtId="0" fontId="3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 wrapText="1"/>
    </xf>
    <xf numFmtId="164" fontId="3" fillId="3" borderId="5" xfId="25" applyNumberFormat="1" applyFont="1" applyFill="1" applyBorder="1" applyAlignment="1">
      <alignment wrapText="1"/>
    </xf>
    <xf numFmtId="164" fontId="16" fillId="3" borderId="5" xfId="25" applyNumberFormat="1" applyFont="1" applyFill="1" applyBorder="1" applyAlignment="1">
      <alignment wrapText="1"/>
    </xf>
    <xf numFmtId="164" fontId="3" fillId="3" borderId="11" xfId="25" applyFont="1" applyFill="1" applyBorder="1" applyAlignment="1">
      <alignment wrapText="1"/>
    </xf>
    <xf numFmtId="0" fontId="3" fillId="3" borderId="5" xfId="0" quotePrefix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164" fontId="3" fillId="3" borderId="5" xfId="25" applyNumberFormat="1" applyFont="1" applyFill="1" applyBorder="1" applyAlignment="1">
      <alignment horizontal="right" vertical="center"/>
    </xf>
    <xf numFmtId="164" fontId="3" fillId="3" borderId="5" xfId="25" applyNumberFormat="1" applyFont="1" applyFill="1" applyBorder="1" applyAlignment="1">
      <alignment vertical="center"/>
    </xf>
    <xf numFmtId="0" fontId="3" fillId="3" borderId="18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 wrapText="1"/>
    </xf>
    <xf numFmtId="0" fontId="0" fillId="3" borderId="18" xfId="0" applyNumberForma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0" fillId="3" borderId="5" xfId="0" applyFill="1" applyBorder="1" applyAlignment="1">
      <alignment vertical="center" wrapText="1"/>
    </xf>
    <xf numFmtId="164" fontId="1" fillId="3" borderId="5" xfId="25" applyNumberFormat="1" applyFont="1" applyFill="1" applyBorder="1" applyAlignment="1">
      <alignment horizontal="right" vertical="center"/>
    </xf>
    <xf numFmtId="164" fontId="0" fillId="3" borderId="5" xfId="25" applyNumberFormat="1" applyFont="1" applyFill="1" applyBorder="1" applyAlignment="1">
      <alignment vertical="center"/>
    </xf>
    <xf numFmtId="164" fontId="0" fillId="3" borderId="5" xfId="25" applyNumberFormat="1" applyFont="1" applyFill="1" applyBorder="1" applyAlignment="1">
      <alignment horizontal="right" vertical="center"/>
    </xf>
    <xf numFmtId="164" fontId="0" fillId="3" borderId="11" xfId="25" applyFont="1" applyFill="1" applyBorder="1" applyAlignment="1">
      <alignment vertical="center"/>
    </xf>
    <xf numFmtId="0" fontId="3" fillId="3" borderId="5" xfId="0" quotePrefix="1" applyFont="1" applyFill="1" applyBorder="1" applyAlignment="1">
      <alignment horizontal="center" vertical="center" wrapText="1"/>
    </xf>
    <xf numFmtId="168" fontId="3" fillId="3" borderId="5" xfId="0" applyNumberFormat="1" applyFont="1" applyFill="1" applyBorder="1" applyAlignment="1">
      <alignment vertical="center" wrapText="1"/>
    </xf>
    <xf numFmtId="0" fontId="3" fillId="3" borderId="18" xfId="0" applyFont="1" applyFill="1" applyBorder="1" applyAlignment="1">
      <alignment horizontal="center" vertical="center" wrapText="1"/>
    </xf>
    <xf numFmtId="164" fontId="3" fillId="3" borderId="11" xfId="25" applyFont="1" applyFill="1" applyBorder="1" applyAlignment="1">
      <alignment vertical="center"/>
    </xf>
    <xf numFmtId="0" fontId="4" fillId="7" borderId="18" xfId="0" applyNumberFormat="1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vertical="center" wrapText="1"/>
    </xf>
    <xf numFmtId="164" fontId="4" fillId="7" borderId="5" xfId="25" applyNumberFormat="1" applyFont="1" applyFill="1" applyBorder="1" applyAlignment="1">
      <alignment horizontal="center" vertical="center" wrapText="1"/>
    </xf>
    <xf numFmtId="164" fontId="17" fillId="7" borderId="5" xfId="25" applyNumberFormat="1" applyFont="1" applyFill="1" applyBorder="1" applyAlignment="1">
      <alignment horizontal="center" vertical="center" wrapText="1"/>
    </xf>
    <xf numFmtId="164" fontId="4" fillId="7" borderId="5" xfId="25" applyNumberFormat="1" applyFont="1" applyFill="1" applyBorder="1" applyAlignment="1">
      <alignment horizontal="right" vertical="center" wrapText="1"/>
    </xf>
    <xf numFmtId="164" fontId="4" fillId="7" borderId="11" xfId="25" applyFont="1" applyFill="1" applyBorder="1" applyAlignment="1">
      <alignment horizontal="right" vertical="center" wrapText="1"/>
    </xf>
    <xf numFmtId="0" fontId="4" fillId="4" borderId="5" xfId="0" quotePrefix="1" applyFont="1" applyFill="1" applyBorder="1" applyAlignment="1">
      <alignment horizontal="center" vertical="center" wrapText="1"/>
    </xf>
    <xf numFmtId="164" fontId="4" fillId="4" borderId="5" xfId="25" applyFont="1" applyFill="1" applyBorder="1" applyAlignment="1">
      <alignment vertical="center" wrapText="1"/>
    </xf>
    <xf numFmtId="164" fontId="3" fillId="2" borderId="5" xfId="25" applyFont="1" applyFill="1" applyBorder="1" applyAlignment="1">
      <alignment vertical="center" wrapText="1"/>
    </xf>
    <xf numFmtId="164" fontId="4" fillId="2" borderId="5" xfId="25" applyFont="1" applyFill="1" applyBorder="1" applyAlignment="1">
      <alignment vertical="center" wrapText="1"/>
    </xf>
    <xf numFmtId="0" fontId="0" fillId="0" borderId="5" xfId="0" applyNumberFormat="1" applyFill="1" applyBorder="1"/>
    <xf numFmtId="49" fontId="0" fillId="0" borderId="5" xfId="0" applyNumberFormat="1" applyFill="1" applyBorder="1"/>
    <xf numFmtId="4" fontId="0" fillId="0" borderId="5" xfId="0" applyNumberFormat="1" applyBorder="1"/>
    <xf numFmtId="164" fontId="4" fillId="0" borderId="5" xfId="25" applyFont="1" applyFill="1" applyBorder="1" applyAlignment="1">
      <alignment vertical="center" wrapText="1"/>
    </xf>
    <xf numFmtId="0" fontId="4" fillId="0" borderId="5" xfId="0" applyNumberFormat="1" applyFont="1" applyFill="1" applyBorder="1" applyAlignment="1">
      <alignment horizontal="center" vertical="center"/>
    </xf>
    <xf numFmtId="0" fontId="3" fillId="5" borderId="18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center" vertical="center" wrapText="1"/>
    </xf>
    <xf numFmtId="164" fontId="3" fillId="5" borderId="5" xfId="25" applyFont="1" applyFill="1" applyBorder="1" applyAlignment="1">
      <alignment horizontal="center" vertical="center" wrapText="1"/>
    </xf>
    <xf numFmtId="164" fontId="3" fillId="5" borderId="11" xfId="25" applyFont="1" applyFill="1" applyBorder="1" applyAlignment="1">
      <alignment horizontal="center" vertical="center" wrapText="1"/>
    </xf>
    <xf numFmtId="164" fontId="3" fillId="5" borderId="0" xfId="25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vertical="center" wrapText="1"/>
    </xf>
    <xf numFmtId="0" fontId="3" fillId="5" borderId="0" xfId="0" applyFont="1" applyFill="1" applyAlignment="1">
      <alignment vertical="center" wrapText="1"/>
    </xf>
    <xf numFmtId="0" fontId="3" fillId="5" borderId="5" xfId="0" applyFont="1" applyFill="1" applyBorder="1" applyAlignment="1">
      <alignment vertical="center" wrapText="1"/>
    </xf>
    <xf numFmtId="10" fontId="3" fillId="5" borderId="0" xfId="23" applyNumberFormat="1" applyFont="1" applyFill="1" applyBorder="1" applyAlignment="1"/>
    <xf numFmtId="164" fontId="0" fillId="5" borderId="0" xfId="25" applyFont="1" applyFill="1" applyBorder="1" applyAlignment="1">
      <alignment vertical="center"/>
    </xf>
    <xf numFmtId="43" fontId="3" fillId="5" borderId="0" xfId="0" applyNumberFormat="1" applyFont="1" applyFill="1" applyBorder="1" applyAlignment="1"/>
    <xf numFmtId="0" fontId="3" fillId="0" borderId="18" xfId="0" applyNumberFormat="1" applyFont="1" applyFill="1" applyBorder="1" applyAlignment="1">
      <alignment horizontal="center" vertical="center"/>
    </xf>
    <xf numFmtId="164" fontId="3" fillId="0" borderId="11" xfId="25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164" fontId="3" fillId="5" borderId="5" xfId="25" applyFont="1" applyFill="1" applyBorder="1" applyAlignment="1">
      <alignment vertical="center" wrapText="1"/>
    </xf>
    <xf numFmtId="0" fontId="3" fillId="10" borderId="5" xfId="0" quotePrefix="1" applyFont="1" applyFill="1" applyBorder="1" applyAlignment="1">
      <alignment horizontal="center" vertical="center" wrapText="1"/>
    </xf>
    <xf numFmtId="0" fontId="3" fillId="10" borderId="5" xfId="0" applyFont="1" applyFill="1" applyBorder="1" applyAlignment="1">
      <alignment horizontal="center" vertical="center" wrapText="1"/>
    </xf>
    <xf numFmtId="0" fontId="3" fillId="5" borderId="5" xfId="0" applyNumberFormat="1" applyFont="1" applyFill="1" applyBorder="1" applyAlignment="1">
      <alignment horizontal="center" vertical="center"/>
    </xf>
    <xf numFmtId="164" fontId="3" fillId="5" borderId="5" xfId="25" applyFont="1" applyFill="1" applyBorder="1" applyAlignment="1">
      <alignment horizontal="right" vertical="center"/>
    </xf>
    <xf numFmtId="164" fontId="3" fillId="5" borderId="5" xfId="25" applyFont="1" applyFill="1" applyBorder="1" applyAlignment="1">
      <alignment vertical="center"/>
    </xf>
    <xf numFmtId="0" fontId="3" fillId="5" borderId="5" xfId="0" quotePrefix="1" applyFont="1" applyFill="1" applyBorder="1" applyAlignment="1">
      <alignment horizontal="center" vertical="center"/>
    </xf>
    <xf numFmtId="164" fontId="3" fillId="5" borderId="5" xfId="25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wrapText="1"/>
    </xf>
    <xf numFmtId="0" fontId="3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25" applyNumberFormat="1" applyFont="1" applyBorder="1" applyAlignment="1">
      <alignment horizontal="center" vertical="center" wrapText="1"/>
    </xf>
    <xf numFmtId="164" fontId="16" fillId="0" borderId="0" xfId="25" applyNumberFormat="1" applyFont="1" applyBorder="1" applyAlignment="1">
      <alignment vertical="center" wrapText="1"/>
    </xf>
    <xf numFmtId="164" fontId="3" fillId="0" borderId="0" xfId="25" applyNumberFormat="1" applyFont="1" applyBorder="1" applyAlignment="1">
      <alignment vertical="center" wrapText="1"/>
    </xf>
    <xf numFmtId="164" fontId="3" fillId="0" borderId="59" xfId="25" applyFont="1" applyBorder="1" applyAlignment="1">
      <alignment vertical="center" wrapText="1"/>
    </xf>
    <xf numFmtId="164" fontId="5" fillId="7" borderId="35" xfId="25" applyNumberFormat="1" applyFont="1" applyFill="1" applyBorder="1" applyAlignment="1">
      <alignment horizontal="center" vertical="center" wrapText="1"/>
    </xf>
    <xf numFmtId="164" fontId="5" fillId="7" borderId="2" xfId="25" applyNumberFormat="1" applyFont="1" applyFill="1" applyBorder="1" applyAlignment="1">
      <alignment horizontal="center" vertical="center" wrapText="1"/>
    </xf>
    <xf numFmtId="164" fontId="8" fillId="7" borderId="3" xfId="25" applyNumberFormat="1" applyFont="1" applyFill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164" fontId="4" fillId="0" borderId="5" xfId="25" applyNumberFormat="1" applyFont="1" applyFill="1" applyBorder="1" applyAlignment="1">
      <alignment horizontal="center" vertical="center" wrapText="1"/>
    </xf>
    <xf numFmtId="164" fontId="17" fillId="0" borderId="5" xfId="25" applyNumberFormat="1" applyFont="1" applyFill="1" applyBorder="1" applyAlignment="1">
      <alignment horizontal="center" vertical="center" wrapText="1"/>
    </xf>
    <xf numFmtId="164" fontId="4" fillId="0" borderId="5" xfId="25" applyNumberFormat="1" applyFont="1" applyFill="1" applyBorder="1" applyAlignment="1">
      <alignment horizontal="right" vertical="center" wrapText="1"/>
    </xf>
    <xf numFmtId="164" fontId="4" fillId="0" borderId="11" xfId="25" applyFont="1" applyFill="1" applyBorder="1" applyAlignment="1">
      <alignment horizontal="right" vertical="center" wrapText="1"/>
    </xf>
    <xf numFmtId="0" fontId="3" fillId="0" borderId="18" xfId="0" applyNumberFormat="1" applyFont="1" applyFill="1" applyBorder="1" applyAlignment="1">
      <alignment horizontal="center" wrapText="1"/>
    </xf>
    <xf numFmtId="0" fontId="3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center" wrapText="1"/>
    </xf>
    <xf numFmtId="164" fontId="3" fillId="0" borderId="5" xfId="25" applyNumberFormat="1" applyFont="1" applyFill="1" applyBorder="1" applyAlignment="1">
      <alignment wrapText="1"/>
    </xf>
    <xf numFmtId="164" fontId="16" fillId="0" borderId="5" xfId="25" applyNumberFormat="1" applyFont="1" applyFill="1" applyBorder="1" applyAlignment="1">
      <alignment wrapText="1"/>
    </xf>
    <xf numFmtId="164" fontId="3" fillId="0" borderId="11" xfId="25" applyFont="1" applyFill="1" applyBorder="1" applyAlignment="1">
      <alignment wrapText="1"/>
    </xf>
    <xf numFmtId="0" fontId="4" fillId="7" borderId="9" xfId="0" applyFont="1" applyFill="1" applyBorder="1" applyAlignment="1">
      <alignment horizontal="center" vertical="center" wrapText="1"/>
    </xf>
    <xf numFmtId="164" fontId="4" fillId="7" borderId="9" xfId="0" applyNumberFormat="1" applyFont="1" applyFill="1" applyBorder="1" applyAlignment="1">
      <alignment vertical="center" wrapText="1"/>
    </xf>
    <xf numFmtId="164" fontId="17" fillId="7" borderId="9" xfId="25" applyNumberFormat="1" applyFont="1" applyFill="1" applyBorder="1" applyAlignment="1">
      <alignment vertical="center" wrapText="1"/>
    </xf>
    <xf numFmtId="164" fontId="4" fillId="7" borderId="9" xfId="0" applyNumberFormat="1" applyFont="1" applyFill="1" applyBorder="1" applyAlignment="1">
      <alignment horizontal="right" vertical="center" wrapText="1"/>
    </xf>
    <xf numFmtId="14" fontId="4" fillId="7" borderId="13" xfId="0" quotePrefix="1" applyNumberFormat="1" applyFont="1" applyFill="1" applyBorder="1" applyAlignment="1">
      <alignment horizontal="center" vertical="center" wrapText="1"/>
    </xf>
    <xf numFmtId="0" fontId="4" fillId="7" borderId="35" xfId="0" applyFont="1" applyFill="1" applyBorder="1" applyAlignment="1">
      <alignment horizontal="center" vertical="center" wrapText="1"/>
    </xf>
    <xf numFmtId="0" fontId="3" fillId="7" borderId="49" xfId="0" applyNumberFormat="1" applyFont="1" applyFill="1" applyBorder="1" applyAlignment="1">
      <alignment horizontal="center" wrapText="1"/>
    </xf>
    <xf numFmtId="0" fontId="3" fillId="7" borderId="35" xfId="0" applyFont="1" applyFill="1" applyBorder="1" applyAlignment="1">
      <alignment wrapText="1"/>
    </xf>
    <xf numFmtId="0" fontId="3" fillId="7" borderId="35" xfId="0" applyFont="1" applyFill="1" applyBorder="1" applyAlignment="1">
      <alignment horizontal="center" wrapText="1"/>
    </xf>
    <xf numFmtId="164" fontId="3" fillId="7" borderId="35" xfId="25" applyNumberFormat="1" applyFont="1" applyFill="1" applyBorder="1" applyAlignment="1">
      <alignment wrapText="1"/>
    </xf>
    <xf numFmtId="164" fontId="16" fillId="7" borderId="35" xfId="25" applyNumberFormat="1" applyFont="1" applyFill="1" applyBorder="1" applyAlignment="1">
      <alignment wrapText="1"/>
    </xf>
    <xf numFmtId="164" fontId="3" fillId="7" borderId="50" xfId="25" applyFont="1" applyFill="1" applyBorder="1" applyAlignment="1">
      <alignment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5" xfId="0" quotePrefix="1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left" vertical="center" wrapText="1"/>
    </xf>
    <xf numFmtId="164" fontId="4" fillId="6" borderId="5" xfId="25" applyFont="1" applyFill="1" applyBorder="1" applyAlignment="1">
      <alignment horizontal="center" vertical="center" wrapText="1"/>
    </xf>
    <xf numFmtId="4" fontId="4" fillId="6" borderId="2" xfId="0" applyNumberFormat="1" applyFont="1" applyFill="1" applyBorder="1" applyAlignment="1">
      <alignment vertical="distributed" wrapText="1"/>
    </xf>
    <xf numFmtId="164" fontId="4" fillId="6" borderId="11" xfId="25" applyFont="1" applyFill="1" applyBorder="1" applyAlignment="1">
      <alignment horizontal="center" vertical="center" wrapText="1"/>
    </xf>
    <xf numFmtId="43" fontId="5" fillId="0" borderId="5" xfId="25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43" fontId="5" fillId="0" borderId="0" xfId="25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10" fontId="4" fillId="0" borderId="16" xfId="23" applyNumberFormat="1" applyFont="1" applyFill="1" applyBorder="1" applyAlignment="1">
      <alignment horizontal="center"/>
    </xf>
    <xf numFmtId="10" fontId="4" fillId="0" borderId="2" xfId="23" applyNumberFormat="1" applyFont="1" applyFill="1" applyBorder="1" applyAlignment="1">
      <alignment horizontal="center" vertical="center"/>
    </xf>
    <xf numFmtId="10" fontId="4" fillId="0" borderId="7" xfId="23" applyNumberFormat="1" applyFont="1" applyFill="1" applyBorder="1" applyAlignment="1">
      <alignment horizontal="center" vertical="center"/>
    </xf>
    <xf numFmtId="0" fontId="3" fillId="6" borderId="18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5" xfId="0" quotePrefix="1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left" vertical="center" wrapText="1"/>
    </xf>
    <xf numFmtId="164" fontId="3" fillId="6" borderId="5" xfId="25" applyFont="1" applyFill="1" applyBorder="1" applyAlignment="1">
      <alignment horizontal="center" vertical="center" wrapText="1"/>
    </xf>
    <xf numFmtId="4" fontId="3" fillId="6" borderId="2" xfId="0" applyNumberFormat="1" applyFont="1" applyFill="1" applyBorder="1" applyAlignment="1">
      <alignment vertical="distributed" wrapText="1"/>
    </xf>
    <xf numFmtId="164" fontId="3" fillId="6" borderId="11" xfId="25" applyFont="1" applyFill="1" applyBorder="1" applyAlignment="1">
      <alignment horizontal="center" vertical="center" wrapText="1"/>
    </xf>
    <xf numFmtId="43" fontId="1" fillId="0" borderId="5" xfId="25" applyNumberFormat="1" applyFont="1" applyFill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43" fontId="1" fillId="0" borderId="0" xfId="25" applyNumberFormat="1" applyFont="1" applyFill="1" applyBorder="1" applyAlignment="1">
      <alignment horizontal="right" vertical="center"/>
    </xf>
    <xf numFmtId="0" fontId="0" fillId="0" borderId="0" xfId="0" applyFill="1" applyBorder="1" applyAlignment="1">
      <alignment vertical="center"/>
    </xf>
    <xf numFmtId="0" fontId="3" fillId="3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7" borderId="15" xfId="0" applyFont="1" applyFill="1" applyBorder="1" applyAlignment="1">
      <alignment horizontal="left" vertical="center" wrapText="1"/>
    </xf>
    <xf numFmtId="0" fontId="0" fillId="7" borderId="9" xfId="0" applyFill="1" applyBorder="1"/>
    <xf numFmtId="0" fontId="0" fillId="7" borderId="13" xfId="0" applyFill="1" applyBorder="1"/>
    <xf numFmtId="0" fontId="20" fillId="7" borderId="15" xfId="0" applyFont="1" applyFill="1" applyBorder="1" applyAlignment="1">
      <alignment horizontal="center" vertical="center" wrapText="1"/>
    </xf>
    <xf numFmtId="0" fontId="20" fillId="7" borderId="9" xfId="0" applyFont="1" applyFill="1" applyBorder="1" applyAlignment="1">
      <alignment horizontal="center" vertical="center" wrapText="1"/>
    </xf>
    <xf numFmtId="0" fontId="20" fillId="7" borderId="13" xfId="0" applyFont="1" applyFill="1" applyBorder="1" applyAlignment="1">
      <alignment horizontal="center" vertical="center" wrapText="1"/>
    </xf>
    <xf numFmtId="0" fontId="6" fillId="7" borderId="46" xfId="0" applyFont="1" applyFill="1" applyBorder="1" applyAlignment="1">
      <alignment horizontal="center" vertical="center" wrapText="1"/>
    </xf>
    <xf numFmtId="0" fontId="6" fillId="7" borderId="47" xfId="0" applyFont="1" applyFill="1" applyBorder="1" applyAlignment="1">
      <alignment horizontal="center" vertical="center" wrapText="1"/>
    </xf>
    <xf numFmtId="0" fontId="7" fillId="7" borderId="48" xfId="0" applyFont="1" applyFill="1" applyBorder="1" applyAlignment="1">
      <alignment horizontal="center" vertical="center" wrapText="1"/>
    </xf>
    <xf numFmtId="0" fontId="8" fillId="7" borderId="46" xfId="25" applyNumberFormat="1" applyFont="1" applyFill="1" applyBorder="1" applyAlignment="1">
      <alignment horizontal="center" vertical="center" wrapText="1"/>
    </xf>
    <xf numFmtId="0" fontId="8" fillId="7" borderId="47" xfId="25" applyNumberFormat="1" applyFont="1" applyFill="1" applyBorder="1" applyAlignment="1">
      <alignment horizontal="center" vertical="center" wrapText="1"/>
    </xf>
    <xf numFmtId="0" fontId="2" fillId="7" borderId="48" xfId="25" applyNumberFormat="1" applyFont="1" applyFill="1" applyBorder="1" applyAlignment="1">
      <alignment horizontal="center" vertical="center" wrapText="1"/>
    </xf>
    <xf numFmtId="0" fontId="4" fillId="7" borderId="49" xfId="0" applyNumberFormat="1" applyFont="1" applyFill="1" applyBorder="1" applyAlignment="1">
      <alignment horizontal="center" vertical="center" wrapText="1"/>
    </xf>
    <xf numFmtId="0" fontId="0" fillId="7" borderId="16" xfId="0" applyNumberFormat="1" applyFill="1" applyBorder="1" applyAlignment="1">
      <alignment horizontal="center"/>
    </xf>
    <xf numFmtId="0" fontId="0" fillId="7" borderId="17" xfId="0" applyNumberFormat="1" applyFill="1" applyBorder="1" applyAlignment="1">
      <alignment horizontal="center"/>
    </xf>
    <xf numFmtId="0" fontId="4" fillId="7" borderId="35" xfId="0" applyFont="1" applyFill="1" applyBorder="1" applyAlignment="1">
      <alignment horizontal="center" vertical="center" wrapText="1"/>
    </xf>
    <xf numFmtId="0" fontId="0" fillId="7" borderId="2" xfId="0" applyFill="1" applyBorder="1"/>
    <xf numFmtId="0" fontId="0" fillId="7" borderId="3" xfId="0" applyFill="1" applyBorder="1"/>
    <xf numFmtId="0" fontId="4" fillId="7" borderId="15" xfId="0" applyNumberFormat="1" applyFont="1" applyFill="1" applyBorder="1" applyAlignment="1">
      <alignment horizontal="left" vertical="center"/>
    </xf>
    <xf numFmtId="0" fontId="4" fillId="7" borderId="9" xfId="0" applyNumberFormat="1" applyFont="1" applyFill="1" applyBorder="1" applyAlignment="1">
      <alignment horizontal="left" vertical="center"/>
    </xf>
    <xf numFmtId="164" fontId="5" fillId="7" borderId="50" xfId="25" applyFont="1" applyFill="1" applyBorder="1" applyAlignment="1">
      <alignment horizontal="center" vertical="center" wrapText="1"/>
    </xf>
    <xf numFmtId="0" fontId="0" fillId="7" borderId="7" xfId="0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 wrapText="1"/>
    </xf>
    <xf numFmtId="0" fontId="20" fillId="7" borderId="43" xfId="0" applyFont="1" applyFill="1" applyBorder="1" applyAlignment="1">
      <alignment horizontal="center" vertical="center" wrapText="1"/>
    </xf>
    <xf numFmtId="0" fontId="21" fillId="7" borderId="44" xfId="0" applyFont="1" applyFill="1" applyBorder="1" applyAlignment="1">
      <alignment horizontal="center" vertical="center"/>
    </xf>
    <xf numFmtId="0" fontId="21" fillId="7" borderId="45" xfId="0" applyFont="1" applyFill="1" applyBorder="1" applyAlignment="1">
      <alignment horizontal="center" vertical="center"/>
    </xf>
    <xf numFmtId="0" fontId="1" fillId="4" borderId="36" xfId="0" applyFont="1" applyFill="1" applyBorder="1" applyAlignment="1">
      <alignment horizontal="right" vertical="center" wrapText="1"/>
    </xf>
    <xf numFmtId="0" fontId="1" fillId="4" borderId="37" xfId="0" applyFont="1" applyFill="1" applyBorder="1" applyAlignment="1">
      <alignment horizontal="right" vertical="center" wrapText="1"/>
    </xf>
    <xf numFmtId="0" fontId="1" fillId="4" borderId="38" xfId="0" applyFont="1" applyFill="1" applyBorder="1" applyAlignment="1">
      <alignment horizontal="right" vertical="center" wrapText="1"/>
    </xf>
    <xf numFmtId="4" fontId="9" fillId="4" borderId="15" xfId="0" applyNumberFormat="1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vertical="center"/>
    </xf>
    <xf numFmtId="0" fontId="15" fillId="4" borderId="13" xfId="0" applyFont="1" applyFill="1" applyBorder="1" applyAlignment="1">
      <alignment vertical="center"/>
    </xf>
    <xf numFmtId="0" fontId="1" fillId="4" borderId="39" xfId="0" applyFont="1" applyFill="1" applyBorder="1" applyAlignment="1">
      <alignment horizontal="right" vertical="center" wrapText="1"/>
    </xf>
    <xf numFmtId="0" fontId="1" fillId="4" borderId="40" xfId="0" applyFont="1" applyFill="1" applyBorder="1" applyAlignment="1">
      <alignment horizontal="right" vertical="center" wrapText="1"/>
    </xf>
    <xf numFmtId="0" fontId="1" fillId="4" borderId="41" xfId="0" applyFont="1" applyFill="1" applyBorder="1" applyAlignment="1">
      <alignment horizontal="right" vertical="center" wrapText="1"/>
    </xf>
    <xf numFmtId="0" fontId="1" fillId="4" borderId="42" xfId="0" applyFont="1" applyFill="1" applyBorder="1" applyAlignment="1">
      <alignment horizontal="right" vertical="center" wrapText="1"/>
    </xf>
    <xf numFmtId="0" fontId="1" fillId="4" borderId="10" xfId="0" applyFont="1" applyFill="1" applyBorder="1" applyAlignment="1">
      <alignment horizontal="right" vertical="center" wrapText="1"/>
    </xf>
    <xf numFmtId="0" fontId="1" fillId="4" borderId="34" xfId="0" applyFont="1" applyFill="1" applyBorder="1" applyAlignment="1">
      <alignment horizontal="right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0" fontId="4" fillId="4" borderId="56" xfId="0" applyFont="1" applyFill="1" applyBorder="1" applyAlignment="1">
      <alignment horizontal="center" vertical="center" wrapText="1"/>
    </xf>
    <xf numFmtId="0" fontId="4" fillId="4" borderId="57" xfId="0" applyFont="1" applyFill="1" applyBorder="1" applyAlignment="1">
      <alignment horizontal="center" vertical="center" wrapText="1"/>
    </xf>
    <xf numFmtId="0" fontId="4" fillId="4" borderId="58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>
      <alignment horizontal="left" vertical="center" wrapText="1"/>
    </xf>
    <xf numFmtId="0" fontId="4" fillId="4" borderId="51" xfId="0" applyFont="1" applyFill="1" applyBorder="1" applyAlignment="1">
      <alignment horizontal="center" vertical="center" wrapText="1"/>
    </xf>
    <xf numFmtId="0" fontId="4" fillId="4" borderId="53" xfId="0" applyFont="1" applyFill="1" applyBorder="1" applyAlignment="1">
      <alignment horizontal="center" vertical="center" wrapText="1"/>
    </xf>
    <xf numFmtId="0" fontId="4" fillId="4" borderId="46" xfId="0" applyFont="1" applyFill="1" applyBorder="1" applyAlignment="1">
      <alignment horizontal="center" vertical="center" wrapText="1"/>
    </xf>
    <xf numFmtId="0" fontId="4" fillId="4" borderId="47" xfId="0" applyFont="1" applyFill="1" applyBorder="1" applyAlignment="1">
      <alignment horizontal="center" vertical="center" wrapText="1"/>
    </xf>
    <xf numFmtId="0" fontId="4" fillId="4" borderId="35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3" fillId="4" borderId="55" xfId="0" applyFont="1" applyFill="1" applyBorder="1" applyAlignment="1">
      <alignment horizontal="center" vertical="center" wrapText="1"/>
    </xf>
    <xf numFmtId="0" fontId="5" fillId="4" borderId="46" xfId="0" applyFont="1" applyFill="1" applyBorder="1" applyAlignment="1">
      <alignment horizontal="center" vertical="center" wrapText="1"/>
    </xf>
    <xf numFmtId="0" fontId="5" fillId="4" borderId="47" xfId="0" applyFont="1" applyFill="1" applyBorder="1" applyAlignment="1">
      <alignment horizontal="center" vertical="center" wrapText="1"/>
    </xf>
    <xf numFmtId="0" fontId="1" fillId="4" borderId="47" xfId="0" applyFont="1" applyFill="1" applyBorder="1" applyAlignment="1">
      <alignment horizontal="center" vertical="center" wrapText="1"/>
    </xf>
    <xf numFmtId="4" fontId="6" fillId="4" borderId="46" xfId="0" applyNumberFormat="1" applyFont="1" applyFill="1" applyBorder="1" applyAlignment="1">
      <alignment horizontal="right" vertical="center" wrapText="1"/>
    </xf>
    <xf numFmtId="4" fontId="6" fillId="4" borderId="47" xfId="0" applyNumberFormat="1" applyFont="1" applyFill="1" applyBorder="1" applyAlignment="1">
      <alignment horizontal="right" vertical="center" wrapText="1"/>
    </xf>
    <xf numFmtId="0" fontId="7" fillId="4" borderId="47" xfId="0" applyFont="1" applyFill="1" applyBorder="1" applyAlignment="1">
      <alignment horizontal="right" vertical="center" wrapText="1"/>
    </xf>
    <xf numFmtId="0" fontId="15" fillId="0" borderId="14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9" fillId="4" borderId="56" xfId="0" applyFont="1" applyFill="1" applyBorder="1" applyAlignment="1">
      <alignment horizontal="center" vertical="center" wrapText="1"/>
    </xf>
    <xf numFmtId="0" fontId="9" fillId="4" borderId="57" xfId="0" applyFont="1" applyFill="1" applyBorder="1" applyAlignment="1">
      <alignment horizontal="center" vertical="center" wrapText="1"/>
    </xf>
    <xf numFmtId="0" fontId="9" fillId="4" borderId="58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left" vertical="center" wrapText="1"/>
    </xf>
    <xf numFmtId="0" fontId="9" fillId="4" borderId="23" xfId="0" applyFont="1" applyFill="1" applyBorder="1" applyAlignment="1">
      <alignment horizontal="left" vertical="center" wrapText="1"/>
    </xf>
    <xf numFmtId="0" fontId="9" fillId="4" borderId="9" xfId="0" applyFont="1" applyFill="1" applyBorder="1" applyAlignment="1">
      <alignment horizontal="left" vertical="center" wrapText="1"/>
    </xf>
    <xf numFmtId="0" fontId="15" fillId="4" borderId="9" xfId="0" applyFont="1" applyFill="1" applyBorder="1" applyAlignment="1">
      <alignment horizontal="left" vertical="center" wrapText="1"/>
    </xf>
    <xf numFmtId="0" fontId="15" fillId="4" borderId="13" xfId="0" applyFont="1" applyFill="1" applyBorder="1" applyAlignment="1">
      <alignment horizontal="left" vertical="center" wrapText="1"/>
    </xf>
    <xf numFmtId="164" fontId="5" fillId="4" borderId="35" xfId="25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9" fillId="4" borderId="43" xfId="0" applyFont="1" applyFill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/>
    </xf>
    <xf numFmtId="0" fontId="15" fillId="4" borderId="45" xfId="0" applyFont="1" applyFill="1" applyBorder="1" applyAlignment="1">
      <alignment horizontal="center" vertical="center"/>
    </xf>
    <xf numFmtId="14" fontId="4" fillId="4" borderId="9" xfId="0" quotePrefix="1" applyNumberFormat="1" applyFont="1" applyFill="1" applyBorder="1" applyAlignment="1">
      <alignment horizontal="center" vertical="center" wrapText="1"/>
    </xf>
    <xf numFmtId="14" fontId="4" fillId="4" borderId="13" xfId="0" applyNumberFormat="1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left" vertical="center" wrapText="1"/>
    </xf>
    <xf numFmtId="0" fontId="0" fillId="4" borderId="9" xfId="0" applyFill="1" applyBorder="1"/>
    <xf numFmtId="0" fontId="0" fillId="4" borderId="13" xfId="0" applyFill="1" applyBorder="1"/>
    <xf numFmtId="0" fontId="4" fillId="4" borderId="49" xfId="0" applyNumberFormat="1" applyFont="1" applyFill="1" applyBorder="1" applyAlignment="1">
      <alignment horizontal="center" vertical="center" wrapText="1"/>
    </xf>
    <xf numFmtId="0" fontId="0" fillId="4" borderId="16" xfId="0" applyNumberFormat="1" applyFill="1" applyBorder="1"/>
    <xf numFmtId="0" fontId="0" fillId="4" borderId="17" xfId="0" applyNumberFormat="1" applyFill="1" applyBorder="1"/>
    <xf numFmtId="0" fontId="0" fillId="4" borderId="2" xfId="0" applyFill="1" applyBorder="1"/>
    <xf numFmtId="0" fontId="0" fillId="4" borderId="3" xfId="0" applyFill="1" applyBorder="1"/>
    <xf numFmtId="0" fontId="6" fillId="4" borderId="46" xfId="0" applyFont="1" applyFill="1" applyBorder="1" applyAlignment="1">
      <alignment horizontal="center" vertical="center" wrapText="1"/>
    </xf>
    <xf numFmtId="0" fontId="6" fillId="4" borderId="47" xfId="0" applyFont="1" applyFill="1" applyBorder="1" applyAlignment="1">
      <alignment horizontal="center" vertical="center" wrapText="1"/>
    </xf>
    <xf numFmtId="0" fontId="7" fillId="4" borderId="48" xfId="0" applyFont="1" applyFill="1" applyBorder="1" applyAlignment="1">
      <alignment horizontal="center" vertical="center" wrapText="1"/>
    </xf>
    <xf numFmtId="0" fontId="8" fillId="4" borderId="46" xfId="25" applyNumberFormat="1" applyFont="1" applyFill="1" applyBorder="1" applyAlignment="1">
      <alignment horizontal="center" vertical="center" wrapText="1"/>
    </xf>
    <xf numFmtId="0" fontId="8" fillId="4" borderId="47" xfId="25" applyNumberFormat="1" applyFont="1" applyFill="1" applyBorder="1" applyAlignment="1">
      <alignment horizontal="center" vertical="center" wrapText="1"/>
    </xf>
    <xf numFmtId="0" fontId="2" fillId="4" borderId="48" xfId="25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18" xfId="0" applyNumberFormat="1" applyFont="1" applyFill="1" applyBorder="1" applyAlignment="1">
      <alignment horizontal="center" wrapText="1"/>
    </xf>
    <xf numFmtId="0" fontId="4" fillId="0" borderId="5" xfId="0" applyFont="1" applyFill="1" applyBorder="1" applyAlignment="1">
      <alignment wrapText="1"/>
    </xf>
    <xf numFmtId="0" fontId="4" fillId="0" borderId="5" xfId="0" applyFont="1" applyFill="1" applyBorder="1" applyAlignment="1">
      <alignment horizontal="center" wrapText="1"/>
    </xf>
    <xf numFmtId="164" fontId="4" fillId="0" borderId="5" xfId="25" applyNumberFormat="1" applyFont="1" applyFill="1" applyBorder="1" applyAlignment="1">
      <alignment wrapText="1"/>
    </xf>
    <xf numFmtId="164" fontId="17" fillId="0" borderId="5" xfId="25" applyNumberFormat="1" applyFont="1" applyFill="1" applyBorder="1" applyAlignment="1">
      <alignment wrapText="1"/>
    </xf>
    <xf numFmtId="164" fontId="4" fillId="0" borderId="11" xfId="25" applyFont="1" applyFill="1" applyBorder="1" applyAlignment="1">
      <alignment wrapText="1"/>
    </xf>
  </cellXfs>
  <cellStyles count="27">
    <cellStyle name="Normal" xfId="0" builtinId="0"/>
    <cellStyle name="Normal 10" xfId="1"/>
    <cellStyle name="Normal 11" xfId="2"/>
    <cellStyle name="Normal 12" xfId="3"/>
    <cellStyle name="Normal 13" xfId="4"/>
    <cellStyle name="Normal 14" xfId="5"/>
    <cellStyle name="Normal 15" xfId="6"/>
    <cellStyle name="Normal 16" xfId="7"/>
    <cellStyle name="Normal 17" xfId="8"/>
    <cellStyle name="Normal 18" xfId="9"/>
    <cellStyle name="Normal 19" xfId="10"/>
    <cellStyle name="Normal 2" xfId="11"/>
    <cellStyle name="Normal 20" xfId="12"/>
    <cellStyle name="Normal 21" xfId="13"/>
    <cellStyle name="Normal 22" xfId="14"/>
    <cellStyle name="Normal 23" xfId="15"/>
    <cellStyle name="Normal 24" xfId="26"/>
    <cellStyle name="Normal 3" xfId="16"/>
    <cellStyle name="Normal 4" xfId="17"/>
    <cellStyle name="Normal 5" xfId="18"/>
    <cellStyle name="Normal 6" xfId="19"/>
    <cellStyle name="Normal 7" xfId="20"/>
    <cellStyle name="Normal 8" xfId="21"/>
    <cellStyle name="Normal 9" xfId="22"/>
    <cellStyle name="Porcentagem" xfId="23" builtinId="5"/>
    <cellStyle name="Total 2" xfId="24"/>
    <cellStyle name="Vírgula" xfId="2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5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5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5.jpeg"/></Relationships>
</file>

<file path=xl/queryTables/queryTable1.xml><?xml version="1.0" encoding="utf-8"?>
<queryTable xmlns="http://schemas.openxmlformats.org/spreadsheetml/2006/main" name="INTERCEPTOR E" connectionId="5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INTERCEPTOR C" connectionId="3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INTERCEPTOR D" connectionId="4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INTERCEPTOR F" connectionId="6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INTERCEPTOR G" connectionId="7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INTERCEPTOR H" connectionId="8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INTERCEPTOR I" connectionId="9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INTERCEPTOR J" connectionId="10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INTERCEPTOR A" connectionId="1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INTERCEPTOR M" connectionId="11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INTERCEPTOR B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8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5" Type="http://schemas.openxmlformats.org/officeDocument/2006/relationships/queryTable" Target="../queryTables/queryTable4.xml"/><Relationship Id="rId10" Type="http://schemas.openxmlformats.org/officeDocument/2006/relationships/queryTable" Target="../queryTables/queryTable9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608"/>
  <sheetViews>
    <sheetView tabSelected="1" view="pageBreakPreview" zoomScale="80" zoomScaleNormal="85" zoomScaleSheetLayoutView="80" workbookViewId="0">
      <selection activeCell="D169" sqref="D169"/>
    </sheetView>
  </sheetViews>
  <sheetFormatPr defaultRowHeight="14.25" x14ac:dyDescent="0.2"/>
  <cols>
    <col min="1" max="1" width="16" style="170" customWidth="1"/>
    <col min="2" max="2" width="16" style="1" customWidth="1"/>
    <col min="3" max="3" width="15.140625" style="1" customWidth="1"/>
    <col min="4" max="4" width="78.7109375" style="1" customWidth="1"/>
    <col min="5" max="5" width="11" style="2" customWidth="1"/>
    <col min="6" max="6" width="14.140625" style="45" customWidth="1"/>
    <col min="7" max="7" width="13.5703125" style="46" bestFit="1" customWidth="1"/>
    <col min="8" max="8" width="14.42578125" style="45" customWidth="1"/>
    <col min="9" max="9" width="17.42578125" style="5" customWidth="1"/>
    <col min="10" max="10" width="5.7109375" style="5" customWidth="1"/>
    <col min="11" max="11" width="16.5703125" style="48" bestFit="1" customWidth="1"/>
    <col min="12" max="12" width="17.85546875" style="48" customWidth="1"/>
    <col min="13" max="13" width="18.28515625" style="48" customWidth="1"/>
    <col min="14" max="14" width="15.7109375" style="48" customWidth="1"/>
    <col min="15" max="15" width="18.85546875" style="48" customWidth="1"/>
    <col min="16" max="16" width="14.28515625" style="48" bestFit="1" customWidth="1"/>
    <col min="17" max="17" width="11.85546875" style="48" customWidth="1"/>
    <col min="18" max="18" width="13.5703125" style="48" bestFit="1" customWidth="1"/>
    <col min="19" max="19" width="13.7109375" style="48" customWidth="1"/>
    <col min="20" max="20" width="9.140625" style="48"/>
    <col min="21" max="21" width="14.85546875" style="48" customWidth="1"/>
    <col min="22" max="63" width="9.140625" style="48"/>
    <col min="64" max="16384" width="9.140625" style="7"/>
  </cols>
  <sheetData>
    <row r="1" spans="1:18" ht="17.25" thickBot="1" x14ac:dyDescent="0.25">
      <c r="A1" s="517" t="s">
        <v>2698</v>
      </c>
      <c r="B1" s="518"/>
      <c r="C1" s="518"/>
      <c r="D1" s="518"/>
      <c r="E1" s="518"/>
      <c r="F1" s="518"/>
      <c r="G1" s="518"/>
      <c r="H1" s="518"/>
      <c r="I1" s="519"/>
      <c r="J1" s="207"/>
      <c r="K1" s="47"/>
      <c r="L1" s="47"/>
      <c r="M1" s="47"/>
      <c r="N1" s="47"/>
      <c r="O1" s="47"/>
      <c r="P1" s="47"/>
      <c r="Q1" s="47"/>
      <c r="R1" s="47"/>
    </row>
    <row r="2" spans="1:18" ht="3.75" customHeight="1" thickBot="1" x14ac:dyDescent="0.25">
      <c r="A2" s="169"/>
      <c r="B2" s="67"/>
      <c r="C2" s="67"/>
      <c r="D2" s="67"/>
      <c r="E2" s="68"/>
      <c r="F2" s="43"/>
      <c r="G2" s="44"/>
      <c r="H2" s="69"/>
      <c r="I2" s="70"/>
      <c r="J2" s="207"/>
      <c r="K2" s="47"/>
      <c r="L2" s="47"/>
      <c r="M2" s="47"/>
      <c r="N2" s="47"/>
      <c r="O2" s="47"/>
      <c r="P2" s="47"/>
      <c r="Q2" s="47"/>
      <c r="R2" s="47"/>
    </row>
    <row r="3" spans="1:18" ht="16.5" x14ac:dyDescent="0.2">
      <c r="A3" s="537" t="s">
        <v>2697</v>
      </c>
      <c r="B3" s="538"/>
      <c r="C3" s="538"/>
      <c r="D3" s="538"/>
      <c r="E3" s="538"/>
      <c r="F3" s="538"/>
      <c r="G3" s="538"/>
      <c r="H3" s="538"/>
      <c r="I3" s="539"/>
      <c r="J3" s="207"/>
      <c r="K3" s="47"/>
      <c r="L3" s="47"/>
      <c r="M3" s="47"/>
      <c r="N3" s="47"/>
      <c r="O3" s="47"/>
      <c r="P3" s="47"/>
      <c r="Q3" s="47"/>
      <c r="R3" s="47"/>
    </row>
    <row r="4" spans="1:18" ht="5.0999999999999996" customHeight="1" thickBot="1" x14ac:dyDescent="0.25">
      <c r="A4" s="450"/>
      <c r="B4" s="451"/>
      <c r="C4" s="451"/>
      <c r="D4" s="451"/>
      <c r="E4" s="452"/>
      <c r="F4" s="453"/>
      <c r="G4" s="454"/>
      <c r="H4" s="455"/>
      <c r="I4" s="456"/>
      <c r="J4" s="207"/>
      <c r="K4" s="47"/>
      <c r="L4" s="47"/>
      <c r="M4" s="47"/>
      <c r="N4" s="47"/>
      <c r="O4" s="47"/>
      <c r="P4" s="47"/>
      <c r="Q4" s="47"/>
      <c r="R4" s="47"/>
    </row>
    <row r="5" spans="1:18" ht="15.75" thickBot="1" x14ac:dyDescent="0.25">
      <c r="A5" s="532" t="s">
        <v>2689</v>
      </c>
      <c r="B5" s="533"/>
      <c r="C5" s="533"/>
      <c r="D5" s="533"/>
      <c r="E5" s="471"/>
      <c r="F5" s="472"/>
      <c r="G5" s="473"/>
      <c r="H5" s="474" t="s">
        <v>52</v>
      </c>
      <c r="I5" s="475" t="s">
        <v>2692</v>
      </c>
      <c r="J5" s="207"/>
      <c r="K5" s="47"/>
      <c r="L5" s="47"/>
      <c r="M5" s="47"/>
      <c r="N5" s="47"/>
      <c r="O5" s="47"/>
      <c r="P5" s="47"/>
      <c r="Q5" s="47"/>
      <c r="R5" s="47"/>
    </row>
    <row r="6" spans="1:18" ht="5.0999999999999996" customHeight="1" thickBot="1" x14ac:dyDescent="0.25">
      <c r="A6" s="169"/>
      <c r="B6" s="67"/>
      <c r="C6" s="67"/>
      <c r="D6" s="67"/>
      <c r="E6" s="68"/>
      <c r="F6" s="43"/>
      <c r="G6" s="44"/>
      <c r="H6" s="69"/>
      <c r="I6" s="70"/>
      <c r="J6" s="207"/>
      <c r="K6" s="47"/>
      <c r="L6" s="47"/>
      <c r="M6" s="47"/>
      <c r="N6" s="47"/>
      <c r="O6" s="47"/>
      <c r="P6" s="47"/>
      <c r="Q6" s="47"/>
      <c r="R6" s="47"/>
    </row>
    <row r="7" spans="1:18" ht="15.75" thickBot="1" x14ac:dyDescent="0.25">
      <c r="A7" s="514" t="s">
        <v>2691</v>
      </c>
      <c r="B7" s="515"/>
      <c r="C7" s="515"/>
      <c r="D7" s="515"/>
      <c r="E7" s="515"/>
      <c r="F7" s="515"/>
      <c r="G7" s="515"/>
      <c r="H7" s="515"/>
      <c r="I7" s="516"/>
      <c r="J7" s="207"/>
      <c r="M7" s="47"/>
      <c r="N7" s="47"/>
      <c r="O7" s="47"/>
      <c r="P7" s="47"/>
      <c r="Q7" s="47"/>
      <c r="R7" s="47"/>
    </row>
    <row r="8" spans="1:18" ht="5.0999999999999996" customHeight="1" thickBot="1" x14ac:dyDescent="0.25">
      <c r="A8" s="169"/>
      <c r="B8" s="67"/>
      <c r="C8" s="67"/>
      <c r="D8" s="67"/>
      <c r="E8" s="68"/>
      <c r="F8" s="43"/>
      <c r="G8" s="44"/>
      <c r="H8" s="69"/>
      <c r="I8" s="70"/>
      <c r="J8" s="207"/>
      <c r="L8" s="47"/>
      <c r="M8" s="47"/>
      <c r="N8" s="47"/>
      <c r="O8" s="47"/>
      <c r="P8" s="47"/>
      <c r="Q8" s="47"/>
      <c r="R8" s="47"/>
    </row>
    <row r="9" spans="1:18" ht="15.75" thickBot="1" x14ac:dyDescent="0.25">
      <c r="A9" s="514" t="s">
        <v>2690</v>
      </c>
      <c r="B9" s="515"/>
      <c r="C9" s="515"/>
      <c r="D9" s="515"/>
      <c r="E9" s="515"/>
      <c r="F9" s="515"/>
      <c r="G9" s="515"/>
      <c r="H9" s="515"/>
      <c r="I9" s="516"/>
      <c r="J9" s="207"/>
      <c r="M9" s="47"/>
      <c r="N9" s="47"/>
      <c r="O9" s="47"/>
      <c r="P9" s="47"/>
      <c r="Q9" s="47"/>
      <c r="R9" s="47"/>
    </row>
    <row r="10" spans="1:18" ht="5.0999999999999996" customHeight="1" thickBot="1" x14ac:dyDescent="0.25">
      <c r="A10" s="169"/>
      <c r="B10" s="67"/>
      <c r="C10" s="67"/>
      <c r="D10" s="67"/>
      <c r="E10" s="68"/>
      <c r="F10" s="43"/>
      <c r="G10" s="44"/>
      <c r="H10" s="69"/>
      <c r="I10" s="70"/>
      <c r="J10" s="207"/>
      <c r="K10" s="47"/>
      <c r="L10" s="47"/>
      <c r="M10" s="47"/>
      <c r="N10" s="47"/>
      <c r="O10" s="47"/>
      <c r="P10" s="47"/>
      <c r="Q10" s="47"/>
      <c r="R10" s="47"/>
    </row>
    <row r="11" spans="1:18" ht="15" x14ac:dyDescent="0.2">
      <c r="A11" s="526" t="s">
        <v>69</v>
      </c>
      <c r="B11" s="529" t="s">
        <v>50</v>
      </c>
      <c r="C11" s="529" t="s">
        <v>49</v>
      </c>
      <c r="D11" s="529" t="s">
        <v>48</v>
      </c>
      <c r="E11" s="520" t="s">
        <v>434</v>
      </c>
      <c r="F11" s="523" t="s">
        <v>51</v>
      </c>
      <c r="G11" s="457" t="s">
        <v>89</v>
      </c>
      <c r="H11" s="457" t="s">
        <v>89</v>
      </c>
      <c r="I11" s="534" t="s">
        <v>59</v>
      </c>
      <c r="J11" s="207"/>
      <c r="K11" s="47"/>
      <c r="L11" s="163"/>
      <c r="M11" s="163"/>
      <c r="N11" s="163"/>
      <c r="O11" s="163"/>
      <c r="P11" s="47"/>
      <c r="Q11" s="47"/>
      <c r="R11" s="47"/>
    </row>
    <row r="12" spans="1:18" ht="25.5" customHeight="1" x14ac:dyDescent="0.2">
      <c r="A12" s="527"/>
      <c r="B12" s="530"/>
      <c r="C12" s="530"/>
      <c r="D12" s="530"/>
      <c r="E12" s="521"/>
      <c r="F12" s="524"/>
      <c r="G12" s="458" t="s">
        <v>90</v>
      </c>
      <c r="H12" s="458" t="s">
        <v>90</v>
      </c>
      <c r="I12" s="535"/>
      <c r="J12" s="207"/>
      <c r="K12" s="47"/>
      <c r="L12" s="163"/>
      <c r="M12" s="163"/>
      <c r="N12" s="163"/>
      <c r="O12" s="163"/>
      <c r="P12" s="47"/>
      <c r="Q12" s="47"/>
      <c r="R12" s="47"/>
    </row>
    <row r="13" spans="1:18" ht="15.75" thickBot="1" x14ac:dyDescent="0.25">
      <c r="A13" s="528"/>
      <c r="B13" s="531"/>
      <c r="C13" s="531"/>
      <c r="D13" s="531"/>
      <c r="E13" s="522"/>
      <c r="F13" s="525"/>
      <c r="G13" s="459" t="s">
        <v>91</v>
      </c>
      <c r="H13" s="459" t="s">
        <v>92</v>
      </c>
      <c r="I13" s="536"/>
      <c r="J13" s="207"/>
      <c r="M13" s="163"/>
      <c r="N13" s="163"/>
      <c r="O13" s="163"/>
      <c r="P13" s="47"/>
      <c r="Q13" s="47"/>
      <c r="R13" s="47"/>
    </row>
    <row r="14" spans="1:18" ht="14.45" customHeight="1" x14ac:dyDescent="0.2">
      <c r="A14" s="477"/>
      <c r="B14" s="478"/>
      <c r="C14" s="478"/>
      <c r="D14" s="476" t="s">
        <v>93</v>
      </c>
      <c r="E14" s="479"/>
      <c r="F14" s="480"/>
      <c r="G14" s="481"/>
      <c r="H14" s="480"/>
      <c r="I14" s="482"/>
      <c r="J14" s="208"/>
      <c r="M14" s="47"/>
      <c r="N14" s="47"/>
      <c r="O14" s="47"/>
      <c r="P14" s="47"/>
      <c r="Q14" s="47"/>
      <c r="R14" s="47"/>
    </row>
    <row r="15" spans="1:18" ht="14.45" customHeight="1" thickBot="1" x14ac:dyDescent="0.25">
      <c r="A15" s="384"/>
      <c r="B15" s="385"/>
      <c r="C15" s="385"/>
      <c r="D15" s="386"/>
      <c r="E15" s="387"/>
      <c r="F15" s="388"/>
      <c r="G15" s="389"/>
      <c r="H15" s="388"/>
      <c r="I15" s="390"/>
      <c r="J15" s="208"/>
      <c r="M15" s="47"/>
      <c r="N15" s="47"/>
      <c r="O15" s="47"/>
      <c r="P15" s="47"/>
      <c r="Q15" s="47"/>
      <c r="R15" s="47"/>
    </row>
    <row r="16" spans="1:18" ht="30" x14ac:dyDescent="0.25">
      <c r="A16" s="384"/>
      <c r="B16" s="385"/>
      <c r="C16" s="385"/>
      <c r="D16" s="386" t="s">
        <v>2696</v>
      </c>
      <c r="E16" s="387"/>
      <c r="F16" s="388"/>
      <c r="G16" s="389"/>
      <c r="H16" s="388"/>
      <c r="I16" s="390"/>
      <c r="J16" s="208"/>
      <c r="M16" s="163"/>
      <c r="N16" s="229">
        <v>0</v>
      </c>
      <c r="O16" s="230">
        <v>0.18</v>
      </c>
      <c r="P16" s="231">
        <v>0.28000000000000003</v>
      </c>
      <c r="Q16" s="47"/>
      <c r="R16" s="47"/>
    </row>
    <row r="17" spans="1:18" ht="15.75" thickBot="1" x14ac:dyDescent="0.3">
      <c r="A17" s="384"/>
      <c r="B17" s="385"/>
      <c r="C17" s="385"/>
      <c r="D17" s="386"/>
      <c r="E17" s="387"/>
      <c r="F17" s="388"/>
      <c r="G17" s="389"/>
      <c r="H17" s="388"/>
      <c r="I17" s="390"/>
      <c r="J17" s="208"/>
      <c r="M17" s="163"/>
      <c r="N17" s="495"/>
      <c r="O17" s="496"/>
      <c r="P17" s="497"/>
      <c r="Q17" s="47"/>
      <c r="R17" s="47"/>
    </row>
    <row r="18" spans="1:18" ht="15" customHeight="1" thickBot="1" x14ac:dyDescent="0.3">
      <c r="A18" s="460" t="str">
        <f>A58</f>
        <v>01.00.00</v>
      </c>
      <c r="B18" s="375"/>
      <c r="C18" s="375"/>
      <c r="D18" s="372" t="str">
        <f>D58</f>
        <v xml:space="preserve">MOBILIZAÇÃO E DESMOBILIZAÇÃO                                 </v>
      </c>
      <c r="E18" s="375"/>
      <c r="F18" s="461"/>
      <c r="G18" s="462"/>
      <c r="H18" s="463"/>
      <c r="I18" s="464">
        <f>I58</f>
        <v>209101.64999999994</v>
      </c>
      <c r="J18" s="207"/>
      <c r="K18" s="512" t="s">
        <v>822</v>
      </c>
      <c r="L18" s="513"/>
      <c r="M18" s="163"/>
      <c r="N18" s="228">
        <f>I71</f>
        <v>468926.32</v>
      </c>
      <c r="O18" s="232" t="e">
        <f>I153+#REF!+I255+#REF!+#REF!+I311+I332+I348+I353+I375+I397+COMPOSIÇÕES!I374+I399+I433+I463+I479</f>
        <v>#REF!</v>
      </c>
      <c r="P18" s="233" t="e">
        <f>I57-O18-N18</f>
        <v>#REF!</v>
      </c>
      <c r="Q18" s="47"/>
      <c r="R18" s="47"/>
    </row>
    <row r="19" spans="1:18" ht="8.25" customHeight="1" thickBot="1" x14ac:dyDescent="0.3">
      <c r="A19" s="465"/>
      <c r="B19" s="466"/>
      <c r="C19" s="466"/>
      <c r="D19" s="466"/>
      <c r="E19" s="467"/>
      <c r="F19" s="468"/>
      <c r="G19" s="469"/>
      <c r="H19" s="468"/>
      <c r="I19" s="470"/>
      <c r="J19" s="208"/>
      <c r="K19" s="48" t="s">
        <v>823</v>
      </c>
      <c r="L19" s="48" t="s">
        <v>824</v>
      </c>
      <c r="M19" s="163"/>
      <c r="N19" s="229"/>
      <c r="O19" s="230"/>
      <c r="P19" s="231"/>
      <c r="Q19" s="47"/>
      <c r="R19" s="47"/>
    </row>
    <row r="20" spans="1:18" ht="15" customHeight="1" thickBot="1" x14ac:dyDescent="0.3">
      <c r="A20" s="460" t="str">
        <f>A70</f>
        <v>02.00.00</v>
      </c>
      <c r="B20" s="375"/>
      <c r="C20" s="375"/>
      <c r="D20" s="372" t="str">
        <f>D70</f>
        <v>ADMINISTRAÇÃO DA OBRA</v>
      </c>
      <c r="E20" s="375"/>
      <c r="F20" s="461"/>
      <c r="G20" s="462"/>
      <c r="H20" s="463"/>
      <c r="I20" s="464">
        <f>I70</f>
        <v>468926.32</v>
      </c>
      <c r="J20" s="207"/>
      <c r="K20" s="381">
        <f>'BDI-M'!C35</f>
        <v>0.16800393244303136</v>
      </c>
      <c r="L20" s="382">
        <f>'BDI-S'!C36</f>
        <v>0.26435686690255822</v>
      </c>
      <c r="M20" s="163"/>
      <c r="N20" s="228"/>
      <c r="O20" s="232"/>
      <c r="P20" s="233"/>
      <c r="Q20" s="47"/>
      <c r="R20" s="47"/>
    </row>
    <row r="21" spans="1:18" ht="8.25" customHeight="1" thickBot="1" x14ac:dyDescent="0.3">
      <c r="A21" s="465"/>
      <c r="B21" s="466"/>
      <c r="C21" s="466"/>
      <c r="D21" s="466"/>
      <c r="E21" s="467"/>
      <c r="F21" s="468"/>
      <c r="G21" s="469"/>
      <c r="H21" s="468"/>
      <c r="I21" s="470"/>
      <c r="J21" s="208"/>
      <c r="M21" s="163"/>
      <c r="N21" s="229"/>
      <c r="O21" s="230"/>
      <c r="P21" s="231"/>
      <c r="Q21" s="47"/>
      <c r="R21" s="47"/>
    </row>
    <row r="22" spans="1:18" ht="15" customHeight="1" thickBot="1" x14ac:dyDescent="0.3">
      <c r="A22" s="460" t="str">
        <f>A73</f>
        <v>03.00.00</v>
      </c>
      <c r="B22" s="375"/>
      <c r="C22" s="375"/>
      <c r="D22" s="372" t="str">
        <f>D73</f>
        <v>REDE COLETORA DE ESGOTOS</v>
      </c>
      <c r="E22" s="375"/>
      <c r="F22" s="461"/>
      <c r="G22" s="462"/>
      <c r="H22" s="463"/>
      <c r="I22" s="464">
        <v>338589.68000000005</v>
      </c>
      <c r="J22" s="207"/>
      <c r="K22" s="512">
        <f>I22/F75</f>
        <v>20.03489230769231</v>
      </c>
      <c r="L22" s="513" t="s">
        <v>828</v>
      </c>
      <c r="M22" s="163"/>
      <c r="N22" s="228"/>
      <c r="O22" s="232"/>
      <c r="P22" s="233"/>
      <c r="Q22" s="47"/>
      <c r="R22" s="47"/>
    </row>
    <row r="23" spans="1:18" ht="8.25" customHeight="1" x14ac:dyDescent="0.25">
      <c r="A23" s="465"/>
      <c r="B23" s="466"/>
      <c r="C23" s="466"/>
      <c r="D23" s="466"/>
      <c r="E23" s="467"/>
      <c r="F23" s="468"/>
      <c r="G23" s="469"/>
      <c r="H23" s="468"/>
      <c r="I23" s="470"/>
      <c r="J23" s="208"/>
      <c r="M23" s="163"/>
      <c r="N23" s="229"/>
      <c r="O23" s="230"/>
      <c r="P23" s="231"/>
      <c r="Q23" s="47"/>
      <c r="R23" s="47"/>
    </row>
    <row r="24" spans="1:18" ht="15" x14ac:dyDescent="0.25">
      <c r="A24" s="610" t="str">
        <f>A165</f>
        <v>04.00.00</v>
      </c>
      <c r="B24" s="611"/>
      <c r="C24" s="611"/>
      <c r="D24" s="611" t="str">
        <f>D165</f>
        <v>ELEVATÓRIA E LINHA DE RECALQUE- BAIRRO MIGUEL VIEIRA</v>
      </c>
      <c r="E24" s="612"/>
      <c r="F24" s="613"/>
      <c r="G24" s="614"/>
      <c r="H24" s="613"/>
      <c r="I24" s="615">
        <f>I165</f>
        <v>138615.96</v>
      </c>
      <c r="J24" s="208"/>
      <c r="M24" s="163"/>
      <c r="N24" s="495"/>
      <c r="O24" s="496"/>
      <c r="P24" s="497"/>
      <c r="Q24" s="47"/>
      <c r="R24" s="47"/>
    </row>
    <row r="25" spans="1:18" ht="8.25" customHeight="1" x14ac:dyDescent="0.25">
      <c r="A25" s="465"/>
      <c r="B25" s="466"/>
      <c r="C25" s="466"/>
      <c r="D25" s="466"/>
      <c r="E25" s="467"/>
      <c r="F25" s="468"/>
      <c r="G25" s="469"/>
      <c r="H25" s="468"/>
      <c r="I25" s="470"/>
      <c r="J25" s="208"/>
      <c r="M25" s="163"/>
      <c r="N25" s="495"/>
      <c r="O25" s="496"/>
      <c r="P25" s="497"/>
      <c r="Q25" s="47"/>
      <c r="R25" s="47"/>
    </row>
    <row r="26" spans="1:18" ht="15" customHeight="1" thickBot="1" x14ac:dyDescent="0.3">
      <c r="A26" s="460" t="str">
        <f>A202</f>
        <v>05.00.00</v>
      </c>
      <c r="B26" s="375"/>
      <c r="C26" s="375"/>
      <c r="D26" s="372" t="str">
        <f>D202</f>
        <v>ESTAÇÃO DE TRATAMENTO DE ESGOTOS</v>
      </c>
      <c r="E26" s="375"/>
      <c r="F26" s="461"/>
      <c r="G26" s="462"/>
      <c r="H26" s="463"/>
      <c r="I26" s="464">
        <f>I202</f>
        <v>3875261.5399999996</v>
      </c>
      <c r="J26" s="207"/>
      <c r="K26" s="511"/>
      <c r="L26" s="511"/>
      <c r="M26" s="163"/>
      <c r="N26" s="228"/>
      <c r="O26" s="232"/>
      <c r="P26" s="233"/>
      <c r="Q26" s="47"/>
      <c r="R26" s="47"/>
    </row>
    <row r="27" spans="1:18" ht="8.25" customHeight="1" x14ac:dyDescent="0.25">
      <c r="A27" s="465"/>
      <c r="B27" s="466"/>
      <c r="C27" s="466"/>
      <c r="D27" s="466"/>
      <c r="E27" s="467"/>
      <c r="F27" s="468"/>
      <c r="G27" s="469"/>
      <c r="H27" s="468"/>
      <c r="I27" s="470"/>
      <c r="J27" s="208"/>
      <c r="M27" s="163"/>
      <c r="N27" s="229"/>
      <c r="O27" s="230"/>
      <c r="P27" s="231"/>
      <c r="Q27" s="47"/>
      <c r="R27" s="47"/>
    </row>
    <row r="28" spans="1:18" ht="15" customHeight="1" thickBot="1" x14ac:dyDescent="0.3">
      <c r="A28" s="460" t="str">
        <f>A203</f>
        <v>05.01.00</v>
      </c>
      <c r="B28" s="375"/>
      <c r="C28" s="375"/>
      <c r="D28" s="372" t="str">
        <f>D203</f>
        <v>TERRAPLENAGEM GERAL</v>
      </c>
      <c r="E28" s="375"/>
      <c r="F28" s="461"/>
      <c r="G28" s="462"/>
      <c r="H28" s="463"/>
      <c r="I28" s="464">
        <f>I203</f>
        <v>193135.49</v>
      </c>
      <c r="J28" s="207"/>
      <c r="K28" s="511"/>
      <c r="L28" s="511"/>
      <c r="M28" s="163"/>
      <c r="N28" s="228"/>
      <c r="O28" s="232"/>
      <c r="P28" s="233"/>
      <c r="Q28" s="47"/>
      <c r="R28" s="47"/>
    </row>
    <row r="29" spans="1:18" ht="8.25" customHeight="1" x14ac:dyDescent="0.25">
      <c r="A29" s="465"/>
      <c r="B29" s="466"/>
      <c r="C29" s="466"/>
      <c r="D29" s="466"/>
      <c r="E29" s="467"/>
      <c r="F29" s="468"/>
      <c r="G29" s="469"/>
      <c r="H29" s="468"/>
      <c r="I29" s="470"/>
      <c r="J29" s="208"/>
      <c r="M29" s="163"/>
      <c r="N29" s="229"/>
      <c r="O29" s="230"/>
      <c r="P29" s="231"/>
      <c r="Q29" s="47"/>
      <c r="R29" s="47"/>
    </row>
    <row r="30" spans="1:18" ht="15" customHeight="1" thickBot="1" x14ac:dyDescent="0.3">
      <c r="A30" s="460" t="str">
        <f>A211</f>
        <v>05.02.00</v>
      </c>
      <c r="B30" s="375"/>
      <c r="C30" s="375"/>
      <c r="D30" s="372" t="str">
        <f>D211</f>
        <v>ELEVATÓRIA FINAL</v>
      </c>
      <c r="E30" s="375"/>
      <c r="F30" s="461"/>
      <c r="G30" s="462"/>
      <c r="H30" s="463"/>
      <c r="I30" s="464">
        <f>I211</f>
        <v>148744.55000000002</v>
      </c>
      <c r="J30" s="207"/>
      <c r="K30" s="511"/>
      <c r="L30" s="511"/>
      <c r="M30" s="163"/>
      <c r="N30" s="228"/>
      <c r="O30" s="232"/>
      <c r="P30" s="233"/>
      <c r="Q30" s="47"/>
      <c r="R30" s="47"/>
    </row>
    <row r="31" spans="1:18" ht="8.25" customHeight="1" x14ac:dyDescent="0.25">
      <c r="A31" s="465"/>
      <c r="B31" s="466"/>
      <c r="C31" s="466"/>
      <c r="D31" s="466"/>
      <c r="E31" s="467"/>
      <c r="F31" s="468"/>
      <c r="G31" s="469"/>
      <c r="H31" s="468"/>
      <c r="I31" s="470"/>
      <c r="J31" s="208"/>
      <c r="M31" s="163"/>
      <c r="N31" s="229"/>
      <c r="O31" s="230"/>
      <c r="P31" s="231"/>
      <c r="Q31" s="47"/>
      <c r="R31" s="47"/>
    </row>
    <row r="32" spans="1:18" ht="15" customHeight="1" thickBot="1" x14ac:dyDescent="0.3">
      <c r="A32" s="460" t="str">
        <f>A240</f>
        <v>05.03.00</v>
      </c>
      <c r="B32" s="375"/>
      <c r="C32" s="375"/>
      <c r="D32" s="372" t="str">
        <f>D240</f>
        <v>TRATAMENTO PRELIMINAR</v>
      </c>
      <c r="E32" s="375"/>
      <c r="F32" s="461"/>
      <c r="G32" s="462"/>
      <c r="H32" s="463"/>
      <c r="I32" s="464">
        <f>I240</f>
        <v>36887.49</v>
      </c>
      <c r="J32" s="207"/>
      <c r="K32" s="511"/>
      <c r="L32" s="511"/>
      <c r="M32" s="163"/>
      <c r="N32" s="228"/>
      <c r="O32" s="232"/>
      <c r="P32" s="233"/>
      <c r="Q32" s="47"/>
      <c r="R32" s="47"/>
    </row>
    <row r="33" spans="1:18" ht="8.25" customHeight="1" x14ac:dyDescent="0.25">
      <c r="A33" s="465"/>
      <c r="B33" s="466"/>
      <c r="C33" s="466"/>
      <c r="D33" s="466"/>
      <c r="E33" s="467"/>
      <c r="F33" s="468"/>
      <c r="G33" s="469"/>
      <c r="H33" s="468"/>
      <c r="I33" s="470"/>
      <c r="J33" s="208"/>
      <c r="M33" s="163"/>
      <c r="N33" s="229"/>
      <c r="O33" s="230"/>
      <c r="P33" s="231"/>
      <c r="Q33" s="47"/>
      <c r="R33" s="47"/>
    </row>
    <row r="34" spans="1:18" ht="15" customHeight="1" thickBot="1" x14ac:dyDescent="0.3">
      <c r="A34" s="460" t="str">
        <f>A261</f>
        <v>05.04.00</v>
      </c>
      <c r="B34" s="375"/>
      <c r="C34" s="375"/>
      <c r="D34" s="372" t="str">
        <f>D261</f>
        <v xml:space="preserve">ELEVATÓRIA PÓS TRATAMENTO PRELIMINAR </v>
      </c>
      <c r="E34" s="375"/>
      <c r="F34" s="461"/>
      <c r="G34" s="462"/>
      <c r="H34" s="463"/>
      <c r="I34" s="464">
        <f>I261</f>
        <v>188551.63000000003</v>
      </c>
      <c r="J34" s="207"/>
      <c r="K34" s="511"/>
      <c r="L34" s="511"/>
      <c r="M34" s="163"/>
      <c r="N34" s="228"/>
      <c r="O34" s="232"/>
      <c r="P34" s="233"/>
      <c r="Q34" s="47"/>
      <c r="R34" s="47"/>
    </row>
    <row r="35" spans="1:18" ht="8.25" customHeight="1" x14ac:dyDescent="0.25">
      <c r="A35" s="465"/>
      <c r="B35" s="466"/>
      <c r="C35" s="466"/>
      <c r="D35" s="466"/>
      <c r="E35" s="467"/>
      <c r="F35" s="468"/>
      <c r="G35" s="469"/>
      <c r="H35" s="468"/>
      <c r="I35" s="470"/>
      <c r="J35" s="208"/>
      <c r="M35" s="163"/>
      <c r="N35" s="229"/>
      <c r="O35" s="230"/>
      <c r="P35" s="231"/>
      <c r="Q35" s="47"/>
      <c r="R35" s="47"/>
    </row>
    <row r="36" spans="1:18" ht="15" customHeight="1" thickBot="1" x14ac:dyDescent="0.3">
      <c r="A36" s="460" t="str">
        <f>A285</f>
        <v>05.05.00</v>
      </c>
      <c r="B36" s="375"/>
      <c r="C36" s="375"/>
      <c r="D36" s="372" t="str">
        <f>D285</f>
        <v xml:space="preserve">REATORES UASB </v>
      </c>
      <c r="E36" s="375"/>
      <c r="F36" s="461"/>
      <c r="G36" s="462"/>
      <c r="H36" s="463"/>
      <c r="I36" s="464">
        <f>I285</f>
        <v>943320.35000000009</v>
      </c>
      <c r="J36" s="207"/>
      <c r="K36" s="511"/>
      <c r="L36" s="511"/>
      <c r="M36" s="163"/>
      <c r="N36" s="228"/>
      <c r="O36" s="232"/>
      <c r="P36" s="233"/>
      <c r="Q36" s="47"/>
      <c r="R36" s="47"/>
    </row>
    <row r="37" spans="1:18" ht="8.25" customHeight="1" x14ac:dyDescent="0.25">
      <c r="A37" s="465"/>
      <c r="B37" s="466"/>
      <c r="C37" s="466"/>
      <c r="D37" s="466"/>
      <c r="E37" s="467"/>
      <c r="F37" s="468"/>
      <c r="G37" s="469"/>
      <c r="H37" s="468"/>
      <c r="I37" s="470"/>
      <c r="J37" s="208"/>
      <c r="M37" s="163"/>
      <c r="N37" s="229"/>
      <c r="O37" s="230"/>
      <c r="P37" s="231"/>
      <c r="Q37" s="47"/>
      <c r="R37" s="47"/>
    </row>
    <row r="38" spans="1:18" ht="15" customHeight="1" thickBot="1" x14ac:dyDescent="0.3">
      <c r="A38" s="460" t="str">
        <f>A314</f>
        <v>05.06.00</v>
      </c>
      <c r="B38" s="375"/>
      <c r="C38" s="375"/>
      <c r="D38" s="372" t="str">
        <f>D314</f>
        <v>FILTRO BIOLÓGICO PERCOLADOR</v>
      </c>
      <c r="E38" s="375"/>
      <c r="F38" s="461"/>
      <c r="G38" s="462"/>
      <c r="H38" s="463"/>
      <c r="I38" s="464">
        <f>I314</f>
        <v>626682.53999999992</v>
      </c>
      <c r="J38" s="207"/>
      <c r="K38" s="511"/>
      <c r="L38" s="511"/>
      <c r="M38" s="163"/>
      <c r="N38" s="228"/>
      <c r="O38" s="232"/>
      <c r="P38" s="233"/>
      <c r="Q38" s="47"/>
      <c r="R38" s="47"/>
    </row>
    <row r="39" spans="1:18" ht="8.25" customHeight="1" x14ac:dyDescent="0.25">
      <c r="A39" s="465"/>
      <c r="B39" s="466"/>
      <c r="C39" s="466"/>
      <c r="D39" s="466"/>
      <c r="E39" s="467"/>
      <c r="F39" s="468"/>
      <c r="G39" s="469"/>
      <c r="H39" s="468"/>
      <c r="I39" s="470"/>
      <c r="J39" s="208"/>
      <c r="M39" s="163"/>
      <c r="N39" s="229"/>
      <c r="O39" s="230"/>
      <c r="P39" s="231"/>
      <c r="Q39" s="47"/>
      <c r="R39" s="47"/>
    </row>
    <row r="40" spans="1:18" ht="15" customHeight="1" thickBot="1" x14ac:dyDescent="0.3">
      <c r="A40" s="460" t="str">
        <f>A335</f>
        <v>05.07.00</v>
      </c>
      <c r="B40" s="375"/>
      <c r="C40" s="375"/>
      <c r="D40" s="372" t="str">
        <f>D335</f>
        <v>DECANTADOR</v>
      </c>
      <c r="E40" s="375"/>
      <c r="F40" s="461"/>
      <c r="G40" s="462"/>
      <c r="H40" s="463"/>
      <c r="I40" s="464">
        <f>I335</f>
        <v>281574.86</v>
      </c>
      <c r="J40" s="207"/>
      <c r="K40" s="511"/>
      <c r="L40" s="511"/>
      <c r="M40" s="163"/>
      <c r="N40" s="228"/>
      <c r="O40" s="232"/>
      <c r="P40" s="233"/>
      <c r="Q40" s="47"/>
      <c r="R40" s="47"/>
    </row>
    <row r="41" spans="1:18" ht="8.25" customHeight="1" x14ac:dyDescent="0.25">
      <c r="A41" s="465"/>
      <c r="B41" s="466"/>
      <c r="C41" s="466"/>
      <c r="D41" s="466"/>
      <c r="E41" s="467"/>
      <c r="F41" s="468"/>
      <c r="G41" s="469"/>
      <c r="H41" s="468"/>
      <c r="I41" s="470"/>
      <c r="J41" s="208"/>
      <c r="M41" s="163"/>
      <c r="N41" s="229"/>
      <c r="O41" s="230"/>
      <c r="P41" s="231"/>
      <c r="Q41" s="47"/>
      <c r="R41" s="47"/>
    </row>
    <row r="42" spans="1:18" ht="15" customHeight="1" thickBot="1" x14ac:dyDescent="0.3">
      <c r="A42" s="460" t="str">
        <f>A357</f>
        <v>05.08.00</v>
      </c>
      <c r="B42" s="375"/>
      <c r="C42" s="375"/>
      <c r="D42" s="372" t="str">
        <f>D357</f>
        <v>LEITOS DE SECAGEM</v>
      </c>
      <c r="E42" s="375"/>
      <c r="F42" s="461"/>
      <c r="G42" s="462"/>
      <c r="H42" s="463"/>
      <c r="I42" s="464">
        <f>I357</f>
        <v>273407.01</v>
      </c>
      <c r="J42" s="207"/>
      <c r="K42" s="511"/>
      <c r="L42" s="511"/>
      <c r="M42" s="163"/>
      <c r="N42" s="228"/>
      <c r="O42" s="232"/>
      <c r="P42" s="233"/>
      <c r="Q42" s="47"/>
      <c r="R42" s="47"/>
    </row>
    <row r="43" spans="1:18" ht="8.25" customHeight="1" x14ac:dyDescent="0.25">
      <c r="A43" s="465"/>
      <c r="B43" s="466"/>
      <c r="C43" s="466"/>
      <c r="D43" s="466"/>
      <c r="E43" s="467"/>
      <c r="F43" s="468"/>
      <c r="G43" s="469"/>
      <c r="H43" s="468"/>
      <c r="I43" s="470"/>
      <c r="J43" s="208"/>
      <c r="M43" s="163"/>
      <c r="N43" s="229"/>
      <c r="O43" s="230"/>
      <c r="P43" s="231"/>
      <c r="Q43" s="47"/>
      <c r="R43" s="47"/>
    </row>
    <row r="44" spans="1:18" ht="15" customHeight="1" thickBot="1" x14ac:dyDescent="0.3">
      <c r="A44" s="460" t="str">
        <f>A378</f>
        <v>05.09.00</v>
      </c>
      <c r="B44" s="375"/>
      <c r="C44" s="375"/>
      <c r="D44" s="372" t="str">
        <f>D378</f>
        <v>ELEVATÓRIA DE RECIRCULAÇÃO</v>
      </c>
      <c r="E44" s="375"/>
      <c r="F44" s="461"/>
      <c r="G44" s="462"/>
      <c r="H44" s="463"/>
      <c r="I44" s="464">
        <f>I378</f>
        <v>117877.87000000001</v>
      </c>
      <c r="J44" s="207"/>
      <c r="K44" s="511"/>
      <c r="L44" s="511"/>
      <c r="M44" s="163"/>
      <c r="N44" s="228"/>
      <c r="O44" s="232"/>
      <c r="P44" s="233"/>
      <c r="Q44" s="47"/>
      <c r="R44" s="47"/>
    </row>
    <row r="45" spans="1:18" ht="8.25" customHeight="1" x14ac:dyDescent="0.25">
      <c r="A45" s="465"/>
      <c r="B45" s="466"/>
      <c r="C45" s="466"/>
      <c r="D45" s="466"/>
      <c r="E45" s="467"/>
      <c r="F45" s="468"/>
      <c r="G45" s="469"/>
      <c r="H45" s="468"/>
      <c r="I45" s="470"/>
      <c r="J45" s="208"/>
      <c r="M45" s="163"/>
      <c r="N45" s="229"/>
      <c r="O45" s="230"/>
      <c r="P45" s="231"/>
      <c r="Q45" s="47"/>
      <c r="R45" s="47"/>
    </row>
    <row r="46" spans="1:18" ht="15" customHeight="1" thickBot="1" x14ac:dyDescent="0.3">
      <c r="A46" s="460" t="str">
        <f>A403</f>
        <v>05.10.00</v>
      </c>
      <c r="B46" s="375"/>
      <c r="C46" s="375"/>
      <c r="D46" s="372" t="str">
        <f>D403</f>
        <v>FOTOREATOR</v>
      </c>
      <c r="E46" s="375"/>
      <c r="F46" s="461"/>
      <c r="G46" s="462"/>
      <c r="H46" s="463"/>
      <c r="I46" s="464">
        <f>I403</f>
        <v>349280.85</v>
      </c>
      <c r="J46" s="208"/>
      <c r="K46" s="449"/>
      <c r="L46" s="449"/>
      <c r="M46" s="163"/>
      <c r="N46" s="495"/>
      <c r="O46" s="496"/>
      <c r="P46" s="497"/>
      <c r="Q46" s="47"/>
      <c r="R46" s="47"/>
    </row>
    <row r="47" spans="1:18" ht="8.25" customHeight="1" x14ac:dyDescent="0.25">
      <c r="A47" s="465"/>
      <c r="B47" s="466"/>
      <c r="C47" s="466"/>
      <c r="D47" s="466"/>
      <c r="E47" s="467"/>
      <c r="F47" s="468"/>
      <c r="G47" s="469"/>
      <c r="H47" s="468"/>
      <c r="I47" s="470"/>
      <c r="J47" s="208"/>
      <c r="M47" s="163"/>
      <c r="N47" s="229"/>
      <c r="O47" s="230"/>
      <c r="P47" s="231"/>
      <c r="Q47" s="47"/>
      <c r="R47" s="47"/>
    </row>
    <row r="48" spans="1:18" ht="15" customHeight="1" thickBot="1" x14ac:dyDescent="0.3">
      <c r="A48" s="460" t="str">
        <f>A406</f>
        <v>05.11.00</v>
      </c>
      <c r="B48" s="375"/>
      <c r="C48" s="375"/>
      <c r="D48" s="372" t="str">
        <f>D406</f>
        <v>EDIFICAÇÃO ADMINISTRATIVA - UNIDADE DE APOIO</v>
      </c>
      <c r="E48" s="375"/>
      <c r="F48" s="461"/>
      <c r="G48" s="462"/>
      <c r="H48" s="463"/>
      <c r="I48" s="464">
        <f>I406</f>
        <v>87809.939999999973</v>
      </c>
      <c r="J48" s="207"/>
      <c r="K48" s="511"/>
      <c r="L48" s="511"/>
      <c r="M48" s="163"/>
      <c r="N48" s="228"/>
      <c r="O48" s="232"/>
      <c r="P48" s="233"/>
      <c r="Q48" s="47"/>
      <c r="R48" s="47"/>
    </row>
    <row r="49" spans="1:18" ht="8.25" customHeight="1" x14ac:dyDescent="0.25">
      <c r="A49" s="465"/>
      <c r="B49" s="466"/>
      <c r="C49" s="466"/>
      <c r="D49" s="466"/>
      <c r="E49" s="467"/>
      <c r="F49" s="468"/>
      <c r="G49" s="469"/>
      <c r="H49" s="468"/>
      <c r="I49" s="470"/>
      <c r="J49" s="208"/>
      <c r="M49" s="163"/>
      <c r="N49" s="229"/>
      <c r="O49" s="230"/>
      <c r="P49" s="231"/>
      <c r="Q49" s="47"/>
      <c r="R49" s="47"/>
    </row>
    <row r="50" spans="1:18" ht="15" customHeight="1" thickBot="1" x14ac:dyDescent="0.3">
      <c r="A50" s="460" t="str">
        <f>A436</f>
        <v>05.12.00</v>
      </c>
      <c r="B50" s="375"/>
      <c r="C50" s="375"/>
      <c r="D50" s="372" t="str">
        <f>D436</f>
        <v>INTERLIGAÇÕES DE PROCESSOS, DRENAGEM E ÁGUA FRIA</v>
      </c>
      <c r="E50" s="375"/>
      <c r="F50" s="461"/>
      <c r="G50" s="462"/>
      <c r="H50" s="463"/>
      <c r="I50" s="464">
        <f>I436</f>
        <v>313018.44</v>
      </c>
      <c r="J50" s="207"/>
      <c r="K50" s="511"/>
      <c r="L50" s="511"/>
      <c r="M50" s="163"/>
      <c r="N50" s="228"/>
      <c r="O50" s="232"/>
      <c r="P50" s="233"/>
      <c r="Q50" s="47"/>
      <c r="R50" s="47"/>
    </row>
    <row r="51" spans="1:18" ht="8.25" customHeight="1" x14ac:dyDescent="0.25">
      <c r="A51" s="465"/>
      <c r="B51" s="466"/>
      <c r="C51" s="466"/>
      <c r="D51" s="466"/>
      <c r="E51" s="467"/>
      <c r="F51" s="468"/>
      <c r="G51" s="469"/>
      <c r="H51" s="468"/>
      <c r="I51" s="470"/>
      <c r="J51" s="208"/>
      <c r="M51" s="163"/>
      <c r="N51" s="229"/>
      <c r="O51" s="230"/>
      <c r="P51" s="231"/>
      <c r="Q51" s="47"/>
      <c r="R51" s="47"/>
    </row>
    <row r="52" spans="1:18" ht="15" customHeight="1" thickBot="1" x14ac:dyDescent="0.3">
      <c r="A52" s="460" t="str">
        <f>A469</f>
        <v>05.13.00</v>
      </c>
      <c r="B52" s="375"/>
      <c r="C52" s="375"/>
      <c r="D52" s="372" t="str">
        <f>D469</f>
        <v>QUEIMADOR DE BIOGÁS</v>
      </c>
      <c r="E52" s="375"/>
      <c r="F52" s="461"/>
      <c r="G52" s="462"/>
      <c r="H52" s="463"/>
      <c r="I52" s="464">
        <f>I469</f>
        <v>13901.010000000002</v>
      </c>
      <c r="J52" s="207"/>
      <c r="K52" s="511"/>
      <c r="L52" s="511"/>
      <c r="M52" s="163"/>
      <c r="N52" s="228"/>
      <c r="O52" s="232"/>
      <c r="P52" s="233"/>
      <c r="Q52" s="47"/>
      <c r="R52" s="47"/>
    </row>
    <row r="53" spans="1:18" ht="8.25" customHeight="1" x14ac:dyDescent="0.25">
      <c r="A53" s="465"/>
      <c r="B53" s="466"/>
      <c r="C53" s="466"/>
      <c r="D53" s="466"/>
      <c r="E53" s="467"/>
      <c r="F53" s="468"/>
      <c r="G53" s="469"/>
      <c r="H53" s="468"/>
      <c r="I53" s="470"/>
      <c r="J53" s="208"/>
      <c r="M53" s="163"/>
      <c r="N53" s="229"/>
      <c r="O53" s="230"/>
      <c r="P53" s="231"/>
      <c r="Q53" s="47"/>
      <c r="R53" s="47"/>
    </row>
    <row r="54" spans="1:18" ht="15" customHeight="1" thickBot="1" x14ac:dyDescent="0.3">
      <c r="A54" s="460" t="str">
        <f>A482</f>
        <v>05.14.00</v>
      </c>
      <c r="B54" s="375"/>
      <c r="C54" s="375"/>
      <c r="D54" s="372" t="str">
        <f>D482</f>
        <v>URBANIZAÇÃO</v>
      </c>
      <c r="E54" s="375"/>
      <c r="F54" s="461"/>
      <c r="G54" s="462"/>
      <c r="H54" s="463"/>
      <c r="I54" s="464">
        <f>I482</f>
        <v>650350.35999999975</v>
      </c>
      <c r="J54" s="207"/>
      <c r="K54" s="511"/>
      <c r="L54" s="511"/>
      <c r="M54" s="163"/>
      <c r="N54" s="228"/>
      <c r="O54" s="232"/>
      <c r="P54" s="233"/>
      <c r="Q54" s="47"/>
      <c r="R54" s="47"/>
    </row>
    <row r="55" spans="1:18" ht="15" x14ac:dyDescent="0.25">
      <c r="A55" s="465"/>
      <c r="B55" s="466"/>
      <c r="C55" s="466"/>
      <c r="D55" s="466"/>
      <c r="E55" s="467"/>
      <c r="F55" s="468"/>
      <c r="G55" s="469"/>
      <c r="H55" s="468"/>
      <c r="I55" s="470"/>
      <c r="J55" s="208"/>
      <c r="M55" s="163"/>
      <c r="N55" s="229"/>
      <c r="O55" s="230"/>
      <c r="P55" s="231"/>
      <c r="Q55" s="47"/>
      <c r="R55" s="47"/>
    </row>
    <row r="56" spans="1:18" ht="15.75" thickBot="1" x14ac:dyDescent="0.3">
      <c r="A56" s="465"/>
      <c r="B56" s="466"/>
      <c r="C56" s="466"/>
      <c r="D56" s="466"/>
      <c r="E56" s="467"/>
      <c r="F56" s="468"/>
      <c r="G56" s="469"/>
      <c r="H56" s="468"/>
      <c r="I56" s="470"/>
      <c r="J56" s="208"/>
      <c r="M56" s="163"/>
      <c r="N56" s="495"/>
      <c r="O56" s="496"/>
      <c r="P56" s="497"/>
      <c r="Q56" s="47"/>
      <c r="R56" s="47"/>
    </row>
    <row r="57" spans="1:18" ht="15" customHeight="1" thickBot="1" x14ac:dyDescent="0.3">
      <c r="A57" s="409"/>
      <c r="B57" s="410"/>
      <c r="C57" s="410"/>
      <c r="D57" s="411" t="s">
        <v>439</v>
      </c>
      <c r="E57" s="410"/>
      <c r="F57" s="412"/>
      <c r="G57" s="413"/>
      <c r="H57" s="414"/>
      <c r="I57" s="415">
        <f>SUM(I18:I54)-I26</f>
        <v>5379776</v>
      </c>
      <c r="J57" s="207"/>
      <c r="K57" s="512">
        <v>7456600.3099999996</v>
      </c>
      <c r="L57" s="513">
        <v>4240770.95</v>
      </c>
      <c r="M57" s="163">
        <f>I57-K57</f>
        <v>-2076824.3099999996</v>
      </c>
      <c r="N57" s="228">
        <f>L57/I57</f>
        <v>0.78828020906446661</v>
      </c>
      <c r="O57" s="232"/>
      <c r="P57" s="233"/>
      <c r="Q57" s="47"/>
      <c r="R57" s="47"/>
    </row>
    <row r="58" spans="1:18" ht="15" customHeight="1" thickTop="1" thickBot="1" x14ac:dyDescent="0.25">
      <c r="A58" s="409" t="s">
        <v>457</v>
      </c>
      <c r="B58" s="410"/>
      <c r="C58" s="410"/>
      <c r="D58" s="411" t="s">
        <v>166</v>
      </c>
      <c r="E58" s="410"/>
      <c r="F58" s="412"/>
      <c r="G58" s="413"/>
      <c r="H58" s="414"/>
      <c r="I58" s="415">
        <f>SUM(I59:I68)</f>
        <v>209101.64999999994</v>
      </c>
      <c r="J58" s="207"/>
      <c r="K58" s="206">
        <f>I58/I57</f>
        <v>3.8868095995074875E-2</v>
      </c>
      <c r="L58" s="48">
        <v>6.71</v>
      </c>
      <c r="M58" s="167">
        <f>I18+I20+I22+I26</f>
        <v>4891879.1899999995</v>
      </c>
      <c r="N58" s="47"/>
      <c r="O58" s="47"/>
      <c r="P58" s="47"/>
      <c r="R58" s="47"/>
    </row>
    <row r="59" spans="1:18" ht="30" customHeight="1" thickTop="1" x14ac:dyDescent="0.2">
      <c r="A59" s="395" t="s">
        <v>165</v>
      </c>
      <c r="B59" s="392" t="s">
        <v>94</v>
      </c>
      <c r="C59" s="392">
        <v>72840</v>
      </c>
      <c r="D59" s="396" t="s">
        <v>99</v>
      </c>
      <c r="E59" s="392" t="s">
        <v>67</v>
      </c>
      <c r="F59" s="221">
        <v>170000</v>
      </c>
      <c r="G59" s="221">
        <v>0.45</v>
      </c>
      <c r="H59" s="221">
        <f t="shared" ref="H59:H68" si="0">G59*(1+$L$20)</f>
        <v>0.56896059010615119</v>
      </c>
      <c r="I59" s="222">
        <f t="shared" ref="I59:I68" si="1">ROUND(F59*H59,2)</f>
        <v>96723.3</v>
      </c>
      <c r="J59" s="209"/>
      <c r="K59" s="47"/>
      <c r="L59" s="168"/>
      <c r="M59" s="47"/>
      <c r="N59" s="47"/>
      <c r="O59" s="47"/>
      <c r="P59" s="47"/>
      <c r="R59" s="47"/>
    </row>
    <row r="60" spans="1:18" s="48" customFormat="1" ht="45" customHeight="1" x14ac:dyDescent="0.2">
      <c r="A60" s="395" t="s">
        <v>154</v>
      </c>
      <c r="B60" s="392" t="s">
        <v>94</v>
      </c>
      <c r="C60" s="392" t="s">
        <v>95</v>
      </c>
      <c r="D60" s="396" t="s">
        <v>96</v>
      </c>
      <c r="E60" s="392" t="s">
        <v>61</v>
      </c>
      <c r="F60" s="221">
        <v>60</v>
      </c>
      <c r="G60" s="221">
        <v>302.44</v>
      </c>
      <c r="H60" s="221">
        <f t="shared" si="0"/>
        <v>382.39209082600968</v>
      </c>
      <c r="I60" s="222">
        <f t="shared" si="1"/>
        <v>22943.53</v>
      </c>
      <c r="J60" s="209"/>
      <c r="K60" s="165">
        <f>SUM(H28:H51)</f>
        <v>0</v>
      </c>
      <c r="L60" s="167"/>
      <c r="M60" s="47"/>
      <c r="N60" s="47"/>
      <c r="O60" s="47"/>
      <c r="P60" s="47"/>
      <c r="R60" s="47"/>
    </row>
    <row r="61" spans="1:18" s="48" customFormat="1" ht="45" customHeight="1" x14ac:dyDescent="0.2">
      <c r="A61" s="395" t="s">
        <v>155</v>
      </c>
      <c r="B61" s="392" t="s">
        <v>94</v>
      </c>
      <c r="C61" s="392" t="s">
        <v>362</v>
      </c>
      <c r="D61" s="396" t="s">
        <v>363</v>
      </c>
      <c r="E61" s="392" t="s">
        <v>61</v>
      </c>
      <c r="F61" s="221">
        <v>60</v>
      </c>
      <c r="G61" s="221">
        <v>322.47000000000003</v>
      </c>
      <c r="H61" s="221">
        <f t="shared" si="0"/>
        <v>407.71715887006798</v>
      </c>
      <c r="I61" s="222">
        <f t="shared" si="1"/>
        <v>24463.03</v>
      </c>
      <c r="J61" s="209"/>
      <c r="K61" s="47"/>
      <c r="L61" s="47"/>
      <c r="M61" s="47"/>
      <c r="N61" s="47"/>
      <c r="O61" s="47"/>
      <c r="P61" s="47"/>
      <c r="R61" s="47"/>
    </row>
    <row r="62" spans="1:18" ht="30" customHeight="1" x14ac:dyDescent="0.2">
      <c r="A62" s="395" t="s">
        <v>156</v>
      </c>
      <c r="B62" s="392" t="s">
        <v>94</v>
      </c>
      <c r="C62" s="392" t="s">
        <v>366</v>
      </c>
      <c r="D62" s="396" t="s">
        <v>367</v>
      </c>
      <c r="E62" s="392" t="s">
        <v>61</v>
      </c>
      <c r="F62" s="221">
        <v>60</v>
      </c>
      <c r="G62" s="221">
        <v>231.95</v>
      </c>
      <c r="H62" s="221">
        <f t="shared" si="0"/>
        <v>293.26757527804835</v>
      </c>
      <c r="I62" s="222">
        <f t="shared" si="1"/>
        <v>17596.05</v>
      </c>
      <c r="J62" s="209"/>
      <c r="K62" s="47"/>
      <c r="L62" s="168"/>
      <c r="M62" s="47"/>
      <c r="N62" s="47"/>
      <c r="O62" s="47"/>
      <c r="P62" s="47"/>
      <c r="R62" s="47"/>
    </row>
    <row r="63" spans="1:18" ht="30" customHeight="1" x14ac:dyDescent="0.2">
      <c r="A63" s="395" t="s">
        <v>157</v>
      </c>
      <c r="B63" s="392" t="s">
        <v>94</v>
      </c>
      <c r="C63" s="392" t="s">
        <v>368</v>
      </c>
      <c r="D63" s="396" t="s">
        <v>369</v>
      </c>
      <c r="E63" s="392" t="s">
        <v>65</v>
      </c>
      <c r="F63" s="221">
        <v>1</v>
      </c>
      <c r="G63" s="221">
        <v>1393.17</v>
      </c>
      <c r="H63" s="221">
        <f t="shared" si="0"/>
        <v>1761.4640562626371</v>
      </c>
      <c r="I63" s="222">
        <f t="shared" si="1"/>
        <v>1761.46</v>
      </c>
      <c r="J63" s="209"/>
      <c r="K63" s="47"/>
      <c r="L63" s="168"/>
      <c r="M63" s="47"/>
      <c r="N63" s="47"/>
      <c r="O63" s="47"/>
      <c r="P63" s="47"/>
      <c r="R63" s="47"/>
    </row>
    <row r="64" spans="1:18" x14ac:dyDescent="0.2">
      <c r="A64" s="395" t="s">
        <v>167</v>
      </c>
      <c r="B64" s="392" t="s">
        <v>94</v>
      </c>
      <c r="C64" s="392" t="s">
        <v>97</v>
      </c>
      <c r="D64" s="396" t="s">
        <v>98</v>
      </c>
      <c r="E64" s="392" t="s">
        <v>61</v>
      </c>
      <c r="F64" s="221">
        <v>12</v>
      </c>
      <c r="G64" s="221">
        <v>316.17</v>
      </c>
      <c r="H64" s="221">
        <f t="shared" si="0"/>
        <v>399.75171060858185</v>
      </c>
      <c r="I64" s="222">
        <f t="shared" si="1"/>
        <v>4797.0200000000004</v>
      </c>
      <c r="J64" s="209"/>
      <c r="K64" s="47"/>
      <c r="L64" s="47"/>
      <c r="M64" s="47"/>
      <c r="N64" s="47"/>
      <c r="O64" s="47"/>
      <c r="P64" s="47"/>
      <c r="R64" s="47"/>
    </row>
    <row r="65" spans="1:18" ht="30" customHeight="1" x14ac:dyDescent="0.2">
      <c r="A65" s="395" t="s">
        <v>360</v>
      </c>
      <c r="B65" s="392" t="s">
        <v>94</v>
      </c>
      <c r="C65" s="392" t="s">
        <v>370</v>
      </c>
      <c r="D65" s="396" t="s">
        <v>375</v>
      </c>
      <c r="E65" s="392" t="s">
        <v>61</v>
      </c>
      <c r="F65" s="221">
        <v>140</v>
      </c>
      <c r="G65" s="221">
        <v>46.06</v>
      </c>
      <c r="H65" s="221">
        <f t="shared" si="0"/>
        <v>58.236277289531834</v>
      </c>
      <c r="I65" s="222">
        <f t="shared" si="1"/>
        <v>8153.08</v>
      </c>
      <c r="J65" s="209"/>
      <c r="K65" s="47"/>
      <c r="L65" s="168"/>
      <c r="M65" s="47"/>
      <c r="N65" s="47"/>
      <c r="O65" s="47"/>
      <c r="P65" s="47"/>
      <c r="R65" s="47"/>
    </row>
    <row r="66" spans="1:18" s="48" customFormat="1" ht="45" customHeight="1" x14ac:dyDescent="0.2">
      <c r="A66" s="395" t="s">
        <v>361</v>
      </c>
      <c r="B66" s="392" t="s">
        <v>94</v>
      </c>
      <c r="C66" s="392" t="s">
        <v>371</v>
      </c>
      <c r="D66" s="396" t="s">
        <v>372</v>
      </c>
      <c r="E66" s="392" t="s">
        <v>63</v>
      </c>
      <c r="F66" s="221">
        <v>200</v>
      </c>
      <c r="G66" s="221">
        <v>18.89</v>
      </c>
      <c r="H66" s="221">
        <f t="shared" si="0"/>
        <v>23.883701215789326</v>
      </c>
      <c r="I66" s="222">
        <f t="shared" si="1"/>
        <v>4776.74</v>
      </c>
      <c r="J66" s="209"/>
      <c r="K66" s="47"/>
      <c r="L66" s="47"/>
      <c r="M66" s="47"/>
      <c r="N66" s="47"/>
      <c r="O66" s="47"/>
      <c r="P66" s="47"/>
      <c r="R66" s="47"/>
    </row>
    <row r="67" spans="1:18" ht="42.75" x14ac:dyDescent="0.2">
      <c r="A67" s="395" t="s">
        <v>762</v>
      </c>
      <c r="B67" s="392" t="s">
        <v>94</v>
      </c>
      <c r="C67" s="392" t="s">
        <v>839</v>
      </c>
      <c r="D67" s="396" t="s">
        <v>840</v>
      </c>
      <c r="E67" s="392" t="s">
        <v>65</v>
      </c>
      <c r="F67" s="221">
        <v>2</v>
      </c>
      <c r="G67" s="221">
        <v>1354.21</v>
      </c>
      <c r="H67" s="221">
        <f t="shared" si="0"/>
        <v>1712.2047127281135</v>
      </c>
      <c r="I67" s="222">
        <f t="shared" si="1"/>
        <v>3424.41</v>
      </c>
      <c r="J67" s="209"/>
      <c r="K67" s="47"/>
      <c r="L67" s="168"/>
      <c r="M67" s="47"/>
      <c r="N67" s="47"/>
      <c r="O67" s="47"/>
      <c r="P67" s="47"/>
      <c r="R67" s="47"/>
    </row>
    <row r="68" spans="1:18" s="48" customFormat="1" ht="45" customHeight="1" x14ac:dyDescent="0.2">
      <c r="A68" s="395" t="s">
        <v>763</v>
      </c>
      <c r="B68" s="392" t="s">
        <v>94</v>
      </c>
      <c r="C68" s="392" t="s">
        <v>100</v>
      </c>
      <c r="D68" s="396" t="s">
        <v>415</v>
      </c>
      <c r="E68" s="392" t="s">
        <v>61</v>
      </c>
      <c r="F68" s="221">
        <v>60</v>
      </c>
      <c r="G68" s="221">
        <v>322.47000000000003</v>
      </c>
      <c r="H68" s="221">
        <f t="shared" si="0"/>
        <v>407.71715887006798</v>
      </c>
      <c r="I68" s="222">
        <f t="shared" si="1"/>
        <v>24463.03</v>
      </c>
      <c r="J68" s="209"/>
      <c r="K68" s="47"/>
      <c r="L68" s="47"/>
      <c r="M68" s="47"/>
      <c r="N68" s="47"/>
      <c r="O68" s="47"/>
      <c r="P68" s="47"/>
      <c r="R68" s="47"/>
    </row>
    <row r="69" spans="1:18" ht="15" customHeight="1" x14ac:dyDescent="0.2">
      <c r="A69" s="397"/>
      <c r="B69" s="398"/>
      <c r="C69" s="399"/>
      <c r="D69" s="400"/>
      <c r="E69" s="398"/>
      <c r="F69" s="401"/>
      <c r="G69" s="402"/>
      <c r="H69" s="403"/>
      <c r="I69" s="404"/>
      <c r="J69" s="210"/>
      <c r="K69" s="47"/>
      <c r="L69" s="47"/>
      <c r="M69" s="47"/>
      <c r="N69" s="47"/>
      <c r="O69" s="47"/>
      <c r="P69" s="47"/>
      <c r="R69" s="47"/>
    </row>
    <row r="70" spans="1:18" ht="15" customHeight="1" thickBot="1" x14ac:dyDescent="0.25">
      <c r="A70" s="409" t="s">
        <v>2686</v>
      </c>
      <c r="B70" s="410"/>
      <c r="C70" s="410"/>
      <c r="D70" s="411" t="s">
        <v>359</v>
      </c>
      <c r="E70" s="410"/>
      <c r="F70" s="412"/>
      <c r="G70" s="413"/>
      <c r="H70" s="414"/>
      <c r="I70" s="415">
        <f>SUM(I71:I71)</f>
        <v>468926.32</v>
      </c>
      <c r="J70" s="211"/>
      <c r="K70" s="47"/>
      <c r="L70" s="47"/>
      <c r="M70" s="47"/>
      <c r="N70" s="47"/>
      <c r="O70" s="47"/>
      <c r="P70" s="47"/>
      <c r="R70" s="47"/>
    </row>
    <row r="71" spans="1:18" s="48" customFormat="1" ht="30" customHeight="1" thickTop="1" thickBot="1" x14ac:dyDescent="0.25">
      <c r="A71" s="395" t="s">
        <v>2687</v>
      </c>
      <c r="B71" s="220" t="s">
        <v>717</v>
      </c>
      <c r="C71" s="442" t="s">
        <v>458</v>
      </c>
      <c r="D71" s="396" t="s">
        <v>859</v>
      </c>
      <c r="E71" s="398" t="s">
        <v>66</v>
      </c>
      <c r="F71" s="393">
        <v>10</v>
      </c>
      <c r="G71" s="221">
        <f>COMPOSIÇÕES!I13</f>
        <v>37088.129999999997</v>
      </c>
      <c r="H71" s="221">
        <f>G71*(1+$L$20)</f>
        <v>46892.631846074772</v>
      </c>
      <c r="I71" s="222">
        <f>ROUND(F71*H71,2)</f>
        <v>468926.32</v>
      </c>
      <c r="J71" s="366"/>
      <c r="K71" s="378">
        <f>I71/I57</f>
        <v>8.7164655182669318E-2</v>
      </c>
      <c r="L71" s="167"/>
      <c r="M71" s="47" t="s">
        <v>860</v>
      </c>
      <c r="N71" s="47"/>
      <c r="O71" s="47"/>
      <c r="P71" s="47"/>
      <c r="R71" s="47"/>
    </row>
    <row r="72" spans="1:18" ht="15" customHeight="1" thickTop="1" x14ac:dyDescent="0.2">
      <c r="A72" s="395"/>
      <c r="B72" s="398"/>
      <c r="C72" s="398"/>
      <c r="D72" s="400"/>
      <c r="E72" s="398"/>
      <c r="F72" s="401"/>
      <c r="G72" s="402"/>
      <c r="H72" s="402"/>
      <c r="I72" s="404"/>
      <c r="J72" s="210"/>
      <c r="K72" s="47"/>
      <c r="L72" s="167"/>
      <c r="M72" s="47"/>
      <c r="N72" s="47"/>
      <c r="O72" s="47"/>
      <c r="P72" s="47"/>
      <c r="R72" s="47"/>
    </row>
    <row r="73" spans="1:18" ht="15" x14ac:dyDescent="0.2">
      <c r="A73" s="409" t="s">
        <v>1049</v>
      </c>
      <c r="B73" s="410"/>
      <c r="C73" s="410"/>
      <c r="D73" s="411" t="s">
        <v>2699</v>
      </c>
      <c r="E73" s="410" t="s">
        <v>129</v>
      </c>
      <c r="F73" s="412"/>
      <c r="G73" s="413"/>
      <c r="H73" s="414"/>
      <c r="I73" s="415">
        <f>I162+I155+I145+I127+I115+I109+I104+I98+I85+I74+I121</f>
        <v>0</v>
      </c>
      <c r="J73" s="210"/>
      <c r="K73" s="47">
        <f>I73/F75</f>
        <v>0</v>
      </c>
      <c r="L73" s="167"/>
      <c r="M73" s="47"/>
      <c r="N73" s="47"/>
      <c r="O73" s="47"/>
      <c r="P73" s="47"/>
      <c r="R73" s="47"/>
    </row>
    <row r="74" spans="1:18" ht="15" x14ac:dyDescent="0.2">
      <c r="A74" s="409" t="s">
        <v>1050</v>
      </c>
      <c r="B74" s="410"/>
      <c r="C74" s="410"/>
      <c r="D74" s="411" t="s">
        <v>726</v>
      </c>
      <c r="E74" s="410"/>
      <c r="F74" s="412"/>
      <c r="G74" s="413"/>
      <c r="H74" s="414"/>
      <c r="I74" s="415">
        <f>SUM(I75:I83)</f>
        <v>0</v>
      </c>
      <c r="J74" s="210"/>
      <c r="K74" s="47"/>
      <c r="L74" s="167"/>
      <c r="M74" s="47"/>
      <c r="N74" s="47"/>
      <c r="O74" s="47"/>
      <c r="P74" s="47"/>
      <c r="R74" s="47"/>
    </row>
    <row r="75" spans="1:18" ht="28.5" x14ac:dyDescent="0.2">
      <c r="A75" s="395" t="s">
        <v>1051</v>
      </c>
      <c r="B75" s="392" t="s">
        <v>94</v>
      </c>
      <c r="C75" s="392">
        <v>73679</v>
      </c>
      <c r="D75" s="396" t="s">
        <v>131</v>
      </c>
      <c r="E75" s="392" t="s">
        <v>63</v>
      </c>
      <c r="F75" s="221">
        <f>COMPOSIÇÕES!F43</f>
        <v>16900</v>
      </c>
      <c r="G75" s="221">
        <v>0</v>
      </c>
      <c r="H75" s="221">
        <f t="shared" ref="H75:H83" si="2">G75*(1+$L$20)</f>
        <v>0</v>
      </c>
      <c r="I75" s="222">
        <f t="shared" ref="I75:I83" si="3">ROUND(F75*H75,2)</f>
        <v>0</v>
      </c>
      <c r="J75" s="210"/>
      <c r="K75" s="47"/>
      <c r="L75" s="167"/>
      <c r="M75" s="47"/>
      <c r="N75" s="47"/>
      <c r="O75" s="47"/>
      <c r="P75" s="47"/>
      <c r="R75" s="47"/>
    </row>
    <row r="76" spans="1:18" x14ac:dyDescent="0.2">
      <c r="A76" s="395" t="s">
        <v>1052</v>
      </c>
      <c r="B76" s="220" t="s">
        <v>94</v>
      </c>
      <c r="C76" s="220">
        <v>73682</v>
      </c>
      <c r="D76" s="219" t="s">
        <v>727</v>
      </c>
      <c r="E76" s="220" t="s">
        <v>63</v>
      </c>
      <c r="F76" s="221">
        <f>F75</f>
        <v>16900</v>
      </c>
      <c r="G76" s="221">
        <v>0</v>
      </c>
      <c r="H76" s="221">
        <f t="shared" si="2"/>
        <v>0</v>
      </c>
      <c r="I76" s="222">
        <f t="shared" si="3"/>
        <v>0</v>
      </c>
      <c r="J76" s="210"/>
      <c r="K76" s="47"/>
      <c r="L76" s="167"/>
      <c r="M76" s="47"/>
      <c r="N76" s="47"/>
      <c r="O76" s="47"/>
      <c r="P76" s="47"/>
      <c r="R76" s="47"/>
    </row>
    <row r="77" spans="1:18" ht="28.5" x14ac:dyDescent="0.2">
      <c r="A77" s="395" t="s">
        <v>1053</v>
      </c>
      <c r="B77" s="220" t="s">
        <v>94</v>
      </c>
      <c r="C77" s="220" t="s">
        <v>132</v>
      </c>
      <c r="D77" s="219" t="s">
        <v>851</v>
      </c>
      <c r="E77" s="220" t="s">
        <v>61</v>
      </c>
      <c r="F77" s="221">
        <f>F75*0.3</f>
        <v>5070</v>
      </c>
      <c r="G77" s="221">
        <v>0</v>
      </c>
      <c r="H77" s="221">
        <f t="shared" si="2"/>
        <v>0</v>
      </c>
      <c r="I77" s="222">
        <f t="shared" si="3"/>
        <v>0</v>
      </c>
      <c r="J77" s="210"/>
      <c r="K77" s="47"/>
      <c r="L77" s="167"/>
      <c r="M77" s="47"/>
      <c r="N77" s="47"/>
      <c r="O77" s="47"/>
      <c r="P77" s="47"/>
      <c r="R77" s="47"/>
    </row>
    <row r="78" spans="1:18" ht="28.5" x14ac:dyDescent="0.2">
      <c r="A78" s="395" t="s">
        <v>1054</v>
      </c>
      <c r="B78" s="392" t="s">
        <v>94</v>
      </c>
      <c r="C78" s="392" t="s">
        <v>370</v>
      </c>
      <c r="D78" s="396" t="s">
        <v>375</v>
      </c>
      <c r="E78" s="392" t="s">
        <v>61</v>
      </c>
      <c r="F78" s="221">
        <v>60</v>
      </c>
      <c r="G78" s="221">
        <v>0</v>
      </c>
      <c r="H78" s="221">
        <f t="shared" si="2"/>
        <v>0</v>
      </c>
      <c r="I78" s="222">
        <f t="shared" si="3"/>
        <v>0</v>
      </c>
      <c r="J78" s="210"/>
      <c r="K78" s="47"/>
      <c r="L78" s="167"/>
      <c r="M78" s="47"/>
      <c r="N78" s="47"/>
      <c r="O78" s="47"/>
      <c r="P78" s="47"/>
      <c r="R78" s="47"/>
    </row>
    <row r="79" spans="1:18" x14ac:dyDescent="0.2">
      <c r="A79" s="395" t="s">
        <v>1055</v>
      </c>
      <c r="B79" s="392" t="s">
        <v>94</v>
      </c>
      <c r="C79" s="392" t="s">
        <v>97</v>
      </c>
      <c r="D79" s="396" t="s">
        <v>98</v>
      </c>
      <c r="E79" s="392" t="s">
        <v>61</v>
      </c>
      <c r="F79" s="221">
        <v>6</v>
      </c>
      <c r="G79" s="221">
        <v>0</v>
      </c>
      <c r="H79" s="221">
        <f t="shared" si="2"/>
        <v>0</v>
      </c>
      <c r="I79" s="222">
        <f t="shared" si="3"/>
        <v>0</v>
      </c>
      <c r="J79" s="210"/>
      <c r="K79" s="47"/>
      <c r="L79" s="167"/>
      <c r="M79" s="47"/>
      <c r="N79" s="47"/>
      <c r="O79" s="47"/>
      <c r="P79" s="47"/>
      <c r="R79" s="47"/>
    </row>
    <row r="80" spans="1:18" x14ac:dyDescent="0.2">
      <c r="A80" s="395" t="s">
        <v>1056</v>
      </c>
      <c r="B80" s="220" t="s">
        <v>94</v>
      </c>
      <c r="C80" s="220" t="s">
        <v>813</v>
      </c>
      <c r="D80" s="219" t="s">
        <v>814</v>
      </c>
      <c r="E80" s="220" t="s">
        <v>63</v>
      </c>
      <c r="F80" s="221">
        <v>500</v>
      </c>
      <c r="G80" s="221">
        <v>0</v>
      </c>
      <c r="H80" s="221">
        <f t="shared" si="2"/>
        <v>0</v>
      </c>
      <c r="I80" s="222">
        <f t="shared" si="3"/>
        <v>0</v>
      </c>
      <c r="J80" s="210"/>
      <c r="K80" s="47"/>
      <c r="L80" s="167"/>
      <c r="M80" s="47"/>
      <c r="N80" s="47"/>
      <c r="O80" s="47"/>
      <c r="P80" s="47"/>
      <c r="R80" s="47"/>
    </row>
    <row r="81" spans="1:18" x14ac:dyDescent="0.2">
      <c r="A81" s="395" t="s">
        <v>1057</v>
      </c>
      <c r="B81" s="220" t="s">
        <v>94</v>
      </c>
      <c r="C81" s="220">
        <v>4817</v>
      </c>
      <c r="D81" s="219" t="s">
        <v>815</v>
      </c>
      <c r="E81" s="220" t="s">
        <v>65</v>
      </c>
      <c r="F81" s="221">
        <v>75</v>
      </c>
      <c r="G81" s="221">
        <v>0</v>
      </c>
      <c r="H81" s="221">
        <f t="shared" si="2"/>
        <v>0</v>
      </c>
      <c r="I81" s="222">
        <f t="shared" si="3"/>
        <v>0</v>
      </c>
      <c r="J81" s="210"/>
      <c r="K81" s="47"/>
      <c r="L81" s="167"/>
      <c r="M81" s="47"/>
      <c r="N81" s="47"/>
      <c r="O81" s="47"/>
      <c r="P81" s="47"/>
      <c r="R81" s="47"/>
    </row>
    <row r="82" spans="1:18" x14ac:dyDescent="0.2">
      <c r="A82" s="395" t="s">
        <v>1058</v>
      </c>
      <c r="B82" s="220" t="s">
        <v>94</v>
      </c>
      <c r="C82" s="220" t="s">
        <v>102</v>
      </c>
      <c r="D82" s="219" t="s">
        <v>103</v>
      </c>
      <c r="E82" s="220" t="s">
        <v>61</v>
      </c>
      <c r="F82" s="221">
        <v>50</v>
      </c>
      <c r="G82" s="221">
        <v>0</v>
      </c>
      <c r="H82" s="221">
        <f t="shared" si="2"/>
        <v>0</v>
      </c>
      <c r="I82" s="222">
        <f t="shared" si="3"/>
        <v>0</v>
      </c>
      <c r="J82" s="210"/>
      <c r="K82" s="47"/>
      <c r="L82" s="167"/>
      <c r="M82" s="47"/>
      <c r="N82" s="47"/>
      <c r="O82" s="47"/>
      <c r="P82" s="47"/>
      <c r="R82" s="47"/>
    </row>
    <row r="83" spans="1:18" x14ac:dyDescent="0.2">
      <c r="A83" s="395" t="s">
        <v>1059</v>
      </c>
      <c r="B83" s="220" t="s">
        <v>94</v>
      </c>
      <c r="C83" s="220" t="s">
        <v>373</v>
      </c>
      <c r="D83" s="219" t="s">
        <v>374</v>
      </c>
      <c r="E83" s="220" t="s">
        <v>61</v>
      </c>
      <c r="F83" s="221">
        <v>65</v>
      </c>
      <c r="G83" s="406">
        <v>0</v>
      </c>
      <c r="H83" s="221">
        <f t="shared" si="2"/>
        <v>0</v>
      </c>
      <c r="I83" s="222">
        <f t="shared" si="3"/>
        <v>0</v>
      </c>
      <c r="J83" s="210"/>
      <c r="K83" s="47"/>
      <c r="L83" s="167"/>
      <c r="M83" s="47"/>
      <c r="N83" s="47"/>
      <c r="O83" s="47"/>
      <c r="P83" s="47"/>
      <c r="R83" s="47"/>
    </row>
    <row r="84" spans="1:18" x14ac:dyDescent="0.2">
      <c r="A84" s="407"/>
      <c r="B84" s="220"/>
      <c r="C84" s="220"/>
      <c r="D84" s="219"/>
      <c r="E84" s="220"/>
      <c r="F84" s="221"/>
      <c r="G84" s="221"/>
      <c r="H84" s="221"/>
      <c r="I84" s="222"/>
      <c r="J84" s="210"/>
      <c r="K84" s="47"/>
      <c r="L84" s="167"/>
      <c r="M84" s="47"/>
      <c r="N84" s="47"/>
      <c r="O84" s="47"/>
      <c r="P84" s="47"/>
      <c r="R84" s="47"/>
    </row>
    <row r="85" spans="1:18" ht="15" x14ac:dyDescent="0.2">
      <c r="A85" s="409" t="s">
        <v>1060</v>
      </c>
      <c r="B85" s="410"/>
      <c r="C85" s="410"/>
      <c r="D85" s="411" t="s">
        <v>728</v>
      </c>
      <c r="E85" s="410"/>
      <c r="F85" s="412"/>
      <c r="G85" s="413"/>
      <c r="H85" s="414"/>
      <c r="I85" s="415">
        <f>SUM(I86:I96)</f>
        <v>0</v>
      </c>
      <c r="J85" s="210"/>
      <c r="K85" s="47">
        <f>ESC.!N7</f>
        <v>34694</v>
      </c>
      <c r="L85" s="167"/>
      <c r="M85" s="47"/>
      <c r="N85" s="47"/>
      <c r="O85" s="47"/>
      <c r="P85" s="47"/>
      <c r="R85" s="47"/>
    </row>
    <row r="86" spans="1:18" ht="28.5" x14ac:dyDescent="0.2">
      <c r="A86" s="395" t="s">
        <v>1061</v>
      </c>
      <c r="B86" s="392" t="s">
        <v>94</v>
      </c>
      <c r="C86" s="392">
        <v>3061</v>
      </c>
      <c r="D86" s="396" t="s">
        <v>1041</v>
      </c>
      <c r="E86" s="392" t="s">
        <v>62</v>
      </c>
      <c r="F86" s="221">
        <f>$K$85*K86</f>
        <v>20816.399999999998</v>
      </c>
      <c r="G86" s="221">
        <v>0</v>
      </c>
      <c r="H86" s="221">
        <f t="shared" ref="H86:H96" si="4">G86*(1+$L$20)</f>
        <v>0</v>
      </c>
      <c r="I86" s="222">
        <f t="shared" ref="I86:I96" si="5">ROUND(F86*H86,2)</f>
        <v>0</v>
      </c>
      <c r="J86" s="210"/>
      <c r="K86" s="47">
        <v>0.6</v>
      </c>
      <c r="L86" s="167"/>
      <c r="M86" s="47"/>
      <c r="N86" s="47"/>
      <c r="O86" s="47"/>
      <c r="P86" s="47"/>
      <c r="R86" s="47"/>
    </row>
    <row r="87" spans="1:18" ht="28.5" x14ac:dyDescent="0.2">
      <c r="A87" s="395" t="s">
        <v>1062</v>
      </c>
      <c r="B87" s="392" t="s">
        <v>94</v>
      </c>
      <c r="C87" s="392">
        <v>3071</v>
      </c>
      <c r="D87" s="396" t="s">
        <v>956</v>
      </c>
      <c r="E87" s="392" t="s">
        <v>62</v>
      </c>
      <c r="F87" s="221">
        <f>$K$85*K87</f>
        <v>3469.4</v>
      </c>
      <c r="G87" s="221">
        <v>0</v>
      </c>
      <c r="H87" s="221">
        <f t="shared" si="4"/>
        <v>0</v>
      </c>
      <c r="I87" s="222">
        <f t="shared" si="5"/>
        <v>0</v>
      </c>
      <c r="J87" s="210"/>
      <c r="K87" s="47">
        <v>0.1</v>
      </c>
      <c r="L87" s="167"/>
      <c r="M87" s="47"/>
      <c r="N87" s="47"/>
      <c r="O87" s="47"/>
      <c r="P87" s="47"/>
      <c r="R87" s="47"/>
    </row>
    <row r="88" spans="1:18" ht="36.75" customHeight="1" x14ac:dyDescent="0.2">
      <c r="A88" s="395" t="s">
        <v>1063</v>
      </c>
      <c r="B88" s="392" t="s">
        <v>94</v>
      </c>
      <c r="C88" s="392">
        <v>72917</v>
      </c>
      <c r="D88" s="396" t="s">
        <v>805</v>
      </c>
      <c r="E88" s="392" t="s">
        <v>62</v>
      </c>
      <c r="F88" s="221">
        <f>$K$85*K88</f>
        <v>1734.7</v>
      </c>
      <c r="G88" s="221">
        <v>0</v>
      </c>
      <c r="H88" s="221">
        <f t="shared" si="4"/>
        <v>0</v>
      </c>
      <c r="I88" s="222">
        <f t="shared" si="5"/>
        <v>0</v>
      </c>
      <c r="J88" s="210"/>
      <c r="K88" s="47">
        <v>0.05</v>
      </c>
      <c r="L88" s="167"/>
      <c r="M88" s="47"/>
      <c r="N88" s="47"/>
      <c r="O88" s="47"/>
      <c r="P88" s="47"/>
      <c r="R88" s="47"/>
    </row>
    <row r="89" spans="1:18" ht="30.75" customHeight="1" x14ac:dyDescent="0.2">
      <c r="A89" s="395" t="s">
        <v>1064</v>
      </c>
      <c r="B89" s="392" t="s">
        <v>94</v>
      </c>
      <c r="C89" s="392">
        <v>72918</v>
      </c>
      <c r="D89" s="396" t="s">
        <v>1386</v>
      </c>
      <c r="E89" s="392" t="s">
        <v>62</v>
      </c>
      <c r="F89" s="221">
        <f>K85*K89</f>
        <v>1214.2900000000002</v>
      </c>
      <c r="G89" s="221">
        <v>0</v>
      </c>
      <c r="H89" s="221">
        <f t="shared" si="4"/>
        <v>0</v>
      </c>
      <c r="I89" s="222">
        <f t="shared" si="5"/>
        <v>0</v>
      </c>
      <c r="J89" s="210"/>
      <c r="K89" s="47">
        <v>3.5000000000000003E-2</v>
      </c>
      <c r="L89" s="167"/>
      <c r="M89" s="47"/>
      <c r="N89" s="47"/>
      <c r="O89" s="47"/>
      <c r="P89" s="47"/>
      <c r="R89" s="47"/>
    </row>
    <row r="90" spans="1:18" ht="28.5" x14ac:dyDescent="0.2">
      <c r="A90" s="395" t="s">
        <v>1065</v>
      </c>
      <c r="B90" s="392" t="s">
        <v>94</v>
      </c>
      <c r="C90" s="392" t="s">
        <v>105</v>
      </c>
      <c r="D90" s="396" t="s">
        <v>106</v>
      </c>
      <c r="E90" s="392" t="s">
        <v>62</v>
      </c>
      <c r="F90" s="221">
        <f t="shared" ref="F90:F95" si="6">$K$85*K90</f>
        <v>2081.64</v>
      </c>
      <c r="G90" s="221">
        <v>0</v>
      </c>
      <c r="H90" s="221">
        <f t="shared" si="4"/>
        <v>0</v>
      </c>
      <c r="I90" s="222">
        <f t="shared" si="5"/>
        <v>0</v>
      </c>
      <c r="J90" s="210"/>
      <c r="K90" s="47">
        <v>0.06</v>
      </c>
      <c r="L90" s="167"/>
      <c r="M90" s="47"/>
      <c r="N90" s="47"/>
      <c r="O90" s="47"/>
      <c r="P90" s="47"/>
      <c r="R90" s="47"/>
    </row>
    <row r="91" spans="1:18" ht="28.5" x14ac:dyDescent="0.2">
      <c r="A91" s="395" t="s">
        <v>1066</v>
      </c>
      <c r="B91" s="392" t="s">
        <v>94</v>
      </c>
      <c r="C91" s="392" t="s">
        <v>107</v>
      </c>
      <c r="D91" s="396" t="s">
        <v>108</v>
      </c>
      <c r="E91" s="392" t="s">
        <v>62</v>
      </c>
      <c r="F91" s="221">
        <f t="shared" si="6"/>
        <v>1734.7</v>
      </c>
      <c r="G91" s="221">
        <v>0</v>
      </c>
      <c r="H91" s="221">
        <f t="shared" si="4"/>
        <v>0</v>
      </c>
      <c r="I91" s="222">
        <f t="shared" si="5"/>
        <v>0</v>
      </c>
      <c r="J91" s="210"/>
      <c r="K91" s="47">
        <v>0.05</v>
      </c>
      <c r="L91" s="167"/>
      <c r="M91" s="47"/>
      <c r="N91" s="47"/>
      <c r="O91" s="47"/>
      <c r="P91" s="47"/>
      <c r="R91" s="47"/>
    </row>
    <row r="92" spans="1:18" ht="28.5" x14ac:dyDescent="0.2">
      <c r="A92" s="395" t="s">
        <v>1067</v>
      </c>
      <c r="B92" s="392" t="s">
        <v>94</v>
      </c>
      <c r="C92" s="392" t="s">
        <v>806</v>
      </c>
      <c r="D92" s="396" t="s">
        <v>807</v>
      </c>
      <c r="E92" s="392" t="s">
        <v>62</v>
      </c>
      <c r="F92" s="221">
        <f t="shared" si="6"/>
        <v>1387.76</v>
      </c>
      <c r="G92" s="221">
        <v>0</v>
      </c>
      <c r="H92" s="221">
        <f t="shared" si="4"/>
        <v>0</v>
      </c>
      <c r="I92" s="222">
        <f t="shared" si="5"/>
        <v>0</v>
      </c>
      <c r="J92" s="210"/>
      <c r="K92" s="47">
        <v>0.04</v>
      </c>
      <c r="L92" s="167"/>
      <c r="M92" s="47"/>
      <c r="N92" s="47"/>
      <c r="O92" s="47"/>
      <c r="P92" s="47"/>
      <c r="R92" s="47"/>
    </row>
    <row r="93" spans="1:18" ht="28.5" x14ac:dyDescent="0.2">
      <c r="A93" s="395" t="s">
        <v>1068</v>
      </c>
      <c r="B93" s="392" t="s">
        <v>94</v>
      </c>
      <c r="C93" s="392" t="s">
        <v>109</v>
      </c>
      <c r="D93" s="396" t="s">
        <v>110</v>
      </c>
      <c r="E93" s="392" t="s">
        <v>62</v>
      </c>
      <c r="F93" s="221">
        <f t="shared" si="6"/>
        <v>1040.82</v>
      </c>
      <c r="G93" s="221">
        <v>0</v>
      </c>
      <c r="H93" s="221">
        <f t="shared" si="4"/>
        <v>0</v>
      </c>
      <c r="I93" s="222">
        <f t="shared" si="5"/>
        <v>0</v>
      </c>
      <c r="J93" s="210"/>
      <c r="K93" s="47">
        <v>0.03</v>
      </c>
      <c r="L93" s="167"/>
      <c r="M93" s="47"/>
      <c r="N93" s="47"/>
      <c r="O93" s="47"/>
      <c r="P93" s="47"/>
      <c r="R93" s="47"/>
    </row>
    <row r="94" spans="1:18" ht="28.5" x14ac:dyDescent="0.2">
      <c r="A94" s="395" t="s">
        <v>1069</v>
      </c>
      <c r="B94" s="392" t="s">
        <v>94</v>
      </c>
      <c r="C94" s="392" t="s">
        <v>111</v>
      </c>
      <c r="D94" s="396" t="s">
        <v>729</v>
      </c>
      <c r="E94" s="392" t="s">
        <v>62</v>
      </c>
      <c r="F94" s="221">
        <f t="shared" si="6"/>
        <v>693.88</v>
      </c>
      <c r="G94" s="221">
        <v>0</v>
      </c>
      <c r="H94" s="221">
        <f t="shared" si="4"/>
        <v>0</v>
      </c>
      <c r="I94" s="222">
        <f t="shared" si="5"/>
        <v>0</v>
      </c>
      <c r="J94" s="210"/>
      <c r="K94" s="47">
        <v>0.02</v>
      </c>
      <c r="L94" s="167"/>
      <c r="M94" s="47"/>
      <c r="N94" s="47"/>
      <c r="O94" s="47"/>
      <c r="P94" s="47"/>
      <c r="R94" s="47"/>
    </row>
    <row r="95" spans="1:18" ht="28.5" x14ac:dyDescent="0.2">
      <c r="A95" s="395" t="s">
        <v>1070</v>
      </c>
      <c r="B95" s="392" t="s">
        <v>94</v>
      </c>
      <c r="C95" s="392" t="s">
        <v>808</v>
      </c>
      <c r="D95" s="396" t="s">
        <v>809</v>
      </c>
      <c r="E95" s="392" t="s">
        <v>62</v>
      </c>
      <c r="F95" s="221">
        <f t="shared" si="6"/>
        <v>346.94</v>
      </c>
      <c r="G95" s="221">
        <v>0</v>
      </c>
      <c r="H95" s="221">
        <f t="shared" si="4"/>
        <v>0</v>
      </c>
      <c r="I95" s="222">
        <f t="shared" si="5"/>
        <v>0</v>
      </c>
      <c r="J95" s="210"/>
      <c r="K95" s="47">
        <v>0.01</v>
      </c>
      <c r="L95" s="167"/>
      <c r="M95" s="47"/>
      <c r="N95" s="47"/>
      <c r="O95" s="47"/>
      <c r="P95" s="47"/>
      <c r="R95" s="47"/>
    </row>
    <row r="96" spans="1:18" x14ac:dyDescent="0.2">
      <c r="A96" s="395" t="s">
        <v>1387</v>
      </c>
      <c r="B96" s="220" t="s">
        <v>94</v>
      </c>
      <c r="C96" s="220" t="s">
        <v>730</v>
      </c>
      <c r="D96" s="219" t="s">
        <v>731</v>
      </c>
      <c r="E96" s="220" t="s">
        <v>62</v>
      </c>
      <c r="F96" s="221">
        <f>K85*K96</f>
        <v>173.47</v>
      </c>
      <c r="G96" s="406">
        <v>0</v>
      </c>
      <c r="H96" s="221">
        <f t="shared" si="4"/>
        <v>0</v>
      </c>
      <c r="I96" s="222">
        <f t="shared" si="5"/>
        <v>0</v>
      </c>
      <c r="J96" s="210"/>
      <c r="K96" s="47">
        <v>5.0000000000000001E-3</v>
      </c>
      <c r="L96" s="167"/>
      <c r="M96" s="47"/>
      <c r="N96" s="47"/>
      <c r="O96" s="47"/>
      <c r="P96" s="47"/>
      <c r="R96" s="47"/>
    </row>
    <row r="97" spans="1:18" x14ac:dyDescent="0.2">
      <c r="A97" s="395"/>
      <c r="B97" s="220"/>
      <c r="C97" s="220"/>
      <c r="D97" s="219"/>
      <c r="E97" s="220"/>
      <c r="F97" s="221"/>
      <c r="G97" s="406"/>
      <c r="H97" s="221"/>
      <c r="I97" s="222"/>
      <c r="J97" s="210"/>
      <c r="K97" s="47"/>
      <c r="L97" s="167"/>
      <c r="M97" s="47"/>
      <c r="N97" s="47"/>
      <c r="O97" s="47"/>
      <c r="P97" s="47"/>
      <c r="R97" s="47"/>
    </row>
    <row r="98" spans="1:18" ht="15" x14ac:dyDescent="0.2">
      <c r="A98" s="409" t="s">
        <v>1071</v>
      </c>
      <c r="B98" s="410"/>
      <c r="C98" s="410"/>
      <c r="D98" s="411" t="s">
        <v>732</v>
      </c>
      <c r="E98" s="410"/>
      <c r="F98" s="412"/>
      <c r="G98" s="413"/>
      <c r="H98" s="414"/>
      <c r="I98" s="415">
        <f>SUM(I99:I102)</f>
        <v>0</v>
      </c>
      <c r="J98" s="210"/>
      <c r="K98" s="47">
        <f>SUM(K86:K96)</f>
        <v>1</v>
      </c>
      <c r="L98" s="167"/>
      <c r="M98" s="47"/>
      <c r="N98" s="47"/>
      <c r="O98" s="47"/>
      <c r="P98" s="47"/>
      <c r="R98" s="47"/>
    </row>
    <row r="99" spans="1:18" x14ac:dyDescent="0.2">
      <c r="A99" s="395" t="s">
        <v>1072</v>
      </c>
      <c r="B99" s="220" t="s">
        <v>94</v>
      </c>
      <c r="C99" s="220">
        <v>83769</v>
      </c>
      <c r="D99" s="219" t="s">
        <v>1388</v>
      </c>
      <c r="E99" s="220" t="s">
        <v>61</v>
      </c>
      <c r="F99" s="221">
        <f>ESC.!N10</f>
        <v>20303</v>
      </c>
      <c r="G99" s="406">
        <v>0</v>
      </c>
      <c r="H99" s="221">
        <f>G99*(1+$L$20)</f>
        <v>0</v>
      </c>
      <c r="I99" s="222">
        <f>ROUND(F99*H99,2)</f>
        <v>0</v>
      </c>
      <c r="J99" s="210"/>
      <c r="K99" s="47"/>
      <c r="L99" s="167"/>
      <c r="M99" s="47"/>
      <c r="N99" s="47"/>
      <c r="O99" s="47"/>
      <c r="P99" s="47"/>
      <c r="R99" s="47"/>
    </row>
    <row r="100" spans="1:18" x14ac:dyDescent="0.2">
      <c r="A100" s="395" t="s">
        <v>1073</v>
      </c>
      <c r="B100" s="220" t="s">
        <v>94</v>
      </c>
      <c r="C100" s="220">
        <v>83867</v>
      </c>
      <c r="D100" s="219" t="s">
        <v>733</v>
      </c>
      <c r="E100" s="220" t="s">
        <v>61</v>
      </c>
      <c r="F100" s="221">
        <f>ESC.!N11</f>
        <v>9001</v>
      </c>
      <c r="G100" s="406">
        <v>0</v>
      </c>
      <c r="H100" s="221">
        <f>G100*(1+$L$20)</f>
        <v>0</v>
      </c>
      <c r="I100" s="222">
        <f>ROUND(F100*H100,2)</f>
        <v>0</v>
      </c>
      <c r="J100" s="210"/>
      <c r="K100" s="329">
        <v>0.4</v>
      </c>
      <c r="L100" s="47">
        <v>3401</v>
      </c>
      <c r="M100" s="7"/>
      <c r="N100" s="47"/>
      <c r="O100" s="47"/>
      <c r="P100" s="47"/>
      <c r="R100" s="47"/>
    </row>
    <row r="101" spans="1:18" x14ac:dyDescent="0.2">
      <c r="A101" s="395" t="s">
        <v>1074</v>
      </c>
      <c r="B101" s="220" t="s">
        <v>94</v>
      </c>
      <c r="C101" s="220">
        <v>83868</v>
      </c>
      <c r="D101" s="219" t="s">
        <v>734</v>
      </c>
      <c r="E101" s="220" t="s">
        <v>61</v>
      </c>
      <c r="F101" s="221">
        <f>ESC.!N12</f>
        <v>8592</v>
      </c>
      <c r="G101" s="406">
        <v>0</v>
      </c>
      <c r="H101" s="221">
        <f>G101*(1+$L$20)</f>
        <v>0</v>
      </c>
      <c r="I101" s="222">
        <f>ROUND(F101*H101,2)</f>
        <v>0</v>
      </c>
      <c r="J101" s="210"/>
      <c r="K101" s="329">
        <v>0.05</v>
      </c>
      <c r="L101" s="167"/>
      <c r="M101" s="47"/>
      <c r="N101" s="47"/>
      <c r="O101" s="47"/>
      <c r="P101" s="47"/>
      <c r="R101" s="47"/>
    </row>
    <row r="102" spans="1:18" ht="14.25" customHeight="1" x14ac:dyDescent="0.2">
      <c r="A102" s="395" t="s">
        <v>1075</v>
      </c>
      <c r="B102" s="220" t="s">
        <v>94</v>
      </c>
      <c r="C102" s="220" t="s">
        <v>735</v>
      </c>
      <c r="D102" s="219" t="s">
        <v>736</v>
      </c>
      <c r="E102" s="220" t="s">
        <v>61</v>
      </c>
      <c r="F102" s="221">
        <f>ESC.!N13</f>
        <v>2628</v>
      </c>
      <c r="G102" s="406">
        <v>0</v>
      </c>
      <c r="H102" s="221">
        <f>G102*(1+$L$20)</f>
        <v>0</v>
      </c>
      <c r="I102" s="222">
        <f>ROUND(F102*H102,2)</f>
        <v>0</v>
      </c>
      <c r="J102" s="210"/>
      <c r="K102" s="329">
        <v>0.05</v>
      </c>
      <c r="L102" s="167"/>
      <c r="M102" s="47"/>
      <c r="N102" s="47"/>
      <c r="O102" s="47"/>
      <c r="P102" s="47"/>
      <c r="R102" s="47"/>
    </row>
    <row r="103" spans="1:18" x14ac:dyDescent="0.2">
      <c r="A103" s="407"/>
      <c r="B103" s="220"/>
      <c r="C103" s="220"/>
      <c r="D103" s="219"/>
      <c r="E103" s="220"/>
      <c r="F103" s="221"/>
      <c r="G103" s="221"/>
      <c r="H103" s="221"/>
      <c r="I103" s="222"/>
      <c r="J103" s="210"/>
      <c r="K103" s="47"/>
      <c r="L103" s="167"/>
      <c r="M103" s="47"/>
      <c r="N103" s="47"/>
      <c r="O103" s="47"/>
      <c r="P103" s="47"/>
      <c r="R103" s="47"/>
    </row>
    <row r="104" spans="1:18" ht="15" x14ac:dyDescent="0.2">
      <c r="A104" s="409" t="s">
        <v>1076</v>
      </c>
      <c r="B104" s="410"/>
      <c r="C104" s="410"/>
      <c r="D104" s="411" t="s">
        <v>1389</v>
      </c>
      <c r="E104" s="410"/>
      <c r="F104" s="412"/>
      <c r="G104" s="413"/>
      <c r="H104" s="414"/>
      <c r="I104" s="415">
        <f>SUM(I105:I106)</f>
        <v>0</v>
      </c>
      <c r="J104" s="210"/>
      <c r="K104" s="47"/>
      <c r="L104" s="167"/>
      <c r="M104" s="47"/>
      <c r="N104" s="47"/>
      <c r="O104" s="47"/>
      <c r="P104" s="47"/>
      <c r="R104" s="47"/>
    </row>
    <row r="105" spans="1:18" ht="14.25" customHeight="1" x14ac:dyDescent="0.2">
      <c r="A105" s="395" t="s">
        <v>1077</v>
      </c>
      <c r="B105" s="392" t="s">
        <v>94</v>
      </c>
      <c r="C105" s="392">
        <v>79483</v>
      </c>
      <c r="D105" s="396" t="s">
        <v>1390</v>
      </c>
      <c r="E105" s="392" t="s">
        <v>61</v>
      </c>
      <c r="F105" s="221">
        <f>ESC.!N9</f>
        <v>20853</v>
      </c>
      <c r="G105" s="221">
        <v>0</v>
      </c>
      <c r="H105" s="221">
        <f>G105*(1+$L$20)</f>
        <v>0</v>
      </c>
      <c r="I105" s="222">
        <f>ROUND(F105*H105,2)</f>
        <v>0</v>
      </c>
      <c r="J105" s="210"/>
      <c r="K105" s="47"/>
      <c r="L105" s="167"/>
      <c r="M105" s="47"/>
      <c r="N105" s="47"/>
      <c r="O105" s="47"/>
      <c r="P105" s="47"/>
      <c r="R105" s="47"/>
    </row>
    <row r="106" spans="1:18" ht="28.5" x14ac:dyDescent="0.2">
      <c r="A106" s="395" t="s">
        <v>1078</v>
      </c>
      <c r="B106" s="392" t="s">
        <v>94</v>
      </c>
      <c r="C106" s="392" t="s">
        <v>113</v>
      </c>
      <c r="D106" s="396" t="s">
        <v>114</v>
      </c>
      <c r="E106" s="392" t="s">
        <v>62</v>
      </c>
      <c r="F106" s="221">
        <f>ESC.!N8</f>
        <v>30971</v>
      </c>
      <c r="G106" s="221">
        <v>0</v>
      </c>
      <c r="H106" s="221">
        <f>G106*(1+$L$20)</f>
        <v>0</v>
      </c>
      <c r="I106" s="222">
        <f>ROUND(F106*H106,2)</f>
        <v>0</v>
      </c>
      <c r="J106" s="210"/>
      <c r="K106" s="47"/>
      <c r="L106" s="167"/>
      <c r="M106" s="47"/>
      <c r="N106" s="47"/>
      <c r="O106" s="47"/>
      <c r="P106" s="47"/>
      <c r="R106" s="47"/>
    </row>
    <row r="107" spans="1:18" x14ac:dyDescent="0.2">
      <c r="A107" s="395"/>
      <c r="B107" s="392"/>
      <c r="C107" s="392"/>
      <c r="D107" s="396"/>
      <c r="E107" s="392"/>
      <c r="F107" s="221"/>
      <c r="G107" s="221"/>
      <c r="H107" s="221"/>
      <c r="I107" s="222"/>
      <c r="J107" s="210"/>
      <c r="K107" s="47"/>
      <c r="L107" s="167"/>
      <c r="M107" s="47"/>
      <c r="N107" s="47"/>
      <c r="O107" s="47"/>
      <c r="P107" s="47"/>
      <c r="R107" s="47"/>
    </row>
    <row r="108" spans="1:18" x14ac:dyDescent="0.2">
      <c r="A108" s="395"/>
      <c r="B108" s="392"/>
      <c r="C108" s="392"/>
      <c r="D108" s="396"/>
      <c r="E108" s="392"/>
      <c r="F108" s="221"/>
      <c r="G108" s="221"/>
      <c r="H108" s="221"/>
      <c r="I108" s="222"/>
      <c r="J108" s="210"/>
      <c r="K108" s="47"/>
      <c r="L108" s="167"/>
      <c r="M108" s="47"/>
      <c r="N108" s="47"/>
      <c r="O108" s="47"/>
      <c r="P108" s="47"/>
      <c r="R108" s="47"/>
    </row>
    <row r="109" spans="1:18" ht="15" x14ac:dyDescent="0.2">
      <c r="A109" s="409" t="s">
        <v>1079</v>
      </c>
      <c r="B109" s="410"/>
      <c r="C109" s="410"/>
      <c r="D109" s="411" t="s">
        <v>737</v>
      </c>
      <c r="E109" s="410"/>
      <c r="F109" s="412"/>
      <c r="G109" s="413"/>
      <c r="H109" s="414"/>
      <c r="I109" s="415">
        <f>SUM(I110:I113)</f>
        <v>0</v>
      </c>
      <c r="J109" s="210"/>
      <c r="K109" s="47"/>
      <c r="L109" s="167"/>
      <c r="M109" s="47"/>
      <c r="N109" s="47"/>
      <c r="O109" s="47"/>
      <c r="P109" s="47"/>
      <c r="R109" s="47"/>
    </row>
    <row r="110" spans="1:18" ht="42.75" x14ac:dyDescent="0.2">
      <c r="A110" s="395" t="s">
        <v>1080</v>
      </c>
      <c r="B110" s="392" t="s">
        <v>94</v>
      </c>
      <c r="C110" s="392" t="s">
        <v>112</v>
      </c>
      <c r="D110" s="396" t="s">
        <v>713</v>
      </c>
      <c r="E110" s="392" t="s">
        <v>62</v>
      </c>
      <c r="F110" s="221">
        <f>ESC.!N7-ESC.!N8</f>
        <v>3723</v>
      </c>
      <c r="G110" s="221">
        <v>0</v>
      </c>
      <c r="H110" s="221">
        <f>G110*(1+$L$20)</f>
        <v>0</v>
      </c>
      <c r="I110" s="222">
        <f>ROUND(F110*H110,2)</f>
        <v>0</v>
      </c>
      <c r="J110" s="210"/>
      <c r="K110" s="47"/>
      <c r="L110" s="167"/>
      <c r="M110" s="47"/>
      <c r="N110" s="47"/>
      <c r="O110" s="47"/>
      <c r="P110" s="47"/>
      <c r="R110" s="47"/>
    </row>
    <row r="111" spans="1:18" ht="42.75" x14ac:dyDescent="0.2">
      <c r="A111" s="395" t="s">
        <v>1081</v>
      </c>
      <c r="B111" s="392" t="s">
        <v>94</v>
      </c>
      <c r="C111" s="392" t="s">
        <v>714</v>
      </c>
      <c r="D111" s="396" t="s">
        <v>715</v>
      </c>
      <c r="E111" s="392" t="s">
        <v>62</v>
      </c>
      <c r="F111" s="221">
        <f>F110*1.3</f>
        <v>4839.9000000000005</v>
      </c>
      <c r="G111" s="221">
        <v>0</v>
      </c>
      <c r="H111" s="221">
        <f>G111*(1+$L$20)</f>
        <v>0</v>
      </c>
      <c r="I111" s="222">
        <f>ROUND(F111*H111,2)</f>
        <v>0</v>
      </c>
      <c r="J111" s="210"/>
      <c r="K111" s="47"/>
      <c r="L111" s="167"/>
      <c r="M111" s="47"/>
      <c r="N111" s="47"/>
      <c r="O111" s="47"/>
      <c r="P111" s="47"/>
      <c r="R111" s="47"/>
    </row>
    <row r="112" spans="1:18" ht="28.5" x14ac:dyDescent="0.2">
      <c r="A112" s="395" t="s">
        <v>1082</v>
      </c>
      <c r="B112" s="392" t="s">
        <v>94</v>
      </c>
      <c r="C112" s="392">
        <v>72841</v>
      </c>
      <c r="D112" s="396" t="s">
        <v>709</v>
      </c>
      <c r="E112" s="392" t="s">
        <v>710</v>
      </c>
      <c r="F112" s="221">
        <f>(F110+F111)*1.3*5</f>
        <v>55658.850000000013</v>
      </c>
      <c r="G112" s="221">
        <v>0</v>
      </c>
      <c r="H112" s="221">
        <f>G112*(1+$L$20)</f>
        <v>0</v>
      </c>
      <c r="I112" s="222">
        <f>ROUND(F112*H112,2)</f>
        <v>0</v>
      </c>
      <c r="J112" s="210"/>
      <c r="K112" s="47"/>
      <c r="L112" s="167"/>
      <c r="M112" s="47"/>
      <c r="N112" s="47"/>
      <c r="O112" s="47"/>
      <c r="P112" s="47"/>
      <c r="R112" s="47"/>
    </row>
    <row r="113" spans="1:18" ht="28.5" x14ac:dyDescent="0.2">
      <c r="A113" s="395" t="s">
        <v>1083</v>
      </c>
      <c r="B113" s="392" t="s">
        <v>94</v>
      </c>
      <c r="C113" s="392" t="s">
        <v>121</v>
      </c>
      <c r="D113" s="396" t="s">
        <v>122</v>
      </c>
      <c r="E113" s="392" t="s">
        <v>62</v>
      </c>
      <c r="F113" s="221">
        <f>F111</f>
        <v>4839.9000000000005</v>
      </c>
      <c r="G113" s="221">
        <v>0</v>
      </c>
      <c r="H113" s="221">
        <f>G113*(1+$L$20)</f>
        <v>0</v>
      </c>
      <c r="I113" s="222">
        <f>ROUND(F113*H113,2)</f>
        <v>0</v>
      </c>
      <c r="J113" s="210"/>
      <c r="K113" s="47"/>
      <c r="L113" s="167"/>
      <c r="M113" s="47"/>
      <c r="N113" s="47"/>
      <c r="O113" s="47"/>
      <c r="P113" s="47"/>
      <c r="R113" s="47"/>
    </row>
    <row r="114" spans="1:18" x14ac:dyDescent="0.2">
      <c r="A114" s="407"/>
      <c r="B114" s="220"/>
      <c r="C114" s="220"/>
      <c r="D114" s="219"/>
      <c r="E114" s="220"/>
      <c r="F114" s="221"/>
      <c r="G114" s="406">
        <v>0</v>
      </c>
      <c r="H114" s="221">
        <f>G114*(1+$L$20)</f>
        <v>0</v>
      </c>
      <c r="I114" s="222"/>
      <c r="J114" s="210"/>
      <c r="K114" s="47"/>
      <c r="L114" s="167"/>
      <c r="M114" s="47"/>
      <c r="N114" s="47"/>
      <c r="O114" s="47"/>
      <c r="P114" s="47"/>
      <c r="R114" s="47"/>
    </row>
    <row r="115" spans="1:18" ht="15" x14ac:dyDescent="0.2">
      <c r="A115" s="409" t="s">
        <v>1084</v>
      </c>
      <c r="B115" s="410"/>
      <c r="C115" s="410"/>
      <c r="D115" s="411" t="s">
        <v>738</v>
      </c>
      <c r="E115" s="410"/>
      <c r="F115" s="412"/>
      <c r="G115" s="413"/>
      <c r="H115" s="414"/>
      <c r="I115" s="415">
        <f>SUM(I116:I119)</f>
        <v>0</v>
      </c>
      <c r="J115" s="210"/>
      <c r="K115" s="47"/>
      <c r="L115" s="167"/>
      <c r="M115" s="47"/>
      <c r="N115" s="47"/>
      <c r="O115" s="47"/>
      <c r="P115" s="47"/>
      <c r="R115" s="47"/>
    </row>
    <row r="116" spans="1:18" x14ac:dyDescent="0.2">
      <c r="A116" s="407" t="s">
        <v>1085</v>
      </c>
      <c r="B116" s="220" t="s">
        <v>94</v>
      </c>
      <c r="C116" s="220" t="s">
        <v>123</v>
      </c>
      <c r="D116" s="219" t="s">
        <v>124</v>
      </c>
      <c r="E116" s="220" t="s">
        <v>60</v>
      </c>
      <c r="F116" s="221">
        <v>360</v>
      </c>
      <c r="G116" s="221">
        <v>0</v>
      </c>
      <c r="H116" s="221">
        <f>G116*(1+$L$20)</f>
        <v>0</v>
      </c>
      <c r="I116" s="222">
        <f>ROUND(F116*H116,2)</f>
        <v>0</v>
      </c>
      <c r="J116" s="210"/>
      <c r="K116" s="47">
        <v>3</v>
      </c>
      <c r="L116" s="167"/>
      <c r="M116" s="47"/>
      <c r="N116" s="47"/>
      <c r="O116" s="47"/>
      <c r="P116" s="47"/>
      <c r="R116" s="47"/>
    </row>
    <row r="117" spans="1:18" x14ac:dyDescent="0.2">
      <c r="A117" s="407" t="s">
        <v>1086</v>
      </c>
      <c r="B117" s="220" t="s">
        <v>94</v>
      </c>
      <c r="C117" s="220" t="s">
        <v>125</v>
      </c>
      <c r="D117" s="219" t="s">
        <v>126</v>
      </c>
      <c r="E117" s="220" t="s">
        <v>62</v>
      </c>
      <c r="F117" s="221">
        <v>375</v>
      </c>
      <c r="G117" s="221">
        <v>0</v>
      </c>
      <c r="H117" s="221">
        <f>G117*(1+$L$20)</f>
        <v>0</v>
      </c>
      <c r="I117" s="222">
        <f>ROUND(F117*H117,2)</f>
        <v>0</v>
      </c>
      <c r="J117" s="210"/>
      <c r="K117" s="47"/>
      <c r="L117" s="167"/>
      <c r="M117" s="47"/>
      <c r="N117" s="47"/>
      <c r="O117" s="47"/>
      <c r="P117" s="47"/>
      <c r="R117" s="47"/>
    </row>
    <row r="118" spans="1:18" ht="28.5" x14ac:dyDescent="0.2">
      <c r="A118" s="407" t="s">
        <v>1087</v>
      </c>
      <c r="B118" s="392" t="s">
        <v>94</v>
      </c>
      <c r="C118" s="392" t="s">
        <v>200</v>
      </c>
      <c r="D118" s="396" t="s">
        <v>201</v>
      </c>
      <c r="E118" s="392" t="s">
        <v>63</v>
      </c>
      <c r="F118" s="221">
        <v>730</v>
      </c>
      <c r="G118" s="221">
        <v>0</v>
      </c>
      <c r="H118" s="221">
        <f>G118*(1+$L$20)</f>
        <v>0</v>
      </c>
      <c r="I118" s="222">
        <f>ROUND(F118*H118,2)</f>
        <v>0</v>
      </c>
      <c r="J118" s="210"/>
      <c r="K118" s="47"/>
      <c r="L118" s="167"/>
      <c r="M118" s="47"/>
      <c r="N118" s="47"/>
      <c r="O118" s="47"/>
      <c r="P118" s="47"/>
      <c r="R118" s="47"/>
    </row>
    <row r="119" spans="1:18" x14ac:dyDescent="0.2">
      <c r="A119" s="407" t="s">
        <v>1088</v>
      </c>
      <c r="B119" s="220" t="s">
        <v>94</v>
      </c>
      <c r="C119" s="220" t="s">
        <v>739</v>
      </c>
      <c r="D119" s="219" t="s">
        <v>740</v>
      </c>
      <c r="E119" s="220" t="s">
        <v>61</v>
      </c>
      <c r="F119" s="221">
        <v>60</v>
      </c>
      <c r="G119" s="221">
        <v>0</v>
      </c>
      <c r="H119" s="221">
        <f>G119*(1+$L$20)</f>
        <v>0</v>
      </c>
      <c r="I119" s="222">
        <f>ROUND(F119*H119,2)</f>
        <v>0</v>
      </c>
      <c r="J119" s="210"/>
      <c r="K119" s="47"/>
      <c r="L119" s="167"/>
      <c r="M119" s="47"/>
      <c r="N119" s="47"/>
      <c r="O119" s="47"/>
      <c r="P119" s="47"/>
      <c r="R119" s="47"/>
    </row>
    <row r="120" spans="1:18" x14ac:dyDescent="0.2">
      <c r="A120" s="407"/>
      <c r="B120" s="220"/>
      <c r="C120" s="220"/>
      <c r="D120" s="219"/>
      <c r="E120" s="220"/>
      <c r="F120" s="221"/>
      <c r="G120" s="221"/>
      <c r="H120" s="221"/>
      <c r="I120" s="222"/>
      <c r="J120" s="210"/>
      <c r="K120" s="47"/>
      <c r="L120" s="167"/>
      <c r="M120" s="47"/>
      <c r="N120" s="47"/>
      <c r="O120" s="47"/>
      <c r="P120" s="47"/>
      <c r="R120" s="47"/>
    </row>
    <row r="121" spans="1:18" ht="15" x14ac:dyDescent="0.2">
      <c r="A121" s="409" t="s">
        <v>1089</v>
      </c>
      <c r="B121" s="410"/>
      <c r="C121" s="410"/>
      <c r="D121" s="411" t="s">
        <v>2136</v>
      </c>
      <c r="E121" s="410"/>
      <c r="F121" s="412"/>
      <c r="G121" s="413"/>
      <c r="H121" s="414"/>
      <c r="I121" s="415">
        <f>SUM(I122:I124)</f>
        <v>0</v>
      </c>
      <c r="J121" s="210"/>
      <c r="K121" s="47"/>
      <c r="L121" s="167"/>
      <c r="M121" s="47"/>
      <c r="N121" s="47"/>
      <c r="O121" s="47"/>
      <c r="P121" s="47"/>
      <c r="R121" s="47"/>
    </row>
    <row r="122" spans="1:18" ht="28.5" x14ac:dyDescent="0.2">
      <c r="A122" s="407" t="s">
        <v>1090</v>
      </c>
      <c r="B122" s="220" t="s">
        <v>94</v>
      </c>
      <c r="C122" s="220">
        <v>79475</v>
      </c>
      <c r="D122" s="219" t="s">
        <v>2139</v>
      </c>
      <c r="E122" s="220" t="s">
        <v>62</v>
      </c>
      <c r="F122" s="221">
        <f>13*22.6*0.5</f>
        <v>146.9</v>
      </c>
      <c r="G122" s="221">
        <v>0</v>
      </c>
      <c r="H122" s="221">
        <f>G122*(1+$L$20)</f>
        <v>0</v>
      </c>
      <c r="I122" s="222">
        <f>ROUND(F122*H122,2)</f>
        <v>0</v>
      </c>
      <c r="J122" s="210"/>
      <c r="K122" s="47"/>
      <c r="L122" s="167"/>
      <c r="M122" s="47"/>
      <c r="N122" s="47"/>
      <c r="O122" s="47"/>
      <c r="P122" s="47"/>
      <c r="R122" s="47"/>
    </row>
    <row r="123" spans="1:18" ht="28.5" x14ac:dyDescent="0.2">
      <c r="A123" s="407" t="s">
        <v>1091</v>
      </c>
      <c r="B123" s="220" t="s">
        <v>94</v>
      </c>
      <c r="C123" s="220" t="s">
        <v>2140</v>
      </c>
      <c r="D123" s="219" t="s">
        <v>2141</v>
      </c>
      <c r="E123" s="220" t="s">
        <v>61</v>
      </c>
      <c r="F123" s="221">
        <f>2.51*3*13</f>
        <v>97.889999999999986</v>
      </c>
      <c r="G123" s="221">
        <v>0</v>
      </c>
      <c r="H123" s="221">
        <f>G123*(1+$L$20)</f>
        <v>0</v>
      </c>
      <c r="I123" s="222">
        <f>ROUND(F123*H123,2)</f>
        <v>0</v>
      </c>
      <c r="J123" s="210"/>
      <c r="K123" s="47"/>
      <c r="L123" s="167"/>
      <c r="M123" s="47"/>
      <c r="N123" s="47"/>
      <c r="O123" s="47"/>
      <c r="P123" s="47"/>
      <c r="R123" s="47"/>
    </row>
    <row r="124" spans="1:18" x14ac:dyDescent="0.2">
      <c r="A124" s="407" t="s">
        <v>1092</v>
      </c>
      <c r="B124" s="220" t="s">
        <v>94</v>
      </c>
      <c r="C124" s="220" t="s">
        <v>2137</v>
      </c>
      <c r="D124" s="219" t="s">
        <v>2138</v>
      </c>
      <c r="E124" s="392" t="s">
        <v>64</v>
      </c>
      <c r="F124" s="221">
        <v>13</v>
      </c>
      <c r="G124" s="221">
        <v>0</v>
      </c>
      <c r="H124" s="221">
        <f>G124*(1+$L$20)</f>
        <v>0</v>
      </c>
      <c r="I124" s="222">
        <f>ROUND(F124*H124,2)</f>
        <v>0</v>
      </c>
      <c r="J124" s="210"/>
      <c r="K124" s="47"/>
      <c r="L124" s="167"/>
      <c r="M124" s="47"/>
      <c r="N124" s="47"/>
      <c r="O124" s="47"/>
      <c r="P124" s="47"/>
      <c r="R124" s="47"/>
    </row>
    <row r="125" spans="1:18" x14ac:dyDescent="0.2">
      <c r="A125" s="407"/>
      <c r="B125" s="220"/>
      <c r="C125" s="220"/>
      <c r="D125" s="219"/>
      <c r="E125" s="220"/>
      <c r="F125" s="221"/>
      <c r="G125" s="221"/>
      <c r="H125" s="221"/>
      <c r="I125" s="222"/>
      <c r="J125" s="210"/>
      <c r="K125" s="47"/>
      <c r="L125" s="167"/>
      <c r="M125" s="47"/>
      <c r="N125" s="47"/>
      <c r="O125" s="47"/>
      <c r="P125" s="47"/>
      <c r="R125" s="47"/>
    </row>
    <row r="126" spans="1:18" x14ac:dyDescent="0.2">
      <c r="A126" s="407"/>
      <c r="B126" s="220"/>
      <c r="C126" s="220"/>
      <c r="D126" s="219"/>
      <c r="E126" s="220"/>
      <c r="F126" s="221"/>
      <c r="G126" s="406"/>
      <c r="H126" s="221"/>
      <c r="I126" s="222"/>
      <c r="J126" s="210"/>
      <c r="K126" s="47"/>
      <c r="L126" s="167"/>
      <c r="M126" s="47"/>
      <c r="N126" s="47"/>
      <c r="O126" s="47"/>
      <c r="P126" s="47"/>
      <c r="R126" s="47"/>
    </row>
    <row r="127" spans="1:18" ht="15" x14ac:dyDescent="0.2">
      <c r="A127" s="409" t="s">
        <v>1093</v>
      </c>
      <c r="B127" s="410"/>
      <c r="C127" s="410"/>
      <c r="D127" s="411" t="s">
        <v>741</v>
      </c>
      <c r="E127" s="410"/>
      <c r="F127" s="412"/>
      <c r="G127" s="413"/>
      <c r="H127" s="414"/>
      <c r="I127" s="415">
        <f>SUM(I128:I143)</f>
        <v>0</v>
      </c>
      <c r="J127" s="210"/>
      <c r="K127" s="47"/>
      <c r="L127" s="167"/>
      <c r="M127" s="47"/>
      <c r="N127" s="47"/>
      <c r="O127" s="47"/>
      <c r="P127" s="47"/>
      <c r="R127" s="47"/>
    </row>
    <row r="128" spans="1:18" ht="57" x14ac:dyDescent="0.2">
      <c r="A128" s="395" t="s">
        <v>1094</v>
      </c>
      <c r="B128" s="392" t="s">
        <v>94</v>
      </c>
      <c r="C128" s="392" t="s">
        <v>742</v>
      </c>
      <c r="D128" s="396" t="s">
        <v>743</v>
      </c>
      <c r="E128" s="392" t="s">
        <v>64</v>
      </c>
      <c r="F128" s="221">
        <v>125</v>
      </c>
      <c r="G128" s="221">
        <v>0</v>
      </c>
      <c r="H128" s="221">
        <f t="shared" ref="H128:H143" si="7">G128*(1+$L$20)</f>
        <v>0</v>
      </c>
      <c r="I128" s="222">
        <f t="shared" ref="I128:I143" si="8">ROUND(F128*H128,2)</f>
        <v>0</v>
      </c>
      <c r="J128" s="210"/>
      <c r="K128" s="47"/>
      <c r="L128" s="167" t="s">
        <v>2089</v>
      </c>
      <c r="M128" s="47">
        <v>7</v>
      </c>
      <c r="N128" s="47"/>
      <c r="O128" s="47"/>
      <c r="P128" s="47"/>
      <c r="R128" s="47"/>
    </row>
    <row r="129" spans="1:18" ht="57" x14ac:dyDescent="0.2">
      <c r="A129" s="395" t="s">
        <v>1095</v>
      </c>
      <c r="B129" s="392" t="s">
        <v>94</v>
      </c>
      <c r="C129" s="392" t="s">
        <v>744</v>
      </c>
      <c r="D129" s="396" t="s">
        <v>745</v>
      </c>
      <c r="E129" s="392" t="s">
        <v>64</v>
      </c>
      <c r="F129" s="221">
        <v>31</v>
      </c>
      <c r="G129" s="221">
        <v>0</v>
      </c>
      <c r="H129" s="221">
        <f t="shared" si="7"/>
        <v>0</v>
      </c>
      <c r="I129" s="222">
        <f t="shared" si="8"/>
        <v>0</v>
      </c>
      <c r="J129" s="210"/>
      <c r="K129" s="47"/>
      <c r="L129" s="167">
        <v>1.2</v>
      </c>
      <c r="M129" s="47">
        <v>125</v>
      </c>
      <c r="N129" s="47"/>
      <c r="O129" s="47"/>
      <c r="P129" s="47"/>
      <c r="R129" s="47"/>
    </row>
    <row r="130" spans="1:18" ht="57" x14ac:dyDescent="0.2">
      <c r="A130" s="395" t="s">
        <v>1096</v>
      </c>
      <c r="B130" s="392" t="s">
        <v>94</v>
      </c>
      <c r="C130" s="392" t="s">
        <v>746</v>
      </c>
      <c r="D130" s="396" t="s">
        <v>747</v>
      </c>
      <c r="E130" s="392" t="s">
        <v>64</v>
      </c>
      <c r="F130" s="221">
        <v>7</v>
      </c>
      <c r="G130" s="221">
        <v>0</v>
      </c>
      <c r="H130" s="221">
        <f t="shared" si="7"/>
        <v>0</v>
      </c>
      <c r="I130" s="222">
        <f t="shared" si="8"/>
        <v>0</v>
      </c>
      <c r="J130" s="210"/>
      <c r="K130" s="47"/>
      <c r="L130" s="167">
        <v>1.4</v>
      </c>
      <c r="M130" s="47">
        <v>31</v>
      </c>
      <c r="N130" s="47"/>
      <c r="O130" s="47"/>
      <c r="P130" s="47"/>
      <c r="R130" s="47"/>
    </row>
    <row r="131" spans="1:18" ht="57" x14ac:dyDescent="0.2">
      <c r="A131" s="395" t="s">
        <v>1097</v>
      </c>
      <c r="B131" s="392" t="s">
        <v>94</v>
      </c>
      <c r="C131" s="392" t="s">
        <v>748</v>
      </c>
      <c r="D131" s="396" t="s">
        <v>749</v>
      </c>
      <c r="E131" s="392" t="s">
        <v>64</v>
      </c>
      <c r="F131" s="221">
        <v>3</v>
      </c>
      <c r="G131" s="221">
        <v>0</v>
      </c>
      <c r="H131" s="221">
        <f t="shared" si="7"/>
        <v>0</v>
      </c>
      <c r="I131" s="222">
        <f t="shared" si="8"/>
        <v>0</v>
      </c>
      <c r="J131" s="210"/>
      <c r="K131" s="47"/>
      <c r="L131" s="167">
        <v>1.5</v>
      </c>
      <c r="M131" s="47">
        <v>7</v>
      </c>
      <c r="N131" s="47"/>
      <c r="O131" s="47"/>
      <c r="P131" s="47"/>
      <c r="R131" s="47"/>
    </row>
    <row r="132" spans="1:18" ht="57" x14ac:dyDescent="0.2">
      <c r="A132" s="395" t="s">
        <v>1098</v>
      </c>
      <c r="B132" s="392" t="s">
        <v>94</v>
      </c>
      <c r="C132" s="392" t="s">
        <v>757</v>
      </c>
      <c r="D132" s="396" t="s">
        <v>755</v>
      </c>
      <c r="E132" s="392" t="s">
        <v>64</v>
      </c>
      <c r="F132" s="221">
        <v>9</v>
      </c>
      <c r="G132" s="221">
        <v>0</v>
      </c>
      <c r="H132" s="221">
        <f t="shared" si="7"/>
        <v>0</v>
      </c>
      <c r="I132" s="222">
        <f t="shared" si="8"/>
        <v>0</v>
      </c>
      <c r="J132" s="210"/>
      <c r="K132" s="47"/>
      <c r="L132" s="167">
        <v>1.6</v>
      </c>
      <c r="M132" s="47">
        <v>3</v>
      </c>
      <c r="N132" s="47"/>
      <c r="O132" s="47"/>
      <c r="P132" s="47"/>
      <c r="R132" s="47"/>
    </row>
    <row r="133" spans="1:18" ht="57" x14ac:dyDescent="0.2">
      <c r="A133" s="395" t="s">
        <v>1099</v>
      </c>
      <c r="B133" s="392" t="s">
        <v>94</v>
      </c>
      <c r="C133" s="392" t="s">
        <v>750</v>
      </c>
      <c r="D133" s="396" t="s">
        <v>751</v>
      </c>
      <c r="E133" s="392" t="s">
        <v>64</v>
      </c>
      <c r="F133" s="221">
        <v>32</v>
      </c>
      <c r="G133" s="221">
        <v>0</v>
      </c>
      <c r="H133" s="221">
        <f t="shared" si="7"/>
        <v>0</v>
      </c>
      <c r="I133" s="222">
        <f t="shared" si="8"/>
        <v>0</v>
      </c>
      <c r="J133" s="210"/>
      <c r="K133" s="47"/>
      <c r="L133" s="167">
        <v>1.7</v>
      </c>
      <c r="M133" s="47">
        <v>9</v>
      </c>
      <c r="N133" s="47"/>
      <c r="O133" s="47"/>
      <c r="P133" s="47"/>
      <c r="R133" s="47"/>
    </row>
    <row r="134" spans="1:18" ht="57" x14ac:dyDescent="0.2">
      <c r="A134" s="395" t="s">
        <v>1364</v>
      </c>
      <c r="B134" s="392" t="s">
        <v>94</v>
      </c>
      <c r="C134" s="392" t="s">
        <v>752</v>
      </c>
      <c r="D134" s="396" t="s">
        <v>753</v>
      </c>
      <c r="E134" s="392" t="s">
        <v>64</v>
      </c>
      <c r="F134" s="221">
        <v>43</v>
      </c>
      <c r="G134" s="221">
        <v>0</v>
      </c>
      <c r="H134" s="221">
        <f t="shared" si="7"/>
        <v>0</v>
      </c>
      <c r="I134" s="222">
        <f t="shared" si="8"/>
        <v>0</v>
      </c>
      <c r="J134" s="210"/>
      <c r="K134" s="47"/>
      <c r="L134" s="167">
        <v>2</v>
      </c>
      <c r="M134" s="47">
        <v>32</v>
      </c>
      <c r="N134" s="47"/>
      <c r="O134" s="47"/>
      <c r="P134" s="47"/>
      <c r="R134" s="47"/>
    </row>
    <row r="135" spans="1:18" ht="57" x14ac:dyDescent="0.2">
      <c r="A135" s="395" t="s">
        <v>1365</v>
      </c>
      <c r="B135" s="392" t="s">
        <v>94</v>
      </c>
      <c r="C135" s="392" t="s">
        <v>1015</v>
      </c>
      <c r="D135" s="396" t="s">
        <v>1016</v>
      </c>
      <c r="E135" s="392" t="s">
        <v>64</v>
      </c>
      <c r="F135" s="221">
        <v>29</v>
      </c>
      <c r="G135" s="221">
        <v>0</v>
      </c>
      <c r="H135" s="221">
        <f t="shared" si="7"/>
        <v>0</v>
      </c>
      <c r="I135" s="222">
        <f t="shared" si="8"/>
        <v>0</v>
      </c>
      <c r="J135" s="210"/>
      <c r="K135" s="47"/>
      <c r="L135" s="167"/>
      <c r="M135" s="47"/>
      <c r="N135" s="47"/>
      <c r="O135" s="47"/>
      <c r="P135" s="47"/>
      <c r="R135" s="47"/>
    </row>
    <row r="136" spans="1:18" ht="57" x14ac:dyDescent="0.2">
      <c r="A136" s="395" t="s">
        <v>2142</v>
      </c>
      <c r="B136" s="392" t="s">
        <v>94</v>
      </c>
      <c r="C136" s="392" t="s">
        <v>2090</v>
      </c>
      <c r="D136" s="396" t="s">
        <v>2091</v>
      </c>
      <c r="E136" s="392" t="s">
        <v>64</v>
      </c>
      <c r="F136" s="221">
        <v>6</v>
      </c>
      <c r="G136" s="221">
        <v>0</v>
      </c>
      <c r="H136" s="221">
        <f t="shared" si="7"/>
        <v>0</v>
      </c>
      <c r="I136" s="222">
        <f t="shared" si="8"/>
        <v>0</v>
      </c>
      <c r="J136" s="210"/>
      <c r="K136" s="47"/>
      <c r="L136" s="167"/>
      <c r="M136" s="47"/>
      <c r="N136" s="47"/>
      <c r="O136" s="47"/>
      <c r="P136" s="47"/>
      <c r="R136" s="47"/>
    </row>
    <row r="137" spans="1:18" ht="57" x14ac:dyDescent="0.2">
      <c r="A137" s="395" t="s">
        <v>2143</v>
      </c>
      <c r="B137" s="392" t="s">
        <v>94</v>
      </c>
      <c r="C137" s="392" t="s">
        <v>758</v>
      </c>
      <c r="D137" s="396" t="s">
        <v>756</v>
      </c>
      <c r="E137" s="392" t="s">
        <v>64</v>
      </c>
      <c r="F137" s="221">
        <v>11</v>
      </c>
      <c r="G137" s="221">
        <v>0</v>
      </c>
      <c r="H137" s="221">
        <f t="shared" si="7"/>
        <v>0</v>
      </c>
      <c r="I137" s="222">
        <f t="shared" si="8"/>
        <v>0</v>
      </c>
      <c r="J137" s="210"/>
      <c r="K137" s="47"/>
      <c r="L137" s="167">
        <v>2.2999999999999998</v>
      </c>
      <c r="M137" s="47">
        <v>43</v>
      </c>
      <c r="N137" s="47"/>
      <c r="O137" s="47"/>
      <c r="P137" s="47"/>
      <c r="R137" s="47"/>
    </row>
    <row r="138" spans="1:18" ht="57" x14ac:dyDescent="0.2">
      <c r="A138" s="395" t="s">
        <v>2144</v>
      </c>
      <c r="B138" s="392" t="s">
        <v>94</v>
      </c>
      <c r="C138" s="392" t="s">
        <v>2097</v>
      </c>
      <c r="D138" s="396" t="s">
        <v>2092</v>
      </c>
      <c r="E138" s="392" t="s">
        <v>64</v>
      </c>
      <c r="F138" s="221">
        <v>11</v>
      </c>
      <c r="G138" s="221">
        <v>0</v>
      </c>
      <c r="H138" s="221">
        <f t="shared" si="7"/>
        <v>0</v>
      </c>
      <c r="I138" s="222">
        <f t="shared" si="8"/>
        <v>0</v>
      </c>
      <c r="J138" s="210"/>
      <c r="K138" s="47"/>
      <c r="L138" s="167"/>
      <c r="M138" s="47"/>
      <c r="N138" s="47"/>
      <c r="O138" s="47"/>
      <c r="P138" s="47"/>
      <c r="R138" s="47"/>
    </row>
    <row r="139" spans="1:18" ht="57" x14ac:dyDescent="0.2">
      <c r="A139" s="395" t="s">
        <v>2145</v>
      </c>
      <c r="B139" s="392" t="s">
        <v>94</v>
      </c>
      <c r="C139" s="392" t="s">
        <v>2098</v>
      </c>
      <c r="D139" s="396" t="s">
        <v>2093</v>
      </c>
      <c r="E139" s="392" t="s">
        <v>64</v>
      </c>
      <c r="F139" s="221">
        <v>2</v>
      </c>
      <c r="G139" s="221">
        <v>0</v>
      </c>
      <c r="H139" s="221">
        <f t="shared" si="7"/>
        <v>0</v>
      </c>
      <c r="I139" s="222">
        <f t="shared" si="8"/>
        <v>0</v>
      </c>
      <c r="J139" s="210"/>
      <c r="K139" s="47"/>
      <c r="L139" s="167"/>
      <c r="M139" s="47"/>
      <c r="N139" s="47"/>
      <c r="O139" s="47"/>
      <c r="P139" s="47"/>
      <c r="R139" s="47"/>
    </row>
    <row r="140" spans="1:18" ht="57" x14ac:dyDescent="0.2">
      <c r="A140" s="395" t="s">
        <v>2146</v>
      </c>
      <c r="B140" s="392" t="s">
        <v>94</v>
      </c>
      <c r="C140" s="392" t="s">
        <v>2099</v>
      </c>
      <c r="D140" s="396" t="s">
        <v>2094</v>
      </c>
      <c r="E140" s="392" t="s">
        <v>64</v>
      </c>
      <c r="F140" s="221">
        <v>5</v>
      </c>
      <c r="G140" s="221">
        <v>0</v>
      </c>
      <c r="H140" s="221">
        <f t="shared" si="7"/>
        <v>0</v>
      </c>
      <c r="I140" s="222">
        <f t="shared" si="8"/>
        <v>0</v>
      </c>
      <c r="J140" s="210"/>
      <c r="K140" s="47"/>
      <c r="L140" s="167"/>
      <c r="M140" s="47"/>
      <c r="N140" s="47"/>
      <c r="O140" s="47"/>
      <c r="P140" s="47"/>
      <c r="R140" s="47"/>
    </row>
    <row r="141" spans="1:18" ht="57" x14ac:dyDescent="0.2">
      <c r="A141" s="395" t="s">
        <v>2147</v>
      </c>
      <c r="B141" s="392" t="s">
        <v>94</v>
      </c>
      <c r="C141" s="392" t="s">
        <v>2100</v>
      </c>
      <c r="D141" s="396" t="s">
        <v>2095</v>
      </c>
      <c r="E141" s="392" t="s">
        <v>64</v>
      </c>
      <c r="F141" s="221">
        <v>5</v>
      </c>
      <c r="G141" s="221">
        <v>0</v>
      </c>
      <c r="H141" s="221">
        <f t="shared" si="7"/>
        <v>0</v>
      </c>
      <c r="I141" s="222">
        <f t="shared" si="8"/>
        <v>0</v>
      </c>
      <c r="J141" s="210"/>
      <c r="K141" s="47"/>
      <c r="L141" s="167"/>
      <c r="M141" s="47"/>
      <c r="N141" s="47"/>
      <c r="O141" s="47"/>
      <c r="P141" s="47"/>
      <c r="R141" s="47"/>
    </row>
    <row r="142" spans="1:18" ht="57" x14ac:dyDescent="0.2">
      <c r="A142" s="395" t="s">
        <v>2148</v>
      </c>
      <c r="B142" s="392" t="s">
        <v>94</v>
      </c>
      <c r="C142" s="392" t="s">
        <v>2101</v>
      </c>
      <c r="D142" s="396" t="s">
        <v>2096</v>
      </c>
      <c r="E142" s="392" t="s">
        <v>64</v>
      </c>
      <c r="F142" s="221">
        <v>6</v>
      </c>
      <c r="G142" s="221">
        <v>0</v>
      </c>
      <c r="H142" s="221">
        <f t="shared" si="7"/>
        <v>0</v>
      </c>
      <c r="I142" s="222">
        <f t="shared" si="8"/>
        <v>0</v>
      </c>
      <c r="J142" s="210"/>
      <c r="K142" s="47"/>
      <c r="L142" s="167"/>
      <c r="M142" s="47"/>
      <c r="N142" s="47"/>
      <c r="O142" s="47"/>
      <c r="P142" s="47"/>
      <c r="R142" s="47"/>
    </row>
    <row r="143" spans="1:18" ht="57" x14ac:dyDescent="0.2">
      <c r="A143" s="395" t="s">
        <v>2149</v>
      </c>
      <c r="B143" s="392" t="s">
        <v>94</v>
      </c>
      <c r="C143" s="392" t="s">
        <v>2102</v>
      </c>
      <c r="D143" s="396" t="s">
        <v>2103</v>
      </c>
      <c r="E143" s="392"/>
      <c r="F143" s="221">
        <v>3</v>
      </c>
      <c r="G143" s="221">
        <v>0</v>
      </c>
      <c r="H143" s="221">
        <f t="shared" si="7"/>
        <v>0</v>
      </c>
      <c r="I143" s="222">
        <f t="shared" si="8"/>
        <v>0</v>
      </c>
      <c r="J143" s="210"/>
      <c r="K143" s="47"/>
      <c r="L143" s="167"/>
      <c r="M143" s="47"/>
      <c r="N143" s="47"/>
      <c r="O143" s="47"/>
      <c r="P143" s="47"/>
      <c r="R143" s="47"/>
    </row>
    <row r="144" spans="1:18" x14ac:dyDescent="0.2">
      <c r="A144" s="407"/>
      <c r="B144" s="220"/>
      <c r="C144" s="220"/>
      <c r="D144" s="219"/>
      <c r="E144" s="220"/>
      <c r="F144" s="396"/>
      <c r="G144" s="221"/>
      <c r="H144" s="221"/>
      <c r="I144" s="222"/>
      <c r="J144" s="210"/>
      <c r="K144" s="47"/>
      <c r="L144" s="167">
        <v>2.6</v>
      </c>
      <c r="M144" s="47">
        <v>29</v>
      </c>
      <c r="N144" s="47"/>
      <c r="O144" s="47"/>
      <c r="P144" s="47"/>
      <c r="R144" s="47"/>
    </row>
    <row r="145" spans="1:18" ht="15" x14ac:dyDescent="0.2">
      <c r="A145" s="409" t="s">
        <v>1100</v>
      </c>
      <c r="B145" s="410"/>
      <c r="C145" s="410"/>
      <c r="D145" s="411" t="s">
        <v>754</v>
      </c>
      <c r="E145" s="410"/>
      <c r="F145" s="412"/>
      <c r="G145" s="413"/>
      <c r="H145" s="414"/>
      <c r="I145" s="415">
        <f>SUM(I146:I153)</f>
        <v>0</v>
      </c>
      <c r="J145" s="210"/>
      <c r="K145" s="47"/>
      <c r="L145" s="167">
        <v>2.9</v>
      </c>
      <c r="M145" s="47">
        <v>6</v>
      </c>
      <c r="N145" s="47"/>
      <c r="O145" s="47"/>
      <c r="P145" s="47"/>
      <c r="R145" s="47"/>
    </row>
    <row r="146" spans="1:18" x14ac:dyDescent="0.2">
      <c r="A146" s="407" t="s">
        <v>1101</v>
      </c>
      <c r="B146" s="220" t="s">
        <v>94</v>
      </c>
      <c r="C146" s="220" t="s">
        <v>127</v>
      </c>
      <c r="D146" s="219" t="s">
        <v>128</v>
      </c>
      <c r="E146" s="220" t="s">
        <v>63</v>
      </c>
      <c r="F146" s="221">
        <f>COMPOSIÇÕES!F44</f>
        <v>11804</v>
      </c>
      <c r="G146" s="221">
        <v>0</v>
      </c>
      <c r="H146" s="221">
        <f t="shared" ref="H146:H152" si="9">G146*(1+$L$20)</f>
        <v>0</v>
      </c>
      <c r="I146" s="222">
        <f t="shared" ref="I146:I153" si="10">ROUND(F146*H146,2)</f>
        <v>0</v>
      </c>
      <c r="J146" s="210"/>
      <c r="K146" s="47"/>
      <c r="L146" s="167">
        <v>3.2</v>
      </c>
      <c r="M146" s="47">
        <v>11</v>
      </c>
      <c r="N146" s="47"/>
      <c r="O146" s="47"/>
      <c r="P146" s="47"/>
      <c r="R146" s="47"/>
    </row>
    <row r="147" spans="1:18" ht="28.5" x14ac:dyDescent="0.2">
      <c r="A147" s="407" t="s">
        <v>1102</v>
      </c>
      <c r="B147" s="220" t="s">
        <v>94</v>
      </c>
      <c r="C147" s="220" t="s">
        <v>1360</v>
      </c>
      <c r="D147" s="219" t="s">
        <v>1361</v>
      </c>
      <c r="E147" s="220" t="s">
        <v>63</v>
      </c>
      <c r="F147" s="221">
        <f>COMPOSIÇÕES!F45</f>
        <v>1537</v>
      </c>
      <c r="G147" s="221">
        <v>0</v>
      </c>
      <c r="H147" s="221">
        <f t="shared" si="9"/>
        <v>0</v>
      </c>
      <c r="I147" s="222">
        <f t="shared" si="10"/>
        <v>0</v>
      </c>
      <c r="J147" s="210"/>
      <c r="K147" s="47"/>
      <c r="L147" s="167">
        <v>3.5</v>
      </c>
      <c r="M147" s="47">
        <v>11</v>
      </c>
      <c r="N147" s="47"/>
      <c r="O147" s="47"/>
      <c r="P147" s="47"/>
      <c r="R147" s="47"/>
    </row>
    <row r="148" spans="1:18" ht="28.5" x14ac:dyDescent="0.2">
      <c r="A148" s="407" t="s">
        <v>1103</v>
      </c>
      <c r="B148" s="392" t="s">
        <v>94</v>
      </c>
      <c r="C148" s="392" t="s">
        <v>133</v>
      </c>
      <c r="D148" s="396" t="s">
        <v>759</v>
      </c>
      <c r="E148" s="392" t="s">
        <v>63</v>
      </c>
      <c r="F148" s="221">
        <f>COMPOSIÇÕES!F46</f>
        <v>664</v>
      </c>
      <c r="G148" s="221">
        <v>0</v>
      </c>
      <c r="H148" s="221">
        <f t="shared" si="9"/>
        <v>0</v>
      </c>
      <c r="I148" s="222">
        <f t="shared" si="10"/>
        <v>0</v>
      </c>
      <c r="J148" s="210"/>
      <c r="K148" s="47"/>
      <c r="L148" s="167">
        <v>3.8</v>
      </c>
      <c r="M148" s="47">
        <v>2</v>
      </c>
      <c r="N148" s="47"/>
      <c r="O148" s="47"/>
      <c r="P148" s="47"/>
      <c r="R148" s="47"/>
    </row>
    <row r="149" spans="1:18" ht="28.5" x14ac:dyDescent="0.2">
      <c r="A149" s="407" t="s">
        <v>1104</v>
      </c>
      <c r="B149" s="392" t="s">
        <v>94</v>
      </c>
      <c r="C149" s="392" t="s">
        <v>168</v>
      </c>
      <c r="D149" s="396" t="s">
        <v>760</v>
      </c>
      <c r="E149" s="392" t="s">
        <v>63</v>
      </c>
      <c r="F149" s="221">
        <f>COMPOSIÇÕES!F47</f>
        <v>964</v>
      </c>
      <c r="G149" s="221">
        <v>0</v>
      </c>
      <c r="H149" s="221">
        <f t="shared" si="9"/>
        <v>0</v>
      </c>
      <c r="I149" s="222">
        <f t="shared" si="10"/>
        <v>0</v>
      </c>
      <c r="J149" s="210"/>
      <c r="K149" s="47"/>
      <c r="L149" s="167">
        <v>4.0999999999999996</v>
      </c>
      <c r="M149" s="47">
        <v>5</v>
      </c>
      <c r="N149" s="47"/>
      <c r="O149" s="47"/>
      <c r="P149" s="47"/>
      <c r="R149" s="47"/>
    </row>
    <row r="150" spans="1:18" ht="28.5" x14ac:dyDescent="0.2">
      <c r="A150" s="407" t="s">
        <v>2150</v>
      </c>
      <c r="B150" s="392" t="s">
        <v>94</v>
      </c>
      <c r="C150" s="392" t="s">
        <v>169</v>
      </c>
      <c r="D150" s="396" t="s">
        <v>761</v>
      </c>
      <c r="E150" s="392" t="s">
        <v>63</v>
      </c>
      <c r="F150" s="221">
        <f>COMPOSIÇÕES!F48</f>
        <v>1886</v>
      </c>
      <c r="G150" s="221">
        <v>0</v>
      </c>
      <c r="H150" s="221">
        <f t="shared" si="9"/>
        <v>0</v>
      </c>
      <c r="I150" s="222">
        <f t="shared" si="10"/>
        <v>0</v>
      </c>
      <c r="J150" s="210"/>
      <c r="K150" s="47"/>
      <c r="L150" s="167">
        <v>4.4000000000000004</v>
      </c>
      <c r="M150" s="47">
        <v>5</v>
      </c>
      <c r="N150" s="47"/>
      <c r="O150" s="47"/>
      <c r="P150" s="47"/>
      <c r="R150" s="47"/>
    </row>
    <row r="151" spans="1:18" ht="28.5" x14ac:dyDescent="0.2">
      <c r="A151" s="407" t="s">
        <v>2151</v>
      </c>
      <c r="B151" s="392" t="s">
        <v>94</v>
      </c>
      <c r="C151" s="392" t="s">
        <v>1362</v>
      </c>
      <c r="D151" s="396" t="s">
        <v>1363</v>
      </c>
      <c r="E151" s="392" t="s">
        <v>63</v>
      </c>
      <c r="F151" s="221">
        <f>COMPOSIÇÕES!F49</f>
        <v>23</v>
      </c>
      <c r="G151" s="221">
        <v>0</v>
      </c>
      <c r="H151" s="221">
        <f t="shared" si="9"/>
        <v>0</v>
      </c>
      <c r="I151" s="222">
        <f t="shared" si="10"/>
        <v>0</v>
      </c>
      <c r="J151" s="210"/>
      <c r="K151" s="47"/>
      <c r="L151" s="167">
        <v>4.7</v>
      </c>
      <c r="M151" s="47">
        <v>6</v>
      </c>
      <c r="N151" s="47"/>
      <c r="O151" s="47"/>
      <c r="P151" s="47"/>
      <c r="R151" s="47"/>
    </row>
    <row r="152" spans="1:18" ht="28.5" x14ac:dyDescent="0.2">
      <c r="A152" s="407" t="s">
        <v>2152</v>
      </c>
      <c r="B152" s="392" t="s">
        <v>94</v>
      </c>
      <c r="C152" s="392" t="s">
        <v>954</v>
      </c>
      <c r="D152" s="396" t="s">
        <v>955</v>
      </c>
      <c r="E152" s="392" t="s">
        <v>63</v>
      </c>
      <c r="F152" s="221">
        <f>COMPOSIÇÕES!F50</f>
        <v>22</v>
      </c>
      <c r="G152" s="221">
        <v>0</v>
      </c>
      <c r="H152" s="221">
        <f t="shared" si="9"/>
        <v>0</v>
      </c>
      <c r="I152" s="222">
        <f t="shared" si="10"/>
        <v>0</v>
      </c>
      <c r="J152" s="210"/>
      <c r="K152" s="47"/>
      <c r="L152" s="167">
        <v>5</v>
      </c>
      <c r="M152" s="47">
        <v>3</v>
      </c>
      <c r="N152" s="47"/>
      <c r="O152" s="47"/>
      <c r="P152" s="47"/>
      <c r="R152" s="47"/>
    </row>
    <row r="153" spans="1:18" s="48" customFormat="1" ht="28.5" x14ac:dyDescent="0.2">
      <c r="A153" s="407" t="s">
        <v>2153</v>
      </c>
      <c r="B153" s="392" t="s">
        <v>717</v>
      </c>
      <c r="C153" s="392" t="str">
        <f>COMPOSIÇÕES!B43</f>
        <v>CE-002</v>
      </c>
      <c r="D153" s="396" t="s">
        <v>1358</v>
      </c>
      <c r="E153" s="392" t="s">
        <v>65</v>
      </c>
      <c r="F153" s="221">
        <v>1</v>
      </c>
      <c r="G153" s="221">
        <v>0</v>
      </c>
      <c r="H153" s="221">
        <f>G153*(1+$K$20)</f>
        <v>0</v>
      </c>
      <c r="I153" s="222">
        <f t="shared" si="10"/>
        <v>0</v>
      </c>
      <c r="J153" s="379"/>
      <c r="K153" s="47"/>
      <c r="L153" s="167"/>
      <c r="M153" s="47"/>
      <c r="N153" s="47"/>
      <c r="O153" s="47"/>
      <c r="P153" s="47"/>
      <c r="R153" s="47"/>
    </row>
    <row r="154" spans="1:18" x14ac:dyDescent="0.2">
      <c r="A154" s="407"/>
      <c r="B154" s="220"/>
      <c r="C154" s="405"/>
      <c r="D154" s="219"/>
      <c r="E154" s="220"/>
      <c r="F154" s="221"/>
      <c r="G154" s="221"/>
      <c r="H154" s="221"/>
      <c r="I154" s="222"/>
      <c r="J154" s="210"/>
      <c r="K154" s="47"/>
      <c r="L154" s="167"/>
      <c r="M154" s="47"/>
      <c r="N154" s="47"/>
      <c r="O154" s="47"/>
      <c r="P154" s="47"/>
      <c r="R154" s="47"/>
    </row>
    <row r="155" spans="1:18" ht="15" x14ac:dyDescent="0.2">
      <c r="A155" s="409" t="s">
        <v>1105</v>
      </c>
      <c r="B155" s="410"/>
      <c r="C155" s="410"/>
      <c r="D155" s="411" t="s">
        <v>793</v>
      </c>
      <c r="E155" s="410"/>
      <c r="F155" s="412"/>
      <c r="G155" s="413"/>
      <c r="H155" s="414"/>
      <c r="I155" s="415">
        <f>SUM(I156:I159)</f>
        <v>0</v>
      </c>
      <c r="J155" s="210"/>
      <c r="K155" s="47"/>
      <c r="L155" s="167"/>
      <c r="M155" s="47"/>
      <c r="N155" s="47"/>
      <c r="O155" s="47"/>
      <c r="P155" s="47"/>
      <c r="R155" s="47"/>
    </row>
    <row r="156" spans="1:18" ht="28.5" x14ac:dyDescent="0.2">
      <c r="A156" s="395" t="s">
        <v>1106</v>
      </c>
      <c r="B156" s="392" t="s">
        <v>94</v>
      </c>
      <c r="C156" s="392">
        <v>72949</v>
      </c>
      <c r="D156" s="396" t="s">
        <v>798</v>
      </c>
      <c r="E156" s="392" t="s">
        <v>62</v>
      </c>
      <c r="F156" s="221">
        <f>2*221*0.05</f>
        <v>22.1</v>
      </c>
      <c r="G156" s="221">
        <v>0</v>
      </c>
      <c r="H156" s="221">
        <f>G156*(1+$L$20)</f>
        <v>0</v>
      </c>
      <c r="I156" s="222">
        <f>ROUND(F156*H156,2)</f>
        <v>0</v>
      </c>
      <c r="J156" s="210"/>
      <c r="K156" s="47"/>
      <c r="L156" s="167"/>
      <c r="M156" s="47"/>
      <c r="N156" s="47"/>
      <c r="O156" s="47"/>
      <c r="P156" s="47"/>
      <c r="R156" s="47"/>
    </row>
    <row r="157" spans="1:18" ht="28.5" x14ac:dyDescent="0.2">
      <c r="A157" s="395" t="s">
        <v>2154</v>
      </c>
      <c r="B157" s="392" t="s">
        <v>94</v>
      </c>
      <c r="C157" s="392" t="s">
        <v>794</v>
      </c>
      <c r="D157" s="396" t="s">
        <v>795</v>
      </c>
      <c r="E157" s="392" t="s">
        <v>61</v>
      </c>
      <c r="F157" s="221">
        <f>25*1*6</f>
        <v>150</v>
      </c>
      <c r="G157" s="221">
        <v>0</v>
      </c>
      <c r="H157" s="221">
        <f>G157*(1+$L$20)</f>
        <v>0</v>
      </c>
      <c r="I157" s="222">
        <f>ROUND(F157*H157,2)</f>
        <v>0</v>
      </c>
      <c r="J157" s="210"/>
      <c r="K157" s="47" t="s">
        <v>957</v>
      </c>
      <c r="L157" s="167"/>
      <c r="M157" s="47"/>
      <c r="N157" s="47"/>
      <c r="O157" s="47"/>
      <c r="P157" s="47"/>
      <c r="R157" s="47"/>
    </row>
    <row r="158" spans="1:18" s="48" customFormat="1" ht="28.5" x14ac:dyDescent="0.2">
      <c r="A158" s="395" t="s">
        <v>2155</v>
      </c>
      <c r="B158" s="392" t="s">
        <v>717</v>
      </c>
      <c r="C158" s="392" t="str">
        <f>COMPOSIÇÕES!B52</f>
        <v>CE-003</v>
      </c>
      <c r="D158" s="396" t="s">
        <v>810</v>
      </c>
      <c r="E158" s="392" t="s">
        <v>61</v>
      </c>
      <c r="F158" s="221">
        <f>F156/0.05</f>
        <v>442</v>
      </c>
      <c r="G158" s="221">
        <v>0</v>
      </c>
      <c r="H158" s="221">
        <f>G158*(1+$L$20)</f>
        <v>0</v>
      </c>
      <c r="I158" s="222">
        <f>ROUND(F158*H158,2)</f>
        <v>0</v>
      </c>
      <c r="J158" s="379"/>
      <c r="K158" s="47"/>
      <c r="L158" s="167"/>
      <c r="M158" s="47"/>
      <c r="N158" s="47"/>
      <c r="O158" s="47"/>
      <c r="P158" s="47"/>
      <c r="R158" s="47"/>
    </row>
    <row r="159" spans="1:18" ht="28.5" x14ac:dyDescent="0.2">
      <c r="A159" s="395" t="s">
        <v>2156</v>
      </c>
      <c r="B159" s="392" t="s">
        <v>94</v>
      </c>
      <c r="C159" s="392" t="s">
        <v>796</v>
      </c>
      <c r="D159" s="396" t="s">
        <v>797</v>
      </c>
      <c r="E159" s="392" t="s">
        <v>61</v>
      </c>
      <c r="F159" s="221">
        <v>102</v>
      </c>
      <c r="G159" s="221">
        <v>0</v>
      </c>
      <c r="H159" s="221">
        <f>G159*(1+$L$20)</f>
        <v>0</v>
      </c>
      <c r="I159" s="222">
        <f>ROUND(F159*H159,2)</f>
        <v>0</v>
      </c>
      <c r="J159" s="210"/>
      <c r="K159" s="47"/>
      <c r="L159" s="167"/>
      <c r="M159" s="47"/>
      <c r="N159" s="47"/>
      <c r="O159" s="47"/>
      <c r="P159" s="47"/>
      <c r="R159" s="47"/>
    </row>
    <row r="160" spans="1:18" x14ac:dyDescent="0.2">
      <c r="A160" s="395"/>
      <c r="B160" s="392"/>
      <c r="C160" s="392"/>
      <c r="D160" s="396"/>
      <c r="E160" s="392"/>
      <c r="F160" s="221"/>
      <c r="G160" s="221"/>
      <c r="H160" s="221"/>
      <c r="I160" s="222"/>
      <c r="J160" s="210"/>
      <c r="K160" s="47"/>
      <c r="L160" s="167"/>
      <c r="M160" s="47"/>
      <c r="N160" s="47"/>
      <c r="O160" s="47"/>
      <c r="P160" s="47"/>
      <c r="R160" s="47"/>
    </row>
    <row r="161" spans="1:18" x14ac:dyDescent="0.2">
      <c r="A161" s="395"/>
      <c r="B161" s="392"/>
      <c r="C161" s="392"/>
      <c r="D161" s="396"/>
      <c r="E161" s="392"/>
      <c r="F161" s="221"/>
      <c r="G161" s="221"/>
      <c r="H161" s="221"/>
      <c r="I161" s="222"/>
      <c r="J161" s="210"/>
      <c r="K161" s="47"/>
      <c r="L161" s="167"/>
      <c r="M161" s="47"/>
      <c r="N161" s="47"/>
      <c r="O161" s="47"/>
      <c r="P161" s="47"/>
      <c r="R161" s="47"/>
    </row>
    <row r="162" spans="1:18" ht="15" x14ac:dyDescent="0.2">
      <c r="A162" s="409" t="s">
        <v>2157</v>
      </c>
      <c r="B162" s="410"/>
      <c r="C162" s="410"/>
      <c r="D162" s="411" t="s">
        <v>799</v>
      </c>
      <c r="E162" s="410"/>
      <c r="F162" s="412"/>
      <c r="G162" s="413"/>
      <c r="H162" s="414"/>
      <c r="I162" s="415">
        <f>SUM(I163:I163)</f>
        <v>0</v>
      </c>
      <c r="J162" s="210"/>
      <c r="K162" s="47"/>
      <c r="L162" s="167"/>
      <c r="M162" s="47"/>
      <c r="N162" s="47"/>
      <c r="O162" s="47"/>
      <c r="P162" s="47"/>
      <c r="R162" s="47"/>
    </row>
    <row r="163" spans="1:18" ht="71.25" x14ac:dyDescent="0.2">
      <c r="A163" s="407" t="s">
        <v>2158</v>
      </c>
      <c r="B163" s="220" t="s">
        <v>94</v>
      </c>
      <c r="C163" s="220" t="s">
        <v>800</v>
      </c>
      <c r="D163" s="219" t="s">
        <v>801</v>
      </c>
      <c r="E163" s="220" t="s">
        <v>64</v>
      </c>
      <c r="F163" s="221">
        <v>120</v>
      </c>
      <c r="G163" s="221">
        <v>0</v>
      </c>
      <c r="H163" s="221">
        <f>G163*(1+$L$20)</f>
        <v>0</v>
      </c>
      <c r="I163" s="222">
        <f>ROUND(F163*H163,2)</f>
        <v>0</v>
      </c>
      <c r="J163" s="210"/>
      <c r="K163" s="166">
        <v>110494.25</v>
      </c>
      <c r="L163" s="167"/>
      <c r="M163" s="47"/>
      <c r="N163" s="47"/>
      <c r="O163" s="47"/>
      <c r="P163" s="47"/>
      <c r="R163" s="47"/>
    </row>
    <row r="164" spans="1:18" x14ac:dyDescent="0.2">
      <c r="A164" s="407"/>
      <c r="B164" s="220"/>
      <c r="C164" s="220"/>
      <c r="D164" s="219"/>
      <c r="E164" s="220"/>
      <c r="F164" s="221"/>
      <c r="G164" s="221"/>
      <c r="H164" s="221"/>
      <c r="I164" s="222"/>
      <c r="J164" s="210"/>
      <c r="K164" s="166"/>
      <c r="L164" s="167"/>
      <c r="M164" s="47"/>
      <c r="N164" s="47"/>
      <c r="O164" s="47"/>
      <c r="P164" s="47"/>
      <c r="R164" s="47"/>
    </row>
    <row r="165" spans="1:18" ht="15" x14ac:dyDescent="0.2">
      <c r="A165" s="409" t="s">
        <v>1107</v>
      </c>
      <c r="B165" s="410"/>
      <c r="C165" s="410"/>
      <c r="D165" s="411" t="s">
        <v>2758</v>
      </c>
      <c r="E165" s="410"/>
      <c r="F165" s="412"/>
      <c r="G165" s="413"/>
      <c r="H165" s="414"/>
      <c r="I165" s="415">
        <v>138615.96</v>
      </c>
      <c r="J165" s="210"/>
      <c r="K165" s="166"/>
      <c r="L165" s="167"/>
      <c r="M165" s="47"/>
      <c r="N165" s="47"/>
      <c r="O165" s="47"/>
      <c r="P165" s="47"/>
      <c r="R165" s="47"/>
    </row>
    <row r="166" spans="1:18" x14ac:dyDescent="0.2">
      <c r="A166" s="407"/>
      <c r="B166" s="220"/>
      <c r="C166" s="220"/>
      <c r="D166" s="219"/>
      <c r="E166" s="220"/>
      <c r="F166" s="221"/>
      <c r="G166" s="221"/>
      <c r="H166" s="221"/>
      <c r="I166" s="222"/>
      <c r="J166" s="210"/>
      <c r="K166" s="166"/>
      <c r="L166" s="167"/>
      <c r="M166" s="47"/>
      <c r="N166" s="47"/>
      <c r="O166" s="47"/>
      <c r="P166" s="47"/>
      <c r="R166" s="47"/>
    </row>
    <row r="167" spans="1:18" x14ac:dyDescent="0.2">
      <c r="A167" s="407" t="s">
        <v>162</v>
      </c>
      <c r="B167" s="220"/>
      <c r="C167" s="220"/>
      <c r="D167" s="219" t="s">
        <v>2706</v>
      </c>
      <c r="E167" s="220"/>
      <c r="F167" s="221"/>
      <c r="G167" s="221"/>
      <c r="H167" s="221"/>
      <c r="I167" s="222">
        <v>63146.180000000008</v>
      </c>
      <c r="J167" s="210"/>
      <c r="K167" s="166"/>
      <c r="L167" s="167"/>
      <c r="M167" s="47"/>
      <c r="N167" s="47"/>
      <c r="O167" s="47"/>
      <c r="P167" s="47"/>
      <c r="R167" s="47"/>
    </row>
    <row r="168" spans="1:18" ht="28.5" x14ac:dyDescent="0.2">
      <c r="A168" s="407" t="s">
        <v>1154</v>
      </c>
      <c r="B168" s="220" t="s">
        <v>94</v>
      </c>
      <c r="C168" s="220" t="s">
        <v>138</v>
      </c>
      <c r="D168" s="219" t="s">
        <v>2707</v>
      </c>
      <c r="E168" s="220" t="s">
        <v>61</v>
      </c>
      <c r="F168" s="221">
        <v>25</v>
      </c>
      <c r="G168" s="221">
        <v>5.89</v>
      </c>
      <c r="H168" s="221">
        <v>7.36</v>
      </c>
      <c r="I168" s="222">
        <v>184</v>
      </c>
      <c r="J168" s="210"/>
      <c r="K168" s="166"/>
      <c r="L168" s="167"/>
      <c r="M168" s="47"/>
      <c r="N168" s="47"/>
      <c r="O168" s="47"/>
      <c r="P168" s="47"/>
      <c r="R168" s="47"/>
    </row>
    <row r="169" spans="1:18" ht="42.75" x14ac:dyDescent="0.2">
      <c r="A169" s="407" t="s">
        <v>1155</v>
      </c>
      <c r="B169" s="220" t="s">
        <v>94</v>
      </c>
      <c r="C169" s="220" t="s">
        <v>2708</v>
      </c>
      <c r="D169" s="219" t="s">
        <v>2709</v>
      </c>
      <c r="E169" s="220" t="s">
        <v>62</v>
      </c>
      <c r="F169" s="221">
        <v>40.29</v>
      </c>
      <c r="G169" s="221">
        <v>4.3899999999999997</v>
      </c>
      <c r="H169" s="221">
        <v>5.49</v>
      </c>
      <c r="I169" s="222">
        <v>221.19</v>
      </c>
      <c r="J169" s="210"/>
      <c r="K169" s="166"/>
      <c r="L169" s="167"/>
      <c r="M169" s="47"/>
      <c r="N169" s="47"/>
      <c r="O169" s="47"/>
      <c r="P169" s="47"/>
      <c r="R169" s="47"/>
    </row>
    <row r="170" spans="1:18" ht="28.5" x14ac:dyDescent="0.2">
      <c r="A170" s="407" t="s">
        <v>1156</v>
      </c>
      <c r="B170" s="220" t="s">
        <v>94</v>
      </c>
      <c r="C170" s="220" t="s">
        <v>105</v>
      </c>
      <c r="D170" s="219" t="s">
        <v>106</v>
      </c>
      <c r="E170" s="220" t="s">
        <v>62</v>
      </c>
      <c r="F170" s="221">
        <v>7.1099999999999994</v>
      </c>
      <c r="G170" s="221">
        <v>22.62</v>
      </c>
      <c r="H170" s="221">
        <v>28.28</v>
      </c>
      <c r="I170" s="222">
        <v>201.07</v>
      </c>
      <c r="J170" s="210"/>
      <c r="K170" s="166"/>
      <c r="L170" s="167"/>
      <c r="M170" s="47"/>
      <c r="N170" s="47"/>
      <c r="O170" s="47"/>
      <c r="P170" s="47"/>
      <c r="R170" s="47"/>
    </row>
    <row r="171" spans="1:18" ht="42.75" x14ac:dyDescent="0.2">
      <c r="A171" s="407" t="s">
        <v>2710</v>
      </c>
      <c r="B171" s="220" t="s">
        <v>94</v>
      </c>
      <c r="C171" s="220" t="s">
        <v>2711</v>
      </c>
      <c r="D171" s="219" t="s">
        <v>2712</v>
      </c>
      <c r="E171" s="220" t="s">
        <v>62</v>
      </c>
      <c r="F171" s="221">
        <v>7.1059999999999999</v>
      </c>
      <c r="G171" s="221">
        <v>6.09</v>
      </c>
      <c r="H171" s="221">
        <v>7.61</v>
      </c>
      <c r="I171" s="222">
        <v>54.08</v>
      </c>
      <c r="J171" s="210"/>
      <c r="K171" s="166"/>
      <c r="L171" s="167"/>
      <c r="M171" s="47"/>
      <c r="N171" s="47"/>
      <c r="O171" s="47"/>
      <c r="P171" s="47"/>
      <c r="R171" s="47"/>
    </row>
    <row r="172" spans="1:18" ht="28.5" x14ac:dyDescent="0.2">
      <c r="A172" s="407" t="s">
        <v>2713</v>
      </c>
      <c r="B172" s="220" t="s">
        <v>94</v>
      </c>
      <c r="C172" s="220" t="s">
        <v>107</v>
      </c>
      <c r="D172" s="219" t="s">
        <v>108</v>
      </c>
      <c r="E172" s="220" t="s">
        <v>62</v>
      </c>
      <c r="F172" s="221">
        <v>1.2539999999999998</v>
      </c>
      <c r="G172" s="221">
        <v>29.08</v>
      </c>
      <c r="H172" s="221">
        <v>36.35</v>
      </c>
      <c r="I172" s="222">
        <v>45.58</v>
      </c>
      <c r="J172" s="210"/>
      <c r="K172" s="166"/>
      <c r="L172" s="167"/>
      <c r="M172" s="47"/>
      <c r="N172" s="47"/>
      <c r="O172" s="47"/>
      <c r="P172" s="47"/>
      <c r="R172" s="47"/>
    </row>
    <row r="173" spans="1:18" ht="28.5" x14ac:dyDescent="0.2">
      <c r="A173" s="407" t="s">
        <v>2714</v>
      </c>
      <c r="B173" s="220" t="s">
        <v>94</v>
      </c>
      <c r="C173" s="220">
        <v>5622</v>
      </c>
      <c r="D173" s="219" t="s">
        <v>723</v>
      </c>
      <c r="E173" s="220" t="s">
        <v>61</v>
      </c>
      <c r="F173" s="221">
        <v>25.84</v>
      </c>
      <c r="G173" s="221">
        <v>2.13</v>
      </c>
      <c r="H173" s="221">
        <v>2.66</v>
      </c>
      <c r="I173" s="222">
        <v>68.73</v>
      </c>
      <c r="J173" s="210"/>
      <c r="K173" s="166"/>
      <c r="L173" s="167"/>
      <c r="M173" s="47"/>
      <c r="N173" s="47"/>
      <c r="O173" s="47"/>
      <c r="P173" s="47"/>
      <c r="R173" s="47"/>
    </row>
    <row r="174" spans="1:18" ht="28.5" x14ac:dyDescent="0.2">
      <c r="A174" s="407" t="s">
        <v>2715</v>
      </c>
      <c r="B174" s="220" t="s">
        <v>94</v>
      </c>
      <c r="C174" s="220" t="s">
        <v>113</v>
      </c>
      <c r="D174" s="219" t="s">
        <v>114</v>
      </c>
      <c r="E174" s="220" t="s">
        <v>62</v>
      </c>
      <c r="F174" s="221">
        <v>29.1</v>
      </c>
      <c r="G174" s="221">
        <v>15.21</v>
      </c>
      <c r="H174" s="221">
        <v>19.010000000000002</v>
      </c>
      <c r="I174" s="222">
        <v>553.19000000000005</v>
      </c>
      <c r="J174" s="210"/>
      <c r="K174" s="166"/>
      <c r="L174" s="167"/>
      <c r="M174" s="47"/>
      <c r="N174" s="47"/>
      <c r="O174" s="47"/>
      <c r="P174" s="47"/>
      <c r="R174" s="47"/>
    </row>
    <row r="175" spans="1:18" x14ac:dyDescent="0.2">
      <c r="A175" s="407" t="s">
        <v>2716</v>
      </c>
      <c r="B175" s="220" t="s">
        <v>94</v>
      </c>
      <c r="C175" s="220" t="s">
        <v>771</v>
      </c>
      <c r="D175" s="219" t="s">
        <v>772</v>
      </c>
      <c r="E175" s="220" t="s">
        <v>62</v>
      </c>
      <c r="F175" s="221">
        <v>26.66</v>
      </c>
      <c r="G175" s="221">
        <v>25.85</v>
      </c>
      <c r="H175" s="221">
        <v>32.31</v>
      </c>
      <c r="I175" s="222">
        <v>861.38</v>
      </c>
      <c r="J175" s="210"/>
      <c r="K175" s="166"/>
      <c r="L175" s="167"/>
      <c r="M175" s="47"/>
      <c r="N175" s="47"/>
      <c r="O175" s="47"/>
      <c r="P175" s="47"/>
      <c r="R175" s="47"/>
    </row>
    <row r="176" spans="1:18" x14ac:dyDescent="0.2">
      <c r="A176" s="407" t="s">
        <v>2717</v>
      </c>
      <c r="B176" s="220" t="s">
        <v>94</v>
      </c>
      <c r="C176" s="220" t="s">
        <v>140</v>
      </c>
      <c r="D176" s="219" t="s">
        <v>141</v>
      </c>
      <c r="E176" s="220" t="s">
        <v>62</v>
      </c>
      <c r="F176" s="221">
        <v>1.3</v>
      </c>
      <c r="G176" s="221">
        <v>72.459999999999994</v>
      </c>
      <c r="H176" s="221">
        <v>90.58</v>
      </c>
      <c r="I176" s="222">
        <v>117.75</v>
      </c>
      <c r="J176" s="210"/>
      <c r="K176" s="166"/>
      <c r="L176" s="167"/>
      <c r="M176" s="47"/>
      <c r="N176" s="47"/>
      <c r="O176" s="47"/>
      <c r="P176" s="47"/>
      <c r="R176" s="47"/>
    </row>
    <row r="177" spans="1:18" x14ac:dyDescent="0.2">
      <c r="A177" s="407" t="s">
        <v>2718</v>
      </c>
      <c r="B177" s="220" t="s">
        <v>94</v>
      </c>
      <c r="C177" s="220" t="s">
        <v>82</v>
      </c>
      <c r="D177" s="219" t="s">
        <v>53</v>
      </c>
      <c r="E177" s="220" t="s">
        <v>62</v>
      </c>
      <c r="F177" s="221">
        <v>1.3</v>
      </c>
      <c r="G177" s="221">
        <v>254.4</v>
      </c>
      <c r="H177" s="221">
        <v>318</v>
      </c>
      <c r="I177" s="222">
        <v>413.4</v>
      </c>
      <c r="J177" s="210"/>
      <c r="K177" s="166"/>
      <c r="L177" s="167"/>
      <c r="M177" s="47"/>
      <c r="N177" s="47"/>
      <c r="O177" s="47"/>
      <c r="P177" s="47"/>
      <c r="R177" s="47"/>
    </row>
    <row r="178" spans="1:18" ht="28.5" x14ac:dyDescent="0.2">
      <c r="A178" s="407" t="s">
        <v>2719</v>
      </c>
      <c r="B178" s="220" t="s">
        <v>94</v>
      </c>
      <c r="C178" s="220" t="s">
        <v>2720</v>
      </c>
      <c r="D178" s="219" t="s">
        <v>2721</v>
      </c>
      <c r="E178" s="220" t="s">
        <v>61</v>
      </c>
      <c r="F178" s="221">
        <v>72.739999999999995</v>
      </c>
      <c r="G178" s="221">
        <v>79.58</v>
      </c>
      <c r="H178" s="221">
        <v>99.48</v>
      </c>
      <c r="I178" s="222">
        <v>7236.18</v>
      </c>
      <c r="J178" s="210"/>
      <c r="K178" s="166"/>
      <c r="L178" s="167"/>
      <c r="M178" s="47"/>
      <c r="N178" s="47"/>
      <c r="O178" s="47"/>
      <c r="P178" s="47"/>
      <c r="R178" s="47"/>
    </row>
    <row r="179" spans="1:18" ht="28.5" x14ac:dyDescent="0.2">
      <c r="A179" s="407" t="s">
        <v>2722</v>
      </c>
      <c r="B179" s="220" t="s">
        <v>94</v>
      </c>
      <c r="C179" s="220" t="s">
        <v>2723</v>
      </c>
      <c r="D179" s="219" t="s">
        <v>2724</v>
      </c>
      <c r="E179" s="220" t="s">
        <v>62</v>
      </c>
      <c r="F179" s="221">
        <v>9.4499999999999993</v>
      </c>
      <c r="G179" s="221">
        <v>304.17</v>
      </c>
      <c r="H179" s="221">
        <v>380.21</v>
      </c>
      <c r="I179" s="222">
        <v>3592.98</v>
      </c>
      <c r="J179" s="210"/>
      <c r="K179" s="166"/>
      <c r="L179" s="167"/>
      <c r="M179" s="47"/>
      <c r="N179" s="47"/>
      <c r="O179" s="47"/>
      <c r="P179" s="47"/>
      <c r="R179" s="47"/>
    </row>
    <row r="180" spans="1:18" x14ac:dyDescent="0.2">
      <c r="A180" s="407" t="s">
        <v>2725</v>
      </c>
      <c r="B180" s="220" t="s">
        <v>717</v>
      </c>
      <c r="C180" s="220" t="s">
        <v>525</v>
      </c>
      <c r="D180" s="219" t="s">
        <v>2726</v>
      </c>
      <c r="E180" s="220" t="s">
        <v>64</v>
      </c>
      <c r="F180" s="221">
        <v>1</v>
      </c>
      <c r="G180" s="221">
        <v>13953.587999999998</v>
      </c>
      <c r="H180" s="221">
        <v>15628.02</v>
      </c>
      <c r="I180" s="222">
        <v>15628.02</v>
      </c>
      <c r="J180" s="210"/>
      <c r="K180" s="166"/>
      <c r="L180" s="167"/>
      <c r="M180" s="47"/>
      <c r="N180" s="47"/>
      <c r="O180" s="47"/>
      <c r="P180" s="47"/>
      <c r="R180" s="47"/>
    </row>
    <row r="181" spans="1:18" x14ac:dyDescent="0.2">
      <c r="A181" s="407" t="s">
        <v>2727</v>
      </c>
      <c r="B181" s="220" t="s">
        <v>717</v>
      </c>
      <c r="C181" s="220" t="s">
        <v>532</v>
      </c>
      <c r="D181" s="219" t="s">
        <v>2728</v>
      </c>
      <c r="E181" s="220" t="s">
        <v>64</v>
      </c>
      <c r="F181" s="221">
        <v>1</v>
      </c>
      <c r="G181" s="221">
        <v>1288.6500000000001</v>
      </c>
      <c r="H181" s="221">
        <v>1610.81</v>
      </c>
      <c r="I181" s="222">
        <v>1610.81</v>
      </c>
      <c r="J181" s="210"/>
      <c r="K181" s="166"/>
      <c r="L181" s="167"/>
      <c r="M181" s="47"/>
      <c r="N181" s="47"/>
      <c r="O181" s="47"/>
      <c r="P181" s="47"/>
      <c r="R181" s="47"/>
    </row>
    <row r="182" spans="1:18" ht="28.5" x14ac:dyDescent="0.2">
      <c r="A182" s="407" t="s">
        <v>2729</v>
      </c>
      <c r="B182" s="220" t="s">
        <v>145</v>
      </c>
      <c r="C182" s="220"/>
      <c r="D182" s="219" t="s">
        <v>2730</v>
      </c>
      <c r="E182" s="220" t="s">
        <v>64</v>
      </c>
      <c r="F182" s="221">
        <v>2</v>
      </c>
      <c r="G182" s="221">
        <v>3079</v>
      </c>
      <c r="H182" s="221">
        <v>3448.48</v>
      </c>
      <c r="I182" s="222">
        <v>6896.96</v>
      </c>
      <c r="J182" s="210"/>
      <c r="K182" s="166"/>
      <c r="L182" s="167"/>
      <c r="M182" s="47"/>
      <c r="N182" s="47"/>
      <c r="O182" s="47"/>
      <c r="P182" s="47"/>
      <c r="R182" s="47"/>
    </row>
    <row r="183" spans="1:18" x14ac:dyDescent="0.2">
      <c r="A183" s="407" t="s">
        <v>2731</v>
      </c>
      <c r="B183" s="220" t="s">
        <v>94</v>
      </c>
      <c r="C183" s="220" t="s">
        <v>909</v>
      </c>
      <c r="D183" s="219" t="s">
        <v>910</v>
      </c>
      <c r="E183" s="220" t="s">
        <v>64</v>
      </c>
      <c r="F183" s="221">
        <v>2</v>
      </c>
      <c r="G183" s="221">
        <v>95.76</v>
      </c>
      <c r="H183" s="221">
        <v>119.7</v>
      </c>
      <c r="I183" s="222">
        <v>239.4</v>
      </c>
      <c r="J183" s="210"/>
      <c r="K183" s="166"/>
      <c r="L183" s="167"/>
      <c r="M183" s="47"/>
      <c r="N183" s="47"/>
      <c r="O183" s="47"/>
      <c r="P183" s="47"/>
      <c r="R183" s="47"/>
    </row>
    <row r="184" spans="1:18" ht="28.5" x14ac:dyDescent="0.2">
      <c r="A184" s="407" t="s">
        <v>2732</v>
      </c>
      <c r="B184" s="220" t="s">
        <v>717</v>
      </c>
      <c r="C184" s="220" t="s">
        <v>830</v>
      </c>
      <c r="D184" s="219" t="s">
        <v>2733</v>
      </c>
      <c r="E184" s="220" t="s">
        <v>64</v>
      </c>
      <c r="F184" s="221">
        <v>1</v>
      </c>
      <c r="G184" s="221">
        <v>2917.65</v>
      </c>
      <c r="H184" s="221">
        <v>3647.06</v>
      </c>
      <c r="I184" s="222">
        <v>3647.06</v>
      </c>
      <c r="J184" s="210"/>
      <c r="K184" s="166"/>
      <c r="L184" s="167"/>
      <c r="M184" s="47"/>
      <c r="N184" s="47"/>
      <c r="O184" s="47"/>
      <c r="P184" s="47"/>
      <c r="R184" s="47"/>
    </row>
    <row r="185" spans="1:18" x14ac:dyDescent="0.2">
      <c r="A185" s="407" t="s">
        <v>2734</v>
      </c>
      <c r="B185" s="220" t="s">
        <v>717</v>
      </c>
      <c r="C185" s="220" t="s">
        <v>2735</v>
      </c>
      <c r="D185" s="219" t="s">
        <v>2736</v>
      </c>
      <c r="E185" s="220" t="s">
        <v>64</v>
      </c>
      <c r="F185" s="221">
        <v>1</v>
      </c>
      <c r="G185" s="221">
        <v>16398.57</v>
      </c>
      <c r="H185" s="221">
        <v>20498.21</v>
      </c>
      <c r="I185" s="222">
        <v>20498.21</v>
      </c>
      <c r="J185" s="210"/>
      <c r="K185" s="166"/>
      <c r="L185" s="167"/>
      <c r="M185" s="47"/>
      <c r="N185" s="47"/>
      <c r="O185" s="47"/>
      <c r="P185" s="47"/>
      <c r="R185" s="47"/>
    </row>
    <row r="186" spans="1:18" ht="57" x14ac:dyDescent="0.2">
      <c r="A186" s="407" t="s">
        <v>2737</v>
      </c>
      <c r="B186" s="220" t="s">
        <v>717</v>
      </c>
      <c r="C186" s="220" t="s">
        <v>2186</v>
      </c>
      <c r="D186" s="219" t="s">
        <v>2738</v>
      </c>
      <c r="E186" s="220" t="s">
        <v>64</v>
      </c>
      <c r="F186" s="221">
        <v>1</v>
      </c>
      <c r="G186" s="221">
        <v>860.94999999999982</v>
      </c>
      <c r="H186" s="221">
        <v>1076.19</v>
      </c>
      <c r="I186" s="222">
        <v>1076.19</v>
      </c>
      <c r="J186" s="210"/>
      <c r="K186" s="166"/>
      <c r="L186" s="167"/>
      <c r="M186" s="47"/>
      <c r="N186" s="47"/>
      <c r="O186" s="47"/>
      <c r="P186" s="47"/>
      <c r="R186" s="47"/>
    </row>
    <row r="187" spans="1:18" x14ac:dyDescent="0.2">
      <c r="A187" s="407"/>
      <c r="B187" s="220"/>
      <c r="C187" s="220"/>
      <c r="D187" s="219"/>
      <c r="E187" s="220"/>
      <c r="F187" s="221"/>
      <c r="G187" s="221"/>
      <c r="H187" s="221"/>
      <c r="I187" s="222"/>
      <c r="J187" s="210"/>
      <c r="K187" s="166"/>
      <c r="L187" s="167"/>
      <c r="M187" s="47"/>
      <c r="N187" s="47"/>
      <c r="O187" s="47"/>
      <c r="P187" s="47"/>
      <c r="R187" s="47"/>
    </row>
    <row r="188" spans="1:18" x14ac:dyDescent="0.2">
      <c r="A188" s="407"/>
      <c r="B188" s="220"/>
      <c r="C188" s="220"/>
      <c r="D188" s="219"/>
      <c r="E188" s="220"/>
      <c r="F188" s="221"/>
      <c r="G188" s="221"/>
      <c r="H188" s="221"/>
      <c r="I188" s="222"/>
      <c r="J188" s="210"/>
      <c r="K188" s="166"/>
      <c r="L188" s="167"/>
      <c r="M188" s="47"/>
      <c r="N188" s="47"/>
      <c r="O188" s="47"/>
      <c r="P188" s="47"/>
      <c r="R188" s="47"/>
    </row>
    <row r="189" spans="1:18" ht="15" x14ac:dyDescent="0.2">
      <c r="A189" s="409" t="s">
        <v>251</v>
      </c>
      <c r="B189" s="410"/>
      <c r="C189" s="410"/>
      <c r="D189" s="411" t="s">
        <v>2739</v>
      </c>
      <c r="E189" s="410"/>
      <c r="F189" s="412"/>
      <c r="G189" s="413"/>
      <c r="H189" s="414"/>
      <c r="I189" s="415">
        <v>75469.78</v>
      </c>
      <c r="J189" s="210"/>
      <c r="K189" s="166"/>
      <c r="L189" s="167"/>
      <c r="M189" s="47"/>
      <c r="N189" s="47"/>
      <c r="O189" s="47"/>
      <c r="P189" s="47"/>
      <c r="R189" s="47"/>
    </row>
    <row r="190" spans="1:18" ht="42.75" x14ac:dyDescent="0.2">
      <c r="A190" s="407" t="s">
        <v>1157</v>
      </c>
      <c r="B190" s="220" t="s">
        <v>94</v>
      </c>
      <c r="C190" s="220" t="s">
        <v>2708</v>
      </c>
      <c r="D190" s="219" t="s">
        <v>2709</v>
      </c>
      <c r="E190" s="220" t="s">
        <v>62</v>
      </c>
      <c r="F190" s="221">
        <v>196.56</v>
      </c>
      <c r="G190" s="221">
        <v>4.3899999999999997</v>
      </c>
      <c r="H190" s="221">
        <v>5.49</v>
      </c>
      <c r="I190" s="222">
        <v>1079.1099999999999</v>
      </c>
      <c r="J190" s="210"/>
      <c r="K190" s="166"/>
      <c r="L190" s="167"/>
      <c r="M190" s="47"/>
      <c r="N190" s="47"/>
      <c r="O190" s="47"/>
      <c r="P190" s="47"/>
      <c r="R190" s="47"/>
    </row>
    <row r="191" spans="1:18" ht="28.5" x14ac:dyDescent="0.2">
      <c r="A191" s="407" t="s">
        <v>1158</v>
      </c>
      <c r="B191" s="220" t="s">
        <v>94</v>
      </c>
      <c r="C191" s="220" t="s">
        <v>105</v>
      </c>
      <c r="D191" s="219" t="s">
        <v>106</v>
      </c>
      <c r="E191" s="220" t="s">
        <v>62</v>
      </c>
      <c r="F191" s="221">
        <v>45.359999999999992</v>
      </c>
      <c r="G191" s="221">
        <v>22.62</v>
      </c>
      <c r="H191" s="221">
        <v>28.28</v>
      </c>
      <c r="I191" s="222">
        <v>1282.78</v>
      </c>
      <c r="J191" s="210"/>
      <c r="K191" s="166"/>
      <c r="L191" s="167"/>
      <c r="M191" s="47"/>
      <c r="N191" s="47"/>
      <c r="O191" s="47"/>
      <c r="P191" s="47"/>
      <c r="R191" s="47"/>
    </row>
    <row r="192" spans="1:18" ht="42.75" x14ac:dyDescent="0.2">
      <c r="A192" s="407" t="s">
        <v>1159</v>
      </c>
      <c r="B192" s="220" t="s">
        <v>94</v>
      </c>
      <c r="C192" s="220" t="s">
        <v>2711</v>
      </c>
      <c r="D192" s="219" t="s">
        <v>2712</v>
      </c>
      <c r="E192" s="220" t="s">
        <v>62</v>
      </c>
      <c r="F192" s="221">
        <v>60.48</v>
      </c>
      <c r="G192" s="221">
        <v>6.09</v>
      </c>
      <c r="H192" s="221">
        <v>7.61</v>
      </c>
      <c r="I192" s="222">
        <v>460.25</v>
      </c>
      <c r="J192" s="210"/>
      <c r="K192" s="166"/>
      <c r="L192" s="167"/>
      <c r="M192" s="47"/>
      <c r="N192" s="47"/>
      <c r="O192" s="47"/>
      <c r="P192" s="47"/>
      <c r="R192" s="47"/>
    </row>
    <row r="193" spans="1:22" ht="28.5" x14ac:dyDescent="0.2">
      <c r="A193" s="407" t="s">
        <v>1160</v>
      </c>
      <c r="B193" s="220" t="s">
        <v>94</v>
      </c>
      <c r="C193" s="220" t="s">
        <v>113</v>
      </c>
      <c r="D193" s="219" t="s">
        <v>114</v>
      </c>
      <c r="E193" s="220" t="s">
        <v>62</v>
      </c>
      <c r="F193" s="221">
        <v>302.39999999999998</v>
      </c>
      <c r="G193" s="221">
        <v>15.21</v>
      </c>
      <c r="H193" s="221">
        <v>19.010000000000002</v>
      </c>
      <c r="I193" s="222">
        <v>5748.62</v>
      </c>
      <c r="J193" s="210"/>
      <c r="K193" s="166"/>
      <c r="L193" s="167"/>
      <c r="M193" s="47"/>
      <c r="N193" s="47"/>
      <c r="O193" s="47"/>
      <c r="P193" s="47"/>
      <c r="R193" s="47"/>
    </row>
    <row r="194" spans="1:22" ht="28.5" x14ac:dyDescent="0.2">
      <c r="A194" s="407" t="s">
        <v>1162</v>
      </c>
      <c r="B194" s="220" t="s">
        <v>94</v>
      </c>
      <c r="C194" s="220" t="s">
        <v>2740</v>
      </c>
      <c r="D194" s="219" t="s">
        <v>2741</v>
      </c>
      <c r="E194" s="220" t="s">
        <v>63</v>
      </c>
      <c r="F194" s="221">
        <v>480</v>
      </c>
      <c r="G194" s="221">
        <v>1.68</v>
      </c>
      <c r="H194" s="221">
        <v>2.1</v>
      </c>
      <c r="I194" s="222">
        <v>1008</v>
      </c>
      <c r="J194" s="210"/>
      <c r="K194" s="166"/>
      <c r="L194" s="167"/>
      <c r="M194" s="47"/>
      <c r="N194" s="47"/>
      <c r="O194" s="47"/>
      <c r="P194" s="47"/>
      <c r="R194" s="47"/>
    </row>
    <row r="195" spans="1:22" x14ac:dyDescent="0.2">
      <c r="A195" s="407" t="s">
        <v>1163</v>
      </c>
      <c r="B195" s="220" t="s">
        <v>717</v>
      </c>
      <c r="C195" s="220" t="s">
        <v>2188</v>
      </c>
      <c r="D195" s="219" t="s">
        <v>2742</v>
      </c>
      <c r="E195" s="220" t="s">
        <v>64</v>
      </c>
      <c r="F195" s="221">
        <v>1</v>
      </c>
      <c r="G195" s="221">
        <v>36321</v>
      </c>
      <c r="H195" s="221">
        <v>40679.519999999997</v>
      </c>
      <c r="I195" s="222">
        <v>40679.519999999997</v>
      </c>
      <c r="J195" s="210"/>
      <c r="K195" s="166"/>
      <c r="L195" s="167"/>
      <c r="M195" s="47"/>
      <c r="N195" s="47"/>
      <c r="O195" s="47"/>
      <c r="P195" s="47"/>
      <c r="R195" s="47"/>
    </row>
    <row r="196" spans="1:22" ht="28.5" x14ac:dyDescent="0.2">
      <c r="A196" s="407" t="s">
        <v>1164</v>
      </c>
      <c r="B196" s="220" t="s">
        <v>94</v>
      </c>
      <c r="C196" s="220" t="s">
        <v>2720</v>
      </c>
      <c r="D196" s="219" t="s">
        <v>2721</v>
      </c>
      <c r="E196" s="220" t="s">
        <v>61</v>
      </c>
      <c r="F196" s="221">
        <v>20.74</v>
      </c>
      <c r="G196" s="221">
        <v>79.58</v>
      </c>
      <c r="H196" s="221">
        <v>99.48</v>
      </c>
      <c r="I196" s="222">
        <v>2063.2199999999998</v>
      </c>
      <c r="J196" s="210"/>
      <c r="K196" s="166"/>
      <c r="L196" s="167"/>
      <c r="M196" s="47"/>
      <c r="N196" s="47"/>
      <c r="O196" s="47"/>
      <c r="P196" s="47"/>
      <c r="R196" s="47"/>
    </row>
    <row r="197" spans="1:22" ht="28.5" x14ac:dyDescent="0.2">
      <c r="A197" s="407" t="s">
        <v>1165</v>
      </c>
      <c r="B197" s="220" t="s">
        <v>94</v>
      </c>
      <c r="C197" s="220" t="s">
        <v>2723</v>
      </c>
      <c r="D197" s="219" t="s">
        <v>2724</v>
      </c>
      <c r="E197" s="220" t="s">
        <v>62</v>
      </c>
      <c r="F197" s="221">
        <v>3.65</v>
      </c>
      <c r="G197" s="221">
        <v>304.17</v>
      </c>
      <c r="H197" s="221">
        <v>380.21</v>
      </c>
      <c r="I197" s="222">
        <v>1387.77</v>
      </c>
      <c r="J197" s="210"/>
      <c r="K197" s="166"/>
      <c r="L197" s="167"/>
      <c r="M197" s="47"/>
      <c r="N197" s="47"/>
      <c r="O197" s="47"/>
      <c r="P197" s="47"/>
      <c r="R197" s="47"/>
    </row>
    <row r="198" spans="1:22" ht="28.5" x14ac:dyDescent="0.2">
      <c r="A198" s="407" t="s">
        <v>1166</v>
      </c>
      <c r="B198" s="220" t="s">
        <v>94</v>
      </c>
      <c r="C198" s="220">
        <v>72949</v>
      </c>
      <c r="D198" s="219" t="s">
        <v>798</v>
      </c>
      <c r="E198" s="220" t="s">
        <v>61</v>
      </c>
      <c r="F198" s="221">
        <v>384</v>
      </c>
      <c r="G198" s="221">
        <v>19.04</v>
      </c>
      <c r="H198" s="221">
        <v>23.8</v>
      </c>
      <c r="I198" s="222">
        <v>9139.2000000000007</v>
      </c>
      <c r="J198" s="210"/>
      <c r="K198" s="166"/>
      <c r="L198" s="167"/>
      <c r="M198" s="47"/>
      <c r="N198" s="47"/>
      <c r="O198" s="47"/>
      <c r="P198" s="47"/>
      <c r="R198" s="47"/>
    </row>
    <row r="199" spans="1:22" ht="28.5" x14ac:dyDescent="0.2">
      <c r="A199" s="407" t="s">
        <v>1167</v>
      </c>
      <c r="B199" s="220" t="s">
        <v>717</v>
      </c>
      <c r="C199" s="220" t="s">
        <v>519</v>
      </c>
      <c r="D199" s="219" t="s">
        <v>810</v>
      </c>
      <c r="E199" s="220" t="s">
        <v>61</v>
      </c>
      <c r="F199" s="221">
        <v>422.40000000000003</v>
      </c>
      <c r="G199" s="221">
        <v>23.900000000000002</v>
      </c>
      <c r="H199" s="221">
        <v>29.88</v>
      </c>
      <c r="I199" s="222">
        <v>12621.31</v>
      </c>
      <c r="J199" s="210"/>
      <c r="K199" s="166"/>
      <c r="L199" s="167"/>
      <c r="M199" s="47"/>
      <c r="N199" s="47"/>
      <c r="O199" s="47"/>
      <c r="P199" s="47"/>
      <c r="R199" s="47"/>
    </row>
    <row r="200" spans="1:22" x14ac:dyDescent="0.2">
      <c r="A200" s="407"/>
      <c r="B200" s="220"/>
      <c r="C200" s="220"/>
      <c r="D200" s="219"/>
      <c r="E200" s="220"/>
      <c r="F200" s="221"/>
      <c r="G200" s="221"/>
      <c r="H200" s="221"/>
      <c r="I200" s="222"/>
      <c r="J200" s="210"/>
      <c r="K200" s="166"/>
      <c r="L200" s="167"/>
      <c r="M200" s="47"/>
      <c r="N200" s="47"/>
      <c r="O200" s="47"/>
      <c r="P200" s="47"/>
      <c r="R200" s="47"/>
    </row>
    <row r="201" spans="1:22" x14ac:dyDescent="0.2">
      <c r="A201" s="395"/>
      <c r="B201" s="392"/>
      <c r="C201" s="392"/>
      <c r="D201" s="396"/>
      <c r="E201" s="392"/>
      <c r="F201" s="221"/>
      <c r="G201" s="221"/>
      <c r="H201" s="221"/>
      <c r="I201" s="222"/>
      <c r="J201" s="210"/>
      <c r="K201" s="167"/>
      <c r="L201" s="167"/>
      <c r="M201" s="47"/>
      <c r="N201" s="47"/>
      <c r="O201" s="47"/>
      <c r="P201" s="47"/>
      <c r="R201" s="47"/>
    </row>
    <row r="202" spans="1:22" ht="15" customHeight="1" x14ac:dyDescent="0.2">
      <c r="A202" s="409" t="s">
        <v>2743</v>
      </c>
      <c r="B202" s="410"/>
      <c r="C202" s="410"/>
      <c r="D202" s="411" t="s">
        <v>81</v>
      </c>
      <c r="E202" s="410"/>
      <c r="F202" s="412"/>
      <c r="G202" s="413"/>
      <c r="H202" s="414"/>
      <c r="I202" s="415">
        <f>I203+I240+I261+I285+I314+I335+I357+I378+I406+I436+I469+I482+I211</f>
        <v>3875261.5399999996</v>
      </c>
      <c r="J202" s="211"/>
      <c r="K202" s="47"/>
      <c r="L202" s="47"/>
      <c r="M202" s="47"/>
      <c r="N202" s="47"/>
      <c r="O202" s="47"/>
      <c r="P202" s="47"/>
      <c r="R202" s="47"/>
    </row>
    <row r="203" spans="1:22" ht="15" customHeight="1" thickBot="1" x14ac:dyDescent="0.3">
      <c r="A203" s="409" t="s">
        <v>2744</v>
      </c>
      <c r="B203" s="410"/>
      <c r="C203" s="410"/>
      <c r="D203" s="411" t="s">
        <v>182</v>
      </c>
      <c r="E203" s="410"/>
      <c r="F203" s="412"/>
      <c r="G203" s="413"/>
      <c r="H203" s="414"/>
      <c r="I203" s="415">
        <f>SUM(I204:I209)</f>
        <v>193135.49</v>
      </c>
      <c r="J203" s="211"/>
      <c r="K203" s="348">
        <v>-50000</v>
      </c>
      <c r="L203" s="47"/>
      <c r="M203" s="47"/>
      <c r="N203" s="47"/>
      <c r="O203" s="47"/>
      <c r="P203" s="47"/>
      <c r="R203" s="47"/>
    </row>
    <row r="204" spans="1:22" ht="30" customHeight="1" x14ac:dyDescent="0.2">
      <c r="A204" s="395" t="s">
        <v>1154</v>
      </c>
      <c r="B204" s="392" t="s">
        <v>94</v>
      </c>
      <c r="C204" s="392">
        <v>73672</v>
      </c>
      <c r="D204" s="396" t="s">
        <v>134</v>
      </c>
      <c r="E204" s="392" t="s">
        <v>61</v>
      </c>
      <c r="F204" s="221">
        <v>5265.38</v>
      </c>
      <c r="G204" s="221">
        <v>0.37</v>
      </c>
      <c r="H204" s="221">
        <f t="shared" ref="H204:H209" si="11">G204*(1+$L$20)</f>
        <v>0.46781204075394656</v>
      </c>
      <c r="I204" s="222">
        <f t="shared" ref="I204:I209" si="12">ROUND(F204*H204,2)</f>
        <v>2463.21</v>
      </c>
      <c r="J204" s="209"/>
      <c r="K204" s="47"/>
      <c r="L204" s="330" t="s">
        <v>707</v>
      </c>
      <c r="M204" s="331">
        <f>1287.3+486.84</f>
        <v>1774.1399999999999</v>
      </c>
      <c r="N204" s="47"/>
      <c r="O204" s="47"/>
      <c r="P204" s="47"/>
      <c r="R204" s="47"/>
    </row>
    <row r="205" spans="1:22" s="162" customFormat="1" ht="28.5" x14ac:dyDescent="0.2">
      <c r="A205" s="395" t="s">
        <v>1155</v>
      </c>
      <c r="B205" s="220" t="s">
        <v>94</v>
      </c>
      <c r="C205" s="220">
        <v>72900</v>
      </c>
      <c r="D205" s="219" t="s">
        <v>2693</v>
      </c>
      <c r="E205" s="220" t="s">
        <v>62</v>
      </c>
      <c r="F205" s="221">
        <f>F204*0.15</f>
        <v>789.80700000000002</v>
      </c>
      <c r="G205" s="221">
        <v>4.62</v>
      </c>
      <c r="H205" s="221">
        <f t="shared" si="11"/>
        <v>5.8413287250898192</v>
      </c>
      <c r="I205" s="222">
        <f t="shared" si="12"/>
        <v>4613.5200000000004</v>
      </c>
      <c r="J205" s="209"/>
      <c r="K205" s="186"/>
      <c r="L205" s="332"/>
      <c r="M205" s="333"/>
      <c r="N205" s="47"/>
      <c r="O205" s="47"/>
      <c r="P205" s="47"/>
      <c r="Q205" s="48"/>
      <c r="R205" s="47"/>
      <c r="S205" s="48"/>
      <c r="T205" s="48"/>
      <c r="U205" s="48"/>
      <c r="V205" s="48"/>
    </row>
    <row r="206" spans="1:22" ht="30" customHeight="1" thickBot="1" x14ac:dyDescent="0.25">
      <c r="A206" s="395" t="s">
        <v>1156</v>
      </c>
      <c r="B206" s="392" t="s">
        <v>94</v>
      </c>
      <c r="C206" s="392" t="s">
        <v>706</v>
      </c>
      <c r="D206" s="396" t="s">
        <v>705</v>
      </c>
      <c r="E206" s="392" t="s">
        <v>61</v>
      </c>
      <c r="F206" s="221">
        <f>F204</f>
        <v>5265.38</v>
      </c>
      <c r="G206" s="221">
        <v>3.58</v>
      </c>
      <c r="H206" s="221">
        <f t="shared" si="11"/>
        <v>4.5263975835111587</v>
      </c>
      <c r="I206" s="222">
        <f t="shared" si="12"/>
        <v>23833.200000000001</v>
      </c>
      <c r="J206" s="209"/>
      <c r="K206" s="47"/>
      <c r="L206" s="334" t="s">
        <v>708</v>
      </c>
      <c r="M206" s="335">
        <f>589+297.8</f>
        <v>886.8</v>
      </c>
      <c r="N206" s="47"/>
      <c r="O206" s="47"/>
      <c r="P206" s="47"/>
      <c r="R206" s="47"/>
    </row>
    <row r="207" spans="1:22" s="12" customFormat="1" ht="45" x14ac:dyDescent="0.2">
      <c r="A207" s="483" t="s">
        <v>1205</v>
      </c>
      <c r="B207" s="484" t="s">
        <v>94</v>
      </c>
      <c r="C207" s="485" t="s">
        <v>112</v>
      </c>
      <c r="D207" s="486" t="s">
        <v>713</v>
      </c>
      <c r="E207" s="484" t="s">
        <v>2700</v>
      </c>
      <c r="F207" s="221">
        <f>F204*2.5</f>
        <v>13163.45</v>
      </c>
      <c r="G207" s="488">
        <v>3.07</v>
      </c>
      <c r="H207" s="221">
        <f t="shared" si="11"/>
        <v>3.8815755813908535</v>
      </c>
      <c r="I207" s="489">
        <f t="shared" si="12"/>
        <v>51094.93</v>
      </c>
      <c r="J207" s="490">
        <f t="shared" ref="J207" si="13">IF(C207="","",ROUND((H207*I207),2))</f>
        <v>198328.83</v>
      </c>
    </row>
    <row r="208" spans="1:22" s="491" customFormat="1" ht="30" x14ac:dyDescent="0.2">
      <c r="A208" s="483" t="s">
        <v>1206</v>
      </c>
      <c r="B208" s="484" t="s">
        <v>94</v>
      </c>
      <c r="C208" s="484">
        <v>72841</v>
      </c>
      <c r="D208" s="486" t="s">
        <v>709</v>
      </c>
      <c r="E208" s="484" t="s">
        <v>710</v>
      </c>
      <c r="F208" s="487">
        <f>F207*1.3*5</f>
        <v>85562.425000000003</v>
      </c>
      <c r="G208" s="487">
        <v>0.86</v>
      </c>
      <c r="H208" s="221">
        <f t="shared" si="11"/>
        <v>1.0873469055361999</v>
      </c>
      <c r="I208" s="489">
        <f t="shared" si="12"/>
        <v>93036.04</v>
      </c>
      <c r="K208" s="492"/>
    </row>
    <row r="209" spans="1:22" s="494" customFormat="1" ht="30" x14ac:dyDescent="0.2">
      <c r="A209" s="483" t="s">
        <v>1209</v>
      </c>
      <c r="B209" s="484" t="s">
        <v>94</v>
      </c>
      <c r="C209" s="485" t="s">
        <v>2701</v>
      </c>
      <c r="D209" s="486" t="s">
        <v>2702</v>
      </c>
      <c r="E209" s="484" t="s">
        <v>62</v>
      </c>
      <c r="F209" s="487">
        <f>F204*0.6</f>
        <v>3159.2280000000001</v>
      </c>
      <c r="G209" s="488">
        <v>4.53</v>
      </c>
      <c r="H209" s="221">
        <f t="shared" si="11"/>
        <v>5.7275366070685889</v>
      </c>
      <c r="I209" s="489">
        <f t="shared" si="12"/>
        <v>18094.59</v>
      </c>
      <c r="J209" s="493"/>
    </row>
    <row r="210" spans="1:22" s="162" customFormat="1" x14ac:dyDescent="0.2">
      <c r="A210" s="395"/>
      <c r="B210" s="220"/>
      <c r="C210" s="220"/>
      <c r="D210" s="219"/>
      <c r="E210" s="220"/>
      <c r="F210" s="221"/>
      <c r="G210" s="221"/>
      <c r="H210" s="221"/>
      <c r="I210" s="222"/>
      <c r="J210" s="209"/>
      <c r="K210" s="186"/>
      <c r="L210" s="186"/>
      <c r="M210" s="186"/>
      <c r="N210" s="47"/>
      <c r="O210" s="47"/>
      <c r="P210" s="47"/>
      <c r="Q210" s="48"/>
      <c r="R210" s="47"/>
      <c r="S210" s="48"/>
      <c r="T210" s="48"/>
      <c r="U210" s="48"/>
      <c r="V210" s="48"/>
    </row>
    <row r="211" spans="1:22" s="162" customFormat="1" ht="15" x14ac:dyDescent="0.2">
      <c r="A211" s="409" t="s">
        <v>2745</v>
      </c>
      <c r="B211" s="410"/>
      <c r="C211" s="410"/>
      <c r="D211" s="411" t="s">
        <v>227</v>
      </c>
      <c r="E211" s="410"/>
      <c r="F211" s="412"/>
      <c r="G211" s="413"/>
      <c r="H211" s="414"/>
      <c r="I211" s="415">
        <f>SUM(I212:I238)</f>
        <v>148744.55000000002</v>
      </c>
      <c r="J211" s="209"/>
      <c r="K211" s="186"/>
      <c r="L211" s="186"/>
      <c r="M211" s="186"/>
      <c r="N211" s="47"/>
      <c r="O211" s="47"/>
      <c r="P211" s="47"/>
      <c r="Q211" s="48"/>
      <c r="R211" s="47"/>
      <c r="S211" s="48"/>
      <c r="T211" s="48"/>
      <c r="U211" s="48"/>
      <c r="V211" s="48"/>
    </row>
    <row r="212" spans="1:22" s="162" customFormat="1" ht="28.5" x14ac:dyDescent="0.2">
      <c r="A212" s="395" t="s">
        <v>1157</v>
      </c>
      <c r="B212" s="392" t="s">
        <v>94</v>
      </c>
      <c r="C212" s="392" t="s">
        <v>138</v>
      </c>
      <c r="D212" s="396" t="s">
        <v>1039</v>
      </c>
      <c r="E212" s="392" t="s">
        <v>61</v>
      </c>
      <c r="F212" s="221">
        <v>100</v>
      </c>
      <c r="G212" s="221">
        <v>6.76</v>
      </c>
      <c r="H212" s="221">
        <f t="shared" ref="H212:H232" si="14">G212*(1+$L$20)</f>
        <v>8.5470524202612932</v>
      </c>
      <c r="I212" s="222">
        <f t="shared" ref="I212:I238" si="15">ROUND(F212*H212,2)</f>
        <v>854.71</v>
      </c>
      <c r="J212" s="209"/>
      <c r="K212" s="186"/>
      <c r="L212" s="186"/>
      <c r="M212" s="186"/>
      <c r="N212" s="47"/>
      <c r="O212" s="47"/>
      <c r="P212" s="47"/>
      <c r="Q212" s="48"/>
      <c r="R212" s="47"/>
      <c r="S212" s="48"/>
      <c r="T212" s="48"/>
      <c r="U212" s="48"/>
      <c r="V212" s="48"/>
    </row>
    <row r="213" spans="1:22" s="162" customFormat="1" ht="28.5" x14ac:dyDescent="0.2">
      <c r="A213" s="395" t="s">
        <v>1158</v>
      </c>
      <c r="B213" s="392" t="s">
        <v>94</v>
      </c>
      <c r="C213" s="392">
        <v>78472</v>
      </c>
      <c r="D213" s="396" t="s">
        <v>1040</v>
      </c>
      <c r="E213" s="392" t="s">
        <v>61</v>
      </c>
      <c r="F213" s="221">
        <v>490.3</v>
      </c>
      <c r="G213" s="221">
        <v>0.32</v>
      </c>
      <c r="H213" s="221">
        <f t="shared" si="14"/>
        <v>0.40459419740881863</v>
      </c>
      <c r="I213" s="222">
        <f t="shared" si="15"/>
        <v>198.37</v>
      </c>
      <c r="J213" s="209"/>
      <c r="K213" s="186"/>
      <c r="L213" s="186"/>
      <c r="M213" s="186"/>
      <c r="N213" s="47"/>
      <c r="O213" s="47"/>
      <c r="P213" s="47"/>
      <c r="Q213" s="48"/>
      <c r="R213" s="47"/>
      <c r="S213" s="48"/>
      <c r="T213" s="48"/>
      <c r="U213" s="48"/>
      <c r="V213" s="48"/>
    </row>
    <row r="214" spans="1:22" s="162" customFormat="1" ht="28.5" x14ac:dyDescent="0.2">
      <c r="A214" s="395" t="s">
        <v>1159</v>
      </c>
      <c r="B214" s="392" t="s">
        <v>94</v>
      </c>
      <c r="C214" s="392">
        <v>73672</v>
      </c>
      <c r="D214" s="396" t="s">
        <v>134</v>
      </c>
      <c r="E214" s="392" t="s">
        <v>61</v>
      </c>
      <c r="F214" s="221">
        <v>590.29999999999995</v>
      </c>
      <c r="G214" s="221">
        <v>0.37</v>
      </c>
      <c r="H214" s="221">
        <f t="shared" si="14"/>
        <v>0.46781204075394656</v>
      </c>
      <c r="I214" s="222">
        <f t="shared" si="15"/>
        <v>276.14999999999998</v>
      </c>
      <c r="J214" s="209"/>
      <c r="K214" s="186"/>
      <c r="L214" s="186"/>
      <c r="M214" s="186"/>
      <c r="N214" s="47"/>
      <c r="O214" s="47"/>
      <c r="P214" s="47"/>
      <c r="Q214" s="48"/>
      <c r="R214" s="47"/>
      <c r="S214" s="48"/>
      <c r="T214" s="48"/>
      <c r="U214" s="48"/>
      <c r="V214" s="48"/>
    </row>
    <row r="215" spans="1:22" s="162" customFormat="1" ht="28.5" x14ac:dyDescent="0.2">
      <c r="A215" s="395" t="s">
        <v>1160</v>
      </c>
      <c r="B215" s="392" t="s">
        <v>94</v>
      </c>
      <c r="C215" s="392">
        <v>79480</v>
      </c>
      <c r="D215" s="396" t="s">
        <v>712</v>
      </c>
      <c r="E215" s="392" t="s">
        <v>62</v>
      </c>
      <c r="F215" s="221">
        <v>250.2</v>
      </c>
      <c r="G215" s="221">
        <v>2.5</v>
      </c>
      <c r="H215" s="221">
        <f t="shared" si="14"/>
        <v>3.1608921672563954</v>
      </c>
      <c r="I215" s="222">
        <f t="shared" si="15"/>
        <v>790.86</v>
      </c>
      <c r="J215" s="209"/>
      <c r="K215" s="186"/>
      <c r="L215" s="186"/>
      <c r="M215" s="186"/>
      <c r="N215" s="47"/>
      <c r="O215" s="47"/>
      <c r="P215" s="47"/>
      <c r="Q215" s="48"/>
      <c r="R215" s="47"/>
      <c r="S215" s="48"/>
      <c r="T215" s="48"/>
      <c r="U215" s="48"/>
      <c r="V215" s="48"/>
    </row>
    <row r="216" spans="1:22" s="162" customFormat="1" ht="42.75" x14ac:dyDescent="0.2">
      <c r="A216" s="395" t="s">
        <v>1161</v>
      </c>
      <c r="B216" s="392" t="s">
        <v>94</v>
      </c>
      <c r="C216" s="392" t="s">
        <v>714</v>
      </c>
      <c r="D216" s="396" t="s">
        <v>715</v>
      </c>
      <c r="E216" s="392" t="s">
        <v>62</v>
      </c>
      <c r="F216" s="221">
        <v>249.21</v>
      </c>
      <c r="G216" s="221">
        <v>1.45</v>
      </c>
      <c r="H216" s="221">
        <f t="shared" si="14"/>
        <v>1.8333174570087094</v>
      </c>
      <c r="I216" s="222">
        <f t="shared" si="15"/>
        <v>456.88</v>
      </c>
      <c r="J216" s="209"/>
      <c r="K216" s="186"/>
      <c r="L216" s="186"/>
      <c r="M216" s="186"/>
      <c r="N216" s="47"/>
      <c r="O216" s="47"/>
      <c r="P216" s="47"/>
      <c r="Q216" s="48"/>
      <c r="R216" s="47"/>
      <c r="S216" s="48"/>
      <c r="T216" s="48"/>
      <c r="U216" s="48"/>
      <c r="V216" s="48"/>
    </row>
    <row r="217" spans="1:22" s="162" customFormat="1" ht="28.5" x14ac:dyDescent="0.2">
      <c r="A217" s="395" t="s">
        <v>1162</v>
      </c>
      <c r="B217" s="392" t="s">
        <v>94</v>
      </c>
      <c r="C217" s="392">
        <v>72841</v>
      </c>
      <c r="D217" s="396" t="s">
        <v>709</v>
      </c>
      <c r="E217" s="392" t="s">
        <v>710</v>
      </c>
      <c r="F217" s="221">
        <v>1594.94</v>
      </c>
      <c r="G217" s="221">
        <v>0.86</v>
      </c>
      <c r="H217" s="221">
        <f t="shared" si="14"/>
        <v>1.0873469055361999</v>
      </c>
      <c r="I217" s="222">
        <f t="shared" si="15"/>
        <v>1734.25</v>
      </c>
      <c r="J217" s="209"/>
      <c r="K217" s="186"/>
      <c r="L217" s="186"/>
      <c r="M217" s="186"/>
      <c r="N217" s="47"/>
      <c r="O217" s="47"/>
      <c r="P217" s="47"/>
      <c r="Q217" s="48"/>
      <c r="R217" s="47"/>
      <c r="S217" s="48"/>
      <c r="T217" s="48"/>
      <c r="U217" s="48"/>
      <c r="V217" s="48"/>
    </row>
    <row r="218" spans="1:22" s="162" customFormat="1" x14ac:dyDescent="0.2">
      <c r="A218" s="395" t="s">
        <v>1163</v>
      </c>
      <c r="B218" s="220" t="s">
        <v>94</v>
      </c>
      <c r="C218" s="220">
        <v>79484</v>
      </c>
      <c r="D218" s="219" t="s">
        <v>711</v>
      </c>
      <c r="E218" s="220" t="s">
        <v>62</v>
      </c>
      <c r="F218" s="221">
        <v>58.5</v>
      </c>
      <c r="G218" s="221">
        <v>53</v>
      </c>
      <c r="H218" s="221">
        <f t="shared" si="14"/>
        <v>67.010913945835583</v>
      </c>
      <c r="I218" s="222">
        <f t="shared" si="15"/>
        <v>3920.14</v>
      </c>
      <c r="J218" s="209"/>
      <c r="K218" s="186"/>
      <c r="L218" s="186"/>
      <c r="M218" s="186"/>
      <c r="N218" s="47"/>
      <c r="O218" s="47"/>
      <c r="P218" s="47"/>
      <c r="Q218" s="48"/>
      <c r="R218" s="47"/>
      <c r="S218" s="48"/>
      <c r="T218" s="48"/>
      <c r="U218" s="48"/>
      <c r="V218" s="48"/>
    </row>
    <row r="219" spans="1:22" s="162" customFormat="1" ht="28.5" x14ac:dyDescent="0.2">
      <c r="A219" s="395" t="s">
        <v>1164</v>
      </c>
      <c r="B219" s="392" t="s">
        <v>94</v>
      </c>
      <c r="C219" s="392">
        <v>3061</v>
      </c>
      <c r="D219" s="219" t="s">
        <v>1041</v>
      </c>
      <c r="E219" s="220" t="s">
        <v>62</v>
      </c>
      <c r="F219" s="221">
        <v>73.5</v>
      </c>
      <c r="G219" s="221">
        <v>5.21</v>
      </c>
      <c r="H219" s="221">
        <f t="shared" si="14"/>
        <v>6.5872992765623284</v>
      </c>
      <c r="I219" s="222">
        <f t="shared" si="15"/>
        <v>484.17</v>
      </c>
      <c r="J219" s="209"/>
      <c r="K219" s="186"/>
      <c r="L219" s="186"/>
      <c r="M219" s="186"/>
      <c r="N219" s="47"/>
      <c r="O219" s="47"/>
      <c r="P219" s="47"/>
      <c r="Q219" s="48"/>
      <c r="R219" s="47"/>
      <c r="S219" s="48"/>
      <c r="T219" s="48"/>
      <c r="U219" s="48"/>
      <c r="V219" s="48"/>
    </row>
    <row r="220" spans="1:22" s="433" customFormat="1" ht="28.5" x14ac:dyDescent="0.2">
      <c r="A220" s="425" t="s">
        <v>1165</v>
      </c>
      <c r="B220" s="426" t="s">
        <v>94</v>
      </c>
      <c r="C220" s="426">
        <v>3071</v>
      </c>
      <c r="D220" s="427" t="s">
        <v>956</v>
      </c>
      <c r="E220" s="428" t="s">
        <v>62</v>
      </c>
      <c r="F220" s="429">
        <v>40.43</v>
      </c>
      <c r="G220" s="429">
        <v>7.73</v>
      </c>
      <c r="H220" s="429">
        <f t="shared" si="14"/>
        <v>9.773478581156775</v>
      </c>
      <c r="I220" s="430">
        <f t="shared" si="15"/>
        <v>395.14</v>
      </c>
      <c r="J220" s="431"/>
      <c r="K220" s="432"/>
      <c r="L220" s="432"/>
      <c r="M220" s="432"/>
      <c r="N220" s="347"/>
      <c r="O220" s="347"/>
      <c r="P220" s="347"/>
      <c r="Q220" s="160"/>
      <c r="R220" s="347"/>
      <c r="S220" s="160"/>
      <c r="T220" s="160"/>
      <c r="U220" s="160"/>
      <c r="V220" s="160"/>
    </row>
    <row r="221" spans="1:22" s="162" customFormat="1" ht="28.5" x14ac:dyDescent="0.2">
      <c r="A221" s="395" t="s">
        <v>1166</v>
      </c>
      <c r="B221" s="392" t="s">
        <v>94</v>
      </c>
      <c r="C221" s="392" t="s">
        <v>113</v>
      </c>
      <c r="D221" s="396" t="s">
        <v>114</v>
      </c>
      <c r="E221" s="392" t="s">
        <v>62</v>
      </c>
      <c r="F221" s="221">
        <v>65.260000000000005</v>
      </c>
      <c r="G221" s="221">
        <v>27.17</v>
      </c>
      <c r="H221" s="221">
        <f t="shared" si="14"/>
        <v>34.352576073742512</v>
      </c>
      <c r="I221" s="222">
        <f t="shared" si="15"/>
        <v>2241.85</v>
      </c>
      <c r="J221" s="209"/>
      <c r="K221" s="186"/>
      <c r="L221" s="186"/>
      <c r="M221" s="186"/>
      <c r="N221" s="47"/>
      <c r="O221" s="47"/>
      <c r="P221" s="47"/>
      <c r="Q221" s="48"/>
      <c r="R221" s="47"/>
      <c r="S221" s="48"/>
      <c r="T221" s="48"/>
      <c r="U221" s="48"/>
      <c r="V221" s="48"/>
    </row>
    <row r="222" spans="1:22" s="433" customFormat="1" ht="28.5" x14ac:dyDescent="0.2">
      <c r="A222" s="425" t="s">
        <v>1167</v>
      </c>
      <c r="B222" s="426" t="s">
        <v>94</v>
      </c>
      <c r="C222" s="426">
        <v>72208</v>
      </c>
      <c r="D222" s="427" t="s">
        <v>844</v>
      </c>
      <c r="E222" s="428" t="s">
        <v>62</v>
      </c>
      <c r="F222" s="429">
        <v>69.28</v>
      </c>
      <c r="G222" s="429">
        <v>5.54</v>
      </c>
      <c r="H222" s="429">
        <f t="shared" si="14"/>
        <v>7.0045370426401723</v>
      </c>
      <c r="I222" s="430">
        <f t="shared" si="15"/>
        <v>485.27</v>
      </c>
      <c r="J222" s="431"/>
      <c r="K222" s="432"/>
      <c r="L222" s="432"/>
      <c r="M222" s="432"/>
      <c r="N222" s="347"/>
      <c r="O222" s="347"/>
      <c r="P222" s="347"/>
      <c r="Q222" s="160"/>
      <c r="R222" s="347"/>
      <c r="S222" s="160"/>
      <c r="T222" s="160"/>
      <c r="U222" s="160"/>
      <c r="V222" s="160"/>
    </row>
    <row r="223" spans="1:22" s="162" customFormat="1" ht="28.5" x14ac:dyDescent="0.2">
      <c r="A223" s="395" t="s">
        <v>1168</v>
      </c>
      <c r="B223" s="392" t="s">
        <v>94</v>
      </c>
      <c r="C223" s="392">
        <v>72841</v>
      </c>
      <c r="D223" s="396" t="s">
        <v>709</v>
      </c>
      <c r="E223" s="392" t="s">
        <v>710</v>
      </c>
      <c r="F223" s="221">
        <v>443.39</v>
      </c>
      <c r="G223" s="221">
        <v>0.86</v>
      </c>
      <c r="H223" s="221">
        <f t="shared" si="14"/>
        <v>1.0873469055361999</v>
      </c>
      <c r="I223" s="222">
        <f t="shared" si="15"/>
        <v>482.12</v>
      </c>
      <c r="J223" s="209"/>
      <c r="K223" s="186"/>
      <c r="L223" s="186"/>
      <c r="M223" s="186"/>
      <c r="N223" s="47"/>
      <c r="O223" s="47"/>
      <c r="P223" s="47"/>
      <c r="Q223" s="48"/>
      <c r="R223" s="47"/>
      <c r="S223" s="48"/>
      <c r="T223" s="48"/>
      <c r="U223" s="48"/>
      <c r="V223" s="48"/>
    </row>
    <row r="224" spans="1:22" s="162" customFormat="1" ht="28.5" x14ac:dyDescent="0.2">
      <c r="A224" s="395" t="s">
        <v>1169</v>
      </c>
      <c r="B224" s="392" t="s">
        <v>94</v>
      </c>
      <c r="C224" s="392" t="s">
        <v>121</v>
      </c>
      <c r="D224" s="396" t="s">
        <v>122</v>
      </c>
      <c r="E224" s="392" t="s">
        <v>62</v>
      </c>
      <c r="F224" s="221">
        <v>69.28</v>
      </c>
      <c r="G224" s="221">
        <v>2.08</v>
      </c>
      <c r="H224" s="221">
        <f t="shared" si="14"/>
        <v>2.6298622831573213</v>
      </c>
      <c r="I224" s="222">
        <f t="shared" si="15"/>
        <v>182.2</v>
      </c>
      <c r="J224" s="209"/>
      <c r="K224" s="186"/>
      <c r="L224" s="186"/>
      <c r="M224" s="186"/>
      <c r="N224" s="47"/>
      <c r="O224" s="47"/>
      <c r="P224" s="47"/>
      <c r="Q224" s="48"/>
      <c r="R224" s="47"/>
      <c r="S224" s="48"/>
      <c r="T224" s="48"/>
      <c r="U224" s="48"/>
      <c r="V224" s="48"/>
    </row>
    <row r="225" spans="1:22" s="162" customFormat="1" x14ac:dyDescent="0.2">
      <c r="A225" s="395" t="s">
        <v>1170</v>
      </c>
      <c r="B225" s="220" t="s">
        <v>94</v>
      </c>
      <c r="C225" s="220" t="s">
        <v>140</v>
      </c>
      <c r="D225" s="219" t="s">
        <v>141</v>
      </c>
      <c r="E225" s="220" t="s">
        <v>62</v>
      </c>
      <c r="F225" s="221">
        <v>9.8000000000000007</v>
      </c>
      <c r="G225" s="221">
        <v>85.35</v>
      </c>
      <c r="H225" s="221">
        <f t="shared" si="14"/>
        <v>107.91285859013334</v>
      </c>
      <c r="I225" s="222">
        <f t="shared" si="15"/>
        <v>1057.55</v>
      </c>
      <c r="J225" s="209"/>
      <c r="K225" s="186"/>
      <c r="L225" s="186"/>
      <c r="M225" s="186"/>
      <c r="N225" s="47"/>
      <c r="O225" s="47"/>
      <c r="P225" s="47"/>
      <c r="Q225" s="48"/>
      <c r="R225" s="47"/>
      <c r="S225" s="48"/>
      <c r="T225" s="48"/>
      <c r="U225" s="48"/>
      <c r="V225" s="48"/>
    </row>
    <row r="226" spans="1:22" s="162" customFormat="1" x14ac:dyDescent="0.2">
      <c r="A226" s="395" t="s">
        <v>1171</v>
      </c>
      <c r="B226" s="220" t="s">
        <v>94</v>
      </c>
      <c r="C226" s="220" t="s">
        <v>82</v>
      </c>
      <c r="D226" s="219" t="s">
        <v>53</v>
      </c>
      <c r="E226" s="220" t="s">
        <v>62</v>
      </c>
      <c r="F226" s="221">
        <v>2.4500000000000002</v>
      </c>
      <c r="G226" s="221">
        <v>344.14</v>
      </c>
      <c r="H226" s="221">
        <f t="shared" si="14"/>
        <v>435.11577217584636</v>
      </c>
      <c r="I226" s="222">
        <f t="shared" si="15"/>
        <v>1066.03</v>
      </c>
      <c r="J226" s="209"/>
      <c r="K226" s="186"/>
      <c r="L226" s="186"/>
      <c r="M226" s="186"/>
      <c r="N226" s="47"/>
      <c r="O226" s="47"/>
      <c r="P226" s="47"/>
      <c r="Q226" s="48"/>
      <c r="R226" s="47"/>
      <c r="S226" s="48"/>
      <c r="T226" s="48"/>
      <c r="U226" s="48"/>
      <c r="V226" s="48"/>
    </row>
    <row r="227" spans="1:22" s="433" customFormat="1" ht="28.5" x14ac:dyDescent="0.2">
      <c r="A227" s="425" t="s">
        <v>1172</v>
      </c>
      <c r="B227" s="426" t="s">
        <v>94</v>
      </c>
      <c r="C227" s="426" t="s">
        <v>612</v>
      </c>
      <c r="D227" s="434" t="s">
        <v>613</v>
      </c>
      <c r="E227" s="426" t="s">
        <v>62</v>
      </c>
      <c r="F227" s="429">
        <v>24</v>
      </c>
      <c r="G227" s="429">
        <v>350.85</v>
      </c>
      <c r="H227" s="429">
        <f t="shared" si="14"/>
        <v>443.59960675276255</v>
      </c>
      <c r="I227" s="430">
        <f t="shared" si="15"/>
        <v>10646.39</v>
      </c>
      <c r="J227" s="431"/>
      <c r="K227" s="432"/>
      <c r="L227" s="432"/>
      <c r="M227" s="432"/>
      <c r="N227" s="347"/>
      <c r="O227" s="347"/>
      <c r="P227" s="347"/>
      <c r="Q227" s="160"/>
      <c r="R227" s="347"/>
      <c r="S227" s="160"/>
      <c r="T227" s="160"/>
      <c r="U227" s="160"/>
      <c r="V227" s="160"/>
    </row>
    <row r="228" spans="1:22" s="433" customFormat="1" ht="28.5" x14ac:dyDescent="0.2">
      <c r="A228" s="425" t="s">
        <v>1173</v>
      </c>
      <c r="B228" s="426" t="s">
        <v>94</v>
      </c>
      <c r="C228" s="426" t="s">
        <v>845</v>
      </c>
      <c r="D228" s="434" t="s">
        <v>846</v>
      </c>
      <c r="E228" s="426" t="s">
        <v>61</v>
      </c>
      <c r="F228" s="429">
        <v>158</v>
      </c>
      <c r="G228" s="429">
        <v>52.56</v>
      </c>
      <c r="H228" s="429">
        <f t="shared" si="14"/>
        <v>66.454596924398459</v>
      </c>
      <c r="I228" s="430">
        <f t="shared" si="15"/>
        <v>10499.83</v>
      </c>
      <c r="J228" s="431"/>
      <c r="K228" s="432"/>
      <c r="L228" s="432"/>
      <c r="M228" s="432"/>
      <c r="N228" s="347"/>
      <c r="O228" s="347"/>
      <c r="P228" s="347"/>
      <c r="Q228" s="160"/>
      <c r="R228" s="347"/>
      <c r="S228" s="160"/>
      <c r="T228" s="160"/>
      <c r="U228" s="160"/>
      <c r="V228" s="160"/>
    </row>
    <row r="229" spans="1:22" s="433" customFormat="1" ht="28.5" x14ac:dyDescent="0.2">
      <c r="A229" s="425" t="s">
        <v>1174</v>
      </c>
      <c r="B229" s="426" t="s">
        <v>94</v>
      </c>
      <c r="C229" s="426" t="s">
        <v>614</v>
      </c>
      <c r="D229" s="434" t="s">
        <v>615</v>
      </c>
      <c r="E229" s="426" t="s">
        <v>384</v>
      </c>
      <c r="F229" s="429">
        <v>1159</v>
      </c>
      <c r="G229" s="429">
        <v>6.71</v>
      </c>
      <c r="H229" s="429">
        <f t="shared" si="14"/>
        <v>8.4838345769161663</v>
      </c>
      <c r="I229" s="430">
        <f t="shared" si="15"/>
        <v>9832.76</v>
      </c>
      <c r="J229" s="431"/>
      <c r="K229" s="432"/>
      <c r="L229" s="432"/>
      <c r="M229" s="432"/>
      <c r="N229" s="347"/>
      <c r="O229" s="347"/>
      <c r="P229" s="347"/>
      <c r="Q229" s="160"/>
      <c r="R229" s="347"/>
      <c r="S229" s="160"/>
      <c r="T229" s="160"/>
      <c r="U229" s="160"/>
      <c r="V229" s="160"/>
    </row>
    <row r="230" spans="1:22" s="162" customFormat="1" ht="42.75" x14ac:dyDescent="0.2">
      <c r="A230" s="395" t="s">
        <v>1175</v>
      </c>
      <c r="B230" s="392" t="s">
        <v>94</v>
      </c>
      <c r="C230" s="392" t="s">
        <v>847</v>
      </c>
      <c r="D230" s="396" t="s">
        <v>848</v>
      </c>
      <c r="E230" s="392" t="s">
        <v>61</v>
      </c>
      <c r="F230" s="221">
        <v>95.85</v>
      </c>
      <c r="G230" s="221">
        <v>24.51</v>
      </c>
      <c r="H230" s="221">
        <f t="shared" si="14"/>
        <v>30.989386807781703</v>
      </c>
      <c r="I230" s="222">
        <f t="shared" si="15"/>
        <v>2970.33</v>
      </c>
      <c r="J230" s="209"/>
      <c r="K230" s="186"/>
      <c r="L230" s="186"/>
      <c r="M230" s="186"/>
      <c r="N230" s="47"/>
      <c r="O230" s="47"/>
      <c r="P230" s="47"/>
      <c r="Q230" s="48"/>
      <c r="R230" s="47"/>
      <c r="S230" s="48"/>
      <c r="T230" s="48"/>
      <c r="U230" s="48"/>
      <c r="V230" s="48"/>
    </row>
    <row r="231" spans="1:22" s="162" customFormat="1" ht="28.5" x14ac:dyDescent="0.2">
      <c r="A231" s="395" t="s">
        <v>1176</v>
      </c>
      <c r="B231" s="220" t="s">
        <v>94</v>
      </c>
      <c r="C231" s="220">
        <v>73661</v>
      </c>
      <c r="D231" s="219" t="s">
        <v>720</v>
      </c>
      <c r="E231" s="220" t="s">
        <v>64</v>
      </c>
      <c r="F231" s="221">
        <v>2</v>
      </c>
      <c r="G231" s="221">
        <v>1568.98</v>
      </c>
      <c r="H231" s="221">
        <f t="shared" si="14"/>
        <v>1983.7506370327758</v>
      </c>
      <c r="I231" s="222">
        <f t="shared" si="15"/>
        <v>3967.5</v>
      </c>
      <c r="J231" s="209"/>
      <c r="K231" s="186"/>
      <c r="L231" s="186"/>
      <c r="M231" s="186"/>
      <c r="N231" s="47"/>
      <c r="O231" s="47"/>
      <c r="P231" s="47"/>
      <c r="Q231" s="48"/>
      <c r="R231" s="47"/>
      <c r="S231" s="48"/>
      <c r="T231" s="48"/>
      <c r="U231" s="48"/>
      <c r="V231" s="48"/>
    </row>
    <row r="232" spans="1:22" s="162" customFormat="1" ht="28.5" x14ac:dyDescent="0.2">
      <c r="A232" s="395" t="s">
        <v>1177</v>
      </c>
      <c r="B232" s="220" t="s">
        <v>717</v>
      </c>
      <c r="C232" s="443" t="str">
        <f>COMPOSIÇÕES!B58</f>
        <v>CE-004</v>
      </c>
      <c r="D232" s="219" t="s">
        <v>232</v>
      </c>
      <c r="E232" s="220" t="s">
        <v>64</v>
      </c>
      <c r="F232" s="221">
        <v>1</v>
      </c>
      <c r="G232" s="221">
        <f>COMPOSIÇÕES!I58</f>
        <v>4714.6899999999996</v>
      </c>
      <c r="H232" s="221">
        <f t="shared" si="14"/>
        <v>5961.0506768168216</v>
      </c>
      <c r="I232" s="222">
        <f t="shared" si="15"/>
        <v>5961.05</v>
      </c>
      <c r="J232" s="366"/>
      <c r="K232" s="186"/>
      <c r="L232" s="186"/>
      <c r="M232" s="186"/>
      <c r="N232" s="47"/>
      <c r="O232" s="47"/>
      <c r="P232" s="47"/>
      <c r="Q232" s="48"/>
      <c r="R232" s="47"/>
      <c r="S232" s="48"/>
      <c r="T232" s="48"/>
      <c r="U232" s="48"/>
      <c r="V232" s="48"/>
    </row>
    <row r="233" spans="1:22" s="162" customFormat="1" ht="42.75" x14ac:dyDescent="0.2">
      <c r="A233" s="395" t="s">
        <v>1178</v>
      </c>
      <c r="B233" s="392" t="s">
        <v>145</v>
      </c>
      <c r="C233" s="392"/>
      <c r="D233" s="396" t="s">
        <v>1391</v>
      </c>
      <c r="E233" s="392" t="s">
        <v>65</v>
      </c>
      <c r="F233" s="221">
        <v>2</v>
      </c>
      <c r="G233" s="221">
        <v>17179</v>
      </c>
      <c r="H233" s="221">
        <f>G233*(1+$K$20)</f>
        <v>20065.139555438836</v>
      </c>
      <c r="I233" s="222">
        <f t="shared" si="15"/>
        <v>40130.28</v>
      </c>
      <c r="J233" s="209"/>
      <c r="K233" s="186"/>
      <c r="L233" s="186"/>
      <c r="M233" s="186"/>
      <c r="N233" s="47"/>
      <c r="O233" s="47"/>
      <c r="P233" s="47"/>
      <c r="Q233" s="48"/>
      <c r="R233" s="47"/>
      <c r="S233" s="48"/>
      <c r="T233" s="48"/>
      <c r="U233" s="48"/>
      <c r="V233" s="48"/>
    </row>
    <row r="234" spans="1:22" s="162" customFormat="1" x14ac:dyDescent="0.2">
      <c r="A234" s="395" t="s">
        <v>1179</v>
      </c>
      <c r="B234" s="220" t="s">
        <v>94</v>
      </c>
      <c r="C234" s="220" t="s">
        <v>909</v>
      </c>
      <c r="D234" s="219" t="s">
        <v>910</v>
      </c>
      <c r="E234" s="220" t="s">
        <v>64</v>
      </c>
      <c r="F234" s="221">
        <v>2</v>
      </c>
      <c r="G234" s="221">
        <v>171.73</v>
      </c>
      <c r="H234" s="221">
        <f>G234*(1+$L$20)</f>
        <v>217.1280047531763</v>
      </c>
      <c r="I234" s="222">
        <f t="shared" si="15"/>
        <v>434.26</v>
      </c>
      <c r="J234" s="209"/>
      <c r="K234" s="186"/>
      <c r="L234" s="186"/>
      <c r="M234" s="186"/>
      <c r="N234" s="47"/>
      <c r="O234" s="47"/>
      <c r="P234" s="47"/>
      <c r="Q234" s="48"/>
      <c r="R234" s="47"/>
      <c r="S234" s="48"/>
      <c r="T234" s="48"/>
      <c r="U234" s="48"/>
      <c r="V234" s="48"/>
    </row>
    <row r="235" spans="1:22" s="162" customFormat="1" ht="42.75" x14ac:dyDescent="0.2">
      <c r="A235" s="395" t="s">
        <v>1180</v>
      </c>
      <c r="B235" s="220" t="s">
        <v>717</v>
      </c>
      <c r="C235" s="443" t="str">
        <f>COMPOSIÇÕES!B65</f>
        <v>CE-005</v>
      </c>
      <c r="D235" s="219" t="s">
        <v>964</v>
      </c>
      <c r="E235" s="220" t="s">
        <v>64</v>
      </c>
      <c r="F235" s="221">
        <v>1</v>
      </c>
      <c r="G235" s="221">
        <f>COMPOSIÇÕES!I65</f>
        <v>860.94999999999982</v>
      </c>
      <c r="H235" s="221">
        <f>G235*(1+$L$20)</f>
        <v>1088.5480445597573</v>
      </c>
      <c r="I235" s="222">
        <f t="shared" si="15"/>
        <v>1088.55</v>
      </c>
      <c r="J235" s="366"/>
      <c r="K235" s="186"/>
      <c r="L235" s="186"/>
      <c r="M235" s="186"/>
      <c r="N235" s="47"/>
      <c r="O235" s="47"/>
      <c r="P235" s="47"/>
      <c r="Q235" s="48"/>
      <c r="R235" s="47"/>
      <c r="S235" s="48"/>
      <c r="T235" s="48"/>
      <c r="U235" s="48"/>
      <c r="V235" s="48"/>
    </row>
    <row r="236" spans="1:22" s="162" customFormat="1" x14ac:dyDescent="0.2">
      <c r="A236" s="395" t="s">
        <v>1181</v>
      </c>
      <c r="B236" s="220" t="s">
        <v>717</v>
      </c>
      <c r="C236" s="443" t="str">
        <f>COMPOSIÇÕES!B77</f>
        <v>CE-006</v>
      </c>
      <c r="D236" s="219" t="s">
        <v>2180</v>
      </c>
      <c r="E236" s="220" t="s">
        <v>65</v>
      </c>
      <c r="F236" s="221">
        <v>1</v>
      </c>
      <c r="G236" s="221">
        <f>COMPOSIÇÕES!I77</f>
        <v>19101.628299999993</v>
      </c>
      <c r="H236" s="221">
        <f>G236*(1+$K$20)</f>
        <v>22310.776970465089</v>
      </c>
      <c r="I236" s="222">
        <f t="shared" si="15"/>
        <v>22310.78</v>
      </c>
      <c r="J236" s="366"/>
      <c r="K236" s="186"/>
      <c r="L236" s="186"/>
      <c r="M236" s="186"/>
      <c r="N236" s="47"/>
      <c r="O236" s="47"/>
      <c r="P236" s="47"/>
      <c r="Q236" s="48"/>
      <c r="R236" s="47"/>
      <c r="S236" s="48"/>
      <c r="T236" s="48"/>
      <c r="U236" s="48"/>
      <c r="V236" s="48"/>
    </row>
    <row r="237" spans="1:22" s="162" customFormat="1" x14ac:dyDescent="0.2">
      <c r="A237" s="395" t="s">
        <v>1182</v>
      </c>
      <c r="B237" s="220" t="s">
        <v>717</v>
      </c>
      <c r="C237" s="443" t="str">
        <f>COMPOSIÇÕES!B104</f>
        <v>CE-007</v>
      </c>
      <c r="D237" s="219" t="s">
        <v>2189</v>
      </c>
      <c r="E237" s="220" t="s">
        <v>64</v>
      </c>
      <c r="F237" s="221">
        <v>1</v>
      </c>
      <c r="G237" s="221">
        <f>COMPOSIÇÕES!I104</f>
        <v>7388</v>
      </c>
      <c r="H237" s="221">
        <f>G237*(1+$L$20)</f>
        <v>9341.0685326760995</v>
      </c>
      <c r="I237" s="222">
        <f t="shared" si="15"/>
        <v>9341.07</v>
      </c>
      <c r="J237" s="366"/>
      <c r="K237" s="186"/>
      <c r="L237" s="186"/>
      <c r="M237" s="186"/>
      <c r="N237" s="47"/>
      <c r="O237" s="47"/>
      <c r="P237" s="47"/>
      <c r="Q237" s="48"/>
      <c r="R237" s="47"/>
      <c r="S237" s="48"/>
      <c r="T237" s="48"/>
      <c r="U237" s="48"/>
      <c r="V237" s="48"/>
    </row>
    <row r="238" spans="1:22" s="162" customFormat="1" ht="42.75" x14ac:dyDescent="0.2">
      <c r="A238" s="395" t="s">
        <v>1183</v>
      </c>
      <c r="B238" s="220" t="s">
        <v>145</v>
      </c>
      <c r="C238" s="220"/>
      <c r="D238" s="219" t="s">
        <v>973</v>
      </c>
      <c r="E238" s="220" t="s">
        <v>64</v>
      </c>
      <c r="F238" s="221">
        <v>1</v>
      </c>
      <c r="G238" s="221">
        <v>14500</v>
      </c>
      <c r="H238" s="221">
        <f>G238*(1+$K$20)</f>
        <v>16936.057020423956</v>
      </c>
      <c r="I238" s="222">
        <f t="shared" si="15"/>
        <v>16936.060000000001</v>
      </c>
      <c r="J238" s="209"/>
      <c r="K238" s="186"/>
      <c r="L238" s="186"/>
      <c r="M238" s="186"/>
      <c r="N238" s="47"/>
      <c r="O238" s="47"/>
      <c r="P238" s="47"/>
      <c r="Q238" s="48"/>
      <c r="R238" s="47"/>
      <c r="S238" s="48"/>
      <c r="T238" s="48"/>
      <c r="U238" s="48"/>
      <c r="V238" s="48"/>
    </row>
    <row r="239" spans="1:22" s="162" customFormat="1" x14ac:dyDescent="0.2">
      <c r="A239" s="395"/>
      <c r="B239" s="220"/>
      <c r="C239" s="220"/>
      <c r="D239" s="219"/>
      <c r="E239" s="220"/>
      <c r="F239" s="221"/>
      <c r="G239" s="221"/>
      <c r="H239" s="221"/>
      <c r="I239" s="222"/>
      <c r="J239" s="209"/>
      <c r="K239" s="186"/>
      <c r="L239" s="186"/>
      <c r="M239" s="186"/>
      <c r="N239" s="47"/>
      <c r="O239" s="47"/>
      <c r="P239" s="47"/>
      <c r="Q239" s="48"/>
      <c r="R239" s="47"/>
      <c r="S239" s="48"/>
      <c r="T239" s="48"/>
      <c r="U239" s="48"/>
      <c r="V239" s="48"/>
    </row>
    <row r="240" spans="1:22" ht="15" customHeight="1" x14ac:dyDescent="0.2">
      <c r="A240" s="409" t="s">
        <v>2746</v>
      </c>
      <c r="B240" s="410"/>
      <c r="C240" s="410"/>
      <c r="D240" s="411" t="s">
        <v>142</v>
      </c>
      <c r="E240" s="410"/>
      <c r="F240" s="412"/>
      <c r="G240" s="413"/>
      <c r="H240" s="414"/>
      <c r="I240" s="415">
        <f>SUM(I241:I257)</f>
        <v>36887.49</v>
      </c>
      <c r="J240" s="211"/>
      <c r="K240" s="47"/>
      <c r="L240" s="47"/>
      <c r="M240" s="47"/>
      <c r="N240" s="47"/>
      <c r="O240" s="47"/>
      <c r="P240" s="47"/>
      <c r="R240" s="47"/>
    </row>
    <row r="241" spans="1:22" ht="30" customHeight="1" x14ac:dyDescent="0.2">
      <c r="A241" s="395" t="s">
        <v>1184</v>
      </c>
      <c r="B241" s="392" t="s">
        <v>94</v>
      </c>
      <c r="C241" s="392" t="s">
        <v>138</v>
      </c>
      <c r="D241" s="396" t="s">
        <v>139</v>
      </c>
      <c r="E241" s="392" t="s">
        <v>61</v>
      </c>
      <c r="F241" s="221">
        <v>65.599999999999994</v>
      </c>
      <c r="G241" s="221">
        <v>6.76</v>
      </c>
      <c r="H241" s="221">
        <f t="shared" ref="H241:H255" si="16">G241*(1+$L$20)</f>
        <v>8.5470524202612932</v>
      </c>
      <c r="I241" s="222">
        <f t="shared" ref="I241:I257" si="17">ROUND(F241*H241,2)</f>
        <v>560.69000000000005</v>
      </c>
      <c r="J241" s="209"/>
      <c r="K241" s="47"/>
      <c r="L241" s="168"/>
      <c r="M241" s="47"/>
      <c r="N241" s="47"/>
      <c r="O241" s="47"/>
      <c r="P241" s="47"/>
      <c r="R241" s="47"/>
    </row>
    <row r="242" spans="1:22" s="160" customFormat="1" ht="45" customHeight="1" x14ac:dyDescent="0.2">
      <c r="A242" s="425" t="s">
        <v>1185</v>
      </c>
      <c r="B242" s="426" t="s">
        <v>94</v>
      </c>
      <c r="C242" s="426">
        <v>3070</v>
      </c>
      <c r="D242" s="434" t="s">
        <v>207</v>
      </c>
      <c r="E242" s="426" t="s">
        <v>62</v>
      </c>
      <c r="F242" s="429">
        <v>50.08</v>
      </c>
      <c r="G242" s="429">
        <v>6.07</v>
      </c>
      <c r="H242" s="429">
        <f t="shared" si="16"/>
        <v>7.6746461820985283</v>
      </c>
      <c r="I242" s="430">
        <f t="shared" si="17"/>
        <v>384.35</v>
      </c>
      <c r="J242" s="431"/>
      <c r="K242" s="347"/>
      <c r="L242" s="347"/>
      <c r="M242" s="347"/>
      <c r="N242" s="347"/>
      <c r="O242" s="347"/>
      <c r="P242" s="347"/>
      <c r="R242" s="347"/>
    </row>
    <row r="243" spans="1:22" ht="30" customHeight="1" x14ac:dyDescent="0.2">
      <c r="A243" s="395" t="s">
        <v>1186</v>
      </c>
      <c r="B243" s="392" t="s">
        <v>94</v>
      </c>
      <c r="C243" s="392">
        <v>5622</v>
      </c>
      <c r="D243" s="396" t="s">
        <v>723</v>
      </c>
      <c r="E243" s="392" t="s">
        <v>61</v>
      </c>
      <c r="F243" s="221">
        <v>33.380000000000003</v>
      </c>
      <c r="G243" s="221">
        <v>4.6399999999999997</v>
      </c>
      <c r="H243" s="221">
        <f t="shared" si="16"/>
        <v>5.8666158624278699</v>
      </c>
      <c r="I243" s="222">
        <f t="shared" si="17"/>
        <v>195.83</v>
      </c>
      <c r="J243" s="209"/>
      <c r="K243" s="47"/>
      <c r="L243" s="168"/>
      <c r="M243" s="47"/>
      <c r="N243" s="47"/>
      <c r="O243" s="47"/>
      <c r="P243" s="47"/>
      <c r="R243" s="47"/>
    </row>
    <row r="244" spans="1:22" ht="30" customHeight="1" x14ac:dyDescent="0.2">
      <c r="A244" s="395" t="s">
        <v>1187</v>
      </c>
      <c r="B244" s="392" t="s">
        <v>94</v>
      </c>
      <c r="C244" s="392" t="s">
        <v>113</v>
      </c>
      <c r="D244" s="396" t="s">
        <v>114</v>
      </c>
      <c r="E244" s="392" t="s">
        <v>62</v>
      </c>
      <c r="F244" s="221">
        <v>11</v>
      </c>
      <c r="G244" s="221">
        <v>27.17</v>
      </c>
      <c r="H244" s="221">
        <f t="shared" si="16"/>
        <v>34.352576073742512</v>
      </c>
      <c r="I244" s="222">
        <f t="shared" si="17"/>
        <v>377.88</v>
      </c>
      <c r="J244" s="209"/>
      <c r="K244" s="47"/>
      <c r="L244" s="168"/>
      <c r="M244" s="47"/>
      <c r="N244" s="47"/>
      <c r="O244" s="47"/>
      <c r="P244" s="47"/>
      <c r="R244" s="47"/>
    </row>
    <row r="245" spans="1:22" s="433" customFormat="1" ht="28.5" x14ac:dyDescent="0.2">
      <c r="A245" s="425" t="s">
        <v>1188</v>
      </c>
      <c r="B245" s="428" t="s">
        <v>94</v>
      </c>
      <c r="C245" s="428">
        <v>72208</v>
      </c>
      <c r="D245" s="427" t="s">
        <v>844</v>
      </c>
      <c r="E245" s="428" t="s">
        <v>62</v>
      </c>
      <c r="F245" s="429">
        <v>50.8</v>
      </c>
      <c r="G245" s="429">
        <v>5.54</v>
      </c>
      <c r="H245" s="429">
        <f t="shared" si="16"/>
        <v>7.0045370426401723</v>
      </c>
      <c r="I245" s="430">
        <f t="shared" si="17"/>
        <v>355.83</v>
      </c>
      <c r="J245" s="431"/>
      <c r="K245" s="432"/>
      <c r="L245" s="432"/>
      <c r="M245" s="432"/>
      <c r="N245" s="347"/>
      <c r="O245" s="347"/>
      <c r="P245" s="347"/>
      <c r="Q245" s="160"/>
      <c r="R245" s="347"/>
      <c r="S245" s="160"/>
      <c r="T245" s="160"/>
      <c r="U245" s="160"/>
      <c r="V245" s="160"/>
    </row>
    <row r="246" spans="1:22" ht="30" customHeight="1" x14ac:dyDescent="0.2">
      <c r="A246" s="395" t="s">
        <v>1189</v>
      </c>
      <c r="B246" s="392" t="s">
        <v>94</v>
      </c>
      <c r="C246" s="392">
        <v>72841</v>
      </c>
      <c r="D246" s="396" t="s">
        <v>709</v>
      </c>
      <c r="E246" s="392" t="s">
        <v>710</v>
      </c>
      <c r="F246" s="221">
        <v>325.12</v>
      </c>
      <c r="G246" s="221">
        <v>0.86</v>
      </c>
      <c r="H246" s="221">
        <f t="shared" si="16"/>
        <v>1.0873469055361999</v>
      </c>
      <c r="I246" s="222">
        <f t="shared" si="17"/>
        <v>353.52</v>
      </c>
      <c r="J246" s="209"/>
      <c r="K246" s="47"/>
      <c r="L246" s="168"/>
      <c r="M246" s="47"/>
      <c r="N246" s="47"/>
      <c r="O246" s="47"/>
      <c r="P246" s="47"/>
      <c r="R246" s="47"/>
    </row>
    <row r="247" spans="1:22" ht="30" customHeight="1" x14ac:dyDescent="0.2">
      <c r="A247" s="395" t="s">
        <v>1190</v>
      </c>
      <c r="B247" s="220" t="s">
        <v>94</v>
      </c>
      <c r="C247" s="220" t="s">
        <v>121</v>
      </c>
      <c r="D247" s="219" t="s">
        <v>122</v>
      </c>
      <c r="E247" s="220" t="s">
        <v>62</v>
      </c>
      <c r="F247" s="221">
        <v>50.8</v>
      </c>
      <c r="G247" s="221">
        <v>2.08</v>
      </c>
      <c r="H247" s="221">
        <f t="shared" si="16"/>
        <v>2.6298622831573213</v>
      </c>
      <c r="I247" s="222">
        <f t="shared" si="17"/>
        <v>133.6</v>
      </c>
      <c r="J247" s="209"/>
      <c r="K247" s="47"/>
      <c r="L247" s="168"/>
      <c r="M247" s="47"/>
      <c r="N247" s="47"/>
      <c r="O247" s="47"/>
      <c r="P247" s="47"/>
      <c r="R247" s="47"/>
    </row>
    <row r="248" spans="1:22" s="162" customFormat="1" x14ac:dyDescent="0.2">
      <c r="A248" s="395" t="s">
        <v>1191</v>
      </c>
      <c r="B248" s="220" t="s">
        <v>94</v>
      </c>
      <c r="C248" s="220" t="s">
        <v>140</v>
      </c>
      <c r="D248" s="219" t="s">
        <v>141</v>
      </c>
      <c r="E248" s="220" t="s">
        <v>62</v>
      </c>
      <c r="F248" s="221">
        <v>6.68</v>
      </c>
      <c r="G248" s="221">
        <v>85.35</v>
      </c>
      <c r="H248" s="221">
        <f t="shared" si="16"/>
        <v>107.91285859013334</v>
      </c>
      <c r="I248" s="222">
        <f t="shared" si="17"/>
        <v>720.86</v>
      </c>
      <c r="J248" s="209"/>
      <c r="K248" s="186"/>
      <c r="L248" s="186"/>
      <c r="M248" s="186"/>
      <c r="N248" s="47"/>
      <c r="O248" s="47"/>
      <c r="P248" s="47"/>
      <c r="Q248" s="48"/>
      <c r="R248" s="47"/>
      <c r="S248" s="48"/>
      <c r="T248" s="48"/>
      <c r="U248" s="48"/>
      <c r="V248" s="48"/>
    </row>
    <row r="249" spans="1:22" s="162" customFormat="1" x14ac:dyDescent="0.2">
      <c r="A249" s="395" t="s">
        <v>1192</v>
      </c>
      <c r="B249" s="392" t="s">
        <v>94</v>
      </c>
      <c r="C249" s="392" t="s">
        <v>82</v>
      </c>
      <c r="D249" s="396" t="s">
        <v>53</v>
      </c>
      <c r="E249" s="392" t="s">
        <v>62</v>
      </c>
      <c r="F249" s="221">
        <v>1.67</v>
      </c>
      <c r="G249" s="221">
        <v>344.14</v>
      </c>
      <c r="H249" s="221">
        <f t="shared" si="16"/>
        <v>435.11577217584636</v>
      </c>
      <c r="I249" s="222">
        <f t="shared" si="17"/>
        <v>726.64</v>
      </c>
      <c r="J249" s="209"/>
      <c r="K249" s="186"/>
      <c r="L249" s="186"/>
      <c r="M249" s="186"/>
      <c r="N249" s="47"/>
      <c r="O249" s="47"/>
      <c r="P249" s="47"/>
      <c r="Q249" s="48"/>
      <c r="R249" s="47"/>
      <c r="S249" s="48"/>
      <c r="T249" s="48"/>
      <c r="U249" s="48"/>
      <c r="V249" s="48"/>
    </row>
    <row r="250" spans="1:22" s="160" customFormat="1" ht="30" customHeight="1" x14ac:dyDescent="0.2">
      <c r="A250" s="425" t="s">
        <v>1193</v>
      </c>
      <c r="B250" s="426" t="s">
        <v>94</v>
      </c>
      <c r="C250" s="426" t="s">
        <v>612</v>
      </c>
      <c r="D250" s="434" t="s">
        <v>613</v>
      </c>
      <c r="E250" s="426" t="s">
        <v>62</v>
      </c>
      <c r="F250" s="429">
        <v>20</v>
      </c>
      <c r="G250" s="429">
        <v>350.85</v>
      </c>
      <c r="H250" s="429">
        <f t="shared" si="16"/>
        <v>443.59960675276255</v>
      </c>
      <c r="I250" s="430">
        <f t="shared" si="17"/>
        <v>8871.99</v>
      </c>
      <c r="J250" s="431"/>
      <c r="K250" s="347"/>
      <c r="L250" s="435"/>
      <c r="M250" s="347"/>
      <c r="N250" s="347"/>
      <c r="O250" s="347"/>
      <c r="P250" s="347"/>
      <c r="R250" s="347"/>
    </row>
    <row r="251" spans="1:22" s="160" customFormat="1" ht="30" customHeight="1" x14ac:dyDescent="0.2">
      <c r="A251" s="425" t="s">
        <v>1194</v>
      </c>
      <c r="B251" s="426" t="s">
        <v>94</v>
      </c>
      <c r="C251" s="426" t="s">
        <v>845</v>
      </c>
      <c r="D251" s="434" t="s">
        <v>846</v>
      </c>
      <c r="E251" s="426" t="s">
        <v>61</v>
      </c>
      <c r="F251" s="429">
        <v>120.08</v>
      </c>
      <c r="G251" s="429">
        <v>52.56</v>
      </c>
      <c r="H251" s="429">
        <f t="shared" si="16"/>
        <v>66.454596924398459</v>
      </c>
      <c r="I251" s="430">
        <f t="shared" si="17"/>
        <v>7979.87</v>
      </c>
      <c r="J251" s="431"/>
      <c r="K251" s="347"/>
      <c r="L251" s="435"/>
      <c r="M251" s="347"/>
      <c r="N251" s="347"/>
      <c r="O251" s="347"/>
      <c r="P251" s="347"/>
      <c r="R251" s="347"/>
    </row>
    <row r="252" spans="1:22" s="160" customFormat="1" ht="30" customHeight="1" x14ac:dyDescent="0.2">
      <c r="A252" s="425" t="s">
        <v>1195</v>
      </c>
      <c r="B252" s="426" t="s">
        <v>94</v>
      </c>
      <c r="C252" s="426" t="s">
        <v>614</v>
      </c>
      <c r="D252" s="434" t="s">
        <v>615</v>
      </c>
      <c r="E252" s="426" t="s">
        <v>384</v>
      </c>
      <c r="F252" s="429">
        <v>694</v>
      </c>
      <c r="G252" s="429">
        <v>6.71</v>
      </c>
      <c r="H252" s="429">
        <f t="shared" si="16"/>
        <v>8.4838345769161663</v>
      </c>
      <c r="I252" s="430">
        <f t="shared" si="17"/>
        <v>5887.78</v>
      </c>
      <c r="J252" s="431"/>
      <c r="K252" s="347"/>
      <c r="L252" s="435"/>
      <c r="M252" s="347"/>
      <c r="N252" s="347"/>
      <c r="O252" s="347"/>
      <c r="P252" s="347"/>
      <c r="R252" s="347"/>
    </row>
    <row r="253" spans="1:22" ht="42.75" x14ac:dyDescent="0.2">
      <c r="A253" s="395" t="s">
        <v>1196</v>
      </c>
      <c r="B253" s="392" t="s">
        <v>94</v>
      </c>
      <c r="C253" s="392" t="s">
        <v>847</v>
      </c>
      <c r="D253" s="396" t="s">
        <v>848</v>
      </c>
      <c r="E253" s="392" t="s">
        <v>61</v>
      </c>
      <c r="F253" s="221">
        <v>87.46</v>
      </c>
      <c r="G253" s="221">
        <v>24.51</v>
      </c>
      <c r="H253" s="221">
        <f t="shared" si="16"/>
        <v>30.989386807781703</v>
      </c>
      <c r="I253" s="222">
        <f t="shared" si="17"/>
        <v>2710.33</v>
      </c>
      <c r="J253" s="209"/>
      <c r="K253" s="47"/>
      <c r="L253" s="166"/>
      <c r="M253" s="47"/>
      <c r="N253" s="47"/>
      <c r="O253" s="47"/>
      <c r="P253" s="47"/>
      <c r="R253" s="47"/>
    </row>
    <row r="254" spans="1:22" s="162" customFormat="1" x14ac:dyDescent="0.2">
      <c r="A254" s="395" t="s">
        <v>1197</v>
      </c>
      <c r="B254" s="220" t="s">
        <v>94</v>
      </c>
      <c r="C254" s="220" t="s">
        <v>143</v>
      </c>
      <c r="D254" s="219" t="s">
        <v>144</v>
      </c>
      <c r="E254" s="220" t="s">
        <v>61</v>
      </c>
      <c r="F254" s="221">
        <v>1.0900000000000001</v>
      </c>
      <c r="G254" s="221">
        <v>233.61</v>
      </c>
      <c r="H254" s="221">
        <f t="shared" si="16"/>
        <v>295.36640767710662</v>
      </c>
      <c r="I254" s="222">
        <f t="shared" si="17"/>
        <v>321.95</v>
      </c>
      <c r="J254" s="209"/>
      <c r="K254" s="186"/>
      <c r="L254" s="186"/>
      <c r="M254" s="186"/>
      <c r="N254" s="47"/>
      <c r="O254" s="47"/>
      <c r="P254" s="47"/>
      <c r="Q254" s="48"/>
      <c r="R254" s="47"/>
      <c r="S254" s="48"/>
      <c r="T254" s="48"/>
      <c r="U254" s="48"/>
      <c r="V254" s="48"/>
    </row>
    <row r="255" spans="1:22" s="162" customFormat="1" ht="42.75" x14ac:dyDescent="0.2">
      <c r="A255" s="395" t="s">
        <v>1198</v>
      </c>
      <c r="B255" s="220" t="s">
        <v>717</v>
      </c>
      <c r="C255" s="443" t="str">
        <f>COMPOSIÇÕES!B108</f>
        <v>CE-008</v>
      </c>
      <c r="D255" s="219" t="s">
        <v>826</v>
      </c>
      <c r="E255" s="220" t="s">
        <v>64</v>
      </c>
      <c r="F255" s="221">
        <v>4</v>
      </c>
      <c r="G255" s="221">
        <f>COMPOSIÇÕES!I108</f>
        <v>373.39</v>
      </c>
      <c r="H255" s="221">
        <f t="shared" si="16"/>
        <v>472.09821053274618</v>
      </c>
      <c r="I255" s="222">
        <f t="shared" si="17"/>
        <v>1888.39</v>
      </c>
      <c r="J255" s="366"/>
      <c r="K255" s="186"/>
      <c r="L255" s="186"/>
      <c r="M255" s="186"/>
      <c r="N255" s="47"/>
      <c r="O255" s="47"/>
      <c r="P255" s="47"/>
      <c r="Q255" s="48"/>
      <c r="R255" s="47"/>
      <c r="S255" s="48"/>
      <c r="T255" s="48"/>
      <c r="U255" s="48"/>
      <c r="V255" s="48"/>
    </row>
    <row r="256" spans="1:22" s="162" customFormat="1" ht="14.25" customHeight="1" x14ac:dyDescent="0.2">
      <c r="A256" s="395" t="s">
        <v>1199</v>
      </c>
      <c r="B256" s="220" t="s">
        <v>717</v>
      </c>
      <c r="C256" s="443" t="str">
        <f>COMPOSIÇÕES!B114</f>
        <v>CE-009</v>
      </c>
      <c r="D256" s="219" t="s">
        <v>990</v>
      </c>
      <c r="E256" s="220" t="s">
        <v>64</v>
      </c>
      <c r="F256" s="221">
        <v>1</v>
      </c>
      <c r="G256" s="221">
        <f>COMPOSIÇÕES!I114</f>
        <v>3439.4859999999999</v>
      </c>
      <c r="H256" s="221">
        <f>G256*(1+$K$20)</f>
        <v>4017.3331735827519</v>
      </c>
      <c r="I256" s="222">
        <f t="shared" si="17"/>
        <v>4017.33</v>
      </c>
      <c r="J256" s="366"/>
      <c r="K256" s="186"/>
      <c r="L256" s="186"/>
      <c r="M256" s="186"/>
      <c r="N256" s="47"/>
      <c r="O256" s="47"/>
      <c r="P256" s="47"/>
      <c r="Q256" s="48"/>
      <c r="R256" s="47"/>
      <c r="S256" s="48"/>
      <c r="T256" s="48"/>
      <c r="U256" s="48"/>
      <c r="V256" s="48"/>
    </row>
    <row r="257" spans="1:22" s="162" customFormat="1" x14ac:dyDescent="0.2">
      <c r="A257" s="395" t="s">
        <v>1200</v>
      </c>
      <c r="B257" s="220" t="s">
        <v>717</v>
      </c>
      <c r="C257" s="443" t="str">
        <f>COMPOSIÇÕES!B122</f>
        <v>CE-010</v>
      </c>
      <c r="D257" s="219" t="s">
        <v>827</v>
      </c>
      <c r="E257" s="220" t="s">
        <v>64</v>
      </c>
      <c r="F257" s="221">
        <v>1</v>
      </c>
      <c r="G257" s="221">
        <f>COMPOSIÇÕES!I122</f>
        <v>1107.8000000000002</v>
      </c>
      <c r="H257" s="221">
        <f>G257*(1+$L$20)</f>
        <v>1400.6545371546542</v>
      </c>
      <c r="I257" s="222">
        <f t="shared" si="17"/>
        <v>1400.65</v>
      </c>
      <c r="J257" s="366"/>
      <c r="K257" s="186"/>
      <c r="L257" s="186"/>
      <c r="M257" s="186"/>
      <c r="N257" s="47"/>
      <c r="O257" s="47"/>
      <c r="P257" s="47"/>
      <c r="Q257" s="48"/>
      <c r="R257" s="47"/>
      <c r="S257" s="48"/>
      <c r="T257" s="48"/>
      <c r="U257" s="48"/>
      <c r="V257" s="48"/>
    </row>
    <row r="258" spans="1:22" s="162" customFormat="1" x14ac:dyDescent="0.2">
      <c r="A258" s="395"/>
      <c r="B258" s="220"/>
      <c r="C258" s="220"/>
      <c r="D258" s="219"/>
      <c r="E258" s="220"/>
      <c r="F258" s="221"/>
      <c r="G258" s="221"/>
      <c r="H258" s="221"/>
      <c r="I258" s="222"/>
      <c r="J258" s="366"/>
      <c r="K258" s="186"/>
      <c r="L258" s="186"/>
      <c r="M258" s="186"/>
      <c r="N258" s="47"/>
      <c r="O258" s="47"/>
      <c r="P258" s="47"/>
      <c r="Q258" s="48"/>
      <c r="R258" s="47"/>
      <c r="S258" s="48"/>
      <c r="T258" s="48"/>
      <c r="U258" s="48"/>
      <c r="V258" s="48"/>
    </row>
    <row r="259" spans="1:22" s="162" customFormat="1" x14ac:dyDescent="0.2">
      <c r="A259" s="395"/>
      <c r="B259" s="220"/>
      <c r="C259" s="220"/>
      <c r="D259" s="219"/>
      <c r="E259" s="220"/>
      <c r="F259" s="221"/>
      <c r="G259" s="221"/>
      <c r="H259" s="221"/>
      <c r="I259" s="222"/>
      <c r="J259" s="366"/>
      <c r="K259" s="186"/>
      <c r="L259" s="186"/>
      <c r="M259" s="186"/>
      <c r="N259" s="47"/>
      <c r="O259" s="47"/>
      <c r="P259" s="47"/>
      <c r="Q259" s="48"/>
      <c r="R259" s="47"/>
      <c r="S259" s="48"/>
      <c r="T259" s="48"/>
      <c r="U259" s="48"/>
      <c r="V259" s="48"/>
    </row>
    <row r="260" spans="1:22" s="162" customFormat="1" x14ac:dyDescent="0.2">
      <c r="A260" s="395"/>
      <c r="B260" s="220"/>
      <c r="C260" s="220"/>
      <c r="D260" s="219"/>
      <c r="E260" s="220"/>
      <c r="F260" s="221"/>
      <c r="G260" s="221"/>
      <c r="H260" s="221"/>
      <c r="I260" s="222"/>
      <c r="J260" s="366"/>
      <c r="K260" s="186"/>
      <c r="L260" s="186"/>
      <c r="M260" s="186"/>
      <c r="N260" s="47"/>
      <c r="O260" s="47"/>
      <c r="P260" s="47"/>
      <c r="Q260" s="48"/>
      <c r="R260" s="47"/>
      <c r="S260" s="48"/>
      <c r="T260" s="48"/>
      <c r="U260" s="48"/>
      <c r="V260" s="48"/>
    </row>
    <row r="261" spans="1:22" ht="15" customHeight="1" x14ac:dyDescent="0.2">
      <c r="A261" s="409" t="s">
        <v>2747</v>
      </c>
      <c r="B261" s="410"/>
      <c r="C261" s="410"/>
      <c r="D261" s="411" t="s">
        <v>866</v>
      </c>
      <c r="E261" s="410"/>
      <c r="F261" s="412"/>
      <c r="G261" s="413"/>
      <c r="H261" s="414"/>
      <c r="I261" s="415">
        <f>SUM(I262:I283)</f>
        <v>188551.63000000003</v>
      </c>
      <c r="J261" s="210"/>
      <c r="K261" s="47"/>
      <c r="L261" s="167"/>
      <c r="M261" s="47"/>
      <c r="N261" s="47"/>
      <c r="O261" s="47"/>
      <c r="P261" s="47"/>
      <c r="R261" s="47"/>
    </row>
    <row r="262" spans="1:22" ht="28.5" x14ac:dyDescent="0.2">
      <c r="A262" s="395" t="s">
        <v>1201</v>
      </c>
      <c r="B262" s="392" t="s">
        <v>94</v>
      </c>
      <c r="C262" s="392" t="s">
        <v>138</v>
      </c>
      <c r="D262" s="396" t="s">
        <v>139</v>
      </c>
      <c r="E262" s="392" t="s">
        <v>61</v>
      </c>
      <c r="F262" s="221">
        <v>71.680000000000007</v>
      </c>
      <c r="G262" s="221">
        <v>6.76</v>
      </c>
      <c r="H262" s="221">
        <f t="shared" ref="H262:H277" si="18">G262*(1+$L$20)</f>
        <v>8.5470524202612932</v>
      </c>
      <c r="I262" s="222">
        <f t="shared" ref="I262:I283" si="19">ROUND(F262*H262,2)</f>
        <v>612.65</v>
      </c>
      <c r="J262" s="210"/>
      <c r="K262" s="47"/>
      <c r="L262" s="167"/>
      <c r="M262" s="47"/>
      <c r="N262" s="47"/>
      <c r="O262" s="47"/>
      <c r="P262" s="47"/>
      <c r="R262" s="47"/>
    </row>
    <row r="263" spans="1:22" s="160" customFormat="1" ht="42.75" x14ac:dyDescent="0.2">
      <c r="A263" s="425" t="s">
        <v>1202</v>
      </c>
      <c r="B263" s="428" t="s">
        <v>94</v>
      </c>
      <c r="C263" s="428">
        <v>3070</v>
      </c>
      <c r="D263" s="427" t="s">
        <v>207</v>
      </c>
      <c r="E263" s="428" t="s">
        <v>62</v>
      </c>
      <c r="F263" s="429">
        <v>60.72</v>
      </c>
      <c r="G263" s="429">
        <v>6.07</v>
      </c>
      <c r="H263" s="429">
        <f t="shared" si="18"/>
        <v>7.6746461820985283</v>
      </c>
      <c r="I263" s="430">
        <f t="shared" si="19"/>
        <v>466</v>
      </c>
      <c r="J263" s="436"/>
      <c r="K263" s="347"/>
      <c r="L263" s="437"/>
      <c r="M263" s="347"/>
      <c r="N263" s="347"/>
      <c r="O263" s="347"/>
      <c r="P263" s="347"/>
      <c r="R263" s="347"/>
    </row>
    <row r="264" spans="1:22" s="160" customFormat="1" ht="28.5" x14ac:dyDescent="0.2">
      <c r="A264" s="425" t="s">
        <v>1203</v>
      </c>
      <c r="B264" s="426" t="s">
        <v>94</v>
      </c>
      <c r="C264" s="426">
        <v>3071</v>
      </c>
      <c r="D264" s="427" t="s">
        <v>956</v>
      </c>
      <c r="E264" s="428" t="s">
        <v>62</v>
      </c>
      <c r="F264" s="429">
        <v>33</v>
      </c>
      <c r="G264" s="429">
        <v>7.73</v>
      </c>
      <c r="H264" s="429">
        <f t="shared" si="18"/>
        <v>9.773478581156775</v>
      </c>
      <c r="I264" s="430">
        <f t="shared" si="19"/>
        <v>322.52</v>
      </c>
      <c r="J264" s="436"/>
      <c r="K264" s="347"/>
      <c r="L264" s="437"/>
      <c r="M264" s="347"/>
      <c r="N264" s="347"/>
      <c r="O264" s="347"/>
      <c r="P264" s="347"/>
      <c r="R264" s="347"/>
    </row>
    <row r="265" spans="1:22" ht="28.5" x14ac:dyDescent="0.2">
      <c r="A265" s="395" t="s">
        <v>1204</v>
      </c>
      <c r="B265" s="392" t="s">
        <v>94</v>
      </c>
      <c r="C265" s="392">
        <v>5622</v>
      </c>
      <c r="D265" s="396" t="s">
        <v>723</v>
      </c>
      <c r="E265" s="392" t="s">
        <v>61</v>
      </c>
      <c r="F265" s="221">
        <v>40.479999999999997</v>
      </c>
      <c r="G265" s="221">
        <v>4.6399999999999997</v>
      </c>
      <c r="H265" s="221">
        <f t="shared" si="18"/>
        <v>5.8666158624278699</v>
      </c>
      <c r="I265" s="222">
        <f t="shared" si="19"/>
        <v>237.48</v>
      </c>
      <c r="J265" s="210"/>
      <c r="K265" s="47"/>
      <c r="L265" s="167"/>
      <c r="M265" s="47"/>
      <c r="N265" s="47"/>
      <c r="O265" s="47"/>
      <c r="P265" s="47"/>
      <c r="R265" s="47"/>
    </row>
    <row r="266" spans="1:22" ht="28.5" x14ac:dyDescent="0.2">
      <c r="A266" s="395" t="s">
        <v>1205</v>
      </c>
      <c r="B266" s="392" t="s">
        <v>94</v>
      </c>
      <c r="C266" s="392" t="s">
        <v>113</v>
      </c>
      <c r="D266" s="396" t="s">
        <v>114</v>
      </c>
      <c r="E266" s="392" t="s">
        <v>62</v>
      </c>
      <c r="F266" s="221">
        <v>47.4</v>
      </c>
      <c r="G266" s="221">
        <v>27.17</v>
      </c>
      <c r="H266" s="221">
        <f t="shared" si="18"/>
        <v>34.352576073742512</v>
      </c>
      <c r="I266" s="222">
        <f t="shared" si="19"/>
        <v>1628.31</v>
      </c>
      <c r="J266" s="210"/>
      <c r="K266" s="47"/>
      <c r="L266" s="167"/>
      <c r="M266" s="47"/>
      <c r="N266" s="47"/>
      <c r="O266" s="47"/>
      <c r="P266" s="47"/>
      <c r="R266" s="47"/>
    </row>
    <row r="267" spans="1:22" s="160" customFormat="1" ht="28.5" x14ac:dyDescent="0.2">
      <c r="A267" s="425" t="s">
        <v>1206</v>
      </c>
      <c r="B267" s="428" t="s">
        <v>94</v>
      </c>
      <c r="C267" s="428">
        <v>72208</v>
      </c>
      <c r="D267" s="427" t="s">
        <v>844</v>
      </c>
      <c r="E267" s="428" t="s">
        <v>62</v>
      </c>
      <c r="F267" s="429">
        <v>60.22</v>
      </c>
      <c r="G267" s="429">
        <v>5.54</v>
      </c>
      <c r="H267" s="429">
        <f t="shared" si="18"/>
        <v>7.0045370426401723</v>
      </c>
      <c r="I267" s="430">
        <f t="shared" si="19"/>
        <v>421.81</v>
      </c>
      <c r="J267" s="436"/>
      <c r="K267" s="347"/>
      <c r="L267" s="437"/>
      <c r="M267" s="347"/>
      <c r="N267" s="347"/>
      <c r="O267" s="347"/>
      <c r="P267" s="347"/>
      <c r="R267" s="347"/>
    </row>
    <row r="268" spans="1:22" ht="28.5" x14ac:dyDescent="0.2">
      <c r="A268" s="395" t="s">
        <v>1207</v>
      </c>
      <c r="B268" s="392" t="s">
        <v>94</v>
      </c>
      <c r="C268" s="392">
        <v>72841</v>
      </c>
      <c r="D268" s="396" t="s">
        <v>709</v>
      </c>
      <c r="E268" s="392" t="s">
        <v>710</v>
      </c>
      <c r="F268" s="221">
        <v>385.41</v>
      </c>
      <c r="G268" s="221">
        <v>0.86</v>
      </c>
      <c r="H268" s="221">
        <f t="shared" si="18"/>
        <v>1.0873469055361999</v>
      </c>
      <c r="I268" s="222">
        <f t="shared" si="19"/>
        <v>419.07</v>
      </c>
      <c r="J268" s="210"/>
      <c r="K268" s="47"/>
      <c r="L268" s="167"/>
      <c r="M268" s="47"/>
      <c r="N268" s="47"/>
      <c r="O268" s="47"/>
      <c r="P268" s="47"/>
      <c r="R268" s="47"/>
    </row>
    <row r="269" spans="1:22" ht="28.5" x14ac:dyDescent="0.2">
      <c r="A269" s="395" t="s">
        <v>1208</v>
      </c>
      <c r="B269" s="392" t="s">
        <v>94</v>
      </c>
      <c r="C269" s="392" t="s">
        <v>121</v>
      </c>
      <c r="D269" s="396" t="s">
        <v>122</v>
      </c>
      <c r="E269" s="392" t="s">
        <v>62</v>
      </c>
      <c r="F269" s="221">
        <v>60.22</v>
      </c>
      <c r="G269" s="221">
        <v>2.08</v>
      </c>
      <c r="H269" s="221">
        <f t="shared" si="18"/>
        <v>2.6298622831573213</v>
      </c>
      <c r="I269" s="222">
        <f t="shared" si="19"/>
        <v>158.37</v>
      </c>
      <c r="J269" s="210"/>
      <c r="K269" s="47"/>
      <c r="L269" s="167"/>
      <c r="M269" s="47"/>
      <c r="N269" s="47"/>
      <c r="O269" s="47"/>
      <c r="P269" s="47"/>
      <c r="R269" s="47"/>
    </row>
    <row r="270" spans="1:22" x14ac:dyDescent="0.2">
      <c r="A270" s="395" t="s">
        <v>1209</v>
      </c>
      <c r="B270" s="220" t="s">
        <v>94</v>
      </c>
      <c r="C270" s="220" t="s">
        <v>140</v>
      </c>
      <c r="D270" s="219" t="s">
        <v>141</v>
      </c>
      <c r="E270" s="220" t="s">
        <v>62</v>
      </c>
      <c r="F270" s="221">
        <v>8.1</v>
      </c>
      <c r="G270" s="221">
        <v>85.35</v>
      </c>
      <c r="H270" s="221">
        <f t="shared" si="18"/>
        <v>107.91285859013334</v>
      </c>
      <c r="I270" s="222">
        <f t="shared" si="19"/>
        <v>874.09</v>
      </c>
      <c r="J270" s="210"/>
      <c r="K270" s="47"/>
      <c r="L270" s="167"/>
      <c r="M270" s="47"/>
      <c r="N270" s="47"/>
      <c r="O270" s="47"/>
      <c r="P270" s="47"/>
      <c r="R270" s="47"/>
    </row>
    <row r="271" spans="1:22" x14ac:dyDescent="0.2">
      <c r="A271" s="395" t="s">
        <v>1210</v>
      </c>
      <c r="B271" s="220" t="s">
        <v>94</v>
      </c>
      <c r="C271" s="220" t="s">
        <v>82</v>
      </c>
      <c r="D271" s="219" t="s">
        <v>53</v>
      </c>
      <c r="E271" s="220" t="s">
        <v>62</v>
      </c>
      <c r="F271" s="221">
        <v>2.02</v>
      </c>
      <c r="G271" s="221">
        <v>344.14</v>
      </c>
      <c r="H271" s="221">
        <f t="shared" si="18"/>
        <v>435.11577217584636</v>
      </c>
      <c r="I271" s="222">
        <f t="shared" si="19"/>
        <v>878.93</v>
      </c>
      <c r="J271" s="210"/>
      <c r="K271" s="47"/>
      <c r="L271" s="167"/>
      <c r="M271" s="47"/>
      <c r="N271" s="47"/>
      <c r="O271" s="47"/>
      <c r="P271" s="47"/>
      <c r="R271" s="47"/>
    </row>
    <row r="272" spans="1:22" s="160" customFormat="1" ht="28.5" x14ac:dyDescent="0.2">
      <c r="A272" s="425" t="s">
        <v>1211</v>
      </c>
      <c r="B272" s="428" t="s">
        <v>94</v>
      </c>
      <c r="C272" s="428" t="s">
        <v>612</v>
      </c>
      <c r="D272" s="427" t="s">
        <v>613</v>
      </c>
      <c r="E272" s="428" t="s">
        <v>62</v>
      </c>
      <c r="F272" s="429">
        <v>15</v>
      </c>
      <c r="G272" s="429">
        <v>350.85</v>
      </c>
      <c r="H272" s="429">
        <f t="shared" si="18"/>
        <v>443.59960675276255</v>
      </c>
      <c r="I272" s="430">
        <f t="shared" si="19"/>
        <v>6653.99</v>
      </c>
      <c r="J272" s="436"/>
      <c r="K272" s="347"/>
      <c r="L272" s="437"/>
      <c r="M272" s="347"/>
      <c r="N272" s="347"/>
      <c r="O272" s="347"/>
      <c r="P272" s="347"/>
      <c r="R272" s="347"/>
    </row>
    <row r="273" spans="1:22" s="160" customFormat="1" ht="28.5" x14ac:dyDescent="0.2">
      <c r="A273" s="425" t="s">
        <v>1212</v>
      </c>
      <c r="B273" s="426" t="s">
        <v>94</v>
      </c>
      <c r="C273" s="426" t="s">
        <v>845</v>
      </c>
      <c r="D273" s="434" t="s">
        <v>846</v>
      </c>
      <c r="E273" s="426" t="s">
        <v>61</v>
      </c>
      <c r="F273" s="429">
        <v>171.38</v>
      </c>
      <c r="G273" s="429">
        <v>52.56</v>
      </c>
      <c r="H273" s="429">
        <f t="shared" si="18"/>
        <v>66.454596924398459</v>
      </c>
      <c r="I273" s="430">
        <f t="shared" si="19"/>
        <v>11388.99</v>
      </c>
      <c r="J273" s="436"/>
      <c r="K273" s="347"/>
      <c r="L273" s="437"/>
      <c r="M273" s="347"/>
      <c r="N273" s="347"/>
      <c r="O273" s="347"/>
      <c r="P273" s="347"/>
      <c r="R273" s="347"/>
    </row>
    <row r="274" spans="1:22" s="160" customFormat="1" ht="28.5" x14ac:dyDescent="0.2">
      <c r="A274" s="425" t="s">
        <v>1213</v>
      </c>
      <c r="B274" s="426" t="s">
        <v>94</v>
      </c>
      <c r="C274" s="426" t="s">
        <v>614</v>
      </c>
      <c r="D274" s="434" t="s">
        <v>615</v>
      </c>
      <c r="E274" s="426" t="s">
        <v>384</v>
      </c>
      <c r="F274" s="429">
        <v>1191.5</v>
      </c>
      <c r="G274" s="429">
        <v>6.71</v>
      </c>
      <c r="H274" s="429">
        <f t="shared" si="18"/>
        <v>8.4838345769161663</v>
      </c>
      <c r="I274" s="430">
        <f t="shared" si="19"/>
        <v>10108.49</v>
      </c>
      <c r="J274" s="436"/>
      <c r="K274" s="347"/>
      <c r="L274" s="437"/>
      <c r="M274" s="347"/>
      <c r="N274" s="347"/>
      <c r="O274" s="347"/>
      <c r="P274" s="347"/>
      <c r="R274" s="347"/>
    </row>
    <row r="275" spans="1:22" ht="42.75" x14ac:dyDescent="0.2">
      <c r="A275" s="395" t="s">
        <v>1214</v>
      </c>
      <c r="B275" s="392" t="s">
        <v>94</v>
      </c>
      <c r="C275" s="392" t="s">
        <v>847</v>
      </c>
      <c r="D275" s="396" t="s">
        <v>848</v>
      </c>
      <c r="E275" s="392" t="s">
        <v>61</v>
      </c>
      <c r="F275" s="221">
        <v>98.89</v>
      </c>
      <c r="G275" s="221">
        <v>24.51</v>
      </c>
      <c r="H275" s="221">
        <f t="shared" si="18"/>
        <v>30.989386807781703</v>
      </c>
      <c r="I275" s="222">
        <f t="shared" si="19"/>
        <v>3064.54</v>
      </c>
      <c r="J275" s="210"/>
      <c r="K275" s="47"/>
      <c r="L275" s="167"/>
      <c r="M275" s="47"/>
      <c r="N275" s="47"/>
      <c r="O275" s="47"/>
      <c r="P275" s="47"/>
      <c r="R275" s="47"/>
    </row>
    <row r="276" spans="1:22" ht="28.5" x14ac:dyDescent="0.2">
      <c r="A276" s="395" t="s">
        <v>1215</v>
      </c>
      <c r="B276" s="220" t="s">
        <v>94</v>
      </c>
      <c r="C276" s="220">
        <v>73661</v>
      </c>
      <c r="D276" s="219" t="s">
        <v>720</v>
      </c>
      <c r="E276" s="220" t="s">
        <v>64</v>
      </c>
      <c r="F276" s="221">
        <v>2</v>
      </c>
      <c r="G276" s="221">
        <v>1568.98</v>
      </c>
      <c r="H276" s="221">
        <f t="shared" si="18"/>
        <v>1983.7506370327758</v>
      </c>
      <c r="I276" s="222">
        <f t="shared" si="19"/>
        <v>3967.5</v>
      </c>
      <c r="J276" s="210"/>
      <c r="K276" s="47"/>
      <c r="L276" s="167"/>
      <c r="M276" s="47"/>
      <c r="N276" s="47"/>
      <c r="O276" s="47"/>
      <c r="P276" s="47"/>
      <c r="R276" s="47"/>
    </row>
    <row r="277" spans="1:22" s="48" customFormat="1" ht="28.5" x14ac:dyDescent="0.2">
      <c r="A277" s="395" t="s">
        <v>1216</v>
      </c>
      <c r="B277" s="220" t="s">
        <v>717</v>
      </c>
      <c r="C277" s="220" t="str">
        <f>COMPOSIÇÕES!B58</f>
        <v>CE-004</v>
      </c>
      <c r="D277" s="219" t="s">
        <v>232</v>
      </c>
      <c r="E277" s="220" t="s">
        <v>64</v>
      </c>
      <c r="F277" s="221">
        <v>1</v>
      </c>
      <c r="G277" s="221">
        <f>COMPOSIÇÕES!I58</f>
        <v>4714.6899999999996</v>
      </c>
      <c r="H277" s="221">
        <f t="shared" si="18"/>
        <v>5961.0506768168216</v>
      </c>
      <c r="I277" s="222">
        <f t="shared" si="19"/>
        <v>5961.05</v>
      </c>
      <c r="J277" s="379"/>
      <c r="K277" s="47"/>
      <c r="L277" s="167"/>
      <c r="M277" s="47"/>
      <c r="N277" s="47"/>
      <c r="O277" s="47"/>
      <c r="P277" s="47"/>
      <c r="R277" s="47"/>
    </row>
    <row r="278" spans="1:22" ht="42.75" x14ac:dyDescent="0.2">
      <c r="A278" s="395" t="s">
        <v>1217</v>
      </c>
      <c r="B278" s="392" t="s">
        <v>145</v>
      </c>
      <c r="C278" s="392"/>
      <c r="D278" s="396" t="s">
        <v>1357</v>
      </c>
      <c r="E278" s="392" t="s">
        <v>65</v>
      </c>
      <c r="F278" s="221">
        <v>2</v>
      </c>
      <c r="G278" s="221">
        <v>35745</v>
      </c>
      <c r="H278" s="221">
        <f>G278*(1+$K$20)</f>
        <v>41750.300565176156</v>
      </c>
      <c r="I278" s="222">
        <f t="shared" si="19"/>
        <v>83500.600000000006</v>
      </c>
      <c r="J278" s="210"/>
      <c r="K278" s="47"/>
      <c r="L278" s="167"/>
      <c r="M278" s="47"/>
      <c r="N278" s="47"/>
      <c r="O278" s="47"/>
      <c r="P278" s="47"/>
      <c r="R278" s="47"/>
    </row>
    <row r="279" spans="1:22" x14ac:dyDescent="0.2">
      <c r="A279" s="395" t="s">
        <v>1218</v>
      </c>
      <c r="B279" s="220" t="s">
        <v>94</v>
      </c>
      <c r="C279" s="220" t="s">
        <v>967</v>
      </c>
      <c r="D279" s="219" t="s">
        <v>968</v>
      </c>
      <c r="E279" s="220" t="s">
        <v>64</v>
      </c>
      <c r="F279" s="221">
        <v>2</v>
      </c>
      <c r="G279" s="221">
        <v>274.77</v>
      </c>
      <c r="H279" s="221">
        <f>G279*(1+$L$20)</f>
        <v>347.40733631881591</v>
      </c>
      <c r="I279" s="222">
        <f t="shared" si="19"/>
        <v>694.81</v>
      </c>
      <c r="J279" s="210"/>
      <c r="K279" s="47"/>
      <c r="L279" s="167"/>
      <c r="M279" s="47"/>
      <c r="N279" s="47"/>
      <c r="O279" s="47"/>
      <c r="P279" s="47"/>
      <c r="R279" s="47"/>
    </row>
    <row r="280" spans="1:22" s="48" customFormat="1" x14ac:dyDescent="0.2">
      <c r="A280" s="395" t="s">
        <v>1219</v>
      </c>
      <c r="B280" s="220" t="s">
        <v>717</v>
      </c>
      <c r="C280" s="220" t="str">
        <f>COMPOSIÇÕES!B126</f>
        <v>CE-011</v>
      </c>
      <c r="D280" s="219" t="s">
        <v>911</v>
      </c>
      <c r="E280" s="220" t="s">
        <v>65</v>
      </c>
      <c r="F280" s="221">
        <v>1</v>
      </c>
      <c r="G280" s="221">
        <f>COMPOSIÇÕES!I126</f>
        <v>17679.719999999998</v>
      </c>
      <c r="H280" s="221">
        <f>G280*(1+$L$20)</f>
        <v>22353.475386914495</v>
      </c>
      <c r="I280" s="222">
        <f t="shared" si="19"/>
        <v>22353.48</v>
      </c>
      <c r="J280" s="379"/>
      <c r="K280" s="47"/>
      <c r="L280" s="167"/>
      <c r="M280" s="47"/>
      <c r="N280" s="47"/>
      <c r="O280" s="47"/>
      <c r="P280" s="47"/>
      <c r="R280" s="47"/>
    </row>
    <row r="281" spans="1:22" ht="42.75" x14ac:dyDescent="0.2">
      <c r="A281" s="395" t="s">
        <v>1220</v>
      </c>
      <c r="B281" s="392" t="s">
        <v>145</v>
      </c>
      <c r="C281" s="392"/>
      <c r="D281" s="219" t="s">
        <v>2684</v>
      </c>
      <c r="E281" s="392" t="s">
        <v>64</v>
      </c>
      <c r="F281" s="221">
        <v>1</v>
      </c>
      <c r="G281" s="221">
        <v>13800</v>
      </c>
      <c r="H281" s="221">
        <f>G281*(1+$K$20)</f>
        <v>16118.454267713832</v>
      </c>
      <c r="I281" s="222">
        <f t="shared" si="19"/>
        <v>16118.45</v>
      </c>
      <c r="J281" s="210"/>
      <c r="K281" s="47"/>
      <c r="L281" s="167"/>
      <c r="M281" s="47"/>
      <c r="N281" s="47"/>
      <c r="O281" s="47"/>
      <c r="P281" s="47"/>
      <c r="R281" s="47"/>
    </row>
    <row r="282" spans="1:22" s="48" customFormat="1" ht="28.5" x14ac:dyDescent="0.2">
      <c r="A282" s="395" t="s">
        <v>1221</v>
      </c>
      <c r="B282" s="220" t="s">
        <v>717</v>
      </c>
      <c r="C282" s="220" t="str">
        <f>COMPOSIÇÕES!B149</f>
        <v>CE-012</v>
      </c>
      <c r="D282" s="219" t="s">
        <v>914</v>
      </c>
      <c r="E282" s="220" t="s">
        <v>65</v>
      </c>
      <c r="F282" s="221">
        <v>1</v>
      </c>
      <c r="G282" s="221">
        <f>COMPOSIÇÕES!I149</f>
        <v>12029.040599999998</v>
      </c>
      <c r="H282" s="221">
        <f>G282*(1+$K$20)</f>
        <v>14049.966724316879</v>
      </c>
      <c r="I282" s="222">
        <f t="shared" si="19"/>
        <v>14049.97</v>
      </c>
      <c r="J282" s="379"/>
      <c r="K282" s="47"/>
      <c r="L282" s="167"/>
      <c r="M282" s="47"/>
      <c r="N282" s="47"/>
      <c r="O282" s="47"/>
      <c r="P282" s="47"/>
      <c r="R282" s="47"/>
    </row>
    <row r="283" spans="1:22" s="48" customFormat="1" ht="28.5" x14ac:dyDescent="0.2">
      <c r="A283" s="395" t="s">
        <v>1222</v>
      </c>
      <c r="B283" s="220" t="s">
        <v>717</v>
      </c>
      <c r="C283" s="220" t="str">
        <f>COMPOSIÇÕES!B172</f>
        <v>CE-013</v>
      </c>
      <c r="D283" s="219" t="s">
        <v>2258</v>
      </c>
      <c r="E283" s="220" t="s">
        <v>64</v>
      </c>
      <c r="F283" s="221">
        <v>1</v>
      </c>
      <c r="G283" s="221">
        <f>COMPOSIÇÕES!I172</f>
        <v>3694</v>
      </c>
      <c r="H283" s="221">
        <f>G283*(1+$L$20)</f>
        <v>4670.5342663380497</v>
      </c>
      <c r="I283" s="222">
        <f t="shared" si="19"/>
        <v>4670.53</v>
      </c>
      <c r="J283" s="379"/>
      <c r="K283" s="47"/>
      <c r="L283" s="167"/>
      <c r="M283" s="47"/>
      <c r="N283" s="47"/>
      <c r="O283" s="47"/>
      <c r="P283" s="47"/>
      <c r="R283" s="47"/>
    </row>
    <row r="284" spans="1:22" s="162" customFormat="1" x14ac:dyDescent="0.2">
      <c r="A284" s="395"/>
      <c r="B284" s="220"/>
      <c r="C284" s="220"/>
      <c r="D284" s="219"/>
      <c r="E284" s="220"/>
      <c r="F284" s="221"/>
      <c r="G284" s="221"/>
      <c r="H284" s="221"/>
      <c r="I284" s="222"/>
      <c r="J284" s="366"/>
      <c r="K284" s="186"/>
      <c r="L284" s="186"/>
      <c r="M284" s="186"/>
      <c r="N284" s="47"/>
      <c r="O284" s="47"/>
      <c r="P284" s="47"/>
      <c r="Q284" s="48"/>
      <c r="R284" s="47"/>
      <c r="S284" s="48"/>
      <c r="T284" s="48"/>
      <c r="U284" s="48"/>
      <c r="V284" s="48"/>
    </row>
    <row r="285" spans="1:22" ht="15" customHeight="1" x14ac:dyDescent="0.2">
      <c r="A285" s="409" t="s">
        <v>2748</v>
      </c>
      <c r="B285" s="410"/>
      <c r="C285" s="410"/>
      <c r="D285" s="411" t="s">
        <v>183</v>
      </c>
      <c r="E285" s="410"/>
      <c r="F285" s="412"/>
      <c r="G285" s="413"/>
      <c r="H285" s="414"/>
      <c r="I285" s="415">
        <f>SUM(I286:I312)</f>
        <v>943320.35000000009</v>
      </c>
      <c r="J285" s="211"/>
      <c r="K285" s="47"/>
      <c r="L285" s="47"/>
      <c r="M285" s="47"/>
      <c r="N285" s="47"/>
      <c r="O285" s="47"/>
      <c r="P285" s="47"/>
      <c r="R285" s="47"/>
    </row>
    <row r="286" spans="1:22" ht="30" customHeight="1" x14ac:dyDescent="0.2">
      <c r="A286" s="395" t="s">
        <v>1223</v>
      </c>
      <c r="B286" s="392" t="s">
        <v>94</v>
      </c>
      <c r="C286" s="392" t="s">
        <v>138</v>
      </c>
      <c r="D286" s="396" t="s">
        <v>139</v>
      </c>
      <c r="E286" s="392" t="s">
        <v>61</v>
      </c>
      <c r="F286" s="221">
        <v>481.6</v>
      </c>
      <c r="G286" s="221">
        <v>6.76</v>
      </c>
      <c r="H286" s="221">
        <f t="shared" ref="H286:H310" si="20">G286*(1+$L$20)</f>
        <v>8.5470524202612932</v>
      </c>
      <c r="I286" s="222">
        <f t="shared" ref="I286:I312" si="21">ROUND(F286*H286,2)</f>
        <v>4116.26</v>
      </c>
      <c r="J286" s="209"/>
      <c r="K286" s="47"/>
      <c r="L286" s="168"/>
      <c r="M286" s="47"/>
      <c r="N286" s="47"/>
      <c r="O286" s="47"/>
      <c r="P286" s="47"/>
      <c r="R286" s="47"/>
    </row>
    <row r="287" spans="1:22" ht="30" customHeight="1" x14ac:dyDescent="0.2">
      <c r="A287" s="395" t="s">
        <v>1224</v>
      </c>
      <c r="B287" s="392" t="s">
        <v>94</v>
      </c>
      <c r="C287" s="392" t="s">
        <v>112</v>
      </c>
      <c r="D287" s="396" t="s">
        <v>231</v>
      </c>
      <c r="E287" s="392" t="s">
        <v>62</v>
      </c>
      <c r="F287" s="221">
        <v>246.92</v>
      </c>
      <c r="G287" s="221">
        <v>3.07</v>
      </c>
      <c r="H287" s="221">
        <f t="shared" si="20"/>
        <v>3.8815755813908535</v>
      </c>
      <c r="I287" s="222">
        <f t="shared" si="21"/>
        <v>958.44</v>
      </c>
      <c r="J287" s="209"/>
      <c r="K287" s="47"/>
      <c r="L287" s="168"/>
      <c r="M287" s="47"/>
      <c r="N287" s="47"/>
      <c r="O287" s="47"/>
      <c r="P287" s="47"/>
      <c r="R287" s="47"/>
    </row>
    <row r="288" spans="1:22" ht="30" customHeight="1" x14ac:dyDescent="0.2">
      <c r="A288" s="395" t="s">
        <v>1225</v>
      </c>
      <c r="B288" s="392" t="s">
        <v>94</v>
      </c>
      <c r="C288" s="392" t="s">
        <v>113</v>
      </c>
      <c r="D288" s="396" t="s">
        <v>114</v>
      </c>
      <c r="E288" s="392" t="s">
        <v>62</v>
      </c>
      <c r="F288" s="221">
        <v>31.6</v>
      </c>
      <c r="G288" s="221">
        <v>27.17</v>
      </c>
      <c r="H288" s="221">
        <f t="shared" si="20"/>
        <v>34.352576073742512</v>
      </c>
      <c r="I288" s="222">
        <f t="shared" si="21"/>
        <v>1085.54</v>
      </c>
      <c r="J288" s="209"/>
      <c r="K288" s="47"/>
      <c r="L288" s="168"/>
      <c r="M288" s="47"/>
      <c r="N288" s="47"/>
      <c r="O288" s="47"/>
      <c r="P288" s="47"/>
      <c r="R288" s="47"/>
    </row>
    <row r="289" spans="1:22" s="433" customFormat="1" ht="21.75" customHeight="1" x14ac:dyDescent="0.2">
      <c r="A289" s="425" t="s">
        <v>1226</v>
      </c>
      <c r="B289" s="428" t="s">
        <v>94</v>
      </c>
      <c r="C289" s="428">
        <v>72208</v>
      </c>
      <c r="D289" s="427" t="s">
        <v>844</v>
      </c>
      <c r="E289" s="428" t="s">
        <v>62</v>
      </c>
      <c r="F289" s="429">
        <v>215.32</v>
      </c>
      <c r="G289" s="429">
        <v>5.54</v>
      </c>
      <c r="H289" s="429">
        <f t="shared" si="20"/>
        <v>7.0045370426401723</v>
      </c>
      <c r="I289" s="430">
        <f t="shared" si="21"/>
        <v>1508.22</v>
      </c>
      <c r="J289" s="431"/>
      <c r="K289" s="432"/>
      <c r="L289" s="432"/>
      <c r="M289" s="432"/>
      <c r="N289" s="347"/>
      <c r="O289" s="347"/>
      <c r="P289" s="347"/>
      <c r="Q289" s="160"/>
      <c r="R289" s="347"/>
      <c r="S289" s="160"/>
      <c r="T289" s="160"/>
      <c r="U289" s="160"/>
      <c r="V289" s="160"/>
    </row>
    <row r="290" spans="1:22" ht="30" customHeight="1" x14ac:dyDescent="0.2">
      <c r="A290" s="395" t="s">
        <v>1227</v>
      </c>
      <c r="B290" s="392" t="s">
        <v>94</v>
      </c>
      <c r="C290" s="392">
        <v>72841</v>
      </c>
      <c r="D290" s="396" t="s">
        <v>709</v>
      </c>
      <c r="E290" s="392" t="s">
        <v>710</v>
      </c>
      <c r="F290" s="221">
        <v>1421.11</v>
      </c>
      <c r="G290" s="221">
        <v>0.86</v>
      </c>
      <c r="H290" s="221">
        <f t="shared" si="20"/>
        <v>1.0873469055361999</v>
      </c>
      <c r="I290" s="222">
        <f t="shared" si="21"/>
        <v>1545.24</v>
      </c>
      <c r="J290" s="209"/>
      <c r="K290" s="47"/>
      <c r="L290" s="168"/>
      <c r="M290" s="47"/>
      <c r="N290" s="47"/>
      <c r="O290" s="47"/>
      <c r="P290" s="47"/>
      <c r="R290" s="47"/>
    </row>
    <row r="291" spans="1:22" ht="30" customHeight="1" x14ac:dyDescent="0.2">
      <c r="A291" s="395" t="s">
        <v>1228</v>
      </c>
      <c r="B291" s="392" t="s">
        <v>94</v>
      </c>
      <c r="C291" s="392" t="s">
        <v>121</v>
      </c>
      <c r="D291" s="396" t="s">
        <v>122</v>
      </c>
      <c r="E291" s="392" t="s">
        <v>62</v>
      </c>
      <c r="F291" s="221">
        <f>F289</f>
        <v>215.32</v>
      </c>
      <c r="G291" s="221">
        <v>2.08</v>
      </c>
      <c r="H291" s="221">
        <f t="shared" si="20"/>
        <v>2.6298622831573213</v>
      </c>
      <c r="I291" s="222">
        <f t="shared" si="21"/>
        <v>566.26</v>
      </c>
      <c r="J291" s="209"/>
      <c r="K291" s="47"/>
      <c r="L291" s="168"/>
      <c r="M291" s="47"/>
      <c r="N291" s="47"/>
      <c r="O291" s="47"/>
      <c r="P291" s="47"/>
      <c r="R291" s="47"/>
    </row>
    <row r="292" spans="1:22" ht="30" customHeight="1" x14ac:dyDescent="0.2">
      <c r="A292" s="395" t="s">
        <v>1229</v>
      </c>
      <c r="B292" s="392" t="s">
        <v>94</v>
      </c>
      <c r="C292" s="392" t="s">
        <v>837</v>
      </c>
      <c r="D292" s="396" t="s">
        <v>838</v>
      </c>
      <c r="E292" s="392" t="s">
        <v>63</v>
      </c>
      <c r="F292" s="221">
        <v>87</v>
      </c>
      <c r="G292" s="221">
        <v>43.83</v>
      </c>
      <c r="H292" s="221">
        <f t="shared" si="20"/>
        <v>55.416761476339126</v>
      </c>
      <c r="I292" s="222">
        <f t="shared" si="21"/>
        <v>4821.26</v>
      </c>
      <c r="J292" s="209"/>
      <c r="K292" s="47"/>
      <c r="L292" s="168"/>
      <c r="M292" s="47"/>
      <c r="N292" s="47"/>
      <c r="O292" s="47"/>
      <c r="P292" s="47"/>
      <c r="R292" s="47"/>
    </row>
    <row r="293" spans="1:22" s="162" customFormat="1" x14ac:dyDescent="0.2">
      <c r="A293" s="395" t="s">
        <v>1230</v>
      </c>
      <c r="B293" s="220" t="s">
        <v>94</v>
      </c>
      <c r="C293" s="220" t="s">
        <v>140</v>
      </c>
      <c r="D293" s="219" t="s">
        <v>141</v>
      </c>
      <c r="E293" s="220" t="s">
        <v>62</v>
      </c>
      <c r="F293" s="221">
        <v>270</v>
      </c>
      <c r="G293" s="221">
        <v>84.48</v>
      </c>
      <c r="H293" s="221">
        <f t="shared" si="20"/>
        <v>106.81286811592813</v>
      </c>
      <c r="I293" s="222">
        <f t="shared" si="21"/>
        <v>28839.47</v>
      </c>
      <c r="J293" s="209"/>
      <c r="K293" s="186"/>
      <c r="L293" s="186"/>
      <c r="M293" s="186"/>
      <c r="N293" s="47"/>
      <c r="O293" s="47"/>
      <c r="P293" s="47"/>
      <c r="Q293" s="48"/>
      <c r="R293" s="47"/>
      <c r="S293" s="48"/>
      <c r="T293" s="48"/>
      <c r="U293" s="48"/>
      <c r="V293" s="48"/>
    </row>
    <row r="294" spans="1:22" s="162" customFormat="1" x14ac:dyDescent="0.2">
      <c r="A294" s="395" t="s">
        <v>1231</v>
      </c>
      <c r="B294" s="220" t="s">
        <v>94</v>
      </c>
      <c r="C294" s="220" t="s">
        <v>82</v>
      </c>
      <c r="D294" s="219" t="s">
        <v>53</v>
      </c>
      <c r="E294" s="220" t="s">
        <v>62</v>
      </c>
      <c r="F294" s="221">
        <v>16.46</v>
      </c>
      <c r="G294" s="221">
        <v>344.14</v>
      </c>
      <c r="H294" s="221">
        <f t="shared" si="20"/>
        <v>435.11577217584636</v>
      </c>
      <c r="I294" s="222">
        <f t="shared" si="21"/>
        <v>7162.01</v>
      </c>
      <c r="J294" s="209"/>
      <c r="K294" s="186"/>
      <c r="L294" s="186"/>
      <c r="M294" s="186"/>
      <c r="N294" s="47"/>
      <c r="O294" s="47"/>
      <c r="P294" s="47"/>
      <c r="Q294" s="48"/>
      <c r="R294" s="47"/>
      <c r="S294" s="48"/>
      <c r="T294" s="48"/>
      <c r="U294" s="48"/>
      <c r="V294" s="48"/>
    </row>
    <row r="295" spans="1:22" s="160" customFormat="1" ht="30" customHeight="1" x14ac:dyDescent="0.2">
      <c r="A295" s="425" t="s">
        <v>1232</v>
      </c>
      <c r="B295" s="426" t="s">
        <v>94</v>
      </c>
      <c r="C295" s="426" t="s">
        <v>612</v>
      </c>
      <c r="D295" s="434" t="s">
        <v>613</v>
      </c>
      <c r="E295" s="426" t="s">
        <v>62</v>
      </c>
      <c r="F295" s="429">
        <v>369.33</v>
      </c>
      <c r="G295" s="429">
        <v>350.85</v>
      </c>
      <c r="H295" s="429">
        <f t="shared" si="20"/>
        <v>443.59960675276255</v>
      </c>
      <c r="I295" s="430">
        <f t="shared" si="21"/>
        <v>163834.64000000001</v>
      </c>
      <c r="J295" s="431"/>
      <c r="K295" s="347"/>
      <c r="L295" s="435"/>
      <c r="M295" s="347"/>
      <c r="N295" s="347"/>
      <c r="O295" s="347"/>
      <c r="P295" s="347"/>
      <c r="R295" s="347"/>
    </row>
    <row r="296" spans="1:22" s="160" customFormat="1" ht="30" customHeight="1" x14ac:dyDescent="0.2">
      <c r="A296" s="425" t="s">
        <v>1233</v>
      </c>
      <c r="B296" s="426" t="s">
        <v>94</v>
      </c>
      <c r="C296" s="426" t="s">
        <v>845</v>
      </c>
      <c r="D296" s="434" t="s">
        <v>846</v>
      </c>
      <c r="E296" s="426" t="s">
        <v>61</v>
      </c>
      <c r="F296" s="429">
        <v>1790.87</v>
      </c>
      <c r="G296" s="429">
        <v>52.56</v>
      </c>
      <c r="H296" s="429">
        <f t="shared" si="20"/>
        <v>66.454596924398459</v>
      </c>
      <c r="I296" s="430">
        <f t="shared" si="21"/>
        <v>119011.54</v>
      </c>
      <c r="J296" s="431"/>
      <c r="K296" s="347"/>
      <c r="L296" s="435"/>
      <c r="M296" s="347"/>
      <c r="N296" s="347"/>
      <c r="O296" s="347"/>
      <c r="P296" s="347"/>
      <c r="R296" s="347"/>
    </row>
    <row r="297" spans="1:22" s="160" customFormat="1" ht="30" customHeight="1" x14ac:dyDescent="0.2">
      <c r="A297" s="425" t="s">
        <v>1234</v>
      </c>
      <c r="B297" s="426" t="s">
        <v>94</v>
      </c>
      <c r="C297" s="426" t="s">
        <v>614</v>
      </c>
      <c r="D297" s="434" t="s">
        <v>615</v>
      </c>
      <c r="E297" s="426" t="s">
        <v>384</v>
      </c>
      <c r="F297" s="429">
        <v>33246.699999999997</v>
      </c>
      <c r="G297" s="429">
        <v>6.71</v>
      </c>
      <c r="H297" s="429">
        <f t="shared" si="20"/>
        <v>8.4838345769161663</v>
      </c>
      <c r="I297" s="430">
        <f t="shared" si="21"/>
        <v>282059.5</v>
      </c>
      <c r="J297" s="431"/>
      <c r="K297" s="347"/>
      <c r="L297" s="435"/>
      <c r="M297" s="347"/>
      <c r="N297" s="347"/>
      <c r="O297" s="347"/>
      <c r="P297" s="347"/>
      <c r="R297" s="347"/>
    </row>
    <row r="298" spans="1:22" s="433" customFormat="1" ht="60" customHeight="1" x14ac:dyDescent="0.2">
      <c r="A298" s="425" t="s">
        <v>1235</v>
      </c>
      <c r="B298" s="428" t="s">
        <v>94</v>
      </c>
      <c r="C298" s="428">
        <v>73685</v>
      </c>
      <c r="D298" s="427" t="s">
        <v>721</v>
      </c>
      <c r="E298" s="428" t="s">
        <v>62</v>
      </c>
      <c r="F298" s="429">
        <v>1310.4000000000001</v>
      </c>
      <c r="G298" s="429">
        <v>26.82</v>
      </c>
      <c r="H298" s="429">
        <f t="shared" si="20"/>
        <v>33.910051170326611</v>
      </c>
      <c r="I298" s="430">
        <f t="shared" si="21"/>
        <v>44435.73</v>
      </c>
      <c r="J298" s="431"/>
      <c r="K298" s="432"/>
      <c r="L298" s="432"/>
      <c r="M298" s="432"/>
      <c r="N298" s="347"/>
      <c r="O298" s="347"/>
      <c r="P298" s="347"/>
      <c r="Q298" s="160"/>
      <c r="R298" s="347"/>
      <c r="S298" s="160"/>
      <c r="T298" s="160"/>
      <c r="U298" s="160"/>
      <c r="V298" s="160"/>
    </row>
    <row r="299" spans="1:22" ht="42.75" x14ac:dyDescent="0.2">
      <c r="A299" s="395" t="s">
        <v>1236</v>
      </c>
      <c r="B299" s="392" t="s">
        <v>94</v>
      </c>
      <c r="C299" s="392" t="s">
        <v>847</v>
      </c>
      <c r="D299" s="396" t="s">
        <v>848</v>
      </c>
      <c r="E299" s="392" t="s">
        <v>61</v>
      </c>
      <c r="F299" s="221">
        <v>1085.94</v>
      </c>
      <c r="G299" s="221">
        <v>24.51</v>
      </c>
      <c r="H299" s="221">
        <f t="shared" si="20"/>
        <v>30.989386807781703</v>
      </c>
      <c r="I299" s="222">
        <f t="shared" si="21"/>
        <v>33652.61</v>
      </c>
      <c r="J299" s="209"/>
      <c r="K299" s="47"/>
      <c r="L299" s="168"/>
      <c r="M299" s="47"/>
      <c r="N299" s="47"/>
      <c r="O299" s="47"/>
      <c r="P299" s="47"/>
      <c r="R299" s="47"/>
    </row>
    <row r="300" spans="1:22" s="48" customFormat="1" ht="45" customHeight="1" x14ac:dyDescent="0.2">
      <c r="A300" s="395" t="s">
        <v>1237</v>
      </c>
      <c r="B300" s="392" t="s">
        <v>717</v>
      </c>
      <c r="C300" s="392" t="str">
        <f>COMPOSIÇÕES!B176</f>
        <v>CE-014</v>
      </c>
      <c r="D300" s="396" t="s">
        <v>146</v>
      </c>
      <c r="E300" s="392" t="s">
        <v>64</v>
      </c>
      <c r="F300" s="221">
        <v>96</v>
      </c>
      <c r="G300" s="221">
        <f>COMPOSIÇÕES!I176</f>
        <v>125.83</v>
      </c>
      <c r="H300" s="221">
        <f t="shared" si="20"/>
        <v>159.09402456234889</v>
      </c>
      <c r="I300" s="222">
        <f t="shared" si="21"/>
        <v>15273.03</v>
      </c>
      <c r="J300" s="366"/>
      <c r="K300" s="47"/>
      <c r="L300" s="168"/>
      <c r="M300" s="47"/>
      <c r="N300" s="47"/>
      <c r="O300" s="47"/>
      <c r="P300" s="47"/>
      <c r="R300" s="47"/>
    </row>
    <row r="301" spans="1:22" ht="45" customHeight="1" x14ac:dyDescent="0.2">
      <c r="A301" s="395" t="s">
        <v>1238</v>
      </c>
      <c r="B301" s="392" t="s">
        <v>94</v>
      </c>
      <c r="C301" s="392">
        <v>72131</v>
      </c>
      <c r="D301" s="396" t="s">
        <v>878</v>
      </c>
      <c r="E301" s="392" t="s">
        <v>61</v>
      </c>
      <c r="F301" s="221">
        <v>56.64</v>
      </c>
      <c r="G301" s="221">
        <v>100.45</v>
      </c>
      <c r="H301" s="221">
        <f t="shared" si="20"/>
        <v>127.00464728036198</v>
      </c>
      <c r="I301" s="222">
        <f t="shared" si="21"/>
        <v>7193.54</v>
      </c>
      <c r="J301" s="209"/>
      <c r="K301" s="167"/>
      <c r="L301" s="168"/>
      <c r="M301" s="47"/>
      <c r="N301" s="47"/>
      <c r="O301" s="47"/>
      <c r="P301" s="47"/>
      <c r="R301" s="47"/>
    </row>
    <row r="302" spans="1:22" ht="57" x14ac:dyDescent="0.2">
      <c r="A302" s="395" t="s">
        <v>1239</v>
      </c>
      <c r="B302" s="392" t="s">
        <v>94</v>
      </c>
      <c r="C302" s="392">
        <v>87874</v>
      </c>
      <c r="D302" s="396" t="s">
        <v>970</v>
      </c>
      <c r="E302" s="392" t="s">
        <v>61</v>
      </c>
      <c r="F302" s="221">
        <v>97.2</v>
      </c>
      <c r="G302" s="221">
        <v>3.6</v>
      </c>
      <c r="H302" s="221">
        <f t="shared" si="20"/>
        <v>4.5516847208492095</v>
      </c>
      <c r="I302" s="222">
        <f t="shared" si="21"/>
        <v>442.42</v>
      </c>
      <c r="J302" s="209"/>
      <c r="K302" s="167"/>
      <c r="L302" s="168"/>
      <c r="M302" s="47"/>
      <c r="N302" s="47"/>
      <c r="O302" s="47"/>
      <c r="P302" s="47"/>
      <c r="R302" s="47"/>
    </row>
    <row r="303" spans="1:22" ht="30" customHeight="1" x14ac:dyDescent="0.2">
      <c r="A303" s="395" t="s">
        <v>1240</v>
      </c>
      <c r="B303" s="392" t="s">
        <v>94</v>
      </c>
      <c r="C303" s="392">
        <v>84076</v>
      </c>
      <c r="D303" s="396" t="s">
        <v>880</v>
      </c>
      <c r="E303" s="392" t="s">
        <v>61</v>
      </c>
      <c r="F303" s="221">
        <v>135.84</v>
      </c>
      <c r="G303" s="221">
        <v>22.69</v>
      </c>
      <c r="H303" s="221">
        <f t="shared" si="20"/>
        <v>28.688257310019047</v>
      </c>
      <c r="I303" s="222">
        <f t="shared" si="21"/>
        <v>3897.01</v>
      </c>
      <c r="J303" s="209"/>
      <c r="K303" s="167"/>
      <c r="L303" s="168"/>
      <c r="M303" s="47"/>
      <c r="N303" s="47"/>
      <c r="O303" s="47"/>
      <c r="P303" s="47"/>
      <c r="R303" s="47"/>
    </row>
    <row r="304" spans="1:22" ht="30" customHeight="1" x14ac:dyDescent="0.2">
      <c r="A304" s="395" t="s">
        <v>1241</v>
      </c>
      <c r="B304" s="392" t="s">
        <v>94</v>
      </c>
      <c r="C304" s="392">
        <v>5968</v>
      </c>
      <c r="D304" s="396" t="s">
        <v>879</v>
      </c>
      <c r="E304" s="392" t="s">
        <v>61</v>
      </c>
      <c r="F304" s="221">
        <v>97.2</v>
      </c>
      <c r="G304" s="221">
        <v>33.19</v>
      </c>
      <c r="H304" s="221">
        <f t="shared" si="20"/>
        <v>41.964004412495903</v>
      </c>
      <c r="I304" s="222">
        <f t="shared" si="21"/>
        <v>4078.9</v>
      </c>
      <c r="J304" s="209"/>
      <c r="K304" s="47"/>
      <c r="L304" s="168"/>
      <c r="M304" s="47"/>
      <c r="N304" s="47"/>
      <c r="O304" s="47"/>
      <c r="P304" s="47"/>
      <c r="R304" s="47"/>
    </row>
    <row r="305" spans="1:22" s="48" customFormat="1" ht="45" customHeight="1" x14ac:dyDescent="0.2">
      <c r="A305" s="395" t="s">
        <v>1242</v>
      </c>
      <c r="B305" s="392" t="s">
        <v>717</v>
      </c>
      <c r="C305" s="392" t="str">
        <f>COMPOSIÇÕES!B181</f>
        <v>CE-015</v>
      </c>
      <c r="D305" s="396" t="s">
        <v>184</v>
      </c>
      <c r="E305" s="392" t="s">
        <v>64</v>
      </c>
      <c r="F305" s="221">
        <v>12</v>
      </c>
      <c r="G305" s="221">
        <f>COMPOSIÇÕES!I181</f>
        <v>268.82</v>
      </c>
      <c r="H305" s="221">
        <f t="shared" si="20"/>
        <v>339.88441296074569</v>
      </c>
      <c r="I305" s="222">
        <f t="shared" si="21"/>
        <v>4078.61</v>
      </c>
      <c r="J305" s="366"/>
      <c r="K305" s="47"/>
      <c r="L305" s="47"/>
      <c r="M305" s="47"/>
      <c r="N305" s="47"/>
      <c r="O305" s="47"/>
      <c r="P305" s="47"/>
      <c r="R305" s="47"/>
    </row>
    <row r="306" spans="1:22" s="48" customFormat="1" ht="45" customHeight="1" x14ac:dyDescent="0.2">
      <c r="A306" s="395" t="s">
        <v>1243</v>
      </c>
      <c r="B306" s="392" t="s">
        <v>717</v>
      </c>
      <c r="C306" s="392" t="str">
        <f>COMPOSIÇÕES!B187</f>
        <v>CE-016</v>
      </c>
      <c r="D306" s="396" t="s">
        <v>185</v>
      </c>
      <c r="E306" s="392" t="s">
        <v>64</v>
      </c>
      <c r="F306" s="221">
        <v>48</v>
      </c>
      <c r="G306" s="221">
        <f>COMPOSIÇÕES!I187</f>
        <v>242.24</v>
      </c>
      <c r="H306" s="221">
        <f t="shared" si="20"/>
        <v>306.27780743847569</v>
      </c>
      <c r="I306" s="222">
        <f t="shared" si="21"/>
        <v>14701.33</v>
      </c>
      <c r="J306" s="366"/>
      <c r="K306" s="47"/>
      <c r="L306" s="47"/>
      <c r="M306" s="47"/>
      <c r="N306" s="47"/>
      <c r="O306" s="47"/>
      <c r="P306" s="47"/>
      <c r="R306" s="47"/>
    </row>
    <row r="307" spans="1:22" s="162" customFormat="1" x14ac:dyDescent="0.2">
      <c r="A307" s="395" t="s">
        <v>1244</v>
      </c>
      <c r="B307" s="220" t="s">
        <v>94</v>
      </c>
      <c r="C307" s="220">
        <v>73631</v>
      </c>
      <c r="D307" s="219" t="s">
        <v>722</v>
      </c>
      <c r="E307" s="220" t="s">
        <v>63</v>
      </c>
      <c r="F307" s="221">
        <v>79.8</v>
      </c>
      <c r="G307" s="221">
        <v>264.20999999999998</v>
      </c>
      <c r="H307" s="221">
        <f t="shared" si="20"/>
        <v>334.05572780432487</v>
      </c>
      <c r="I307" s="222">
        <f t="shared" si="21"/>
        <v>26657.65</v>
      </c>
      <c r="J307" s="209"/>
      <c r="K307" s="186"/>
      <c r="L307" s="186"/>
      <c r="M307" s="186"/>
      <c r="N307" s="47"/>
      <c r="O307" s="47"/>
      <c r="P307" s="47"/>
      <c r="Q307" s="48"/>
      <c r="R307" s="47"/>
      <c r="S307" s="48"/>
      <c r="T307" s="48"/>
      <c r="U307" s="48"/>
      <c r="V307" s="48"/>
    </row>
    <row r="308" spans="1:22" s="162" customFormat="1" x14ac:dyDescent="0.2">
      <c r="A308" s="395" t="s">
        <v>1245</v>
      </c>
      <c r="B308" s="220" t="s">
        <v>717</v>
      </c>
      <c r="C308" s="220" t="str">
        <f>COMPOSIÇÕES!B193</f>
        <v>CE-017</v>
      </c>
      <c r="D308" s="219" t="str">
        <f>COMPOSIÇÕES!D193</f>
        <v>FORNECIMENTO E INSTALAÇÃO DO SEPARADOR TRIFÁSICO</v>
      </c>
      <c r="E308" s="220" t="s">
        <v>64</v>
      </c>
      <c r="F308" s="221">
        <v>1</v>
      </c>
      <c r="G308" s="221">
        <f>COMPOSIÇÕES!I193</f>
        <v>31270.491600000001</v>
      </c>
      <c r="H308" s="221">
        <f t="shared" si="20"/>
        <v>39537.06078587877</v>
      </c>
      <c r="I308" s="222">
        <f t="shared" si="21"/>
        <v>39537.06</v>
      </c>
      <c r="J308" s="366"/>
      <c r="K308" s="186"/>
      <c r="L308" s="186"/>
      <c r="M308" s="186"/>
      <c r="N308" s="47"/>
      <c r="O308" s="47"/>
      <c r="P308" s="47"/>
      <c r="Q308" s="48"/>
      <c r="R308" s="47"/>
      <c r="S308" s="48"/>
      <c r="T308" s="48"/>
      <c r="U308" s="48"/>
      <c r="V308" s="48"/>
    </row>
    <row r="309" spans="1:22" s="162" customFormat="1" ht="28.5" x14ac:dyDescent="0.2">
      <c r="A309" s="395" t="s">
        <v>1246</v>
      </c>
      <c r="B309" s="220" t="s">
        <v>717</v>
      </c>
      <c r="C309" s="220" t="str">
        <f>COMPOSIÇÕES!B207</f>
        <v>CE-018</v>
      </c>
      <c r="D309" s="219" t="s">
        <v>429</v>
      </c>
      <c r="E309" s="220" t="s">
        <v>64</v>
      </c>
      <c r="F309" s="221">
        <v>4</v>
      </c>
      <c r="G309" s="221">
        <f>COMPOSIÇÕES!I207</f>
        <v>658.32</v>
      </c>
      <c r="H309" s="221">
        <f t="shared" si="20"/>
        <v>832.3514126192922</v>
      </c>
      <c r="I309" s="222">
        <f t="shared" si="21"/>
        <v>3329.41</v>
      </c>
      <c r="J309" s="366"/>
      <c r="K309" s="186"/>
      <c r="L309" s="186"/>
      <c r="M309" s="186"/>
      <c r="N309" s="47"/>
      <c r="O309" s="47"/>
      <c r="P309" s="47"/>
      <c r="Q309" s="48"/>
      <c r="R309" s="47"/>
      <c r="S309" s="48"/>
      <c r="T309" s="48"/>
      <c r="U309" s="48"/>
      <c r="V309" s="48"/>
    </row>
    <row r="310" spans="1:22" s="162" customFormat="1" ht="28.5" x14ac:dyDescent="0.2">
      <c r="A310" s="395" t="s">
        <v>1247</v>
      </c>
      <c r="B310" s="220" t="s">
        <v>717</v>
      </c>
      <c r="C310" s="220" t="str">
        <f>COMPOSIÇÕES!B213</f>
        <v>CE-019</v>
      </c>
      <c r="D310" s="219" t="s">
        <v>881</v>
      </c>
      <c r="E310" s="220" t="s">
        <v>64</v>
      </c>
      <c r="F310" s="221">
        <v>12</v>
      </c>
      <c r="G310" s="221">
        <f>COMPOSIÇÕES!I213</f>
        <v>355.55</v>
      </c>
      <c r="H310" s="221">
        <f t="shared" si="20"/>
        <v>449.54208402720457</v>
      </c>
      <c r="I310" s="222">
        <f t="shared" si="21"/>
        <v>5394.51</v>
      </c>
      <c r="J310" s="366"/>
      <c r="K310" s="186"/>
      <c r="L310" s="186"/>
      <c r="M310" s="186"/>
      <c r="N310" s="47"/>
      <c r="O310" s="47"/>
      <c r="P310" s="47"/>
      <c r="Q310" s="48"/>
      <c r="R310" s="47"/>
      <c r="S310" s="48"/>
      <c r="T310" s="48"/>
      <c r="U310" s="48"/>
      <c r="V310" s="48"/>
    </row>
    <row r="311" spans="1:22" s="162" customFormat="1" x14ac:dyDescent="0.2">
      <c r="A311" s="395" t="s">
        <v>1248</v>
      </c>
      <c r="B311" s="220" t="s">
        <v>717</v>
      </c>
      <c r="C311" s="220" t="str">
        <f>COMPOSIÇÕES!B219</f>
        <v>CE-020</v>
      </c>
      <c r="D311" s="219" t="s">
        <v>777</v>
      </c>
      <c r="E311" s="220" t="s">
        <v>65</v>
      </c>
      <c r="F311" s="221">
        <v>1</v>
      </c>
      <c r="G311" s="221">
        <f>COMPOSIÇÕES!I219</f>
        <v>96741.756000000008</v>
      </c>
      <c r="H311" s="221">
        <f>G311*(1+$K$20)</f>
        <v>112994.75143944424</v>
      </c>
      <c r="I311" s="222">
        <f t="shared" si="21"/>
        <v>112994.75</v>
      </c>
      <c r="J311" s="366"/>
      <c r="K311" s="186"/>
      <c r="L311" s="186"/>
      <c r="M311" s="186"/>
      <c r="N311" s="47"/>
      <c r="O311" s="47"/>
      <c r="P311" s="47"/>
      <c r="Q311" s="48"/>
      <c r="R311" s="47"/>
      <c r="S311" s="48"/>
      <c r="T311" s="48"/>
      <c r="U311" s="48"/>
      <c r="V311" s="48"/>
    </row>
    <row r="312" spans="1:22" s="162" customFormat="1" x14ac:dyDescent="0.2">
      <c r="A312" s="395" t="s">
        <v>1249</v>
      </c>
      <c r="B312" s="220" t="s">
        <v>717</v>
      </c>
      <c r="C312" s="220" t="str">
        <f>COMPOSIÇÕES!B262</f>
        <v>CE-021</v>
      </c>
      <c r="D312" s="219" t="s">
        <v>778</v>
      </c>
      <c r="E312" s="220" t="s">
        <v>64</v>
      </c>
      <c r="F312" s="221">
        <v>1</v>
      </c>
      <c r="G312" s="221">
        <f>COMPOSIÇÕES!I262</f>
        <v>9606</v>
      </c>
      <c r="H312" s="221">
        <f>G312*(1+$L$20)</f>
        <v>12145.412063465974</v>
      </c>
      <c r="I312" s="222">
        <f t="shared" si="21"/>
        <v>12145.41</v>
      </c>
      <c r="J312" s="366"/>
      <c r="K312" s="186"/>
      <c r="L312" s="186"/>
      <c r="M312" s="186"/>
      <c r="N312" s="47"/>
      <c r="O312" s="47"/>
      <c r="P312" s="47"/>
      <c r="Q312" s="48"/>
      <c r="R312" s="47"/>
      <c r="S312" s="48"/>
      <c r="T312" s="48"/>
      <c r="U312" s="48"/>
      <c r="V312" s="48"/>
    </row>
    <row r="313" spans="1:22" ht="15" customHeight="1" x14ac:dyDescent="0.2">
      <c r="A313" s="395"/>
      <c r="B313" s="220"/>
      <c r="C313" s="405"/>
      <c r="D313" s="396"/>
      <c r="E313" s="392"/>
      <c r="F313" s="393"/>
      <c r="G313" s="394"/>
      <c r="H313" s="393"/>
      <c r="I313" s="408"/>
      <c r="J313" s="212"/>
      <c r="K313" s="47"/>
      <c r="L313" s="47"/>
      <c r="M313" s="47"/>
      <c r="N313" s="47"/>
      <c r="O313" s="47"/>
      <c r="P313" s="47"/>
      <c r="R313" s="47"/>
    </row>
    <row r="314" spans="1:22" ht="15" customHeight="1" x14ac:dyDescent="0.2">
      <c r="A314" s="409" t="s">
        <v>2749</v>
      </c>
      <c r="B314" s="410"/>
      <c r="C314" s="410"/>
      <c r="D314" s="411" t="s">
        <v>194</v>
      </c>
      <c r="E314" s="410"/>
      <c r="F314" s="412"/>
      <c r="G314" s="413"/>
      <c r="H314" s="414"/>
      <c r="I314" s="415">
        <f>SUM(I315:I333)</f>
        <v>626682.53999999992</v>
      </c>
      <c r="J314" s="211"/>
      <c r="K314" s="47"/>
      <c r="L314" s="47"/>
      <c r="M314" s="47"/>
      <c r="N314" s="47"/>
      <c r="O314" s="47"/>
      <c r="P314" s="47"/>
      <c r="R314" s="47"/>
    </row>
    <row r="315" spans="1:22" ht="30" customHeight="1" x14ac:dyDescent="0.2">
      <c r="A315" s="395" t="s">
        <v>1250</v>
      </c>
      <c r="B315" s="392" t="s">
        <v>94</v>
      </c>
      <c r="C315" s="392" t="s">
        <v>138</v>
      </c>
      <c r="D315" s="396" t="s">
        <v>139</v>
      </c>
      <c r="E315" s="392" t="s">
        <v>61</v>
      </c>
      <c r="F315" s="221">
        <v>530.91999999999996</v>
      </c>
      <c r="G315" s="221">
        <v>6.76</v>
      </c>
      <c r="H315" s="221">
        <f t="shared" ref="H315:H327" si="22">G315*(1+$L$20)</f>
        <v>8.5470524202612932</v>
      </c>
      <c r="I315" s="222">
        <f t="shared" ref="I315:I333" si="23">ROUND(F315*H315,2)</f>
        <v>4537.8</v>
      </c>
      <c r="J315" s="209"/>
      <c r="K315" s="47"/>
      <c r="L315" s="168"/>
      <c r="M315" s="47"/>
      <c r="N315" s="47"/>
      <c r="O315" s="47"/>
      <c r="P315" s="47"/>
      <c r="R315" s="47"/>
    </row>
    <row r="316" spans="1:22" ht="30" customHeight="1" x14ac:dyDescent="0.2">
      <c r="A316" s="395" t="s">
        <v>1251</v>
      </c>
      <c r="B316" s="392" t="s">
        <v>94</v>
      </c>
      <c r="C316" s="392" t="s">
        <v>112</v>
      </c>
      <c r="D316" s="396" t="s">
        <v>231</v>
      </c>
      <c r="E316" s="392" t="s">
        <v>62</v>
      </c>
      <c r="F316" s="221">
        <v>396.94</v>
      </c>
      <c r="G316" s="221">
        <v>3.07</v>
      </c>
      <c r="H316" s="221">
        <f t="shared" si="22"/>
        <v>3.8815755813908535</v>
      </c>
      <c r="I316" s="222">
        <f t="shared" si="23"/>
        <v>1540.75</v>
      </c>
      <c r="J316" s="209"/>
      <c r="K316" s="47"/>
      <c r="L316" s="168"/>
      <c r="M316" s="47"/>
      <c r="N316" s="47"/>
      <c r="O316" s="47"/>
      <c r="P316" s="47"/>
      <c r="R316" s="47"/>
    </row>
    <row r="317" spans="1:22" ht="30" customHeight="1" x14ac:dyDescent="0.2">
      <c r="A317" s="395" t="s">
        <v>1252</v>
      </c>
      <c r="B317" s="392" t="s">
        <v>94</v>
      </c>
      <c r="C317" s="392" t="s">
        <v>113</v>
      </c>
      <c r="D317" s="396" t="s">
        <v>114</v>
      </c>
      <c r="E317" s="392" t="s">
        <v>62</v>
      </c>
      <c r="F317" s="221">
        <v>247.89</v>
      </c>
      <c r="G317" s="221">
        <v>27.17</v>
      </c>
      <c r="H317" s="221">
        <f t="shared" si="22"/>
        <v>34.352576073742512</v>
      </c>
      <c r="I317" s="222">
        <f t="shared" si="23"/>
        <v>8515.66</v>
      </c>
      <c r="J317" s="209"/>
      <c r="K317" s="47"/>
      <c r="L317" s="168"/>
      <c r="M317" s="47"/>
      <c r="N317" s="47"/>
      <c r="O317" s="47"/>
      <c r="P317" s="47"/>
      <c r="R317" s="47"/>
    </row>
    <row r="318" spans="1:22" s="433" customFormat="1" ht="28.5" x14ac:dyDescent="0.2">
      <c r="A318" s="425" t="s">
        <v>1253</v>
      </c>
      <c r="B318" s="428" t="s">
        <v>94</v>
      </c>
      <c r="C318" s="428">
        <v>72208</v>
      </c>
      <c r="D318" s="427" t="s">
        <v>844</v>
      </c>
      <c r="E318" s="428" t="s">
        <v>62</v>
      </c>
      <c r="F318" s="429">
        <v>149.05000000000001</v>
      </c>
      <c r="G318" s="429">
        <v>5.54</v>
      </c>
      <c r="H318" s="429">
        <f t="shared" si="22"/>
        <v>7.0045370426401723</v>
      </c>
      <c r="I318" s="430">
        <f t="shared" si="23"/>
        <v>1044.03</v>
      </c>
      <c r="J318" s="431"/>
      <c r="K318" s="432"/>
      <c r="L318" s="432"/>
      <c r="M318" s="432"/>
      <c r="N318" s="347"/>
      <c r="O318" s="347"/>
      <c r="P318" s="347"/>
      <c r="Q318" s="160"/>
      <c r="R318" s="347"/>
      <c r="S318" s="160"/>
      <c r="T318" s="160"/>
      <c r="U318" s="160"/>
      <c r="V318" s="160"/>
    </row>
    <row r="319" spans="1:22" ht="30" customHeight="1" x14ac:dyDescent="0.2">
      <c r="A319" s="395" t="s">
        <v>1254</v>
      </c>
      <c r="B319" s="392" t="s">
        <v>94</v>
      </c>
      <c r="C319" s="392">
        <v>72841</v>
      </c>
      <c r="D319" s="396" t="s">
        <v>709</v>
      </c>
      <c r="E319" s="392" t="s">
        <v>710</v>
      </c>
      <c r="F319" s="221">
        <v>1013.56</v>
      </c>
      <c r="G319" s="221">
        <v>0.86</v>
      </c>
      <c r="H319" s="221">
        <f t="shared" si="22"/>
        <v>1.0873469055361999</v>
      </c>
      <c r="I319" s="222">
        <f t="shared" si="23"/>
        <v>1102.0899999999999</v>
      </c>
      <c r="J319" s="209"/>
      <c r="K319" s="47"/>
      <c r="L319" s="168"/>
      <c r="M319" s="47"/>
      <c r="N319" s="47"/>
      <c r="O319" s="47"/>
      <c r="P319" s="47"/>
      <c r="R319" s="47"/>
    </row>
    <row r="320" spans="1:22" ht="30" customHeight="1" x14ac:dyDescent="0.2">
      <c r="A320" s="395" t="s">
        <v>1255</v>
      </c>
      <c r="B320" s="392" t="s">
        <v>94</v>
      </c>
      <c r="C320" s="392" t="s">
        <v>121</v>
      </c>
      <c r="D320" s="396" t="s">
        <v>122</v>
      </c>
      <c r="E320" s="392" t="s">
        <v>62</v>
      </c>
      <c r="F320" s="221">
        <v>149.05000000000001</v>
      </c>
      <c r="G320" s="221">
        <v>2.08</v>
      </c>
      <c r="H320" s="221">
        <f t="shared" si="22"/>
        <v>2.6298622831573213</v>
      </c>
      <c r="I320" s="222">
        <f t="shared" si="23"/>
        <v>391.98</v>
      </c>
      <c r="J320" s="209"/>
      <c r="K320" s="47"/>
      <c r="L320" s="168"/>
      <c r="M320" s="47"/>
      <c r="N320" s="47"/>
      <c r="O320" s="47"/>
      <c r="P320" s="47"/>
      <c r="R320" s="47"/>
    </row>
    <row r="321" spans="1:22" s="162" customFormat="1" x14ac:dyDescent="0.2">
      <c r="A321" s="395" t="s">
        <v>1256</v>
      </c>
      <c r="B321" s="220" t="s">
        <v>94</v>
      </c>
      <c r="C321" s="220" t="s">
        <v>140</v>
      </c>
      <c r="D321" s="219" t="s">
        <v>141</v>
      </c>
      <c r="E321" s="220" t="s">
        <v>62</v>
      </c>
      <c r="F321" s="221">
        <v>237.42</v>
      </c>
      <c r="G321" s="221">
        <v>85.35</v>
      </c>
      <c r="H321" s="221">
        <f t="shared" si="22"/>
        <v>107.91285859013334</v>
      </c>
      <c r="I321" s="222">
        <f t="shared" si="23"/>
        <v>25620.67</v>
      </c>
      <c r="J321" s="209"/>
      <c r="K321" s="186"/>
      <c r="L321" s="186"/>
      <c r="M321" s="186"/>
      <c r="N321" s="47"/>
      <c r="O321" s="47"/>
      <c r="P321" s="47"/>
      <c r="Q321" s="48"/>
      <c r="R321" s="47"/>
      <c r="S321" s="48"/>
      <c r="T321" s="48"/>
      <c r="U321" s="48"/>
      <c r="V321" s="48"/>
    </row>
    <row r="322" spans="1:22" s="162" customFormat="1" x14ac:dyDescent="0.2">
      <c r="A322" s="395" t="s">
        <v>1257</v>
      </c>
      <c r="B322" s="220" t="s">
        <v>94</v>
      </c>
      <c r="C322" s="220" t="s">
        <v>82</v>
      </c>
      <c r="D322" s="219" t="s">
        <v>53</v>
      </c>
      <c r="E322" s="220" t="s">
        <v>62</v>
      </c>
      <c r="F322" s="221">
        <v>11.89</v>
      </c>
      <c r="G322" s="221">
        <v>344.14</v>
      </c>
      <c r="H322" s="221">
        <f t="shared" si="22"/>
        <v>435.11577217584636</v>
      </c>
      <c r="I322" s="222">
        <f t="shared" si="23"/>
        <v>5173.53</v>
      </c>
      <c r="J322" s="209"/>
      <c r="K322" s="186"/>
      <c r="L322" s="186"/>
      <c r="M322" s="186"/>
      <c r="N322" s="47"/>
      <c r="O322" s="47"/>
      <c r="P322" s="47"/>
      <c r="Q322" s="48"/>
      <c r="R322" s="47"/>
      <c r="S322" s="48"/>
      <c r="T322" s="48"/>
      <c r="U322" s="48"/>
      <c r="V322" s="48"/>
    </row>
    <row r="323" spans="1:22" s="160" customFormat="1" ht="30" customHeight="1" x14ac:dyDescent="0.2">
      <c r="A323" s="425" t="s">
        <v>1258</v>
      </c>
      <c r="B323" s="428" t="s">
        <v>94</v>
      </c>
      <c r="C323" s="428" t="s">
        <v>612</v>
      </c>
      <c r="D323" s="427" t="s">
        <v>613</v>
      </c>
      <c r="E323" s="428" t="s">
        <v>62</v>
      </c>
      <c r="F323" s="429">
        <v>215.12</v>
      </c>
      <c r="G323" s="429">
        <v>350.85</v>
      </c>
      <c r="H323" s="429">
        <f t="shared" si="22"/>
        <v>443.59960675276255</v>
      </c>
      <c r="I323" s="430">
        <f t="shared" si="23"/>
        <v>95427.15</v>
      </c>
      <c r="J323" s="431"/>
      <c r="K323" s="347"/>
      <c r="L323" s="435"/>
      <c r="M323" s="347"/>
      <c r="N323" s="347"/>
      <c r="O323" s="347"/>
      <c r="P323" s="347"/>
      <c r="R323" s="347"/>
    </row>
    <row r="324" spans="1:22" s="160" customFormat="1" ht="30" customHeight="1" x14ac:dyDescent="0.2">
      <c r="A324" s="425" t="s">
        <v>1259</v>
      </c>
      <c r="B324" s="426" t="s">
        <v>94</v>
      </c>
      <c r="C324" s="426" t="s">
        <v>845</v>
      </c>
      <c r="D324" s="434" t="s">
        <v>846</v>
      </c>
      <c r="E324" s="426" t="s">
        <v>61</v>
      </c>
      <c r="F324" s="429">
        <v>866.72</v>
      </c>
      <c r="G324" s="429">
        <v>52.56</v>
      </c>
      <c r="H324" s="429">
        <f t="shared" si="22"/>
        <v>66.454596924398459</v>
      </c>
      <c r="I324" s="430">
        <f t="shared" si="23"/>
        <v>57597.53</v>
      </c>
      <c r="J324" s="431"/>
      <c r="K324" s="347"/>
      <c r="L324" s="435"/>
      <c r="M324" s="347"/>
      <c r="N324" s="347"/>
      <c r="O324" s="347"/>
      <c r="P324" s="347"/>
      <c r="R324" s="347"/>
    </row>
    <row r="325" spans="1:22" s="160" customFormat="1" ht="30" customHeight="1" x14ac:dyDescent="0.2">
      <c r="A325" s="425" t="s">
        <v>1260</v>
      </c>
      <c r="B325" s="426" t="s">
        <v>94</v>
      </c>
      <c r="C325" s="426" t="s">
        <v>614</v>
      </c>
      <c r="D325" s="434" t="s">
        <v>615</v>
      </c>
      <c r="E325" s="426" t="s">
        <v>384</v>
      </c>
      <c r="F325" s="429">
        <v>22180.400000000001</v>
      </c>
      <c r="G325" s="429">
        <v>6.71</v>
      </c>
      <c r="H325" s="429">
        <f t="shared" si="22"/>
        <v>8.4838345769161663</v>
      </c>
      <c r="I325" s="430">
        <f t="shared" si="23"/>
        <v>188174.84</v>
      </c>
      <c r="J325" s="431"/>
      <c r="K325" s="347"/>
      <c r="L325" s="435"/>
      <c r="M325" s="347"/>
      <c r="N325" s="347"/>
      <c r="O325" s="347"/>
      <c r="P325" s="347"/>
      <c r="R325" s="347"/>
    </row>
    <row r="326" spans="1:22" ht="42.75" x14ac:dyDescent="0.2">
      <c r="A326" s="395" t="s">
        <v>1261</v>
      </c>
      <c r="B326" s="392" t="s">
        <v>94</v>
      </c>
      <c r="C326" s="392" t="s">
        <v>847</v>
      </c>
      <c r="D326" s="396" t="s">
        <v>848</v>
      </c>
      <c r="E326" s="392" t="s">
        <v>61</v>
      </c>
      <c r="F326" s="221">
        <v>673.78</v>
      </c>
      <c r="G326" s="221">
        <v>24.51</v>
      </c>
      <c r="H326" s="221">
        <f t="shared" si="22"/>
        <v>30.989386807781703</v>
      </c>
      <c r="I326" s="222">
        <f t="shared" si="23"/>
        <v>20880.03</v>
      </c>
      <c r="J326" s="209"/>
      <c r="K326" s="47"/>
      <c r="L326" s="168"/>
      <c r="M326" s="47"/>
      <c r="N326" s="47"/>
      <c r="O326" s="47"/>
      <c r="P326" s="47"/>
      <c r="R326" s="47"/>
    </row>
    <row r="327" spans="1:22" s="162" customFormat="1" x14ac:dyDescent="0.2">
      <c r="A327" s="395" t="s">
        <v>1262</v>
      </c>
      <c r="B327" s="220" t="s">
        <v>94</v>
      </c>
      <c r="C327" s="220">
        <v>73631</v>
      </c>
      <c r="D327" s="219" t="s">
        <v>722</v>
      </c>
      <c r="E327" s="220" t="s">
        <v>63</v>
      </c>
      <c r="F327" s="221">
        <v>66.010000000000005</v>
      </c>
      <c r="G327" s="221">
        <v>264.20999999999998</v>
      </c>
      <c r="H327" s="221">
        <f t="shared" si="22"/>
        <v>334.05572780432487</v>
      </c>
      <c r="I327" s="222">
        <f t="shared" si="23"/>
        <v>22051.02</v>
      </c>
      <c r="J327" s="209"/>
      <c r="K327" s="186"/>
      <c r="L327" s="186"/>
      <c r="M327" s="186"/>
      <c r="N327" s="47"/>
      <c r="O327" s="47"/>
      <c r="P327" s="47"/>
      <c r="Q327" s="48"/>
      <c r="R327" s="47"/>
      <c r="S327" s="48"/>
      <c r="T327" s="48"/>
      <c r="U327" s="48"/>
      <c r="V327" s="48"/>
    </row>
    <row r="328" spans="1:22" s="162" customFormat="1" x14ac:dyDescent="0.2">
      <c r="A328" s="395" t="s">
        <v>1263</v>
      </c>
      <c r="B328" s="220" t="s">
        <v>145</v>
      </c>
      <c r="C328" s="220"/>
      <c r="D328" s="219" t="s">
        <v>816</v>
      </c>
      <c r="E328" s="220" t="s">
        <v>64</v>
      </c>
      <c r="F328" s="221">
        <v>1</v>
      </c>
      <c r="G328" s="221">
        <v>73226.92</v>
      </c>
      <c r="H328" s="221">
        <f>G328*(1+$K$20)</f>
        <v>85529.330520691263</v>
      </c>
      <c r="I328" s="222">
        <f t="shared" si="23"/>
        <v>85529.33</v>
      </c>
      <c r="J328" s="209"/>
      <c r="K328" s="186"/>
      <c r="L328" s="186"/>
      <c r="M328" s="186"/>
      <c r="N328" s="47"/>
      <c r="O328" s="47"/>
      <c r="P328" s="47"/>
      <c r="Q328" s="48"/>
      <c r="R328" s="47"/>
      <c r="S328" s="48"/>
      <c r="T328" s="48"/>
      <c r="U328" s="48"/>
      <c r="V328" s="48"/>
    </row>
    <row r="329" spans="1:22" s="48" customFormat="1" ht="30" customHeight="1" x14ac:dyDescent="0.2">
      <c r="A329" s="395" t="s">
        <v>1264</v>
      </c>
      <c r="B329" s="392" t="s">
        <v>717</v>
      </c>
      <c r="C329" s="392" t="str">
        <f>COMPOSIÇÕES!B267</f>
        <v>CE-022</v>
      </c>
      <c r="D329" s="396" t="s">
        <v>426</v>
      </c>
      <c r="E329" s="392" t="s">
        <v>64</v>
      </c>
      <c r="F329" s="221">
        <v>1</v>
      </c>
      <c r="G329" s="221">
        <f>COMPOSIÇÕES!I267</f>
        <v>1727.0700000000002</v>
      </c>
      <c r="H329" s="221">
        <f>G329*(1+$L$20)</f>
        <v>2183.6328141214012</v>
      </c>
      <c r="I329" s="222">
        <f t="shared" si="23"/>
        <v>2183.63</v>
      </c>
      <c r="J329" s="366"/>
      <c r="K329" s="47"/>
      <c r="L329" s="168"/>
      <c r="M329" s="47"/>
      <c r="N329" s="47"/>
      <c r="O329" s="47"/>
      <c r="P329" s="47"/>
      <c r="R329" s="47"/>
    </row>
    <row r="330" spans="1:22" s="48" customFormat="1" ht="30" customHeight="1" x14ac:dyDescent="0.2">
      <c r="A330" s="395" t="s">
        <v>1265</v>
      </c>
      <c r="B330" s="392" t="s">
        <v>717</v>
      </c>
      <c r="C330" s="392" t="str">
        <f>COMPOSIÇÕES!B273</f>
        <v>CE-023</v>
      </c>
      <c r="D330" s="396" t="s">
        <v>427</v>
      </c>
      <c r="E330" s="392" t="s">
        <v>64</v>
      </c>
      <c r="F330" s="221">
        <v>8</v>
      </c>
      <c r="G330" s="221">
        <f>COMPOSIÇÕES!I273</f>
        <v>657.87</v>
      </c>
      <c r="H330" s="221">
        <f>G330*(1+$L$20)</f>
        <v>831.78245202918595</v>
      </c>
      <c r="I330" s="222">
        <f t="shared" si="23"/>
        <v>6654.26</v>
      </c>
      <c r="J330" s="366"/>
      <c r="K330" s="47"/>
      <c r="L330" s="168"/>
      <c r="M330" s="47"/>
      <c r="N330" s="47"/>
      <c r="O330" s="47"/>
      <c r="P330" s="47"/>
      <c r="R330" s="47"/>
    </row>
    <row r="331" spans="1:22" s="162" customFormat="1" x14ac:dyDescent="0.2">
      <c r="A331" s="395" t="s">
        <v>1266</v>
      </c>
      <c r="B331" s="220" t="s">
        <v>94</v>
      </c>
      <c r="C331" s="220" t="s">
        <v>248</v>
      </c>
      <c r="D331" s="219" t="s">
        <v>249</v>
      </c>
      <c r="E331" s="220" t="s">
        <v>62</v>
      </c>
      <c r="F331" s="221">
        <v>440.05</v>
      </c>
      <c r="G331" s="221">
        <v>138.53</v>
      </c>
      <c r="H331" s="221">
        <f>G331*(1+$L$20)</f>
        <v>175.15135677201138</v>
      </c>
      <c r="I331" s="222">
        <f t="shared" si="23"/>
        <v>77075.350000000006</v>
      </c>
      <c r="J331" s="209"/>
      <c r="K331" s="186"/>
      <c r="L331" s="186"/>
      <c r="M331" s="186"/>
      <c r="N331" s="47"/>
      <c r="O331" s="47"/>
      <c r="P331" s="47"/>
      <c r="Q331" s="48"/>
      <c r="R331" s="47"/>
      <c r="S331" s="48"/>
      <c r="T331" s="48"/>
      <c r="U331" s="48"/>
      <c r="V331" s="48"/>
    </row>
    <row r="332" spans="1:22" s="162" customFormat="1" x14ac:dyDescent="0.2">
      <c r="A332" s="395" t="s">
        <v>1267</v>
      </c>
      <c r="B332" s="220" t="s">
        <v>717</v>
      </c>
      <c r="C332" s="220" t="str">
        <f>COMPOSIÇÕES!B279</f>
        <v>CE-024</v>
      </c>
      <c r="D332" s="219" t="s">
        <v>779</v>
      </c>
      <c r="E332" s="220" t="s">
        <v>65</v>
      </c>
      <c r="F332" s="221">
        <v>1</v>
      </c>
      <c r="G332" s="221">
        <f>COMPOSIÇÕES!I279</f>
        <v>17050.054799999998</v>
      </c>
      <c r="H332" s="221">
        <f>G332*(1+$K$20)</f>
        <v>19914.531054769181</v>
      </c>
      <c r="I332" s="222">
        <f t="shared" si="23"/>
        <v>19914.53</v>
      </c>
      <c r="J332" s="366"/>
      <c r="K332" s="186"/>
      <c r="L332" s="186"/>
      <c r="M332" s="186"/>
      <c r="N332" s="47"/>
      <c r="O332" s="47"/>
      <c r="P332" s="47"/>
      <c r="Q332" s="48"/>
      <c r="R332" s="47"/>
      <c r="S332" s="48"/>
      <c r="T332" s="48"/>
      <c r="U332" s="48"/>
      <c r="V332" s="48"/>
    </row>
    <row r="333" spans="1:22" s="162" customFormat="1" x14ac:dyDescent="0.2">
      <c r="A333" s="395" t="s">
        <v>1268</v>
      </c>
      <c r="B333" s="220" t="s">
        <v>717</v>
      </c>
      <c r="C333" s="220" t="str">
        <f>COMPOSIÇÕES!B293</f>
        <v>CE-025</v>
      </c>
      <c r="D333" s="219" t="s">
        <v>882</v>
      </c>
      <c r="E333" s="220" t="s">
        <v>64</v>
      </c>
      <c r="F333" s="221">
        <v>1</v>
      </c>
      <c r="G333" s="221">
        <f>COMPOSIÇÕES!I293</f>
        <v>2585</v>
      </c>
      <c r="H333" s="221">
        <f>G333*(1+$L$20)</f>
        <v>3268.362500943113</v>
      </c>
      <c r="I333" s="222">
        <f t="shared" si="23"/>
        <v>3268.36</v>
      </c>
      <c r="J333" s="366"/>
      <c r="K333" s="186"/>
      <c r="L333" s="186"/>
      <c r="M333" s="186"/>
      <c r="N333" s="47"/>
      <c r="O333" s="47"/>
      <c r="P333" s="47"/>
      <c r="Q333" s="48"/>
      <c r="R333" s="47"/>
      <c r="S333" s="48"/>
      <c r="T333" s="48"/>
      <c r="U333" s="48"/>
      <c r="V333" s="48"/>
    </row>
    <row r="334" spans="1:22" ht="15" customHeight="1" x14ac:dyDescent="0.2">
      <c r="A334" s="395"/>
      <c r="B334" s="220"/>
      <c r="C334" s="405"/>
      <c r="D334" s="219"/>
      <c r="E334" s="392"/>
      <c r="F334" s="393"/>
      <c r="G334" s="394"/>
      <c r="H334" s="393"/>
      <c r="I334" s="408"/>
      <c r="J334" s="212"/>
      <c r="K334" s="47"/>
      <c r="L334" s="47"/>
      <c r="M334" s="47"/>
      <c r="N334" s="47"/>
      <c r="O334" s="47"/>
      <c r="P334" s="47"/>
      <c r="R334" s="47"/>
    </row>
    <row r="335" spans="1:22" ht="15" customHeight="1" x14ac:dyDescent="0.2">
      <c r="A335" s="409" t="s">
        <v>2750</v>
      </c>
      <c r="B335" s="410"/>
      <c r="C335" s="410"/>
      <c r="D335" s="411" t="s">
        <v>195</v>
      </c>
      <c r="E335" s="410"/>
      <c r="F335" s="412"/>
      <c r="G335" s="413"/>
      <c r="H335" s="414"/>
      <c r="I335" s="415">
        <f>SUM(I336:I354)</f>
        <v>281574.86</v>
      </c>
      <c r="J335" s="211"/>
      <c r="K335" s="49"/>
      <c r="L335" s="50"/>
      <c r="M335" s="49"/>
      <c r="N335" s="47"/>
      <c r="O335" s="47"/>
      <c r="P335" s="47"/>
      <c r="R335" s="47"/>
    </row>
    <row r="336" spans="1:22" ht="30" customHeight="1" x14ac:dyDescent="0.2">
      <c r="A336" s="395" t="s">
        <v>1269</v>
      </c>
      <c r="B336" s="392" t="s">
        <v>94</v>
      </c>
      <c r="C336" s="392" t="s">
        <v>138</v>
      </c>
      <c r="D336" s="396" t="s">
        <v>139</v>
      </c>
      <c r="E336" s="392" t="s">
        <v>61</v>
      </c>
      <c r="F336" s="221">
        <v>311.02</v>
      </c>
      <c r="G336" s="221">
        <v>6.76</v>
      </c>
      <c r="H336" s="221">
        <f t="shared" ref="H336:H347" si="24">G336*(1+$L$20)</f>
        <v>8.5470524202612932</v>
      </c>
      <c r="I336" s="222">
        <f t="shared" ref="I336:I354" si="25">ROUND(F336*H336,2)</f>
        <v>2658.3</v>
      </c>
      <c r="J336" s="209"/>
      <c r="K336" s="47"/>
      <c r="L336" s="168"/>
      <c r="M336" s="47"/>
      <c r="N336" s="47"/>
      <c r="O336" s="47"/>
      <c r="P336" s="47"/>
      <c r="R336" s="47"/>
    </row>
    <row r="337" spans="1:22" ht="30" customHeight="1" x14ac:dyDescent="0.2">
      <c r="A337" s="395" t="s">
        <v>1270</v>
      </c>
      <c r="B337" s="392" t="s">
        <v>94</v>
      </c>
      <c r="C337" s="392" t="s">
        <v>112</v>
      </c>
      <c r="D337" s="396" t="s">
        <v>231</v>
      </c>
      <c r="E337" s="392" t="s">
        <v>62</v>
      </c>
      <c r="F337" s="221">
        <v>601.98</v>
      </c>
      <c r="G337" s="221">
        <v>3.07</v>
      </c>
      <c r="H337" s="221">
        <f t="shared" si="24"/>
        <v>3.8815755813908535</v>
      </c>
      <c r="I337" s="222">
        <f t="shared" si="25"/>
        <v>2336.63</v>
      </c>
      <c r="J337" s="209"/>
      <c r="K337" s="47"/>
      <c r="L337" s="168"/>
      <c r="M337" s="47"/>
      <c r="N337" s="47"/>
      <c r="O337" s="47"/>
      <c r="P337" s="47"/>
      <c r="R337" s="47"/>
    </row>
    <row r="338" spans="1:22" ht="30" customHeight="1" x14ac:dyDescent="0.2">
      <c r="A338" s="395" t="s">
        <v>1271</v>
      </c>
      <c r="B338" s="392" t="s">
        <v>94</v>
      </c>
      <c r="C338" s="392" t="s">
        <v>113</v>
      </c>
      <c r="D338" s="396" t="s">
        <v>114</v>
      </c>
      <c r="E338" s="392" t="s">
        <v>62</v>
      </c>
      <c r="F338" s="221">
        <v>203.78</v>
      </c>
      <c r="G338" s="221">
        <v>27.17</v>
      </c>
      <c r="H338" s="221">
        <f t="shared" si="24"/>
        <v>34.352576073742512</v>
      </c>
      <c r="I338" s="222">
        <f t="shared" si="25"/>
        <v>7000.37</v>
      </c>
      <c r="J338" s="209"/>
      <c r="K338" s="47"/>
      <c r="L338" s="168"/>
      <c r="M338" s="47"/>
      <c r="N338" s="47"/>
      <c r="O338" s="47"/>
      <c r="P338" s="47"/>
      <c r="R338" s="47"/>
    </row>
    <row r="339" spans="1:22" s="433" customFormat="1" ht="28.5" x14ac:dyDescent="0.2">
      <c r="A339" s="425" t="s">
        <v>1272</v>
      </c>
      <c r="B339" s="428" t="s">
        <v>94</v>
      </c>
      <c r="C339" s="428">
        <v>72208</v>
      </c>
      <c r="D339" s="427" t="s">
        <v>844</v>
      </c>
      <c r="E339" s="428" t="s">
        <v>62</v>
      </c>
      <c r="F339" s="429">
        <v>398.2</v>
      </c>
      <c r="G339" s="429">
        <v>5.54</v>
      </c>
      <c r="H339" s="429">
        <f t="shared" si="24"/>
        <v>7.0045370426401723</v>
      </c>
      <c r="I339" s="430">
        <f t="shared" si="25"/>
        <v>2789.21</v>
      </c>
      <c r="J339" s="431"/>
      <c r="K339" s="432"/>
      <c r="L339" s="432"/>
      <c r="M339" s="432"/>
      <c r="N339" s="347"/>
      <c r="O339" s="347"/>
      <c r="P339" s="347"/>
      <c r="Q339" s="160"/>
      <c r="R339" s="347"/>
      <c r="S339" s="160"/>
      <c r="T339" s="160"/>
      <c r="U339" s="160"/>
      <c r="V339" s="160"/>
    </row>
    <row r="340" spans="1:22" s="162" customFormat="1" ht="28.5" x14ac:dyDescent="0.2">
      <c r="A340" s="395" t="s">
        <v>1273</v>
      </c>
      <c r="B340" s="220" t="s">
        <v>94</v>
      </c>
      <c r="C340" s="220">
        <v>72841</v>
      </c>
      <c r="D340" s="219" t="s">
        <v>709</v>
      </c>
      <c r="E340" s="220" t="s">
        <v>710</v>
      </c>
      <c r="F340" s="221">
        <v>2707.74</v>
      </c>
      <c r="G340" s="221">
        <v>0.86</v>
      </c>
      <c r="H340" s="221">
        <f t="shared" si="24"/>
        <v>1.0873469055361999</v>
      </c>
      <c r="I340" s="222">
        <f t="shared" si="25"/>
        <v>2944.25</v>
      </c>
      <c r="J340" s="209"/>
      <c r="K340" s="186"/>
      <c r="L340" s="186"/>
      <c r="M340" s="186"/>
      <c r="N340" s="47"/>
      <c r="O340" s="47"/>
      <c r="P340" s="47"/>
      <c r="Q340" s="48"/>
      <c r="R340" s="47"/>
      <c r="S340" s="48"/>
      <c r="T340" s="48"/>
      <c r="U340" s="48"/>
      <c r="V340" s="48"/>
    </row>
    <row r="341" spans="1:22" ht="30" customHeight="1" x14ac:dyDescent="0.2">
      <c r="A341" s="395" t="s">
        <v>1274</v>
      </c>
      <c r="B341" s="392" t="s">
        <v>94</v>
      </c>
      <c r="C341" s="392" t="s">
        <v>121</v>
      </c>
      <c r="D341" s="396" t="s">
        <v>122</v>
      </c>
      <c r="E341" s="392" t="s">
        <v>62</v>
      </c>
      <c r="F341" s="221">
        <v>398.2</v>
      </c>
      <c r="G341" s="221">
        <v>2.08</v>
      </c>
      <c r="H341" s="221">
        <f t="shared" si="24"/>
        <v>2.6298622831573213</v>
      </c>
      <c r="I341" s="222">
        <f t="shared" si="25"/>
        <v>1047.21</v>
      </c>
      <c r="J341" s="209"/>
      <c r="K341" s="47"/>
      <c r="L341" s="168"/>
      <c r="M341" s="47"/>
      <c r="N341" s="47"/>
      <c r="O341" s="47"/>
      <c r="P341" s="47"/>
      <c r="R341" s="47"/>
    </row>
    <row r="342" spans="1:22" s="162" customFormat="1" x14ac:dyDescent="0.2">
      <c r="A342" s="395" t="s">
        <v>1275</v>
      </c>
      <c r="B342" s="392" t="s">
        <v>94</v>
      </c>
      <c r="C342" s="392" t="s">
        <v>140</v>
      </c>
      <c r="D342" s="396" t="s">
        <v>141</v>
      </c>
      <c r="E342" s="392" t="s">
        <v>62</v>
      </c>
      <c r="F342" s="221">
        <v>39.04</v>
      </c>
      <c r="G342" s="221">
        <v>85.35</v>
      </c>
      <c r="H342" s="221">
        <f t="shared" si="24"/>
        <v>107.91285859013334</v>
      </c>
      <c r="I342" s="222">
        <f t="shared" si="25"/>
        <v>4212.92</v>
      </c>
      <c r="J342" s="209"/>
      <c r="K342" s="186"/>
      <c r="L342" s="186"/>
      <c r="M342" s="186"/>
      <c r="N342" s="47"/>
      <c r="O342" s="47"/>
      <c r="P342" s="47"/>
      <c r="Q342" s="48"/>
      <c r="R342" s="47"/>
      <c r="S342" s="48"/>
      <c r="T342" s="48"/>
      <c r="U342" s="48"/>
      <c r="V342" s="48"/>
    </row>
    <row r="343" spans="1:22" s="162" customFormat="1" x14ac:dyDescent="0.2">
      <c r="A343" s="395" t="s">
        <v>1276</v>
      </c>
      <c r="B343" s="220" t="s">
        <v>94</v>
      </c>
      <c r="C343" s="220" t="s">
        <v>82</v>
      </c>
      <c r="D343" s="219" t="s">
        <v>53</v>
      </c>
      <c r="E343" s="220" t="s">
        <v>62</v>
      </c>
      <c r="F343" s="221">
        <v>7.81</v>
      </c>
      <c r="G343" s="221">
        <v>344.14</v>
      </c>
      <c r="H343" s="221">
        <f t="shared" si="24"/>
        <v>435.11577217584636</v>
      </c>
      <c r="I343" s="222">
        <f t="shared" si="25"/>
        <v>3398.25</v>
      </c>
      <c r="J343" s="209"/>
      <c r="K343" s="186"/>
      <c r="L343" s="186"/>
      <c r="M343" s="186"/>
      <c r="N343" s="47"/>
      <c r="O343" s="47"/>
      <c r="P343" s="47"/>
      <c r="Q343" s="48"/>
      <c r="R343" s="47"/>
      <c r="S343" s="48"/>
      <c r="T343" s="48"/>
      <c r="U343" s="48"/>
      <c r="V343" s="48"/>
    </row>
    <row r="344" spans="1:22" s="160" customFormat="1" ht="30" customHeight="1" x14ac:dyDescent="0.2">
      <c r="A344" s="425" t="s">
        <v>1277</v>
      </c>
      <c r="B344" s="428" t="s">
        <v>94</v>
      </c>
      <c r="C344" s="428" t="s">
        <v>612</v>
      </c>
      <c r="D344" s="427" t="s">
        <v>613</v>
      </c>
      <c r="E344" s="428" t="s">
        <v>62</v>
      </c>
      <c r="F344" s="429">
        <v>89.41</v>
      </c>
      <c r="G344" s="429">
        <v>350.85</v>
      </c>
      <c r="H344" s="429">
        <f t="shared" si="24"/>
        <v>443.59960675276255</v>
      </c>
      <c r="I344" s="430">
        <f t="shared" si="25"/>
        <v>39662.239999999998</v>
      </c>
      <c r="J344" s="431"/>
      <c r="K344" s="347"/>
      <c r="L344" s="435"/>
      <c r="M344" s="347"/>
      <c r="N344" s="347"/>
      <c r="O344" s="347"/>
      <c r="P344" s="347"/>
      <c r="R344" s="347"/>
    </row>
    <row r="345" spans="1:22" s="160" customFormat="1" ht="30" customHeight="1" x14ac:dyDescent="0.2">
      <c r="A345" s="425" t="s">
        <v>1278</v>
      </c>
      <c r="B345" s="426" t="s">
        <v>94</v>
      </c>
      <c r="C345" s="426" t="s">
        <v>845</v>
      </c>
      <c r="D345" s="434" t="s">
        <v>846</v>
      </c>
      <c r="E345" s="426" t="s">
        <v>61</v>
      </c>
      <c r="F345" s="429">
        <v>354.98</v>
      </c>
      <c r="G345" s="429">
        <v>52.56</v>
      </c>
      <c r="H345" s="429">
        <f t="shared" si="24"/>
        <v>66.454596924398459</v>
      </c>
      <c r="I345" s="430">
        <f t="shared" si="25"/>
        <v>23590.05</v>
      </c>
      <c r="J345" s="431"/>
      <c r="K345" s="347"/>
      <c r="L345" s="435"/>
      <c r="M345" s="347"/>
      <c r="N345" s="347"/>
      <c r="O345" s="347"/>
      <c r="P345" s="347"/>
      <c r="R345" s="347"/>
    </row>
    <row r="346" spans="1:22" s="160" customFormat="1" ht="30" customHeight="1" x14ac:dyDescent="0.2">
      <c r="A346" s="425" t="s">
        <v>1279</v>
      </c>
      <c r="B346" s="426" t="s">
        <v>94</v>
      </c>
      <c r="C346" s="426" t="s">
        <v>614</v>
      </c>
      <c r="D346" s="434" t="s">
        <v>615</v>
      </c>
      <c r="E346" s="426" t="s">
        <v>384</v>
      </c>
      <c r="F346" s="429">
        <v>7492.2</v>
      </c>
      <c r="G346" s="429">
        <v>6.71</v>
      </c>
      <c r="H346" s="429">
        <f t="shared" si="24"/>
        <v>8.4838345769161663</v>
      </c>
      <c r="I346" s="430">
        <f t="shared" si="25"/>
        <v>63562.59</v>
      </c>
      <c r="J346" s="431"/>
      <c r="K346" s="347"/>
      <c r="L346" s="435"/>
      <c r="M346" s="347"/>
      <c r="N346" s="347"/>
      <c r="O346" s="347"/>
      <c r="P346" s="347"/>
      <c r="R346" s="347"/>
    </row>
    <row r="347" spans="1:22" ht="42.75" x14ac:dyDescent="0.2">
      <c r="A347" s="395" t="s">
        <v>1280</v>
      </c>
      <c r="B347" s="392" t="s">
        <v>94</v>
      </c>
      <c r="C347" s="392" t="s">
        <v>847</v>
      </c>
      <c r="D347" s="396" t="s">
        <v>848</v>
      </c>
      <c r="E347" s="392" t="s">
        <v>61</v>
      </c>
      <c r="F347" s="221">
        <v>189.52</v>
      </c>
      <c r="G347" s="221">
        <v>24.51</v>
      </c>
      <c r="H347" s="221">
        <f t="shared" si="24"/>
        <v>30.989386807781703</v>
      </c>
      <c r="I347" s="222">
        <f t="shared" si="25"/>
        <v>5873.11</v>
      </c>
      <c r="J347" s="209"/>
      <c r="K347" s="47"/>
      <c r="L347" s="168"/>
      <c r="M347" s="47"/>
      <c r="N347" s="47"/>
      <c r="O347" s="47"/>
      <c r="P347" s="47"/>
      <c r="R347" s="47"/>
    </row>
    <row r="348" spans="1:22" s="162" customFormat="1" x14ac:dyDescent="0.2">
      <c r="A348" s="395" t="s">
        <v>1281</v>
      </c>
      <c r="B348" s="220" t="s">
        <v>145</v>
      </c>
      <c r="C348" s="220"/>
      <c r="D348" s="219" t="s">
        <v>818</v>
      </c>
      <c r="E348" s="220" t="s">
        <v>64</v>
      </c>
      <c r="F348" s="221">
        <v>1</v>
      </c>
      <c r="G348" s="221">
        <v>85306.41</v>
      </c>
      <c r="H348" s="221">
        <f>G348*(1+$K$20)</f>
        <v>99638.222342597539</v>
      </c>
      <c r="I348" s="222">
        <f t="shared" si="25"/>
        <v>99638.22</v>
      </c>
      <c r="J348" s="209"/>
      <c r="K348" s="186"/>
      <c r="L348" s="186"/>
      <c r="M348" s="186"/>
      <c r="N348" s="47"/>
      <c r="O348" s="47"/>
      <c r="P348" s="47"/>
      <c r="Q348" s="48"/>
      <c r="R348" s="47"/>
      <c r="S348" s="48"/>
      <c r="T348" s="48"/>
      <c r="U348" s="48"/>
      <c r="V348" s="48"/>
    </row>
    <row r="349" spans="1:22" s="48" customFormat="1" ht="30" customHeight="1" x14ac:dyDescent="0.2">
      <c r="A349" s="395" t="s">
        <v>1282</v>
      </c>
      <c r="B349" s="392" t="s">
        <v>717</v>
      </c>
      <c r="C349" s="392" t="str">
        <f>COMPOSIÇÕES!B297</f>
        <v>CE-026</v>
      </c>
      <c r="D349" s="396" t="s">
        <v>428</v>
      </c>
      <c r="E349" s="392" t="s">
        <v>64</v>
      </c>
      <c r="F349" s="221">
        <v>1</v>
      </c>
      <c r="G349" s="221">
        <f>COMPOSIÇÕES!I297</f>
        <v>2513.87</v>
      </c>
      <c r="H349" s="221">
        <f>G349*(1+$L$20)</f>
        <v>3178.4287970003338</v>
      </c>
      <c r="I349" s="222">
        <f t="shared" si="25"/>
        <v>3178.43</v>
      </c>
      <c r="J349" s="366"/>
      <c r="K349" s="47"/>
      <c r="L349" s="168"/>
      <c r="M349" s="47"/>
      <c r="N349" s="47"/>
      <c r="O349" s="47"/>
      <c r="P349" s="47"/>
      <c r="R349" s="47"/>
    </row>
    <row r="350" spans="1:22" s="48" customFormat="1" ht="30" customHeight="1" x14ac:dyDescent="0.2">
      <c r="A350" s="395" t="s">
        <v>1283</v>
      </c>
      <c r="B350" s="392" t="s">
        <v>717</v>
      </c>
      <c r="C350" s="392" t="str">
        <f>COMPOSIÇÕES!B207</f>
        <v>CE-018</v>
      </c>
      <c r="D350" s="396" t="s">
        <v>429</v>
      </c>
      <c r="E350" s="392" t="s">
        <v>64</v>
      </c>
      <c r="F350" s="221">
        <v>1</v>
      </c>
      <c r="G350" s="221">
        <f>COMPOSIÇÕES!I207</f>
        <v>658.32</v>
      </c>
      <c r="H350" s="221">
        <f>G350*(1+$L$20)</f>
        <v>832.3514126192922</v>
      </c>
      <c r="I350" s="222">
        <f t="shared" si="25"/>
        <v>832.35</v>
      </c>
      <c r="J350" s="366"/>
      <c r="K350" s="47"/>
      <c r="L350" s="168"/>
      <c r="M350" s="47"/>
      <c r="N350" s="47"/>
      <c r="O350" s="47"/>
      <c r="P350" s="47"/>
      <c r="R350" s="47"/>
    </row>
    <row r="351" spans="1:22" s="48" customFormat="1" ht="30" customHeight="1" x14ac:dyDescent="0.2">
      <c r="A351" s="395" t="s">
        <v>1284</v>
      </c>
      <c r="B351" s="392" t="s">
        <v>717</v>
      </c>
      <c r="C351" s="392" t="str">
        <f>COMPOSIÇÕES!B303</f>
        <v>CE-027</v>
      </c>
      <c r="D351" s="396" t="s">
        <v>430</v>
      </c>
      <c r="E351" s="392" t="s">
        <v>64</v>
      </c>
      <c r="F351" s="221">
        <v>1</v>
      </c>
      <c r="G351" s="221">
        <f>COMPOSIÇÕES!I303</f>
        <v>717.93</v>
      </c>
      <c r="H351" s="221">
        <f>G351*(1+$L$20)</f>
        <v>907.71972545535357</v>
      </c>
      <c r="I351" s="222">
        <f t="shared" si="25"/>
        <v>907.72</v>
      </c>
      <c r="J351" s="366"/>
      <c r="K351" s="47"/>
      <c r="L351" s="168"/>
      <c r="M351" s="47"/>
      <c r="N351" s="47"/>
      <c r="O351" s="47"/>
      <c r="P351" s="47"/>
      <c r="R351" s="47"/>
    </row>
    <row r="352" spans="1:22" s="162" customFormat="1" ht="42.75" x14ac:dyDescent="0.2">
      <c r="A352" s="395" t="s">
        <v>1285</v>
      </c>
      <c r="B352" s="220" t="s">
        <v>717</v>
      </c>
      <c r="C352" s="220" t="str">
        <f>COMPOSIÇÕES!B309</f>
        <v>CE-028</v>
      </c>
      <c r="D352" s="219" t="s">
        <v>431</v>
      </c>
      <c r="E352" s="220" t="s">
        <v>64</v>
      </c>
      <c r="F352" s="221">
        <v>1</v>
      </c>
      <c r="G352" s="221">
        <f>COMPOSIÇÕES!I309</f>
        <v>310.14</v>
      </c>
      <c r="H352" s="221">
        <f>G352*(1+$L$20)</f>
        <v>392.12763870115941</v>
      </c>
      <c r="I352" s="222">
        <f t="shared" si="25"/>
        <v>392.13</v>
      </c>
      <c r="J352" s="366"/>
      <c r="K352" s="186"/>
      <c r="L352" s="186"/>
      <c r="M352" s="186"/>
      <c r="N352" s="47"/>
      <c r="O352" s="47"/>
      <c r="P352" s="47"/>
      <c r="Q352" s="48"/>
      <c r="R352" s="47"/>
      <c r="S352" s="48"/>
      <c r="T352" s="48"/>
      <c r="U352" s="48"/>
      <c r="V352" s="48"/>
    </row>
    <row r="353" spans="1:22" s="162" customFormat="1" x14ac:dyDescent="0.2">
      <c r="A353" s="395" t="s">
        <v>1286</v>
      </c>
      <c r="B353" s="220" t="s">
        <v>717</v>
      </c>
      <c r="C353" s="220" t="str">
        <f>COMPOSIÇÕES!B315</f>
        <v>CE-029</v>
      </c>
      <c r="D353" s="219" t="s">
        <v>817</v>
      </c>
      <c r="E353" s="220" t="s">
        <v>65</v>
      </c>
      <c r="F353" s="221">
        <v>1</v>
      </c>
      <c r="G353" s="221">
        <f>COMPOSIÇÕES!I315</f>
        <v>12787.79</v>
      </c>
      <c r="H353" s="221">
        <f>G353*(1+$K$20)</f>
        <v>14936.189007255673</v>
      </c>
      <c r="I353" s="222">
        <f t="shared" si="25"/>
        <v>14936.19</v>
      </c>
      <c r="J353" s="366"/>
      <c r="K353" s="186"/>
      <c r="L353" s="186"/>
      <c r="M353" s="186"/>
      <c r="N353" s="47"/>
      <c r="O353" s="47"/>
      <c r="P353" s="47"/>
      <c r="Q353" s="48"/>
      <c r="R353" s="47"/>
      <c r="S353" s="48"/>
      <c r="T353" s="48"/>
      <c r="U353" s="48"/>
      <c r="V353" s="48"/>
    </row>
    <row r="354" spans="1:22" s="162" customFormat="1" x14ac:dyDescent="0.2">
      <c r="A354" s="395" t="s">
        <v>1287</v>
      </c>
      <c r="B354" s="220" t="s">
        <v>717</v>
      </c>
      <c r="C354" s="220" t="str">
        <f>COMPOSIÇÕES!B331</f>
        <v>CE-030</v>
      </c>
      <c r="D354" s="219" t="s">
        <v>780</v>
      </c>
      <c r="E354" s="220" t="s">
        <v>64</v>
      </c>
      <c r="F354" s="221">
        <v>1</v>
      </c>
      <c r="G354" s="221">
        <f>COMPOSIÇÕES!I331</f>
        <v>2068</v>
      </c>
      <c r="H354" s="221">
        <f>G354*(1+$L$20)</f>
        <v>2614.6900007544905</v>
      </c>
      <c r="I354" s="222">
        <f t="shared" si="25"/>
        <v>2614.69</v>
      </c>
      <c r="J354" s="366"/>
      <c r="K354" s="186"/>
      <c r="L354" s="186"/>
      <c r="M354" s="186"/>
      <c r="N354" s="47"/>
      <c r="O354" s="47"/>
      <c r="P354" s="47"/>
      <c r="Q354" s="48"/>
      <c r="R354" s="47"/>
      <c r="S354" s="48"/>
      <c r="T354" s="48"/>
      <c r="U354" s="48"/>
      <c r="V354" s="48"/>
    </row>
    <row r="355" spans="1:22" s="162" customFormat="1" x14ac:dyDescent="0.2">
      <c r="A355" s="395"/>
      <c r="B355" s="220"/>
      <c r="C355" s="220"/>
      <c r="D355" s="219"/>
      <c r="E355" s="220"/>
      <c r="F355" s="221"/>
      <c r="G355" s="221"/>
      <c r="H355" s="221"/>
      <c r="I355" s="222"/>
      <c r="J355" s="366"/>
      <c r="K355" s="186"/>
      <c r="L355" s="186"/>
      <c r="M355" s="186"/>
      <c r="N355" s="47"/>
      <c r="O355" s="47"/>
      <c r="P355" s="47"/>
      <c r="Q355" s="48"/>
      <c r="R355" s="47"/>
      <c r="S355" s="48"/>
      <c r="T355" s="48"/>
      <c r="U355" s="48"/>
      <c r="V355" s="48"/>
    </row>
    <row r="356" spans="1:22" s="48" customFormat="1" ht="15" customHeight="1" x14ac:dyDescent="0.2">
      <c r="A356" s="395"/>
      <c r="B356" s="220"/>
      <c r="C356" s="405"/>
      <c r="D356" s="219"/>
      <c r="E356" s="392"/>
      <c r="F356" s="393"/>
      <c r="G356" s="394"/>
      <c r="H356" s="393"/>
      <c r="I356" s="408"/>
      <c r="J356" s="380"/>
      <c r="K356" s="47"/>
      <c r="L356" s="47"/>
      <c r="M356" s="47"/>
      <c r="N356" s="47"/>
      <c r="O356" s="47"/>
      <c r="P356" s="47"/>
      <c r="R356" s="47"/>
    </row>
    <row r="357" spans="1:22" ht="15" customHeight="1" x14ac:dyDescent="0.2">
      <c r="A357" s="409" t="s">
        <v>2751</v>
      </c>
      <c r="B357" s="410"/>
      <c r="C357" s="410"/>
      <c r="D357" s="411" t="s">
        <v>199</v>
      </c>
      <c r="E357" s="410"/>
      <c r="F357" s="412"/>
      <c r="G357" s="413"/>
      <c r="H357" s="414"/>
      <c r="I357" s="415">
        <f>SUM(I358:I376)</f>
        <v>273407.01</v>
      </c>
      <c r="J357" s="211"/>
      <c r="K357" s="49"/>
      <c r="L357" s="49"/>
      <c r="M357" s="49"/>
      <c r="N357" s="47"/>
      <c r="O357" s="47"/>
      <c r="P357" s="47"/>
      <c r="R357" s="47"/>
    </row>
    <row r="358" spans="1:22" ht="30" customHeight="1" x14ac:dyDescent="0.2">
      <c r="A358" s="395" t="s">
        <v>1288</v>
      </c>
      <c r="B358" s="392" t="s">
        <v>94</v>
      </c>
      <c r="C358" s="392" t="s">
        <v>138</v>
      </c>
      <c r="D358" s="396" t="s">
        <v>139</v>
      </c>
      <c r="E358" s="392" t="s">
        <v>61</v>
      </c>
      <c r="F358" s="221">
        <v>657.72</v>
      </c>
      <c r="G358" s="221">
        <v>6.76</v>
      </c>
      <c r="H358" s="221">
        <f t="shared" ref="H358:H374" si="26">G358*(1+$L$20)</f>
        <v>8.5470524202612932</v>
      </c>
      <c r="I358" s="222">
        <f t="shared" ref="I358:I376" si="27">ROUND(F358*H358,2)</f>
        <v>5621.57</v>
      </c>
      <c r="J358" s="209"/>
      <c r="K358" s="47"/>
      <c r="L358" s="168"/>
      <c r="M358" s="47"/>
      <c r="N358" s="47"/>
      <c r="O358" s="47"/>
      <c r="P358" s="47"/>
      <c r="R358" s="47"/>
    </row>
    <row r="359" spans="1:22" ht="30" customHeight="1" x14ac:dyDescent="0.2">
      <c r="A359" s="395" t="s">
        <v>1289</v>
      </c>
      <c r="B359" s="392" t="s">
        <v>94</v>
      </c>
      <c r="C359" s="392" t="s">
        <v>112</v>
      </c>
      <c r="D359" s="396" t="s">
        <v>231</v>
      </c>
      <c r="E359" s="392" t="s">
        <v>62</v>
      </c>
      <c r="F359" s="221">
        <v>1365.02</v>
      </c>
      <c r="G359" s="221">
        <v>3.07</v>
      </c>
      <c r="H359" s="221">
        <f t="shared" si="26"/>
        <v>3.8815755813908535</v>
      </c>
      <c r="I359" s="222">
        <f t="shared" si="27"/>
        <v>5298.43</v>
      </c>
      <c r="J359" s="209"/>
      <c r="K359" s="47"/>
      <c r="L359" s="168"/>
      <c r="M359" s="47"/>
      <c r="N359" s="47"/>
      <c r="O359" s="47"/>
      <c r="P359" s="47"/>
      <c r="R359" s="47"/>
    </row>
    <row r="360" spans="1:22" ht="30" customHeight="1" x14ac:dyDescent="0.2">
      <c r="A360" s="395" t="s">
        <v>1290</v>
      </c>
      <c r="B360" s="392" t="s">
        <v>94</v>
      </c>
      <c r="C360" s="392" t="s">
        <v>113</v>
      </c>
      <c r="D360" s="396" t="s">
        <v>114</v>
      </c>
      <c r="E360" s="392" t="s">
        <v>62</v>
      </c>
      <c r="F360" s="221">
        <v>157.61000000000001</v>
      </c>
      <c r="G360" s="221">
        <v>27.17</v>
      </c>
      <c r="H360" s="221">
        <f t="shared" si="26"/>
        <v>34.352576073742512</v>
      </c>
      <c r="I360" s="222">
        <f t="shared" si="27"/>
        <v>5414.31</v>
      </c>
      <c r="J360" s="209"/>
      <c r="K360" s="47"/>
      <c r="L360" s="168"/>
      <c r="M360" s="47"/>
      <c r="N360" s="47"/>
      <c r="O360" s="47"/>
      <c r="P360" s="47"/>
      <c r="R360" s="47"/>
    </row>
    <row r="361" spans="1:22" s="433" customFormat="1" ht="18" customHeight="1" x14ac:dyDescent="0.2">
      <c r="A361" s="425" t="s">
        <v>1291</v>
      </c>
      <c r="B361" s="428" t="s">
        <v>94</v>
      </c>
      <c r="C361" s="428">
        <v>72208</v>
      </c>
      <c r="D361" s="427" t="s">
        <v>844</v>
      </c>
      <c r="E361" s="428" t="s">
        <v>62</v>
      </c>
      <c r="F361" s="429">
        <v>1207.4100000000001</v>
      </c>
      <c r="G361" s="429">
        <v>5.54</v>
      </c>
      <c r="H361" s="429">
        <f t="shared" si="26"/>
        <v>7.0045370426401723</v>
      </c>
      <c r="I361" s="430">
        <f t="shared" si="27"/>
        <v>8457.35</v>
      </c>
      <c r="J361" s="431"/>
      <c r="K361" s="432"/>
      <c r="L361" s="432"/>
      <c r="M361" s="432"/>
      <c r="N361" s="347"/>
      <c r="O361" s="347"/>
      <c r="P361" s="347"/>
      <c r="Q361" s="160"/>
      <c r="R361" s="347"/>
      <c r="S361" s="160"/>
      <c r="T361" s="160"/>
      <c r="U361" s="160"/>
      <c r="V361" s="160"/>
    </row>
    <row r="362" spans="1:22" ht="30" customHeight="1" x14ac:dyDescent="0.2">
      <c r="A362" s="395" t="s">
        <v>1292</v>
      </c>
      <c r="B362" s="392" t="s">
        <v>94</v>
      </c>
      <c r="C362" s="392">
        <v>72841</v>
      </c>
      <c r="D362" s="396" t="s">
        <v>709</v>
      </c>
      <c r="E362" s="392" t="s">
        <v>710</v>
      </c>
      <c r="F362" s="221">
        <v>8210.39</v>
      </c>
      <c r="G362" s="221">
        <v>0.86</v>
      </c>
      <c r="H362" s="221">
        <f t="shared" si="26"/>
        <v>1.0873469055361999</v>
      </c>
      <c r="I362" s="222">
        <f t="shared" si="27"/>
        <v>8927.5400000000009</v>
      </c>
      <c r="J362" s="209"/>
      <c r="K362" s="47"/>
      <c r="L362" s="168"/>
      <c r="M362" s="47"/>
      <c r="N362" s="47"/>
      <c r="O362" s="47"/>
      <c r="P362" s="47"/>
      <c r="R362" s="47"/>
    </row>
    <row r="363" spans="1:22" ht="30" customHeight="1" x14ac:dyDescent="0.2">
      <c r="A363" s="395" t="s">
        <v>1293</v>
      </c>
      <c r="B363" s="392" t="s">
        <v>94</v>
      </c>
      <c r="C363" s="392" t="s">
        <v>121</v>
      </c>
      <c r="D363" s="396" t="s">
        <v>122</v>
      </c>
      <c r="E363" s="392" t="s">
        <v>62</v>
      </c>
      <c r="F363" s="221">
        <v>1207.4100000000001</v>
      </c>
      <c r="G363" s="221">
        <v>2.08</v>
      </c>
      <c r="H363" s="221">
        <f t="shared" si="26"/>
        <v>2.6298622831573213</v>
      </c>
      <c r="I363" s="222">
        <f t="shared" si="27"/>
        <v>3175.32</v>
      </c>
      <c r="J363" s="209"/>
      <c r="K363" s="47"/>
      <c r="L363" s="168"/>
      <c r="M363" s="47"/>
      <c r="N363" s="47"/>
      <c r="O363" s="47"/>
      <c r="P363" s="47"/>
      <c r="R363" s="47"/>
    </row>
    <row r="364" spans="1:22" s="160" customFormat="1" ht="30" customHeight="1" x14ac:dyDescent="0.2">
      <c r="A364" s="425" t="s">
        <v>1294</v>
      </c>
      <c r="B364" s="426" t="s">
        <v>94</v>
      </c>
      <c r="C364" s="426" t="s">
        <v>612</v>
      </c>
      <c r="D364" s="434" t="s">
        <v>613</v>
      </c>
      <c r="E364" s="426" t="s">
        <v>62</v>
      </c>
      <c r="F364" s="429">
        <v>126.6</v>
      </c>
      <c r="G364" s="429">
        <v>350.85</v>
      </c>
      <c r="H364" s="429">
        <f t="shared" si="26"/>
        <v>443.59960675276255</v>
      </c>
      <c r="I364" s="430">
        <f t="shared" si="27"/>
        <v>56159.71</v>
      </c>
      <c r="J364" s="431"/>
      <c r="K364" s="347"/>
      <c r="L364" s="435"/>
      <c r="M364" s="347"/>
      <c r="N364" s="347"/>
      <c r="O364" s="347"/>
      <c r="P364" s="347"/>
      <c r="R364" s="347"/>
    </row>
    <row r="365" spans="1:22" s="160" customFormat="1" ht="30" customHeight="1" x14ac:dyDescent="0.2">
      <c r="A365" s="425" t="s">
        <v>1295</v>
      </c>
      <c r="B365" s="426" t="s">
        <v>94</v>
      </c>
      <c r="C365" s="426" t="s">
        <v>845</v>
      </c>
      <c r="D365" s="434" t="s">
        <v>846</v>
      </c>
      <c r="E365" s="426" t="s">
        <v>61</v>
      </c>
      <c r="F365" s="429">
        <v>145.06</v>
      </c>
      <c r="G365" s="429">
        <v>52.56</v>
      </c>
      <c r="H365" s="429">
        <f t="shared" si="26"/>
        <v>66.454596924398459</v>
      </c>
      <c r="I365" s="430">
        <f t="shared" si="27"/>
        <v>9639.9</v>
      </c>
      <c r="J365" s="431"/>
      <c r="K365" s="347"/>
      <c r="L365" s="435"/>
      <c r="M365" s="347"/>
      <c r="N365" s="347"/>
      <c r="O365" s="347"/>
      <c r="P365" s="347"/>
      <c r="R365" s="347"/>
    </row>
    <row r="366" spans="1:22" s="160" customFormat="1" ht="30" customHeight="1" x14ac:dyDescent="0.2">
      <c r="A366" s="425" t="s">
        <v>1296</v>
      </c>
      <c r="B366" s="426" t="s">
        <v>94</v>
      </c>
      <c r="C366" s="426" t="s">
        <v>614</v>
      </c>
      <c r="D366" s="434" t="s">
        <v>615</v>
      </c>
      <c r="E366" s="426" t="s">
        <v>384</v>
      </c>
      <c r="F366" s="429">
        <v>3232.04</v>
      </c>
      <c r="G366" s="429">
        <v>6.71</v>
      </c>
      <c r="H366" s="429">
        <f t="shared" si="26"/>
        <v>8.4838345769161663</v>
      </c>
      <c r="I366" s="430">
        <f t="shared" si="27"/>
        <v>27420.09</v>
      </c>
      <c r="J366" s="431"/>
      <c r="K366" s="347"/>
      <c r="L366" s="435"/>
      <c r="M366" s="347"/>
      <c r="N366" s="347"/>
      <c r="O366" s="347"/>
      <c r="P366" s="347"/>
      <c r="R366" s="347"/>
    </row>
    <row r="367" spans="1:22" ht="57" x14ac:dyDescent="0.2">
      <c r="A367" s="395" t="s">
        <v>1297</v>
      </c>
      <c r="B367" s="392" t="s">
        <v>94</v>
      </c>
      <c r="C367" s="220">
        <v>87449</v>
      </c>
      <c r="D367" s="267" t="s">
        <v>972</v>
      </c>
      <c r="E367" s="392" t="s">
        <v>61</v>
      </c>
      <c r="F367" s="221">
        <v>299</v>
      </c>
      <c r="G367" s="221">
        <v>51.78</v>
      </c>
      <c r="H367" s="221">
        <f t="shared" si="26"/>
        <v>65.468398568214468</v>
      </c>
      <c r="I367" s="222">
        <f t="shared" si="27"/>
        <v>19575.05</v>
      </c>
      <c r="J367" s="209"/>
      <c r="K367" s="47"/>
      <c r="L367" s="168"/>
      <c r="M367" s="47"/>
      <c r="N367" s="47"/>
      <c r="O367" s="47"/>
      <c r="P367" s="47"/>
      <c r="R367" s="47"/>
    </row>
    <row r="368" spans="1:22" ht="30" customHeight="1" x14ac:dyDescent="0.2">
      <c r="A368" s="395" t="s">
        <v>1298</v>
      </c>
      <c r="B368" s="392" t="s">
        <v>94</v>
      </c>
      <c r="C368" s="392" t="s">
        <v>200</v>
      </c>
      <c r="D368" s="396" t="s">
        <v>201</v>
      </c>
      <c r="E368" s="392" t="s">
        <v>63</v>
      </c>
      <c r="F368" s="221">
        <v>296</v>
      </c>
      <c r="G368" s="221">
        <v>25.45</v>
      </c>
      <c r="H368" s="221">
        <f t="shared" si="26"/>
        <v>32.177882262670103</v>
      </c>
      <c r="I368" s="222">
        <f t="shared" si="27"/>
        <v>9524.65</v>
      </c>
      <c r="J368" s="209"/>
      <c r="K368" s="47"/>
      <c r="L368" s="168"/>
      <c r="M368" s="47"/>
      <c r="N368" s="47"/>
      <c r="O368" s="47"/>
      <c r="P368" s="47"/>
      <c r="R368" s="47"/>
    </row>
    <row r="369" spans="1:22" s="433" customFormat="1" x14ac:dyDescent="0.2">
      <c r="A369" s="425" t="s">
        <v>1299</v>
      </c>
      <c r="B369" s="428" t="s">
        <v>94</v>
      </c>
      <c r="C369" s="428" t="s">
        <v>147</v>
      </c>
      <c r="D369" s="427" t="s">
        <v>148</v>
      </c>
      <c r="E369" s="428" t="s">
        <v>63</v>
      </c>
      <c r="F369" s="429">
        <v>24</v>
      </c>
      <c r="G369" s="429">
        <v>2.5299999999999998</v>
      </c>
      <c r="H369" s="429">
        <f t="shared" si="26"/>
        <v>3.198822873263472</v>
      </c>
      <c r="I369" s="430">
        <f t="shared" si="27"/>
        <v>76.77</v>
      </c>
      <c r="J369" s="431"/>
      <c r="K369" s="432"/>
      <c r="L369" s="432"/>
      <c r="M369" s="432"/>
      <c r="N369" s="347"/>
      <c r="O369" s="347"/>
      <c r="P369" s="347"/>
      <c r="Q369" s="160"/>
      <c r="R369" s="347"/>
      <c r="S369" s="160"/>
      <c r="T369" s="160"/>
      <c r="U369" s="160"/>
      <c r="V369" s="160"/>
    </row>
    <row r="370" spans="1:22" s="162" customFormat="1" x14ac:dyDescent="0.2">
      <c r="A370" s="395" t="s">
        <v>1300</v>
      </c>
      <c r="B370" s="220" t="s">
        <v>94</v>
      </c>
      <c r="C370" s="220" t="s">
        <v>202</v>
      </c>
      <c r="D370" s="219" t="s">
        <v>17</v>
      </c>
      <c r="E370" s="220" t="s">
        <v>62</v>
      </c>
      <c r="F370" s="221">
        <v>72.25</v>
      </c>
      <c r="G370" s="221">
        <v>70.040000000000006</v>
      </c>
      <c r="H370" s="221">
        <f t="shared" si="26"/>
        <v>88.555554957855179</v>
      </c>
      <c r="I370" s="222">
        <f t="shared" si="27"/>
        <v>6398.14</v>
      </c>
      <c r="J370" s="209"/>
      <c r="K370" s="186"/>
      <c r="L370" s="186"/>
      <c r="M370" s="186"/>
      <c r="N370" s="47"/>
      <c r="O370" s="47"/>
      <c r="P370" s="47"/>
      <c r="Q370" s="48"/>
      <c r="R370" s="47"/>
      <c r="S370" s="48"/>
      <c r="T370" s="48"/>
      <c r="U370" s="48"/>
      <c r="V370" s="48"/>
    </row>
    <row r="371" spans="1:22" s="162" customFormat="1" x14ac:dyDescent="0.2">
      <c r="A371" s="395" t="s">
        <v>1301</v>
      </c>
      <c r="B371" s="220" t="s">
        <v>94</v>
      </c>
      <c r="C371" s="220" t="s">
        <v>203</v>
      </c>
      <c r="D371" s="219" t="s">
        <v>18</v>
      </c>
      <c r="E371" s="220" t="s">
        <v>62</v>
      </c>
      <c r="F371" s="221">
        <v>148.5</v>
      </c>
      <c r="G371" s="221">
        <v>63.95</v>
      </c>
      <c r="H371" s="221">
        <f t="shared" si="26"/>
        <v>80.855621638418597</v>
      </c>
      <c r="I371" s="222">
        <f t="shared" si="27"/>
        <v>12007.06</v>
      </c>
      <c r="J371" s="209"/>
      <c r="K371" s="186"/>
      <c r="L371" s="186"/>
      <c r="M371" s="186"/>
      <c r="N371" s="47"/>
      <c r="O371" s="47"/>
      <c r="P371" s="47"/>
      <c r="Q371" s="48"/>
      <c r="R371" s="47"/>
      <c r="S371" s="48"/>
      <c r="T371" s="48"/>
      <c r="U371" s="48"/>
      <c r="V371" s="48"/>
    </row>
    <row r="372" spans="1:22" ht="30" customHeight="1" x14ac:dyDescent="0.2">
      <c r="A372" s="395" t="s">
        <v>1302</v>
      </c>
      <c r="B372" s="392" t="s">
        <v>94</v>
      </c>
      <c r="C372" s="392">
        <v>72132</v>
      </c>
      <c r="D372" s="396" t="s">
        <v>19</v>
      </c>
      <c r="E372" s="392" t="s">
        <v>61</v>
      </c>
      <c r="F372" s="221">
        <v>495</v>
      </c>
      <c r="G372" s="221">
        <v>51.8</v>
      </c>
      <c r="H372" s="221">
        <f t="shared" si="26"/>
        <v>65.493685705552508</v>
      </c>
      <c r="I372" s="222">
        <f t="shared" si="27"/>
        <v>32419.37</v>
      </c>
      <c r="J372" s="209"/>
      <c r="K372" s="47"/>
      <c r="L372" s="168"/>
      <c r="M372" s="47"/>
      <c r="N372" s="47"/>
      <c r="O372" s="47"/>
      <c r="P372" s="47"/>
      <c r="R372" s="47"/>
    </row>
    <row r="373" spans="1:22" s="48" customFormat="1" ht="45" customHeight="1" x14ac:dyDescent="0.2">
      <c r="A373" s="395" t="s">
        <v>1303</v>
      </c>
      <c r="B373" s="392" t="s">
        <v>94</v>
      </c>
      <c r="C373" s="392" t="s">
        <v>204</v>
      </c>
      <c r="D373" s="396" t="s">
        <v>205</v>
      </c>
      <c r="E373" s="392" t="s">
        <v>64</v>
      </c>
      <c r="F373" s="221">
        <v>8</v>
      </c>
      <c r="G373" s="221">
        <v>331.51</v>
      </c>
      <c r="H373" s="221">
        <f t="shared" si="26"/>
        <v>419.14694494686705</v>
      </c>
      <c r="I373" s="222">
        <f t="shared" si="27"/>
        <v>3353.18</v>
      </c>
      <c r="J373" s="209"/>
      <c r="K373" s="47"/>
      <c r="L373" s="47"/>
      <c r="M373" s="47"/>
      <c r="N373" s="47"/>
      <c r="O373" s="47"/>
      <c r="P373" s="47"/>
      <c r="R373" s="47"/>
    </row>
    <row r="374" spans="1:22" s="48" customFormat="1" ht="45" customHeight="1" x14ac:dyDescent="0.2">
      <c r="A374" s="395" t="s">
        <v>1304</v>
      </c>
      <c r="B374" s="392" t="s">
        <v>717</v>
      </c>
      <c r="C374" s="392" t="str">
        <f>COMPOSIÇÕES!B335</f>
        <v>CE-031</v>
      </c>
      <c r="D374" s="396" t="s">
        <v>432</v>
      </c>
      <c r="E374" s="392" t="s">
        <v>64</v>
      </c>
      <c r="F374" s="221">
        <v>8</v>
      </c>
      <c r="G374" s="221">
        <f>COMPOSIÇÕES!I335</f>
        <v>237.94</v>
      </c>
      <c r="H374" s="221">
        <f t="shared" si="26"/>
        <v>300.84107291079471</v>
      </c>
      <c r="I374" s="222">
        <f t="shared" si="27"/>
        <v>2406.73</v>
      </c>
      <c r="J374" s="366"/>
      <c r="K374" s="47"/>
      <c r="L374" s="47"/>
      <c r="M374" s="47"/>
      <c r="N374" s="47"/>
      <c r="O374" s="47"/>
      <c r="P374" s="47"/>
      <c r="R374" s="47"/>
    </row>
    <row r="375" spans="1:22" s="162" customFormat="1" x14ac:dyDescent="0.2">
      <c r="A375" s="395" t="s">
        <v>1305</v>
      </c>
      <c r="B375" s="220" t="s">
        <v>717</v>
      </c>
      <c r="C375" s="220" t="str">
        <f>COMPOSIÇÕES!B341</f>
        <v>CE-032</v>
      </c>
      <c r="D375" s="219" t="s">
        <v>782</v>
      </c>
      <c r="E375" s="220" t="s">
        <v>65</v>
      </c>
      <c r="F375" s="221">
        <v>2</v>
      </c>
      <c r="G375" s="221">
        <f>COMPOSIÇÕES!I341</f>
        <v>22929.03</v>
      </c>
      <c r="H375" s="221">
        <f>G375*(1+$K$20)</f>
        <v>26781.197207104236</v>
      </c>
      <c r="I375" s="222">
        <f t="shared" si="27"/>
        <v>53562.39</v>
      </c>
      <c r="J375" s="366"/>
      <c r="K375" s="186"/>
      <c r="L375" s="186"/>
      <c r="M375" s="186"/>
      <c r="N375" s="47"/>
      <c r="O375" s="47"/>
      <c r="P375" s="47"/>
      <c r="Q375" s="48"/>
      <c r="R375" s="47"/>
      <c r="S375" s="48"/>
      <c r="T375" s="48"/>
      <c r="U375" s="48"/>
      <c r="V375" s="48"/>
    </row>
    <row r="376" spans="1:22" s="162" customFormat="1" x14ac:dyDescent="0.2">
      <c r="A376" s="395" t="s">
        <v>1306</v>
      </c>
      <c r="B376" s="220" t="s">
        <v>717</v>
      </c>
      <c r="C376" s="220" t="str">
        <f>COMPOSIÇÕES!B350</f>
        <v>CE-033</v>
      </c>
      <c r="D376" s="219" t="s">
        <v>781</v>
      </c>
      <c r="E376" s="220" t="s">
        <v>64</v>
      </c>
      <c r="F376" s="221">
        <v>2</v>
      </c>
      <c r="G376" s="221">
        <f>COMPOSIÇÕES!I350</f>
        <v>1569.75</v>
      </c>
      <c r="H376" s="221">
        <f>G376*(1+$L$20)</f>
        <v>1984.7241918202908</v>
      </c>
      <c r="I376" s="222">
        <f t="shared" si="27"/>
        <v>3969.45</v>
      </c>
      <c r="J376" s="366"/>
      <c r="K376" s="186"/>
      <c r="L376" s="186"/>
      <c r="M376" s="186"/>
      <c r="N376" s="47"/>
      <c r="O376" s="47"/>
      <c r="P376" s="47"/>
      <c r="Q376" s="48"/>
      <c r="R376" s="47"/>
      <c r="S376" s="48"/>
      <c r="T376" s="48"/>
      <c r="U376" s="48"/>
      <c r="V376" s="48"/>
    </row>
    <row r="377" spans="1:22" ht="15" customHeight="1" x14ac:dyDescent="0.2">
      <c r="A377" s="395"/>
      <c r="B377" s="392"/>
      <c r="C377" s="391"/>
      <c r="D377" s="396"/>
      <c r="E377" s="392"/>
      <c r="F377" s="393"/>
      <c r="G377" s="394"/>
      <c r="H377" s="393"/>
      <c r="I377" s="408"/>
      <c r="J377" s="212"/>
      <c r="K377" s="49"/>
      <c r="L377" s="49"/>
      <c r="M377" s="49"/>
      <c r="N377" s="47"/>
      <c r="O377" s="47"/>
      <c r="P377" s="47"/>
      <c r="R377" s="47"/>
    </row>
    <row r="378" spans="1:22" ht="15" customHeight="1" x14ac:dyDescent="0.2">
      <c r="A378" s="409" t="s">
        <v>2752</v>
      </c>
      <c r="B378" s="410"/>
      <c r="C378" s="410"/>
      <c r="D378" s="411" t="s">
        <v>226</v>
      </c>
      <c r="E378" s="410"/>
      <c r="F378" s="412"/>
      <c r="G378" s="413"/>
      <c r="H378" s="414"/>
      <c r="I378" s="415">
        <f>SUM(I379:I400)</f>
        <v>117877.87000000001</v>
      </c>
      <c r="J378" s="211"/>
      <c r="K378" s="49"/>
      <c r="L378" s="49"/>
      <c r="M378" s="49"/>
      <c r="N378" s="47"/>
      <c r="O378" s="47"/>
      <c r="P378" s="47"/>
      <c r="R378" s="47"/>
    </row>
    <row r="379" spans="1:22" ht="28.5" x14ac:dyDescent="0.2">
      <c r="A379" s="395" t="s">
        <v>1307</v>
      </c>
      <c r="B379" s="392" t="s">
        <v>94</v>
      </c>
      <c r="C379" s="392" t="s">
        <v>138</v>
      </c>
      <c r="D379" s="396" t="s">
        <v>139</v>
      </c>
      <c r="E379" s="392" t="s">
        <v>61</v>
      </c>
      <c r="F379" s="221">
        <v>96.28</v>
      </c>
      <c r="G379" s="221">
        <v>6.76</v>
      </c>
      <c r="H379" s="221">
        <f t="shared" ref="H379:H396" si="28">G379*(1+$L$20)</f>
        <v>8.5470524202612932</v>
      </c>
      <c r="I379" s="222">
        <f t="shared" ref="I379:I400" si="29">ROUND(F379*H379,2)</f>
        <v>822.91</v>
      </c>
      <c r="J379" s="209"/>
      <c r="K379" s="47"/>
      <c r="L379" s="168"/>
      <c r="M379" s="47"/>
      <c r="N379" s="47"/>
      <c r="O379" s="47"/>
      <c r="P379" s="47"/>
      <c r="R379" s="47"/>
    </row>
    <row r="380" spans="1:22" s="160" customFormat="1" ht="42.75" x14ac:dyDescent="0.2">
      <c r="A380" s="425" t="s">
        <v>1308</v>
      </c>
      <c r="B380" s="428" t="s">
        <v>94</v>
      </c>
      <c r="C380" s="428">
        <v>3070</v>
      </c>
      <c r="D380" s="427" t="s">
        <v>207</v>
      </c>
      <c r="E380" s="428" t="s">
        <v>62</v>
      </c>
      <c r="F380" s="429">
        <v>79.430000000000007</v>
      </c>
      <c r="G380" s="429">
        <v>6.07</v>
      </c>
      <c r="H380" s="429">
        <f t="shared" si="28"/>
        <v>7.6746461820985283</v>
      </c>
      <c r="I380" s="430">
        <f t="shared" si="29"/>
        <v>609.6</v>
      </c>
      <c r="J380" s="431"/>
      <c r="K380" s="347"/>
      <c r="L380" s="435"/>
      <c r="M380" s="347"/>
      <c r="N380" s="347"/>
      <c r="O380" s="347"/>
      <c r="P380" s="347"/>
      <c r="R380" s="347"/>
    </row>
    <row r="381" spans="1:22" s="433" customFormat="1" ht="28.5" x14ac:dyDescent="0.2">
      <c r="A381" s="425" t="s">
        <v>1309</v>
      </c>
      <c r="B381" s="426" t="s">
        <v>94</v>
      </c>
      <c r="C381" s="426">
        <v>3071</v>
      </c>
      <c r="D381" s="427" t="s">
        <v>956</v>
      </c>
      <c r="E381" s="428" t="s">
        <v>62</v>
      </c>
      <c r="F381" s="429">
        <v>31.98</v>
      </c>
      <c r="G381" s="429">
        <v>7.73</v>
      </c>
      <c r="H381" s="429">
        <f t="shared" si="28"/>
        <v>9.773478581156775</v>
      </c>
      <c r="I381" s="430">
        <f t="shared" si="29"/>
        <v>312.56</v>
      </c>
      <c r="J381" s="431"/>
      <c r="K381" s="432"/>
      <c r="L381" s="432"/>
      <c r="M381" s="432"/>
      <c r="N381" s="347"/>
      <c r="O381" s="347"/>
      <c r="P381" s="347"/>
      <c r="Q381" s="160"/>
      <c r="R381" s="347"/>
      <c r="S381" s="160"/>
      <c r="T381" s="160"/>
      <c r="U381" s="160"/>
      <c r="V381" s="160"/>
    </row>
    <row r="382" spans="1:22" ht="28.5" x14ac:dyDescent="0.2">
      <c r="A382" s="395" t="s">
        <v>1310</v>
      </c>
      <c r="B382" s="392" t="s">
        <v>94</v>
      </c>
      <c r="C382" s="392">
        <v>5622</v>
      </c>
      <c r="D382" s="396" t="s">
        <v>723</v>
      </c>
      <c r="E382" s="392" t="s">
        <v>61</v>
      </c>
      <c r="F382" s="221">
        <v>41.6</v>
      </c>
      <c r="G382" s="221">
        <v>4.6399999999999997</v>
      </c>
      <c r="H382" s="221">
        <f t="shared" si="28"/>
        <v>5.8666158624278699</v>
      </c>
      <c r="I382" s="222">
        <f t="shared" si="29"/>
        <v>244.05</v>
      </c>
      <c r="J382" s="209"/>
      <c r="K382" s="47"/>
      <c r="L382" s="168"/>
      <c r="M382" s="47"/>
      <c r="N382" s="47"/>
      <c r="O382" s="47"/>
      <c r="P382" s="47"/>
      <c r="R382" s="47"/>
    </row>
    <row r="383" spans="1:22" ht="28.5" x14ac:dyDescent="0.2">
      <c r="A383" s="395" t="s">
        <v>1311</v>
      </c>
      <c r="B383" s="392" t="s">
        <v>94</v>
      </c>
      <c r="C383" s="392" t="s">
        <v>113</v>
      </c>
      <c r="D383" s="396" t="s">
        <v>114</v>
      </c>
      <c r="E383" s="392" t="s">
        <v>62</v>
      </c>
      <c r="F383" s="221">
        <v>82.17</v>
      </c>
      <c r="G383" s="221">
        <v>27.17</v>
      </c>
      <c r="H383" s="221">
        <f t="shared" si="28"/>
        <v>34.352576073742512</v>
      </c>
      <c r="I383" s="222">
        <f t="shared" si="29"/>
        <v>2822.75</v>
      </c>
      <c r="J383" s="209"/>
      <c r="K383" s="47"/>
      <c r="L383" s="168"/>
      <c r="M383" s="47"/>
      <c r="N383" s="47"/>
      <c r="O383" s="47"/>
      <c r="P383" s="47"/>
      <c r="R383" s="47"/>
    </row>
    <row r="384" spans="1:22" s="433" customFormat="1" ht="28.5" x14ac:dyDescent="0.2">
      <c r="A384" s="425" t="s">
        <v>1312</v>
      </c>
      <c r="B384" s="428" t="s">
        <v>94</v>
      </c>
      <c r="C384" s="428">
        <v>72208</v>
      </c>
      <c r="D384" s="427" t="s">
        <v>844</v>
      </c>
      <c r="E384" s="428" t="s">
        <v>62</v>
      </c>
      <c r="F384" s="429">
        <v>38.01</v>
      </c>
      <c r="G384" s="429">
        <v>5.54</v>
      </c>
      <c r="H384" s="429">
        <f t="shared" si="28"/>
        <v>7.0045370426401723</v>
      </c>
      <c r="I384" s="430">
        <f t="shared" si="29"/>
        <v>266.24</v>
      </c>
      <c r="J384" s="431"/>
      <c r="K384" s="432"/>
      <c r="L384" s="432"/>
      <c r="M384" s="432"/>
      <c r="N384" s="347"/>
      <c r="O384" s="347"/>
      <c r="P384" s="347"/>
      <c r="Q384" s="160"/>
      <c r="R384" s="347"/>
      <c r="S384" s="160"/>
      <c r="T384" s="160"/>
      <c r="U384" s="160"/>
      <c r="V384" s="160"/>
    </row>
    <row r="385" spans="1:22" ht="28.5" x14ac:dyDescent="0.2">
      <c r="A385" s="395" t="s">
        <v>1313</v>
      </c>
      <c r="B385" s="392" t="s">
        <v>94</v>
      </c>
      <c r="C385" s="392">
        <v>72841</v>
      </c>
      <c r="D385" s="396" t="s">
        <v>709</v>
      </c>
      <c r="E385" s="392" t="s">
        <v>710</v>
      </c>
      <c r="F385" s="221">
        <v>243.26</v>
      </c>
      <c r="G385" s="221">
        <v>0.86</v>
      </c>
      <c r="H385" s="221">
        <f t="shared" si="28"/>
        <v>1.0873469055361999</v>
      </c>
      <c r="I385" s="222">
        <f t="shared" si="29"/>
        <v>264.51</v>
      </c>
      <c r="J385" s="209"/>
      <c r="K385" s="47"/>
      <c r="L385" s="168"/>
      <c r="M385" s="47"/>
      <c r="N385" s="47"/>
      <c r="O385" s="47"/>
      <c r="P385" s="47"/>
      <c r="R385" s="47"/>
    </row>
    <row r="386" spans="1:22" ht="28.5" x14ac:dyDescent="0.2">
      <c r="A386" s="395" t="s">
        <v>1314</v>
      </c>
      <c r="B386" s="392" t="s">
        <v>94</v>
      </c>
      <c r="C386" s="392" t="s">
        <v>121</v>
      </c>
      <c r="D386" s="396" t="s">
        <v>122</v>
      </c>
      <c r="E386" s="392" t="s">
        <v>62</v>
      </c>
      <c r="F386" s="221">
        <v>38.01</v>
      </c>
      <c r="G386" s="221">
        <v>2.08</v>
      </c>
      <c r="H386" s="221">
        <f t="shared" si="28"/>
        <v>2.6298622831573213</v>
      </c>
      <c r="I386" s="222">
        <f t="shared" si="29"/>
        <v>99.96</v>
      </c>
      <c r="J386" s="209"/>
      <c r="K386" s="47"/>
      <c r="L386" s="168"/>
      <c r="M386" s="47"/>
      <c r="N386" s="47"/>
      <c r="O386" s="47"/>
      <c r="P386" s="47"/>
      <c r="R386" s="47"/>
    </row>
    <row r="387" spans="1:22" x14ac:dyDescent="0.2">
      <c r="A387" s="395" t="s">
        <v>1315</v>
      </c>
      <c r="B387" s="220" t="s">
        <v>94</v>
      </c>
      <c r="C387" s="220" t="s">
        <v>140</v>
      </c>
      <c r="D387" s="219" t="s">
        <v>141</v>
      </c>
      <c r="E387" s="220" t="s">
        <v>62</v>
      </c>
      <c r="F387" s="221">
        <v>8.32</v>
      </c>
      <c r="G387" s="221">
        <v>85.35</v>
      </c>
      <c r="H387" s="221">
        <f t="shared" si="28"/>
        <v>107.91285859013334</v>
      </c>
      <c r="I387" s="222">
        <f t="shared" si="29"/>
        <v>897.83</v>
      </c>
      <c r="J387" s="209"/>
      <c r="K387" s="47"/>
      <c r="L387" s="168"/>
      <c r="M387" s="47"/>
      <c r="N387" s="47"/>
      <c r="O387" s="47"/>
      <c r="P387" s="47"/>
      <c r="R387" s="47"/>
    </row>
    <row r="388" spans="1:22" s="162" customFormat="1" x14ac:dyDescent="0.2">
      <c r="A388" s="395" t="s">
        <v>1316</v>
      </c>
      <c r="B388" s="220" t="s">
        <v>94</v>
      </c>
      <c r="C388" s="220" t="s">
        <v>82</v>
      </c>
      <c r="D388" s="219" t="s">
        <v>53</v>
      </c>
      <c r="E388" s="220" t="s">
        <v>62</v>
      </c>
      <c r="F388" s="221">
        <v>2.08</v>
      </c>
      <c r="G388" s="221">
        <v>344.14</v>
      </c>
      <c r="H388" s="221">
        <f t="shared" si="28"/>
        <v>435.11577217584636</v>
      </c>
      <c r="I388" s="222">
        <f t="shared" si="29"/>
        <v>905.04</v>
      </c>
      <c r="J388" s="209"/>
      <c r="K388" s="186"/>
      <c r="L388" s="186"/>
      <c r="M388" s="186"/>
      <c r="N388" s="47"/>
      <c r="O388" s="47"/>
      <c r="P388" s="47"/>
      <c r="Q388" s="48"/>
      <c r="R388" s="47"/>
      <c r="S388" s="48"/>
      <c r="T388" s="48"/>
      <c r="U388" s="48"/>
      <c r="V388" s="48"/>
    </row>
    <row r="389" spans="1:22" s="160" customFormat="1" ht="28.5" x14ac:dyDescent="0.2">
      <c r="A389" s="425" t="s">
        <v>1317</v>
      </c>
      <c r="B389" s="426" t="s">
        <v>94</v>
      </c>
      <c r="C389" s="426" t="s">
        <v>612</v>
      </c>
      <c r="D389" s="434" t="s">
        <v>613</v>
      </c>
      <c r="E389" s="426" t="s">
        <v>62</v>
      </c>
      <c r="F389" s="429">
        <v>27</v>
      </c>
      <c r="G389" s="429">
        <v>350.85</v>
      </c>
      <c r="H389" s="429">
        <f t="shared" si="28"/>
        <v>443.59960675276255</v>
      </c>
      <c r="I389" s="430">
        <f t="shared" si="29"/>
        <v>11977.19</v>
      </c>
      <c r="J389" s="431"/>
      <c r="K389" s="347"/>
      <c r="L389" s="435"/>
      <c r="M389" s="347"/>
      <c r="N389" s="347"/>
      <c r="O389" s="347"/>
      <c r="P389" s="347"/>
      <c r="R389" s="347"/>
    </row>
    <row r="390" spans="1:22" s="433" customFormat="1" ht="28.5" x14ac:dyDescent="0.2">
      <c r="A390" s="425" t="s">
        <v>1318</v>
      </c>
      <c r="B390" s="426" t="s">
        <v>94</v>
      </c>
      <c r="C390" s="426" t="s">
        <v>845</v>
      </c>
      <c r="D390" s="434" t="s">
        <v>846</v>
      </c>
      <c r="E390" s="426" t="s">
        <v>61</v>
      </c>
      <c r="F390" s="429">
        <v>135.5</v>
      </c>
      <c r="G390" s="429">
        <v>52.56</v>
      </c>
      <c r="H390" s="429">
        <f t="shared" si="28"/>
        <v>66.454596924398459</v>
      </c>
      <c r="I390" s="430">
        <f t="shared" si="29"/>
        <v>9004.6</v>
      </c>
      <c r="J390" s="431"/>
      <c r="K390" s="432"/>
      <c r="L390" s="432"/>
      <c r="M390" s="432"/>
      <c r="N390" s="347"/>
      <c r="O390" s="347"/>
      <c r="P390" s="347"/>
      <c r="Q390" s="160"/>
      <c r="R390" s="347"/>
      <c r="S390" s="160"/>
      <c r="T390" s="160"/>
      <c r="U390" s="160"/>
      <c r="V390" s="160"/>
    </row>
    <row r="391" spans="1:22" s="433" customFormat="1" ht="28.5" x14ac:dyDescent="0.2">
      <c r="A391" s="425" t="s">
        <v>1319</v>
      </c>
      <c r="B391" s="426" t="s">
        <v>94</v>
      </c>
      <c r="C391" s="426" t="s">
        <v>614</v>
      </c>
      <c r="D391" s="434" t="s">
        <v>615</v>
      </c>
      <c r="E391" s="426" t="s">
        <v>384</v>
      </c>
      <c r="F391" s="429">
        <v>1498.5</v>
      </c>
      <c r="G391" s="429">
        <v>6.71</v>
      </c>
      <c r="H391" s="429">
        <f t="shared" si="28"/>
        <v>8.4838345769161663</v>
      </c>
      <c r="I391" s="430">
        <f t="shared" si="29"/>
        <v>12713.03</v>
      </c>
      <c r="J391" s="431"/>
      <c r="K391" s="432"/>
      <c r="L391" s="432"/>
      <c r="M391" s="432"/>
      <c r="N391" s="347"/>
      <c r="O391" s="347"/>
      <c r="P391" s="347"/>
      <c r="Q391" s="160"/>
      <c r="R391" s="347"/>
      <c r="S391" s="160"/>
      <c r="T391" s="160"/>
      <c r="U391" s="160"/>
      <c r="V391" s="160"/>
    </row>
    <row r="392" spans="1:22" ht="42.75" x14ac:dyDescent="0.2">
      <c r="A392" s="395" t="s">
        <v>1320</v>
      </c>
      <c r="B392" s="392" t="s">
        <v>94</v>
      </c>
      <c r="C392" s="392" t="s">
        <v>847</v>
      </c>
      <c r="D392" s="396" t="s">
        <v>848</v>
      </c>
      <c r="E392" s="392" t="s">
        <v>61</v>
      </c>
      <c r="F392" s="221">
        <v>92.12</v>
      </c>
      <c r="G392" s="221">
        <v>24.51</v>
      </c>
      <c r="H392" s="221">
        <f t="shared" si="28"/>
        <v>30.989386807781703</v>
      </c>
      <c r="I392" s="222">
        <f t="shared" si="29"/>
        <v>2854.74</v>
      </c>
      <c r="J392" s="209"/>
      <c r="K392" s="47"/>
      <c r="L392" s="168"/>
      <c r="M392" s="47"/>
      <c r="N392" s="47"/>
      <c r="O392" s="47"/>
      <c r="P392" s="47"/>
      <c r="R392" s="47"/>
    </row>
    <row r="393" spans="1:22" s="162" customFormat="1" ht="28.5" x14ac:dyDescent="0.2">
      <c r="A393" s="395" t="s">
        <v>1321</v>
      </c>
      <c r="B393" s="220" t="s">
        <v>94</v>
      </c>
      <c r="C393" s="220">
        <v>73661</v>
      </c>
      <c r="D393" s="219" t="s">
        <v>720</v>
      </c>
      <c r="E393" s="220" t="s">
        <v>64</v>
      </c>
      <c r="F393" s="221">
        <v>2</v>
      </c>
      <c r="G393" s="221">
        <v>1568.98</v>
      </c>
      <c r="H393" s="221">
        <f t="shared" si="28"/>
        <v>1983.7506370327758</v>
      </c>
      <c r="I393" s="222">
        <f t="shared" si="29"/>
        <v>3967.5</v>
      </c>
      <c r="J393" s="209"/>
      <c r="K393" s="186"/>
      <c r="L393" s="186"/>
      <c r="M393" s="186"/>
      <c r="N393" s="47"/>
      <c r="O393" s="47"/>
      <c r="P393" s="47"/>
      <c r="Q393" s="48"/>
      <c r="R393" s="47"/>
      <c r="S393" s="48"/>
      <c r="T393" s="48"/>
      <c r="U393" s="48"/>
      <c r="V393" s="48"/>
    </row>
    <row r="394" spans="1:22" s="48" customFormat="1" ht="28.5" x14ac:dyDescent="0.2">
      <c r="A394" s="395" t="s">
        <v>1322</v>
      </c>
      <c r="B394" s="220" t="s">
        <v>717</v>
      </c>
      <c r="C394" s="220" t="str">
        <f>COMPOSIÇÕES!B58</f>
        <v>CE-004</v>
      </c>
      <c r="D394" s="219" t="s">
        <v>232</v>
      </c>
      <c r="E394" s="220" t="s">
        <v>64</v>
      </c>
      <c r="F394" s="221">
        <v>1</v>
      </c>
      <c r="G394" s="221">
        <f>COMPOSIÇÕES!I58</f>
        <v>4714.6899999999996</v>
      </c>
      <c r="H394" s="221">
        <f t="shared" si="28"/>
        <v>5961.0506768168216</v>
      </c>
      <c r="I394" s="222">
        <f t="shared" si="29"/>
        <v>5961.05</v>
      </c>
      <c r="J394" s="366"/>
      <c r="K394" s="47"/>
      <c r="L394" s="168"/>
      <c r="M394" s="47"/>
      <c r="N394" s="47"/>
      <c r="O394" s="47"/>
      <c r="P394" s="47"/>
      <c r="R394" s="47"/>
    </row>
    <row r="395" spans="1:22" s="433" customFormat="1" ht="15" customHeight="1" x14ac:dyDescent="0.2">
      <c r="A395" s="425" t="s">
        <v>1323</v>
      </c>
      <c r="B395" s="428" t="s">
        <v>101</v>
      </c>
      <c r="C395" s="428">
        <v>65001132</v>
      </c>
      <c r="D395" s="427" t="s">
        <v>23</v>
      </c>
      <c r="E395" s="428" t="s">
        <v>63</v>
      </c>
      <c r="F395" s="429">
        <v>24</v>
      </c>
      <c r="G395" s="429">
        <v>112.43</v>
      </c>
      <c r="H395" s="429">
        <f t="shared" si="28"/>
        <v>142.15164254585463</v>
      </c>
      <c r="I395" s="430">
        <f t="shared" si="29"/>
        <v>3411.64</v>
      </c>
      <c r="J395" s="431"/>
      <c r="K395" s="432"/>
      <c r="L395" s="432"/>
      <c r="M395" s="432"/>
      <c r="N395" s="347"/>
      <c r="O395" s="347"/>
      <c r="P395" s="347"/>
      <c r="Q395" s="160"/>
      <c r="R395" s="347"/>
      <c r="S395" s="160"/>
      <c r="T395" s="160"/>
      <c r="U395" s="160"/>
      <c r="V395" s="160"/>
    </row>
    <row r="396" spans="1:22" s="162" customFormat="1" x14ac:dyDescent="0.2">
      <c r="A396" s="395" t="s">
        <v>1324</v>
      </c>
      <c r="B396" s="220" t="s">
        <v>94</v>
      </c>
      <c r="C396" s="220" t="s">
        <v>909</v>
      </c>
      <c r="D396" s="219" t="s">
        <v>910</v>
      </c>
      <c r="E396" s="220" t="s">
        <v>64</v>
      </c>
      <c r="F396" s="221">
        <v>2</v>
      </c>
      <c r="G396" s="221">
        <v>171.73</v>
      </c>
      <c r="H396" s="221">
        <f t="shared" si="28"/>
        <v>217.1280047531763</v>
      </c>
      <c r="I396" s="222">
        <f t="shared" si="29"/>
        <v>434.26</v>
      </c>
      <c r="J396" s="209"/>
      <c r="K396" s="186"/>
      <c r="L396" s="186"/>
      <c r="M396" s="186"/>
      <c r="N396" s="47"/>
      <c r="O396" s="47"/>
      <c r="P396" s="47"/>
      <c r="Q396" s="48"/>
      <c r="R396" s="47"/>
      <c r="S396" s="48"/>
      <c r="T396" s="48"/>
      <c r="U396" s="48"/>
      <c r="V396" s="48"/>
    </row>
    <row r="397" spans="1:22" ht="45" customHeight="1" x14ac:dyDescent="0.2">
      <c r="A397" s="407" t="s">
        <v>1325</v>
      </c>
      <c r="B397" s="392" t="s">
        <v>145</v>
      </c>
      <c r="C397" s="392"/>
      <c r="D397" s="396" t="s">
        <v>2683</v>
      </c>
      <c r="E397" s="392" t="s">
        <v>64</v>
      </c>
      <c r="F397" s="221">
        <v>2</v>
      </c>
      <c r="G397" s="221">
        <v>13492</v>
      </c>
      <c r="H397" s="221">
        <f>G397*(1+$K$20)</f>
        <v>15758.709056521378</v>
      </c>
      <c r="I397" s="222">
        <f t="shared" si="29"/>
        <v>31517.42</v>
      </c>
      <c r="J397" s="209"/>
      <c r="K397" s="47"/>
      <c r="L397" s="168"/>
      <c r="M397" s="47"/>
      <c r="N397" s="47"/>
      <c r="O397" s="47"/>
      <c r="P397" s="47"/>
      <c r="R397" s="47"/>
    </row>
    <row r="398" spans="1:22" s="162" customFormat="1" ht="42.75" x14ac:dyDescent="0.2">
      <c r="A398" s="407" t="s">
        <v>1326</v>
      </c>
      <c r="B398" s="220" t="s">
        <v>145</v>
      </c>
      <c r="C398" s="220"/>
      <c r="D398" s="219" t="s">
        <v>2685</v>
      </c>
      <c r="E398" s="220" t="s">
        <v>64</v>
      </c>
      <c r="F398" s="221">
        <v>1</v>
      </c>
      <c r="G398" s="221">
        <v>4980</v>
      </c>
      <c r="H398" s="221">
        <f>G398*(1+$K$20)</f>
        <v>5816.6595835662965</v>
      </c>
      <c r="I398" s="222">
        <f t="shared" si="29"/>
        <v>5816.66</v>
      </c>
      <c r="J398" s="209"/>
      <c r="K398" s="186"/>
      <c r="L398" s="186"/>
      <c r="M398" s="186"/>
      <c r="N398" s="47"/>
      <c r="O398" s="47"/>
      <c r="P398" s="47"/>
      <c r="Q398" s="48"/>
      <c r="R398" s="47"/>
      <c r="S398" s="48"/>
      <c r="T398" s="48"/>
      <c r="U398" s="48"/>
      <c r="V398" s="48"/>
    </row>
    <row r="399" spans="1:22" s="48" customFormat="1" ht="30" customHeight="1" x14ac:dyDescent="0.2">
      <c r="A399" s="407" t="s">
        <v>1327</v>
      </c>
      <c r="B399" s="392" t="s">
        <v>717</v>
      </c>
      <c r="C399" s="392" t="str">
        <f>COMPOSIÇÕES!B354</f>
        <v>CE-034</v>
      </c>
      <c r="D399" s="219" t="s">
        <v>785</v>
      </c>
      <c r="E399" s="392" t="s">
        <v>65</v>
      </c>
      <c r="F399" s="221">
        <v>1</v>
      </c>
      <c r="G399" s="221">
        <f>COMPOSIÇÕES!I354</f>
        <v>14871.26</v>
      </c>
      <c r="H399" s="221">
        <f>G399*(1+$K$20)</f>
        <v>17369.690160382754</v>
      </c>
      <c r="I399" s="222">
        <f t="shared" si="29"/>
        <v>17369.689999999999</v>
      </c>
      <c r="J399" s="366"/>
      <c r="K399" s="47"/>
      <c r="L399" s="168"/>
      <c r="M399" s="47"/>
      <c r="N399" s="47"/>
      <c r="O399" s="47"/>
      <c r="P399" s="47"/>
      <c r="R399" s="47"/>
    </row>
    <row r="400" spans="1:22" s="162" customFormat="1" ht="28.5" x14ac:dyDescent="0.2">
      <c r="A400" s="407" t="s">
        <v>1328</v>
      </c>
      <c r="B400" s="220" t="s">
        <v>717</v>
      </c>
      <c r="C400" s="220" t="str">
        <f>COMPOSIÇÕES!B376</f>
        <v>CE-035</v>
      </c>
      <c r="D400" s="219" t="s">
        <v>783</v>
      </c>
      <c r="E400" s="220" t="s">
        <v>64</v>
      </c>
      <c r="F400" s="221">
        <v>1</v>
      </c>
      <c r="G400" s="221">
        <f>COMPOSIÇÕES!I376</f>
        <v>4432.8</v>
      </c>
      <c r="H400" s="221">
        <f>G400*(1+$L$20)</f>
        <v>5604.6411196056606</v>
      </c>
      <c r="I400" s="222">
        <f t="shared" si="29"/>
        <v>5604.64</v>
      </c>
      <c r="J400" s="366"/>
      <c r="K400" s="186"/>
      <c r="L400" s="186"/>
      <c r="M400" s="186"/>
      <c r="N400" s="47"/>
      <c r="O400" s="47"/>
      <c r="P400" s="47"/>
      <c r="Q400" s="48"/>
      <c r="R400" s="47"/>
      <c r="S400" s="48"/>
      <c r="T400" s="48"/>
      <c r="U400" s="48"/>
      <c r="V400" s="48"/>
    </row>
    <row r="401" spans="1:22" s="162" customFormat="1" x14ac:dyDescent="0.2">
      <c r="A401" s="407"/>
      <c r="B401" s="220"/>
      <c r="C401" s="220"/>
      <c r="D401" s="219"/>
      <c r="E401" s="220"/>
      <c r="F401" s="221"/>
      <c r="G401" s="221"/>
      <c r="H401" s="221"/>
      <c r="I401" s="222"/>
      <c r="J401" s="209"/>
      <c r="K401" s="186"/>
      <c r="L401" s="186"/>
      <c r="M401" s="186"/>
      <c r="N401" s="47"/>
      <c r="O401" s="47"/>
      <c r="P401" s="47"/>
      <c r="Q401" s="48"/>
      <c r="R401" s="47"/>
      <c r="S401" s="48"/>
      <c r="T401" s="48"/>
      <c r="U401" s="48"/>
      <c r="V401" s="48"/>
    </row>
    <row r="402" spans="1:22" s="162" customFormat="1" x14ac:dyDescent="0.2">
      <c r="A402" s="407"/>
      <c r="B402" s="220"/>
      <c r="C402" s="220"/>
      <c r="D402" s="219"/>
      <c r="E402" s="220"/>
      <c r="F402" s="221"/>
      <c r="G402" s="221"/>
      <c r="H402" s="221"/>
      <c r="I402" s="222"/>
      <c r="J402" s="209"/>
      <c r="K402" s="186"/>
      <c r="L402" s="186"/>
      <c r="M402" s="186"/>
      <c r="N402" s="47"/>
      <c r="O402" s="47"/>
      <c r="P402" s="47"/>
      <c r="Q402" s="48"/>
      <c r="R402" s="47"/>
      <c r="S402" s="48"/>
      <c r="T402" s="48"/>
      <c r="U402" s="48"/>
      <c r="V402" s="48"/>
    </row>
    <row r="403" spans="1:22" s="162" customFormat="1" ht="15" x14ac:dyDescent="0.2">
      <c r="A403" s="409" t="s">
        <v>2753</v>
      </c>
      <c r="B403" s="410"/>
      <c r="C403" s="410"/>
      <c r="D403" s="411" t="s">
        <v>2703</v>
      </c>
      <c r="E403" s="410"/>
      <c r="F403" s="412"/>
      <c r="G403" s="413"/>
      <c r="H403" s="414"/>
      <c r="I403" s="415">
        <v>349280.85</v>
      </c>
      <c r="J403" s="209"/>
      <c r="K403" s="186"/>
      <c r="L403" s="186"/>
      <c r="M403" s="186"/>
      <c r="N403" s="47"/>
      <c r="O403" s="47"/>
      <c r="P403" s="47"/>
      <c r="Q403" s="48"/>
      <c r="R403" s="47"/>
      <c r="S403" s="48"/>
      <c r="T403" s="48"/>
      <c r="U403" s="48"/>
      <c r="V403" s="48"/>
    </row>
    <row r="404" spans="1:22" s="162" customFormat="1" x14ac:dyDescent="0.2">
      <c r="A404" s="407"/>
      <c r="B404" s="220"/>
      <c r="C404" s="220"/>
      <c r="D404" s="219"/>
      <c r="E404" s="220"/>
      <c r="F404" s="221"/>
      <c r="G404" s="221"/>
      <c r="H404" s="221"/>
      <c r="I404" s="222"/>
      <c r="J404" s="209"/>
      <c r="K404" s="186"/>
      <c r="L404" s="186"/>
      <c r="M404" s="186"/>
      <c r="N404" s="47"/>
      <c r="O404" s="47"/>
      <c r="P404" s="47"/>
      <c r="Q404" s="48"/>
      <c r="R404" s="47"/>
      <c r="S404" s="48"/>
      <c r="T404" s="48"/>
      <c r="U404" s="48"/>
      <c r="V404" s="48"/>
    </row>
    <row r="405" spans="1:22" s="162" customFormat="1" x14ac:dyDescent="0.2">
      <c r="A405" s="407"/>
      <c r="B405" s="220"/>
      <c r="C405" s="220"/>
      <c r="D405" s="219"/>
      <c r="E405" s="220"/>
      <c r="F405" s="221"/>
      <c r="G405" s="221"/>
      <c r="H405" s="221"/>
      <c r="I405" s="222"/>
      <c r="J405" s="209"/>
      <c r="K405" s="186"/>
      <c r="L405" s="186"/>
      <c r="M405" s="186"/>
      <c r="N405" s="47"/>
      <c r="O405" s="47"/>
      <c r="P405" s="47"/>
      <c r="Q405" s="48"/>
      <c r="R405" s="47"/>
      <c r="S405" s="48"/>
      <c r="T405" s="48"/>
      <c r="U405" s="48"/>
      <c r="V405" s="48"/>
    </row>
    <row r="406" spans="1:22" s="162" customFormat="1" ht="15" x14ac:dyDescent="0.2">
      <c r="A406" s="409" t="s">
        <v>2754</v>
      </c>
      <c r="B406" s="410"/>
      <c r="C406" s="410"/>
      <c r="D406" s="411" t="s">
        <v>160</v>
      </c>
      <c r="E406" s="410"/>
      <c r="F406" s="412"/>
      <c r="G406" s="413"/>
      <c r="H406" s="414"/>
      <c r="I406" s="415">
        <f>SUM(I407:I434)</f>
        <v>87809.939999999973</v>
      </c>
      <c r="J406" s="209"/>
      <c r="K406" s="186"/>
      <c r="L406" s="186"/>
      <c r="M406" s="186"/>
      <c r="N406" s="47"/>
      <c r="O406" s="47"/>
      <c r="P406" s="47"/>
      <c r="Q406" s="48"/>
      <c r="R406" s="47"/>
      <c r="S406" s="48"/>
      <c r="T406" s="48"/>
      <c r="U406" s="48"/>
      <c r="V406" s="48"/>
    </row>
    <row r="407" spans="1:22" ht="30" customHeight="1" x14ac:dyDescent="0.2">
      <c r="A407" s="395" t="s">
        <v>1329</v>
      </c>
      <c r="B407" s="392" t="s">
        <v>94</v>
      </c>
      <c r="C407" s="392" t="s">
        <v>138</v>
      </c>
      <c r="D407" s="396" t="s">
        <v>139</v>
      </c>
      <c r="E407" s="392" t="s">
        <v>61</v>
      </c>
      <c r="F407" s="221">
        <v>151.29</v>
      </c>
      <c r="G407" s="221">
        <v>6.76</v>
      </c>
      <c r="H407" s="221">
        <f t="shared" ref="H407:H432" si="30">G407*(1+$L$20)</f>
        <v>8.5470524202612932</v>
      </c>
      <c r="I407" s="222">
        <f>ROUND(F407*H407,2)</f>
        <v>1293.08</v>
      </c>
      <c r="J407" s="209"/>
      <c r="K407" s="47"/>
      <c r="L407" s="168"/>
      <c r="M407" s="47"/>
      <c r="N407" s="47"/>
      <c r="O407" s="47"/>
      <c r="P407" s="47"/>
      <c r="R407" s="47"/>
    </row>
    <row r="408" spans="1:22" ht="30" customHeight="1" x14ac:dyDescent="0.2">
      <c r="A408" s="395" t="s">
        <v>1330</v>
      </c>
      <c r="B408" s="392" t="s">
        <v>94</v>
      </c>
      <c r="C408" s="392">
        <v>73672</v>
      </c>
      <c r="D408" s="396" t="s">
        <v>134</v>
      </c>
      <c r="E408" s="392" t="s">
        <v>61</v>
      </c>
      <c r="F408" s="221">
        <v>151.29</v>
      </c>
      <c r="G408" s="221">
        <v>0.37</v>
      </c>
      <c r="H408" s="221">
        <f t="shared" si="30"/>
        <v>0.46781204075394656</v>
      </c>
      <c r="I408" s="222">
        <f t="shared" ref="I408:I434" si="31">ROUND(F408*H408,2)</f>
        <v>70.78</v>
      </c>
      <c r="J408" s="209"/>
      <c r="K408" s="47"/>
      <c r="L408" s="168"/>
      <c r="M408" s="47"/>
      <c r="N408" s="47"/>
      <c r="O408" s="47"/>
      <c r="P408" s="47"/>
      <c r="R408" s="47"/>
    </row>
    <row r="409" spans="1:22" s="162" customFormat="1" ht="42.75" x14ac:dyDescent="0.2">
      <c r="A409" s="395" t="s">
        <v>1331</v>
      </c>
      <c r="B409" s="220" t="s">
        <v>94</v>
      </c>
      <c r="C409" s="220">
        <v>72829</v>
      </c>
      <c r="D409" s="219" t="s">
        <v>135</v>
      </c>
      <c r="E409" s="220" t="s">
        <v>62</v>
      </c>
      <c r="F409" s="221">
        <v>15</v>
      </c>
      <c r="G409" s="221">
        <v>4.49</v>
      </c>
      <c r="H409" s="221">
        <f t="shared" si="30"/>
        <v>5.6769623323924865</v>
      </c>
      <c r="I409" s="222">
        <f t="shared" si="31"/>
        <v>85.15</v>
      </c>
      <c r="J409" s="209"/>
      <c r="K409" s="186"/>
      <c r="L409" s="186"/>
      <c r="M409" s="186"/>
      <c r="N409" s="47"/>
      <c r="O409" s="47"/>
      <c r="P409" s="47"/>
      <c r="Q409" s="48"/>
      <c r="R409" s="47"/>
      <c r="S409" s="48"/>
      <c r="T409" s="48"/>
      <c r="U409" s="48"/>
      <c r="V409" s="48"/>
    </row>
    <row r="410" spans="1:22" ht="30" customHeight="1" x14ac:dyDescent="0.2">
      <c r="A410" s="395" t="s">
        <v>1332</v>
      </c>
      <c r="B410" s="392" t="s">
        <v>94</v>
      </c>
      <c r="C410" s="392" t="s">
        <v>136</v>
      </c>
      <c r="D410" s="396" t="s">
        <v>137</v>
      </c>
      <c r="E410" s="392" t="s">
        <v>62</v>
      </c>
      <c r="F410" s="221">
        <v>4</v>
      </c>
      <c r="G410" s="221">
        <v>4.2300000000000004</v>
      </c>
      <c r="H410" s="221">
        <f t="shared" si="30"/>
        <v>5.348229546997822</v>
      </c>
      <c r="I410" s="222">
        <f t="shared" si="31"/>
        <v>21.39</v>
      </c>
      <c r="J410" s="209"/>
      <c r="K410" s="47"/>
      <c r="L410" s="168"/>
      <c r="M410" s="47"/>
      <c r="N410" s="47"/>
      <c r="O410" s="47"/>
      <c r="P410" s="47"/>
      <c r="R410" s="47"/>
    </row>
    <row r="411" spans="1:22" ht="30" customHeight="1" x14ac:dyDescent="0.2">
      <c r="A411" s="395" t="s">
        <v>1333</v>
      </c>
      <c r="B411" s="392" t="s">
        <v>94</v>
      </c>
      <c r="C411" s="392" t="s">
        <v>121</v>
      </c>
      <c r="D411" s="396" t="s">
        <v>122</v>
      </c>
      <c r="E411" s="392" t="s">
        <v>62</v>
      </c>
      <c r="F411" s="221">
        <v>11</v>
      </c>
      <c r="G411" s="221">
        <v>2.08</v>
      </c>
      <c r="H411" s="221">
        <f t="shared" si="30"/>
        <v>2.6298622831573213</v>
      </c>
      <c r="I411" s="222">
        <f t="shared" si="31"/>
        <v>28.93</v>
      </c>
      <c r="J411" s="209"/>
      <c r="K411" s="47"/>
      <c r="L411" s="168"/>
      <c r="M411" s="47"/>
      <c r="N411" s="47"/>
      <c r="O411" s="47"/>
      <c r="P411" s="47"/>
      <c r="R411" s="47"/>
    </row>
    <row r="412" spans="1:22" ht="30" customHeight="1" x14ac:dyDescent="0.2">
      <c r="A412" s="395" t="s">
        <v>1334</v>
      </c>
      <c r="B412" s="392" t="s">
        <v>94</v>
      </c>
      <c r="C412" s="220">
        <v>6042</v>
      </c>
      <c r="D412" s="219" t="s">
        <v>850</v>
      </c>
      <c r="E412" s="392" t="s">
        <v>62</v>
      </c>
      <c r="F412" s="221">
        <v>3</v>
      </c>
      <c r="G412" s="221">
        <v>271.14999999999998</v>
      </c>
      <c r="H412" s="221">
        <f t="shared" si="30"/>
        <v>342.83036446062863</v>
      </c>
      <c r="I412" s="222">
        <f t="shared" si="31"/>
        <v>1028.49</v>
      </c>
      <c r="J412" s="209"/>
      <c r="K412" s="47"/>
      <c r="L412" s="168"/>
      <c r="M412" s="47"/>
      <c r="N412" s="47"/>
      <c r="O412" s="47"/>
      <c r="P412" s="47"/>
      <c r="R412" s="47"/>
    </row>
    <row r="413" spans="1:22" s="160" customFormat="1" ht="30" customHeight="1" x14ac:dyDescent="0.2">
      <c r="A413" s="425" t="s">
        <v>1335</v>
      </c>
      <c r="B413" s="426" t="s">
        <v>94</v>
      </c>
      <c r="C413" s="426" t="s">
        <v>612</v>
      </c>
      <c r="D413" s="434" t="s">
        <v>613</v>
      </c>
      <c r="E413" s="426" t="s">
        <v>62</v>
      </c>
      <c r="F413" s="429">
        <v>16.62</v>
      </c>
      <c r="G413" s="429">
        <v>350.85</v>
      </c>
      <c r="H413" s="429">
        <f t="shared" si="30"/>
        <v>443.59960675276255</v>
      </c>
      <c r="I413" s="430">
        <f t="shared" si="31"/>
        <v>7372.63</v>
      </c>
      <c r="J413" s="431"/>
      <c r="K413" s="347"/>
      <c r="L413" s="435"/>
      <c r="M413" s="347"/>
      <c r="N413" s="347"/>
      <c r="O413" s="347"/>
      <c r="P413" s="347"/>
      <c r="R413" s="347"/>
    </row>
    <row r="414" spans="1:22" s="160" customFormat="1" ht="30" customHeight="1" x14ac:dyDescent="0.2">
      <c r="A414" s="425" t="s">
        <v>1336</v>
      </c>
      <c r="B414" s="426" t="s">
        <v>94</v>
      </c>
      <c r="C414" s="426" t="s">
        <v>845</v>
      </c>
      <c r="D414" s="434" t="s">
        <v>846</v>
      </c>
      <c r="E414" s="426" t="s">
        <v>61</v>
      </c>
      <c r="F414" s="429">
        <v>35.54</v>
      </c>
      <c r="G414" s="429">
        <v>52.56</v>
      </c>
      <c r="H414" s="429">
        <f t="shared" si="30"/>
        <v>66.454596924398459</v>
      </c>
      <c r="I414" s="430">
        <f t="shared" si="31"/>
        <v>2361.8000000000002</v>
      </c>
      <c r="J414" s="431"/>
      <c r="K414" s="347"/>
      <c r="L414" s="435"/>
      <c r="M414" s="347"/>
      <c r="N414" s="347"/>
      <c r="O414" s="347"/>
      <c r="P414" s="347"/>
      <c r="R414" s="347"/>
    </row>
    <row r="415" spans="1:22" s="160" customFormat="1" ht="30" customHeight="1" x14ac:dyDescent="0.2">
      <c r="A415" s="425" t="s">
        <v>1337</v>
      </c>
      <c r="B415" s="426" t="s">
        <v>94</v>
      </c>
      <c r="C415" s="426" t="s">
        <v>614</v>
      </c>
      <c r="D415" s="434" t="s">
        <v>615</v>
      </c>
      <c r="E415" s="426" t="s">
        <v>384</v>
      </c>
      <c r="F415" s="429">
        <v>206.92</v>
      </c>
      <c r="G415" s="429">
        <v>6.71</v>
      </c>
      <c r="H415" s="429">
        <f t="shared" si="30"/>
        <v>8.4838345769161663</v>
      </c>
      <c r="I415" s="430">
        <f t="shared" si="31"/>
        <v>1755.48</v>
      </c>
      <c r="J415" s="431"/>
      <c r="K415" s="347"/>
      <c r="L415" s="435"/>
      <c r="M415" s="347"/>
      <c r="N415" s="347"/>
      <c r="O415" s="347"/>
      <c r="P415" s="347"/>
      <c r="R415" s="347"/>
    </row>
    <row r="416" spans="1:22" ht="30" customHeight="1" x14ac:dyDescent="0.2">
      <c r="A416" s="395" t="s">
        <v>1338</v>
      </c>
      <c r="B416" s="392" t="s">
        <v>94</v>
      </c>
      <c r="C416" s="392" t="s">
        <v>358</v>
      </c>
      <c r="D416" s="396" t="s">
        <v>22</v>
      </c>
      <c r="E416" s="392" t="s">
        <v>61</v>
      </c>
      <c r="F416" s="221">
        <v>25</v>
      </c>
      <c r="G416" s="221">
        <v>32.49</v>
      </c>
      <c r="H416" s="221">
        <f t="shared" si="30"/>
        <v>41.078954605664116</v>
      </c>
      <c r="I416" s="222">
        <f t="shared" si="31"/>
        <v>1026.97</v>
      </c>
      <c r="J416" s="209"/>
      <c r="K416" s="47"/>
      <c r="L416" s="168"/>
      <c r="M416" s="47"/>
      <c r="N416" s="47"/>
      <c r="O416" s="47"/>
      <c r="P416" s="47"/>
      <c r="R416" s="47"/>
    </row>
    <row r="417" spans="1:22" ht="30" customHeight="1" x14ac:dyDescent="0.2">
      <c r="A417" s="395" t="s">
        <v>1339</v>
      </c>
      <c r="B417" s="392" t="s">
        <v>94</v>
      </c>
      <c r="C417" s="392" t="s">
        <v>969</v>
      </c>
      <c r="D417" s="396" t="s">
        <v>33</v>
      </c>
      <c r="E417" s="392" t="s">
        <v>64</v>
      </c>
      <c r="F417" s="221">
        <v>3</v>
      </c>
      <c r="G417" s="221">
        <v>125.02</v>
      </c>
      <c r="H417" s="221">
        <f t="shared" si="30"/>
        <v>158.06989550015783</v>
      </c>
      <c r="I417" s="222">
        <f t="shared" si="31"/>
        <v>474.21</v>
      </c>
      <c r="J417" s="209"/>
      <c r="K417" s="47"/>
      <c r="L417" s="168"/>
      <c r="M417" s="47"/>
      <c r="N417" s="47"/>
      <c r="O417" s="47"/>
      <c r="P417" s="47"/>
      <c r="R417" s="47"/>
    </row>
    <row r="418" spans="1:22" ht="30" customHeight="1" x14ac:dyDescent="0.2">
      <c r="A418" s="395" t="s">
        <v>1340</v>
      </c>
      <c r="B418" s="392" t="s">
        <v>94</v>
      </c>
      <c r="C418" s="392" t="s">
        <v>346</v>
      </c>
      <c r="D418" s="396" t="s">
        <v>345</v>
      </c>
      <c r="E418" s="392" t="s">
        <v>64</v>
      </c>
      <c r="F418" s="221">
        <v>1</v>
      </c>
      <c r="G418" s="221">
        <v>184.19</v>
      </c>
      <c r="H418" s="221">
        <f t="shared" si="30"/>
        <v>232.88189131478219</v>
      </c>
      <c r="I418" s="222">
        <f t="shared" si="31"/>
        <v>232.88</v>
      </c>
      <c r="J418" s="209"/>
      <c r="K418" s="47"/>
      <c r="L418" s="168"/>
      <c r="M418" s="47"/>
      <c r="N418" s="47"/>
      <c r="O418" s="47"/>
      <c r="P418" s="47"/>
      <c r="R418" s="47"/>
    </row>
    <row r="419" spans="1:22" s="433" customFormat="1" ht="30" customHeight="1" x14ac:dyDescent="0.2">
      <c r="A419" s="425" t="s">
        <v>1341</v>
      </c>
      <c r="B419" s="428" t="s">
        <v>94</v>
      </c>
      <c r="C419" s="428" t="s">
        <v>149</v>
      </c>
      <c r="D419" s="427" t="s">
        <v>150</v>
      </c>
      <c r="E419" s="428" t="s">
        <v>61</v>
      </c>
      <c r="F419" s="429">
        <v>207</v>
      </c>
      <c r="G419" s="429">
        <v>42.26</v>
      </c>
      <c r="H419" s="429">
        <f t="shared" si="30"/>
        <v>53.43172119530211</v>
      </c>
      <c r="I419" s="430">
        <f t="shared" si="31"/>
        <v>11060.37</v>
      </c>
      <c r="J419" s="431"/>
      <c r="K419" s="432"/>
      <c r="L419" s="432"/>
      <c r="M419" s="432"/>
      <c r="N419" s="347"/>
      <c r="O419" s="347"/>
      <c r="P419" s="347"/>
      <c r="Q419" s="160"/>
      <c r="R419" s="347"/>
      <c r="S419" s="160"/>
      <c r="T419" s="160"/>
      <c r="U419" s="160"/>
      <c r="V419" s="160"/>
    </row>
    <row r="420" spans="1:22" ht="30" customHeight="1" x14ac:dyDescent="0.2">
      <c r="A420" s="395" t="s">
        <v>1342</v>
      </c>
      <c r="B420" s="392" t="s">
        <v>94</v>
      </c>
      <c r="C420" s="392" t="s">
        <v>351</v>
      </c>
      <c r="D420" s="396" t="s">
        <v>350</v>
      </c>
      <c r="E420" s="392" t="s">
        <v>61</v>
      </c>
      <c r="F420" s="221">
        <v>56</v>
      </c>
      <c r="G420" s="221">
        <v>29.03</v>
      </c>
      <c r="H420" s="221">
        <f t="shared" si="30"/>
        <v>36.704279846181265</v>
      </c>
      <c r="I420" s="222">
        <f t="shared" si="31"/>
        <v>2055.44</v>
      </c>
      <c r="J420" s="209"/>
      <c r="K420" s="47"/>
      <c r="L420" s="168"/>
      <c r="M420" s="47"/>
      <c r="N420" s="47"/>
      <c r="O420" s="47"/>
      <c r="P420" s="47"/>
      <c r="R420" s="47"/>
    </row>
    <row r="421" spans="1:22" s="160" customFormat="1" ht="30" customHeight="1" x14ac:dyDescent="0.2">
      <c r="A421" s="425" t="s">
        <v>1343</v>
      </c>
      <c r="B421" s="426" t="s">
        <v>94</v>
      </c>
      <c r="C421" s="426" t="s">
        <v>354</v>
      </c>
      <c r="D421" s="434" t="s">
        <v>355</v>
      </c>
      <c r="E421" s="426" t="s">
        <v>64</v>
      </c>
      <c r="F421" s="429">
        <v>5</v>
      </c>
      <c r="G421" s="429">
        <v>247.9</v>
      </c>
      <c r="H421" s="429">
        <f t="shared" si="30"/>
        <v>313.4340673051442</v>
      </c>
      <c r="I421" s="430">
        <f t="shared" si="31"/>
        <v>1567.17</v>
      </c>
      <c r="J421" s="431"/>
      <c r="K421" s="347"/>
      <c r="L421" s="435"/>
      <c r="M421" s="347"/>
      <c r="N421" s="347"/>
      <c r="O421" s="347"/>
      <c r="P421" s="347"/>
      <c r="R421" s="347"/>
    </row>
    <row r="422" spans="1:22" s="160" customFormat="1" ht="30" customHeight="1" x14ac:dyDescent="0.2">
      <c r="A422" s="425" t="s">
        <v>1344</v>
      </c>
      <c r="B422" s="426" t="s">
        <v>94</v>
      </c>
      <c r="C422" s="426" t="s">
        <v>352</v>
      </c>
      <c r="D422" s="434" t="s">
        <v>353</v>
      </c>
      <c r="E422" s="426" t="s">
        <v>64</v>
      </c>
      <c r="F422" s="429">
        <v>2</v>
      </c>
      <c r="G422" s="429">
        <v>349.23</v>
      </c>
      <c r="H422" s="429">
        <f t="shared" si="30"/>
        <v>441.55134862838042</v>
      </c>
      <c r="I422" s="430">
        <f t="shared" si="31"/>
        <v>883.1</v>
      </c>
      <c r="J422" s="431"/>
      <c r="K422" s="347"/>
      <c r="L422" s="435"/>
      <c r="M422" s="347"/>
      <c r="N422" s="347"/>
      <c r="O422" s="347"/>
      <c r="P422" s="347"/>
      <c r="R422" s="347"/>
    </row>
    <row r="423" spans="1:22" ht="30" customHeight="1" x14ac:dyDescent="0.2">
      <c r="A423" s="395" t="s">
        <v>1345</v>
      </c>
      <c r="B423" s="392" t="s">
        <v>94</v>
      </c>
      <c r="C423" s="392" t="s">
        <v>419</v>
      </c>
      <c r="D423" s="396" t="s">
        <v>420</v>
      </c>
      <c r="E423" s="392" t="s">
        <v>61</v>
      </c>
      <c r="F423" s="221">
        <v>21</v>
      </c>
      <c r="G423" s="221">
        <v>662.08</v>
      </c>
      <c r="H423" s="221">
        <f t="shared" si="30"/>
        <v>837.10539443884579</v>
      </c>
      <c r="I423" s="222">
        <f t="shared" si="31"/>
        <v>17579.21</v>
      </c>
      <c r="J423" s="209"/>
      <c r="K423" s="47"/>
      <c r="L423" s="168"/>
      <c r="M423" s="47"/>
      <c r="N423" s="47"/>
      <c r="O423" s="47"/>
      <c r="P423" s="47"/>
      <c r="R423" s="47"/>
    </row>
    <row r="424" spans="1:22" ht="57" x14ac:dyDescent="0.2">
      <c r="A424" s="395" t="s">
        <v>1346</v>
      </c>
      <c r="B424" s="392" t="s">
        <v>94</v>
      </c>
      <c r="C424" s="392">
        <v>87874</v>
      </c>
      <c r="D424" s="396" t="s">
        <v>970</v>
      </c>
      <c r="E424" s="392" t="s">
        <v>61</v>
      </c>
      <c r="F424" s="221">
        <v>214</v>
      </c>
      <c r="G424" s="221">
        <v>3.6</v>
      </c>
      <c r="H424" s="221">
        <f t="shared" si="30"/>
        <v>4.5516847208492095</v>
      </c>
      <c r="I424" s="222">
        <f t="shared" si="31"/>
        <v>974.06</v>
      </c>
      <c r="J424" s="209"/>
      <c r="K424" s="47"/>
      <c r="L424" s="168"/>
      <c r="M424" s="47"/>
      <c r="N424" s="47"/>
      <c r="O424" s="47"/>
      <c r="P424" s="47"/>
      <c r="R424" s="47"/>
    </row>
    <row r="425" spans="1:22" ht="30" customHeight="1" x14ac:dyDescent="0.2">
      <c r="A425" s="395" t="s">
        <v>1347</v>
      </c>
      <c r="B425" s="392" t="s">
        <v>94</v>
      </c>
      <c r="C425" s="392" t="s">
        <v>151</v>
      </c>
      <c r="D425" s="396" t="s">
        <v>152</v>
      </c>
      <c r="E425" s="392" t="s">
        <v>61</v>
      </c>
      <c r="F425" s="221">
        <v>302</v>
      </c>
      <c r="G425" s="221">
        <v>17.88</v>
      </c>
      <c r="H425" s="221">
        <f t="shared" si="30"/>
        <v>22.606700780217739</v>
      </c>
      <c r="I425" s="222">
        <f t="shared" si="31"/>
        <v>6827.22</v>
      </c>
      <c r="J425" s="209"/>
      <c r="K425" s="47"/>
      <c r="L425" s="168"/>
      <c r="M425" s="47"/>
      <c r="N425" s="47"/>
      <c r="O425" s="47"/>
      <c r="P425" s="47"/>
      <c r="R425" s="47"/>
    </row>
    <row r="426" spans="1:22" s="162" customFormat="1" ht="28.5" x14ac:dyDescent="0.2">
      <c r="A426" s="395" t="s">
        <v>1348</v>
      </c>
      <c r="B426" s="220" t="s">
        <v>94</v>
      </c>
      <c r="C426" s="220">
        <v>88489</v>
      </c>
      <c r="D426" s="267" t="s">
        <v>940</v>
      </c>
      <c r="E426" s="220" t="s">
        <v>61</v>
      </c>
      <c r="F426" s="221">
        <v>302</v>
      </c>
      <c r="G426" s="221">
        <v>9.6199999999999992</v>
      </c>
      <c r="H426" s="221">
        <f t="shared" si="30"/>
        <v>12.163113059602608</v>
      </c>
      <c r="I426" s="222">
        <f t="shared" si="31"/>
        <v>3673.26</v>
      </c>
      <c r="J426" s="209"/>
      <c r="K426" s="186"/>
      <c r="L426" s="186"/>
      <c r="M426" s="186"/>
      <c r="N426" s="47"/>
      <c r="O426" s="47"/>
      <c r="P426" s="47"/>
      <c r="Q426" s="48"/>
      <c r="R426" s="47"/>
      <c r="S426" s="48"/>
      <c r="T426" s="48"/>
      <c r="U426" s="48"/>
      <c r="V426" s="48"/>
    </row>
    <row r="427" spans="1:22" ht="30" customHeight="1" x14ac:dyDescent="0.2">
      <c r="A427" s="395" t="s">
        <v>1349</v>
      </c>
      <c r="B427" s="392" t="s">
        <v>94</v>
      </c>
      <c r="C427" s="220">
        <v>535</v>
      </c>
      <c r="D427" s="267" t="s">
        <v>971</v>
      </c>
      <c r="E427" s="392" t="s">
        <v>61</v>
      </c>
      <c r="F427" s="221">
        <v>112</v>
      </c>
      <c r="G427" s="221">
        <v>19.05</v>
      </c>
      <c r="H427" s="221">
        <f t="shared" si="30"/>
        <v>24.085998314493736</v>
      </c>
      <c r="I427" s="222">
        <f t="shared" si="31"/>
        <v>2697.63</v>
      </c>
      <c r="J427" s="209"/>
      <c r="K427" s="47"/>
      <c r="L427" s="168"/>
      <c r="M427" s="47"/>
      <c r="N427" s="47"/>
      <c r="O427" s="47"/>
      <c r="P427" s="47"/>
      <c r="R427" s="47"/>
    </row>
    <row r="428" spans="1:22" s="162" customFormat="1" ht="57" x14ac:dyDescent="0.2">
      <c r="A428" s="395" t="s">
        <v>1350</v>
      </c>
      <c r="B428" s="220" t="s">
        <v>94</v>
      </c>
      <c r="C428" s="220">
        <v>86927</v>
      </c>
      <c r="D428" s="219" t="s">
        <v>853</v>
      </c>
      <c r="E428" s="220" t="s">
        <v>64</v>
      </c>
      <c r="F428" s="221">
        <v>1</v>
      </c>
      <c r="G428" s="221">
        <v>173.6</v>
      </c>
      <c r="H428" s="221">
        <f t="shared" si="30"/>
        <v>219.49235209428409</v>
      </c>
      <c r="I428" s="222">
        <f t="shared" si="31"/>
        <v>219.49</v>
      </c>
      <c r="J428" s="209"/>
      <c r="K428" s="186"/>
      <c r="L428" s="186"/>
      <c r="M428" s="186"/>
      <c r="N428" s="47"/>
      <c r="O428" s="47"/>
      <c r="P428" s="47"/>
      <c r="Q428" s="48"/>
      <c r="R428" s="47"/>
      <c r="S428" s="48"/>
      <c r="T428" s="48"/>
      <c r="U428" s="48"/>
      <c r="V428" s="48"/>
    </row>
    <row r="429" spans="1:22" s="48" customFormat="1" ht="30" customHeight="1" x14ac:dyDescent="0.2">
      <c r="A429" s="395" t="s">
        <v>1351</v>
      </c>
      <c r="B429" s="392" t="s">
        <v>717</v>
      </c>
      <c r="C429" s="392" t="str">
        <f>COMPOSIÇÕES!B380</f>
        <v>CE-036</v>
      </c>
      <c r="D429" s="396" t="s">
        <v>347</v>
      </c>
      <c r="E429" s="220" t="s">
        <v>64</v>
      </c>
      <c r="F429" s="221">
        <v>1</v>
      </c>
      <c r="G429" s="221">
        <f>COMPOSIÇÕES!I380</f>
        <v>973.13000000000011</v>
      </c>
      <c r="H429" s="221">
        <f t="shared" si="30"/>
        <v>1230.3835978888867</v>
      </c>
      <c r="I429" s="222">
        <f t="shared" si="31"/>
        <v>1230.3800000000001</v>
      </c>
      <c r="J429" s="366"/>
      <c r="K429" s="47"/>
      <c r="L429" s="168"/>
      <c r="M429" s="47"/>
      <c r="N429" s="47"/>
      <c r="O429" s="47"/>
      <c r="P429" s="47"/>
      <c r="R429" s="47"/>
    </row>
    <row r="430" spans="1:22" s="48" customFormat="1" ht="30" customHeight="1" x14ac:dyDescent="0.2">
      <c r="A430" s="395" t="s">
        <v>1352</v>
      </c>
      <c r="B430" s="220" t="s">
        <v>717</v>
      </c>
      <c r="C430" s="220" t="str">
        <f>COMPOSIÇÕES!B392</f>
        <v>CE-037</v>
      </c>
      <c r="D430" s="219" t="s">
        <v>433</v>
      </c>
      <c r="E430" s="220" t="s">
        <v>64</v>
      </c>
      <c r="F430" s="221">
        <v>1</v>
      </c>
      <c r="G430" s="221">
        <f>COMPOSIÇÕES!I392</f>
        <v>1094.8</v>
      </c>
      <c r="H430" s="221">
        <f t="shared" si="30"/>
        <v>1384.2178978849206</v>
      </c>
      <c r="I430" s="222">
        <f t="shared" si="31"/>
        <v>1384.22</v>
      </c>
      <c r="J430" s="366"/>
      <c r="K430" s="47"/>
      <c r="L430" s="168"/>
      <c r="M430" s="47"/>
      <c r="N430" s="47"/>
      <c r="O430" s="47"/>
      <c r="P430" s="47"/>
      <c r="R430" s="47"/>
    </row>
    <row r="431" spans="1:22" s="48" customFormat="1" ht="60" customHeight="1" x14ac:dyDescent="0.2">
      <c r="A431" s="395" t="s">
        <v>1353</v>
      </c>
      <c r="B431" s="392" t="s">
        <v>94</v>
      </c>
      <c r="C431" s="392" t="s">
        <v>349</v>
      </c>
      <c r="D431" s="396" t="s">
        <v>348</v>
      </c>
      <c r="E431" s="392" t="s">
        <v>61</v>
      </c>
      <c r="F431" s="221">
        <v>20</v>
      </c>
      <c r="G431" s="221">
        <v>240.34</v>
      </c>
      <c r="H431" s="221">
        <f t="shared" si="30"/>
        <v>303.87552939136083</v>
      </c>
      <c r="I431" s="222">
        <f t="shared" si="31"/>
        <v>6077.51</v>
      </c>
      <c r="J431" s="209"/>
      <c r="K431" s="47"/>
      <c r="L431" s="47"/>
      <c r="M431" s="47"/>
      <c r="N431" s="47"/>
      <c r="O431" s="47"/>
      <c r="P431" s="47"/>
      <c r="R431" s="47"/>
    </row>
    <row r="432" spans="1:22" s="162" customFormat="1" ht="60" customHeight="1" x14ac:dyDescent="0.2">
      <c r="A432" s="395" t="s">
        <v>1354</v>
      </c>
      <c r="B432" s="220" t="s">
        <v>94</v>
      </c>
      <c r="C432" s="220">
        <v>73685</v>
      </c>
      <c r="D432" s="219" t="s">
        <v>721</v>
      </c>
      <c r="E432" s="220" t="s">
        <v>62</v>
      </c>
      <c r="F432" s="221">
        <v>323</v>
      </c>
      <c r="G432" s="221">
        <v>26.82</v>
      </c>
      <c r="H432" s="221">
        <f t="shared" si="30"/>
        <v>33.910051170326611</v>
      </c>
      <c r="I432" s="222">
        <f t="shared" si="31"/>
        <v>10952.95</v>
      </c>
      <c r="J432" s="209"/>
      <c r="K432" s="186"/>
      <c r="L432" s="186"/>
      <c r="M432" s="186"/>
      <c r="N432" s="47"/>
      <c r="O432" s="47"/>
      <c r="P432" s="47"/>
      <c r="Q432" s="48"/>
      <c r="R432" s="47"/>
      <c r="S432" s="48"/>
      <c r="T432" s="48"/>
      <c r="U432" s="48"/>
      <c r="V432" s="48"/>
    </row>
    <row r="433" spans="1:63" s="162" customFormat="1" x14ac:dyDescent="0.2">
      <c r="A433" s="395" t="s">
        <v>1355</v>
      </c>
      <c r="B433" s="220" t="s">
        <v>717</v>
      </c>
      <c r="C433" s="220" t="str">
        <f>COMPOSIÇÕES!B403</f>
        <v>CE-038</v>
      </c>
      <c r="D433" s="219" t="s">
        <v>786</v>
      </c>
      <c r="E433" s="220" t="s">
        <v>65</v>
      </c>
      <c r="F433" s="221">
        <v>1</v>
      </c>
      <c r="G433" s="221">
        <f>COMPOSIÇÕES!I403</f>
        <v>3574.9539999999997</v>
      </c>
      <c r="H433" s="221">
        <f>G433*(1+$K$20)</f>
        <v>4175.5603303029447</v>
      </c>
      <c r="I433" s="222">
        <f t="shared" si="31"/>
        <v>4175.5600000000004</v>
      </c>
      <c r="J433" s="366"/>
      <c r="K433" s="186"/>
      <c r="L433" s="186"/>
      <c r="M433" s="186"/>
      <c r="N433" s="47"/>
      <c r="O433" s="47"/>
      <c r="P433" s="47"/>
      <c r="Q433" s="48"/>
      <c r="R433" s="47"/>
      <c r="S433" s="48"/>
      <c r="T433" s="48"/>
      <c r="U433" s="48"/>
      <c r="V433" s="48"/>
    </row>
    <row r="434" spans="1:63" s="162" customFormat="1" x14ac:dyDescent="0.2">
      <c r="A434" s="395" t="s">
        <v>1356</v>
      </c>
      <c r="B434" s="220" t="s">
        <v>717</v>
      </c>
      <c r="C434" s="220" t="str">
        <f>COMPOSIÇÕES!B480</f>
        <v>CE-039</v>
      </c>
      <c r="D434" s="219" t="s">
        <v>784</v>
      </c>
      <c r="E434" s="220" t="s">
        <v>64</v>
      </c>
      <c r="F434" s="221">
        <v>1</v>
      </c>
      <c r="G434" s="221">
        <f>COMPOSIÇÕES!I480</f>
        <v>554.1</v>
      </c>
      <c r="H434" s="221">
        <f>G434*(1+$L$20)</f>
        <v>700.58013995070758</v>
      </c>
      <c r="I434" s="222">
        <f t="shared" si="31"/>
        <v>700.58</v>
      </c>
      <c r="J434" s="366"/>
      <c r="K434" s="186"/>
      <c r="L434" s="186"/>
      <c r="M434" s="186"/>
      <c r="N434" s="47"/>
      <c r="O434" s="47"/>
      <c r="P434" s="47"/>
      <c r="Q434" s="48"/>
      <c r="R434" s="47"/>
      <c r="S434" s="48"/>
      <c r="T434" s="48"/>
      <c r="U434" s="48"/>
      <c r="V434" s="48"/>
    </row>
    <row r="435" spans="1:63" ht="15" customHeight="1" x14ac:dyDescent="0.2">
      <c r="A435" s="395"/>
      <c r="B435" s="220"/>
      <c r="C435" s="405"/>
      <c r="D435" s="219"/>
      <c r="E435" s="392"/>
      <c r="F435" s="393"/>
      <c r="G435" s="394"/>
      <c r="H435" s="393"/>
      <c r="I435" s="408"/>
      <c r="J435" s="212"/>
      <c r="K435" s="47"/>
      <c r="L435" s="47"/>
      <c r="M435" s="47"/>
      <c r="N435" s="47"/>
      <c r="O435" s="47"/>
      <c r="P435" s="47"/>
      <c r="R435" s="47"/>
    </row>
    <row r="436" spans="1:63" ht="15" x14ac:dyDescent="0.2">
      <c r="A436" s="409" t="s">
        <v>2755</v>
      </c>
      <c r="B436" s="410"/>
      <c r="C436" s="410"/>
      <c r="D436" s="411" t="s">
        <v>2203</v>
      </c>
      <c r="E436" s="410"/>
      <c r="F436" s="412"/>
      <c r="G436" s="413"/>
      <c r="H436" s="414"/>
      <c r="I436" s="415">
        <f>SUM(I437:I467)</f>
        <v>313018.44</v>
      </c>
      <c r="J436" s="211"/>
      <c r="K436" s="49"/>
      <c r="L436" s="49"/>
      <c r="M436" s="49"/>
      <c r="N436" s="47"/>
      <c r="O436" s="47"/>
      <c r="P436" s="47"/>
      <c r="R436" s="47"/>
    </row>
    <row r="437" spans="1:63" s="48" customFormat="1" x14ac:dyDescent="0.2">
      <c r="A437" s="438" t="s">
        <v>1132</v>
      </c>
      <c r="B437" s="224" t="s">
        <v>94</v>
      </c>
      <c r="C437" s="224">
        <v>73610</v>
      </c>
      <c r="D437" s="218" t="s">
        <v>2223</v>
      </c>
      <c r="E437" s="224" t="s">
        <v>63</v>
      </c>
      <c r="F437" s="215">
        <f>F449+F450+F451+F452+F453+F454+F459+F460+F455+F456+F457+F458</f>
        <v>1690</v>
      </c>
      <c r="G437" s="215">
        <v>0.83</v>
      </c>
      <c r="H437" s="215">
        <f t="shared" ref="H437:H462" si="32">G437*(1+$L$20)</f>
        <v>1.0494161995291234</v>
      </c>
      <c r="I437" s="439">
        <f>ROUND(F437*H437,2)</f>
        <v>1773.51</v>
      </c>
      <c r="J437" s="366"/>
      <c r="K437" s="47"/>
      <c r="L437" s="168"/>
      <c r="M437" s="47"/>
      <c r="N437" s="47"/>
      <c r="O437" s="47"/>
      <c r="P437" s="47"/>
      <c r="R437" s="47"/>
    </row>
    <row r="438" spans="1:63" s="160" customFormat="1" ht="45" customHeight="1" x14ac:dyDescent="0.2">
      <c r="A438" s="425" t="s">
        <v>1133</v>
      </c>
      <c r="B438" s="426" t="s">
        <v>94</v>
      </c>
      <c r="C438" s="426">
        <v>3070</v>
      </c>
      <c r="D438" s="434" t="s">
        <v>207</v>
      </c>
      <c r="E438" s="426" t="s">
        <v>62</v>
      </c>
      <c r="F438" s="429">
        <f>F437*0.6*1.2*1.2</f>
        <v>1460.1599999999999</v>
      </c>
      <c r="G438" s="429">
        <v>6.07</v>
      </c>
      <c r="H438" s="429">
        <f t="shared" si="32"/>
        <v>7.6746461820985283</v>
      </c>
      <c r="I438" s="430">
        <f t="shared" ref="I438:I464" si="33">ROUND(F438*H438,2)</f>
        <v>11206.21</v>
      </c>
      <c r="J438" s="431"/>
      <c r="K438" s="347"/>
      <c r="L438" s="347"/>
      <c r="M438" s="347"/>
      <c r="N438" s="347"/>
      <c r="O438" s="347"/>
      <c r="P438" s="347"/>
      <c r="R438" s="347"/>
    </row>
    <row r="439" spans="1:63" s="162" customFormat="1" ht="15" customHeight="1" x14ac:dyDescent="0.2">
      <c r="A439" s="395" t="s">
        <v>1134</v>
      </c>
      <c r="B439" s="220" t="s">
        <v>94</v>
      </c>
      <c r="C439" s="220">
        <v>5622</v>
      </c>
      <c r="D439" s="219" t="s">
        <v>723</v>
      </c>
      <c r="E439" s="220" t="s">
        <v>61</v>
      </c>
      <c r="F439" s="221">
        <f>F437*0.6</f>
        <v>1014</v>
      </c>
      <c r="G439" s="221">
        <v>4.6399999999999997</v>
      </c>
      <c r="H439" s="221">
        <f t="shared" si="32"/>
        <v>5.8666158624278699</v>
      </c>
      <c r="I439" s="222">
        <f t="shared" si="33"/>
        <v>5948.75</v>
      </c>
      <c r="J439" s="209"/>
      <c r="K439" s="186"/>
      <c r="L439" s="186"/>
      <c r="M439" s="186"/>
      <c r="N439" s="47"/>
      <c r="O439" s="47"/>
      <c r="P439" s="47"/>
      <c r="Q439" s="48"/>
      <c r="R439" s="47"/>
      <c r="S439" s="48"/>
      <c r="T439" s="48"/>
      <c r="U439" s="48"/>
      <c r="V439" s="48"/>
    </row>
    <row r="440" spans="1:63" ht="30" customHeight="1" x14ac:dyDescent="0.2">
      <c r="A440" s="395" t="s">
        <v>1135</v>
      </c>
      <c r="B440" s="392" t="s">
        <v>94</v>
      </c>
      <c r="C440" s="392" t="s">
        <v>113</v>
      </c>
      <c r="D440" s="396" t="s">
        <v>114</v>
      </c>
      <c r="E440" s="392" t="s">
        <v>62</v>
      </c>
      <c r="F440" s="221">
        <f>F438</f>
        <v>1460.1599999999999</v>
      </c>
      <c r="G440" s="221">
        <v>27.17</v>
      </c>
      <c r="H440" s="221">
        <f t="shared" si="32"/>
        <v>34.352576073742512</v>
      </c>
      <c r="I440" s="222">
        <f t="shared" si="33"/>
        <v>50160.26</v>
      </c>
      <c r="J440" s="209"/>
      <c r="K440" s="47"/>
      <c r="L440" s="168"/>
      <c r="M440" s="47"/>
      <c r="N440" s="47"/>
      <c r="O440" s="47"/>
      <c r="P440" s="47"/>
      <c r="R440" s="47"/>
    </row>
    <row r="441" spans="1:63" s="162" customFormat="1" ht="42.75" x14ac:dyDescent="0.2">
      <c r="A441" s="395" t="s">
        <v>1136</v>
      </c>
      <c r="B441" s="220" t="s">
        <v>94</v>
      </c>
      <c r="C441" s="220" t="s">
        <v>204</v>
      </c>
      <c r="D441" s="219" t="s">
        <v>205</v>
      </c>
      <c r="E441" s="220" t="s">
        <v>64</v>
      </c>
      <c r="F441" s="221">
        <v>4</v>
      </c>
      <c r="G441" s="221">
        <v>331.51</v>
      </c>
      <c r="H441" s="221">
        <f t="shared" si="32"/>
        <v>419.14694494686705</v>
      </c>
      <c r="I441" s="222">
        <f t="shared" si="33"/>
        <v>1676.59</v>
      </c>
      <c r="J441" s="209"/>
      <c r="K441" s="186"/>
      <c r="L441" s="186"/>
      <c r="M441" s="186"/>
      <c r="N441" s="47"/>
      <c r="O441" s="47"/>
      <c r="P441" s="47"/>
      <c r="Q441" s="48"/>
      <c r="R441" s="47"/>
      <c r="S441" s="48"/>
      <c r="T441" s="48"/>
      <c r="U441" s="48"/>
      <c r="V441" s="48"/>
    </row>
    <row r="442" spans="1:63" ht="57" x14ac:dyDescent="0.2">
      <c r="A442" s="395" t="s">
        <v>1137</v>
      </c>
      <c r="B442" s="392" t="s">
        <v>94</v>
      </c>
      <c r="C442" s="392" t="s">
        <v>742</v>
      </c>
      <c r="D442" s="396" t="s">
        <v>743</v>
      </c>
      <c r="E442" s="392" t="s">
        <v>64</v>
      </c>
      <c r="F442" s="221">
        <v>1</v>
      </c>
      <c r="G442" s="221">
        <v>1002.56</v>
      </c>
      <c r="H442" s="221">
        <f t="shared" si="32"/>
        <v>1267.5936204818288</v>
      </c>
      <c r="I442" s="222">
        <f t="shared" si="33"/>
        <v>1267.5899999999999</v>
      </c>
      <c r="J442" s="210"/>
      <c r="K442" s="47"/>
      <c r="L442" s="167"/>
      <c r="M442" s="47"/>
      <c r="N442" s="47"/>
      <c r="O442" s="47"/>
      <c r="P442" s="47"/>
      <c r="R442" s="47"/>
    </row>
    <row r="443" spans="1:63" ht="57" x14ac:dyDescent="0.2">
      <c r="A443" s="395" t="s">
        <v>1138</v>
      </c>
      <c r="B443" s="392" t="s">
        <v>94</v>
      </c>
      <c r="C443" s="392" t="s">
        <v>744</v>
      </c>
      <c r="D443" s="396" t="s">
        <v>745</v>
      </c>
      <c r="E443" s="392" t="s">
        <v>64</v>
      </c>
      <c r="F443" s="221">
        <v>2</v>
      </c>
      <c r="G443" s="221">
        <v>1067.2</v>
      </c>
      <c r="H443" s="221">
        <f t="shared" si="32"/>
        <v>1349.3216483584101</v>
      </c>
      <c r="I443" s="222">
        <f t="shared" si="33"/>
        <v>2698.64</v>
      </c>
      <c r="J443" s="210"/>
      <c r="K443" s="47"/>
      <c r="L443" s="167"/>
      <c r="M443" s="47"/>
      <c r="N443" s="47"/>
      <c r="O443" s="47"/>
      <c r="P443" s="47"/>
      <c r="R443" s="47"/>
    </row>
    <row r="444" spans="1:63" ht="57" x14ac:dyDescent="0.2">
      <c r="A444" s="395" t="s">
        <v>1139</v>
      </c>
      <c r="B444" s="392" t="s">
        <v>94</v>
      </c>
      <c r="C444" s="392" t="s">
        <v>752</v>
      </c>
      <c r="D444" s="396" t="s">
        <v>753</v>
      </c>
      <c r="E444" s="392" t="s">
        <v>64</v>
      </c>
      <c r="F444" s="221">
        <v>2</v>
      </c>
      <c r="G444" s="221">
        <v>1374.08</v>
      </c>
      <c r="H444" s="221">
        <f t="shared" si="32"/>
        <v>1737.3274836734672</v>
      </c>
      <c r="I444" s="222">
        <f t="shared" si="33"/>
        <v>3474.65</v>
      </c>
      <c r="J444" s="210"/>
      <c r="K444" s="47"/>
      <c r="L444" s="167"/>
      <c r="M444" s="47"/>
      <c r="N444" s="47"/>
      <c r="O444" s="47"/>
      <c r="P444" s="47"/>
      <c r="R444" s="47"/>
    </row>
    <row r="445" spans="1:63" ht="57" x14ac:dyDescent="0.2">
      <c r="A445" s="395" t="s">
        <v>1140</v>
      </c>
      <c r="B445" s="392" t="s">
        <v>94</v>
      </c>
      <c r="C445" s="392" t="s">
        <v>1015</v>
      </c>
      <c r="D445" s="396" t="s">
        <v>1016</v>
      </c>
      <c r="E445" s="392" t="s">
        <v>64</v>
      </c>
      <c r="F445" s="221">
        <v>6</v>
      </c>
      <c r="G445" s="221">
        <v>1490.23</v>
      </c>
      <c r="H445" s="221">
        <f t="shared" ref="H445" si="34">G445*(1+$L$20)</f>
        <v>1884.1825337641994</v>
      </c>
      <c r="I445" s="222">
        <f t="shared" ref="I445" si="35">ROUND(F445*H445,2)</f>
        <v>11305.1</v>
      </c>
      <c r="J445" s="210"/>
      <c r="K445" s="47"/>
      <c r="L445" s="167"/>
      <c r="M445" s="47"/>
      <c r="N445" s="47"/>
      <c r="O445" s="47"/>
      <c r="P445" s="47"/>
      <c r="R445" s="47"/>
    </row>
    <row r="446" spans="1:63" s="160" customFormat="1" ht="30" customHeight="1" x14ac:dyDescent="0.2">
      <c r="A446" s="425" t="s">
        <v>1141</v>
      </c>
      <c r="B446" s="426" t="s">
        <v>94</v>
      </c>
      <c r="C446" s="426">
        <v>21088</v>
      </c>
      <c r="D446" s="434" t="s">
        <v>725</v>
      </c>
      <c r="E446" s="426" t="s">
        <v>64</v>
      </c>
      <c r="F446" s="429">
        <v>15</v>
      </c>
      <c r="G446" s="429">
        <v>367.86</v>
      </c>
      <c r="H446" s="429">
        <f t="shared" si="32"/>
        <v>465.10631705877506</v>
      </c>
      <c r="I446" s="430">
        <f t="shared" si="33"/>
        <v>6976.59</v>
      </c>
      <c r="J446" s="431"/>
      <c r="K446" s="347"/>
      <c r="L446" s="435"/>
      <c r="M446" s="347"/>
      <c r="N446" s="347"/>
      <c r="O446" s="347"/>
      <c r="P446" s="347"/>
      <c r="R446" s="347"/>
    </row>
    <row r="447" spans="1:63" s="161" customFormat="1" ht="15" customHeight="1" x14ac:dyDescent="0.2">
      <c r="A447" s="395" t="s">
        <v>1142</v>
      </c>
      <c r="B447" s="220" t="s">
        <v>94</v>
      </c>
      <c r="C447" s="220">
        <v>83447</v>
      </c>
      <c r="D447" s="219" t="s">
        <v>843</v>
      </c>
      <c r="E447" s="220" t="s">
        <v>64</v>
      </c>
      <c r="F447" s="221">
        <v>3</v>
      </c>
      <c r="G447" s="221">
        <v>140.55000000000001</v>
      </c>
      <c r="H447" s="221">
        <f t="shared" si="32"/>
        <v>177.70535764315457</v>
      </c>
      <c r="I447" s="222">
        <f t="shared" si="33"/>
        <v>533.12</v>
      </c>
      <c r="J447" s="209"/>
      <c r="K447" s="186"/>
      <c r="L447" s="186"/>
      <c r="M447" s="186"/>
      <c r="N447" s="47"/>
      <c r="O447" s="47"/>
      <c r="P447" s="47"/>
      <c r="Q447" s="48"/>
      <c r="R447" s="47"/>
      <c r="S447" s="48"/>
      <c r="T447" s="48"/>
      <c r="U447" s="48"/>
      <c r="V447" s="48"/>
      <c r="W447" s="162"/>
      <c r="X447" s="162"/>
      <c r="Y447" s="162"/>
      <c r="Z447" s="162"/>
      <c r="AA447" s="162"/>
      <c r="AB447" s="162"/>
      <c r="AC447" s="162"/>
      <c r="AD447" s="162"/>
      <c r="AE447" s="162"/>
      <c r="AF447" s="162"/>
      <c r="AG447" s="162"/>
      <c r="AH447" s="162"/>
      <c r="AI447" s="162"/>
      <c r="AJ447" s="162"/>
      <c r="AK447" s="162"/>
      <c r="AL447" s="162"/>
      <c r="AM447" s="162"/>
      <c r="AN447" s="162"/>
      <c r="AO447" s="162"/>
      <c r="AP447" s="162"/>
      <c r="AQ447" s="162"/>
      <c r="AR447" s="162"/>
      <c r="AS447" s="162"/>
      <c r="AT447" s="162"/>
      <c r="AU447" s="162"/>
      <c r="AV447" s="162"/>
      <c r="AW447" s="162"/>
      <c r="AX447" s="162"/>
      <c r="AY447" s="162"/>
      <c r="AZ447" s="162"/>
      <c r="BA447" s="162"/>
      <c r="BB447" s="162"/>
      <c r="BC447" s="162"/>
      <c r="BD447" s="162"/>
      <c r="BE447" s="162"/>
      <c r="BF447" s="162"/>
      <c r="BG447" s="162"/>
      <c r="BH447" s="162"/>
      <c r="BI447" s="162"/>
      <c r="BJ447" s="162"/>
      <c r="BK447" s="162"/>
    </row>
    <row r="448" spans="1:63" s="162" customFormat="1" ht="15" customHeight="1" x14ac:dyDescent="0.2">
      <c r="A448" s="395" t="s">
        <v>1143</v>
      </c>
      <c r="B448" s="220" t="s">
        <v>717</v>
      </c>
      <c r="C448" s="220" t="str">
        <f>COMPOSIÇÕES!B485</f>
        <v>CE-040</v>
      </c>
      <c r="D448" s="219" t="s">
        <v>965</v>
      </c>
      <c r="E448" s="220" t="s">
        <v>64</v>
      </c>
      <c r="F448" s="221">
        <v>1</v>
      </c>
      <c r="G448" s="221">
        <f>COMPOSIÇÕES!I485</f>
        <v>697.51</v>
      </c>
      <c r="H448" s="221">
        <f>G448*(1+$L$20)</f>
        <v>881.90155823320333</v>
      </c>
      <c r="I448" s="222">
        <f>ROUND(F448*H448,2)</f>
        <v>881.9</v>
      </c>
      <c r="J448" s="366"/>
      <c r="K448" s="186"/>
      <c r="L448" s="186"/>
      <c r="M448" s="186"/>
      <c r="N448" s="47"/>
      <c r="O448" s="47"/>
      <c r="P448" s="47"/>
      <c r="Q448" s="48"/>
      <c r="R448" s="47"/>
      <c r="S448" s="48"/>
      <c r="T448" s="48"/>
      <c r="U448" s="48"/>
      <c r="V448" s="48"/>
    </row>
    <row r="449" spans="1:22" s="433" customFormat="1" ht="15" customHeight="1" x14ac:dyDescent="0.2">
      <c r="A449" s="425" t="s">
        <v>1144</v>
      </c>
      <c r="B449" s="428" t="s">
        <v>101</v>
      </c>
      <c r="C449" s="428">
        <v>65000384</v>
      </c>
      <c r="D449" s="427" t="s">
        <v>2213</v>
      </c>
      <c r="E449" s="426" t="s">
        <v>64</v>
      </c>
      <c r="F449" s="429">
        <f>COMPOSIÇÕES!F533</f>
        <v>150</v>
      </c>
      <c r="G449" s="429">
        <v>0.79</v>
      </c>
      <c r="H449" s="429">
        <f t="shared" ref="H449" si="36">G449*(1+$L$20)</f>
        <v>0.99884192485302103</v>
      </c>
      <c r="I449" s="430">
        <f t="shared" ref="I449" si="37">ROUND(F449*H449,2)</f>
        <v>149.83000000000001</v>
      </c>
      <c r="J449" s="431"/>
      <c r="K449" s="432"/>
      <c r="L449" s="432"/>
      <c r="M449" s="432"/>
      <c r="N449" s="347"/>
      <c r="O449" s="347"/>
      <c r="P449" s="347"/>
      <c r="Q449" s="160"/>
      <c r="R449" s="347"/>
      <c r="S449" s="160"/>
      <c r="T449" s="160"/>
      <c r="U449" s="160"/>
      <c r="V449" s="160"/>
    </row>
    <row r="450" spans="1:22" s="433" customFormat="1" ht="15" customHeight="1" x14ac:dyDescent="0.2">
      <c r="A450" s="425" t="s">
        <v>1145</v>
      </c>
      <c r="B450" s="428" t="s">
        <v>101</v>
      </c>
      <c r="C450" s="428">
        <v>65000385</v>
      </c>
      <c r="D450" s="427" t="s">
        <v>2214</v>
      </c>
      <c r="E450" s="426" t="s">
        <v>64</v>
      </c>
      <c r="F450" s="429">
        <f>COMPOSIÇÕES!F532</f>
        <v>98</v>
      </c>
      <c r="G450" s="429">
        <v>1.01</v>
      </c>
      <c r="H450" s="429">
        <f t="shared" ref="H450:H453" si="38">G450*(1+$L$20)</f>
        <v>1.2770004355715838</v>
      </c>
      <c r="I450" s="430">
        <f t="shared" ref="I450:I453" si="39">ROUND(F450*H450,2)</f>
        <v>125.15</v>
      </c>
      <c r="J450" s="431"/>
      <c r="K450" s="432"/>
      <c r="L450" s="432"/>
      <c r="M450" s="432"/>
      <c r="N450" s="347"/>
      <c r="O450" s="347"/>
      <c r="P450" s="347"/>
      <c r="Q450" s="160"/>
      <c r="R450" s="347"/>
      <c r="S450" s="160"/>
      <c r="T450" s="160"/>
      <c r="U450" s="160"/>
      <c r="V450" s="160"/>
    </row>
    <row r="451" spans="1:22" s="433" customFormat="1" ht="28.5" x14ac:dyDescent="0.2">
      <c r="A451" s="425" t="s">
        <v>1146</v>
      </c>
      <c r="B451" s="426" t="s">
        <v>101</v>
      </c>
      <c r="C451" s="426">
        <v>65000431</v>
      </c>
      <c r="D451" s="434" t="s">
        <v>2215</v>
      </c>
      <c r="E451" s="426" t="s">
        <v>64</v>
      </c>
      <c r="F451" s="429">
        <f>COMPOSIÇÕES!F520</f>
        <v>56</v>
      </c>
      <c r="G451" s="429">
        <v>8.39</v>
      </c>
      <c r="H451" s="429">
        <f t="shared" si="38"/>
        <v>10.607954113312465</v>
      </c>
      <c r="I451" s="430">
        <f t="shared" si="39"/>
        <v>594.04999999999995</v>
      </c>
      <c r="J451" s="431"/>
      <c r="K451" s="432"/>
      <c r="L451" s="432"/>
      <c r="M451" s="432"/>
      <c r="N451" s="347"/>
      <c r="O451" s="347"/>
      <c r="P451" s="347"/>
      <c r="Q451" s="160"/>
      <c r="R451" s="347"/>
      <c r="S451" s="160"/>
      <c r="T451" s="160"/>
      <c r="U451" s="160"/>
      <c r="V451" s="160"/>
    </row>
    <row r="452" spans="1:22" s="433" customFormat="1" ht="28.5" x14ac:dyDescent="0.2">
      <c r="A452" s="425" t="s">
        <v>1147</v>
      </c>
      <c r="B452" s="428" t="s">
        <v>101</v>
      </c>
      <c r="C452" s="428">
        <v>65000428</v>
      </c>
      <c r="D452" s="427" t="s">
        <v>2216</v>
      </c>
      <c r="E452" s="426" t="s">
        <v>64</v>
      </c>
      <c r="F452" s="429">
        <f>COMPOSIÇÕES!F521</f>
        <v>22</v>
      </c>
      <c r="G452" s="429">
        <v>5.85</v>
      </c>
      <c r="H452" s="429">
        <f t="shared" si="38"/>
        <v>7.3964876713799654</v>
      </c>
      <c r="I452" s="430">
        <f t="shared" si="39"/>
        <v>162.72</v>
      </c>
      <c r="J452" s="431"/>
      <c r="K452" s="432"/>
      <c r="L452" s="432"/>
      <c r="M452" s="432"/>
      <c r="N452" s="347"/>
      <c r="O452" s="347"/>
      <c r="P452" s="347"/>
      <c r="Q452" s="160"/>
      <c r="R452" s="347"/>
      <c r="S452" s="160"/>
      <c r="T452" s="160"/>
      <c r="U452" s="160"/>
      <c r="V452" s="160"/>
    </row>
    <row r="453" spans="1:22" s="433" customFormat="1" ht="28.5" x14ac:dyDescent="0.2">
      <c r="A453" s="425" t="s">
        <v>1148</v>
      </c>
      <c r="B453" s="428" t="s">
        <v>101</v>
      </c>
      <c r="C453" s="428">
        <v>65000426</v>
      </c>
      <c r="D453" s="427" t="s">
        <v>2217</v>
      </c>
      <c r="E453" s="426" t="s">
        <v>64</v>
      </c>
      <c r="F453" s="429">
        <f>COMPOSIÇÕES!F540</f>
        <v>8</v>
      </c>
      <c r="G453" s="429">
        <v>4.97</v>
      </c>
      <c r="H453" s="429">
        <f t="shared" si="38"/>
        <v>6.2838536285057138</v>
      </c>
      <c r="I453" s="430">
        <f t="shared" si="39"/>
        <v>50.27</v>
      </c>
      <c r="J453" s="431"/>
      <c r="K453" s="432"/>
      <c r="L453" s="432"/>
      <c r="M453" s="432"/>
      <c r="N453" s="347"/>
      <c r="O453" s="347"/>
      <c r="P453" s="347"/>
      <c r="Q453" s="160"/>
      <c r="R453" s="347"/>
      <c r="S453" s="160"/>
      <c r="T453" s="160"/>
      <c r="U453" s="160"/>
      <c r="V453" s="160"/>
    </row>
    <row r="454" spans="1:22" ht="30" customHeight="1" x14ac:dyDescent="0.2">
      <c r="A454" s="395" t="s">
        <v>1149</v>
      </c>
      <c r="B454" s="220" t="s">
        <v>94</v>
      </c>
      <c r="C454" s="392" t="s">
        <v>1018</v>
      </c>
      <c r="D454" s="396" t="s">
        <v>1019</v>
      </c>
      <c r="E454" s="220" t="s">
        <v>63</v>
      </c>
      <c r="F454" s="221">
        <f>COMPOSIÇÕES!F529</f>
        <v>700</v>
      </c>
      <c r="G454" s="221">
        <v>1.5</v>
      </c>
      <c r="H454" s="221">
        <f t="shared" ref="H454" si="40">G454*(1+$L$20)</f>
        <v>1.8965353003538374</v>
      </c>
      <c r="I454" s="222">
        <f t="shared" ref="I454" si="41">ROUND(F454*H454,2)</f>
        <v>1327.57</v>
      </c>
      <c r="J454" s="209"/>
      <c r="K454" s="47"/>
      <c r="L454" s="168"/>
      <c r="M454" s="47"/>
      <c r="N454" s="47"/>
      <c r="O454" s="47"/>
      <c r="P454" s="47"/>
      <c r="R454" s="47"/>
    </row>
    <row r="455" spans="1:22" s="433" customFormat="1" x14ac:dyDescent="0.2">
      <c r="A455" s="425" t="s">
        <v>1150</v>
      </c>
      <c r="B455" s="428" t="s">
        <v>94</v>
      </c>
      <c r="C455" s="428" t="s">
        <v>147</v>
      </c>
      <c r="D455" s="427" t="s">
        <v>148</v>
      </c>
      <c r="E455" s="428" t="s">
        <v>63</v>
      </c>
      <c r="F455" s="429">
        <f>COMPOSIÇÕES!F509</f>
        <v>69.5</v>
      </c>
      <c r="G455" s="429">
        <v>1.97</v>
      </c>
      <c r="H455" s="429">
        <f t="shared" si="32"/>
        <v>2.4907830277980398</v>
      </c>
      <c r="I455" s="430">
        <f t="shared" si="33"/>
        <v>173.11</v>
      </c>
      <c r="J455" s="431"/>
      <c r="K455" s="432"/>
      <c r="L455" s="432"/>
      <c r="M455" s="432"/>
      <c r="N455" s="347"/>
      <c r="O455" s="347"/>
      <c r="P455" s="347"/>
      <c r="Q455" s="160"/>
      <c r="R455" s="347"/>
      <c r="S455" s="160"/>
      <c r="T455" s="160"/>
      <c r="U455" s="160"/>
      <c r="V455" s="160"/>
    </row>
    <row r="456" spans="1:22" s="433" customFormat="1" x14ac:dyDescent="0.2">
      <c r="A456" s="425" t="s">
        <v>1151</v>
      </c>
      <c r="B456" s="428" t="s">
        <v>94</v>
      </c>
      <c r="C456" s="428" t="s">
        <v>127</v>
      </c>
      <c r="D456" s="427" t="s">
        <v>128</v>
      </c>
      <c r="E456" s="428" t="s">
        <v>63</v>
      </c>
      <c r="F456" s="429">
        <f>COMPOSIÇÕES!F506+COMPOSIÇÕES!F510</f>
        <v>135</v>
      </c>
      <c r="G456" s="429">
        <v>2.25</v>
      </c>
      <c r="H456" s="429">
        <f t="shared" si="32"/>
        <v>2.8448029505307559</v>
      </c>
      <c r="I456" s="430">
        <f t="shared" si="33"/>
        <v>384.05</v>
      </c>
      <c r="J456" s="431"/>
      <c r="K456" s="432"/>
      <c r="L456" s="432"/>
      <c r="M456" s="432"/>
      <c r="N456" s="347"/>
      <c r="O456" s="347"/>
      <c r="P456" s="347"/>
      <c r="Q456" s="160"/>
      <c r="R456" s="347"/>
      <c r="S456" s="160"/>
      <c r="T456" s="160"/>
      <c r="U456" s="160"/>
      <c r="V456" s="160"/>
    </row>
    <row r="457" spans="1:22" s="433" customFormat="1" x14ac:dyDescent="0.2">
      <c r="A457" s="425" t="s">
        <v>1152</v>
      </c>
      <c r="B457" s="428" t="s">
        <v>94</v>
      </c>
      <c r="C457" s="428" t="s">
        <v>133</v>
      </c>
      <c r="D457" s="427" t="s">
        <v>1017</v>
      </c>
      <c r="E457" s="428" t="s">
        <v>63</v>
      </c>
      <c r="F457" s="429">
        <f>COMPOSIÇÕES!F507</f>
        <v>58</v>
      </c>
      <c r="G457" s="429">
        <v>3.61</v>
      </c>
      <c r="H457" s="429">
        <f t="shared" ref="H457:H458" si="42">G457*(1+$L$20)</f>
        <v>4.5643282895182349</v>
      </c>
      <c r="I457" s="430">
        <f t="shared" ref="I457:I458" si="43">ROUND(F457*H457,2)</f>
        <v>264.73</v>
      </c>
      <c r="J457" s="431"/>
      <c r="K457" s="432"/>
      <c r="L457" s="432"/>
      <c r="M457" s="432"/>
      <c r="N457" s="347"/>
      <c r="O457" s="347"/>
      <c r="P457" s="347"/>
      <c r="Q457" s="160"/>
      <c r="R457" s="347"/>
      <c r="S457" s="160"/>
      <c r="T457" s="160"/>
      <c r="U457" s="160"/>
      <c r="V457" s="160"/>
    </row>
    <row r="458" spans="1:22" s="433" customFormat="1" x14ac:dyDescent="0.2">
      <c r="A458" s="425" t="s">
        <v>1153</v>
      </c>
      <c r="B458" s="428" t="s">
        <v>94</v>
      </c>
      <c r="C458" s="428" t="s">
        <v>168</v>
      </c>
      <c r="D458" s="427" t="s">
        <v>1020</v>
      </c>
      <c r="E458" s="428" t="s">
        <v>63</v>
      </c>
      <c r="F458" s="429">
        <f>COMPOSIÇÕES!F508+COMPOSIÇÕES!F511</f>
        <v>174.5</v>
      </c>
      <c r="G458" s="429">
        <v>3.98</v>
      </c>
      <c r="H458" s="429">
        <f t="shared" si="42"/>
        <v>5.0321403302721821</v>
      </c>
      <c r="I458" s="430">
        <f t="shared" si="43"/>
        <v>878.11</v>
      </c>
      <c r="J458" s="431"/>
      <c r="K458" s="432"/>
      <c r="L458" s="432"/>
      <c r="M458" s="432"/>
      <c r="N458" s="347"/>
      <c r="O458" s="347"/>
      <c r="P458" s="347"/>
      <c r="Q458" s="160"/>
      <c r="R458" s="347"/>
      <c r="S458" s="160"/>
      <c r="T458" s="160"/>
      <c r="U458" s="160"/>
      <c r="V458" s="160"/>
    </row>
    <row r="459" spans="1:22" s="160" customFormat="1" ht="30" customHeight="1" x14ac:dyDescent="0.2">
      <c r="A459" s="425" t="s">
        <v>2135</v>
      </c>
      <c r="B459" s="428" t="s">
        <v>94</v>
      </c>
      <c r="C459" s="426" t="s">
        <v>2209</v>
      </c>
      <c r="D459" s="434" t="s">
        <v>2210</v>
      </c>
      <c r="E459" s="428" t="s">
        <v>63</v>
      </c>
      <c r="F459" s="429">
        <f>COMPOSIÇÕES!F526</f>
        <v>71</v>
      </c>
      <c r="G459" s="429">
        <v>25.59</v>
      </c>
      <c r="H459" s="429">
        <f>G459*(1+$L$20)</f>
        <v>32.354892224036462</v>
      </c>
      <c r="I459" s="430">
        <f>ROUND(F459*H459,2)</f>
        <v>2297.1999999999998</v>
      </c>
      <c r="J459" s="431"/>
      <c r="K459" s="347"/>
      <c r="L459" s="435"/>
      <c r="M459" s="347"/>
      <c r="N459" s="347"/>
      <c r="O459" s="347"/>
      <c r="P459" s="347"/>
      <c r="R459" s="347"/>
    </row>
    <row r="460" spans="1:22" s="160" customFormat="1" ht="30" customHeight="1" x14ac:dyDescent="0.2">
      <c r="A460" s="425" t="s">
        <v>2170</v>
      </c>
      <c r="B460" s="428" t="s">
        <v>94</v>
      </c>
      <c r="C460" s="426" t="s">
        <v>2212</v>
      </c>
      <c r="D460" s="434" t="s">
        <v>2211</v>
      </c>
      <c r="E460" s="428" t="s">
        <v>63</v>
      </c>
      <c r="F460" s="429">
        <f>COMPOSIÇÕES!F527</f>
        <v>148</v>
      </c>
      <c r="G460" s="429">
        <v>50.23</v>
      </c>
      <c r="H460" s="429">
        <f t="shared" ref="H460" si="44">G460*(1+$L$20)</f>
        <v>63.508645424515493</v>
      </c>
      <c r="I460" s="430">
        <f t="shared" ref="I460" si="45">ROUND(F460*H460,2)</f>
        <v>9399.2800000000007</v>
      </c>
      <c r="J460" s="431"/>
      <c r="K460" s="347"/>
      <c r="L460" s="435"/>
      <c r="M460" s="347"/>
      <c r="N460" s="347"/>
      <c r="O460" s="347"/>
      <c r="P460" s="347"/>
      <c r="R460" s="347"/>
    </row>
    <row r="461" spans="1:22" s="160" customFormat="1" ht="60" customHeight="1" x14ac:dyDescent="0.2">
      <c r="A461" s="425" t="s">
        <v>2218</v>
      </c>
      <c r="B461" s="426" t="s">
        <v>94</v>
      </c>
      <c r="C461" s="426" t="s">
        <v>223</v>
      </c>
      <c r="D461" s="434" t="s">
        <v>224</v>
      </c>
      <c r="E461" s="426" t="s">
        <v>64</v>
      </c>
      <c r="F461" s="429">
        <v>1</v>
      </c>
      <c r="G461" s="429">
        <v>960.47</v>
      </c>
      <c r="H461" s="429">
        <f t="shared" si="32"/>
        <v>1214.3768399539001</v>
      </c>
      <c r="I461" s="430">
        <f t="shared" si="33"/>
        <v>1214.3800000000001</v>
      </c>
      <c r="J461" s="431"/>
      <c r="K461" s="347"/>
      <c r="L461" s="347"/>
      <c r="M461" s="347"/>
      <c r="N461" s="347"/>
      <c r="O461" s="347"/>
      <c r="P461" s="347"/>
      <c r="R461" s="347"/>
    </row>
    <row r="462" spans="1:22" s="162" customFormat="1" x14ac:dyDescent="0.2">
      <c r="A462" s="395" t="s">
        <v>2219</v>
      </c>
      <c r="B462" s="220" t="s">
        <v>717</v>
      </c>
      <c r="C462" s="220" t="str">
        <f>COMPOSIÇÕES!B491</f>
        <v>CE-041</v>
      </c>
      <c r="D462" s="219" t="str">
        <f>COMPOSIÇÕES!D491</f>
        <v>DISSIPADOR DE ENERGIA CONFORME PROJETO</v>
      </c>
      <c r="E462" s="220"/>
      <c r="F462" s="221">
        <v>2</v>
      </c>
      <c r="G462" s="221">
        <f>COMPOSIÇÕES!I491</f>
        <v>1216.8600000000001</v>
      </c>
      <c r="H462" s="221">
        <f t="shared" si="32"/>
        <v>1538.5452970590472</v>
      </c>
      <c r="I462" s="222">
        <f t="shared" si="33"/>
        <v>3077.09</v>
      </c>
      <c r="J462" s="366"/>
      <c r="K462" s="186"/>
      <c r="L462" s="186"/>
      <c r="M462" s="186"/>
      <c r="N462" s="47"/>
      <c r="O462" s="47"/>
      <c r="P462" s="47"/>
      <c r="Q462" s="48"/>
      <c r="R462" s="47"/>
      <c r="S462" s="48"/>
      <c r="T462" s="48"/>
      <c r="U462" s="48"/>
      <c r="V462" s="48"/>
    </row>
    <row r="463" spans="1:22" s="162" customFormat="1" ht="30" customHeight="1" x14ac:dyDescent="0.2">
      <c r="A463" s="395" t="s">
        <v>2220</v>
      </c>
      <c r="B463" s="220" t="s">
        <v>717</v>
      </c>
      <c r="C463" s="220" t="str">
        <f>COMPOSIÇÕES!B504</f>
        <v>CE-042</v>
      </c>
      <c r="D463" s="219" t="s">
        <v>2204</v>
      </c>
      <c r="E463" s="220" t="s">
        <v>65</v>
      </c>
      <c r="F463" s="221">
        <v>1</v>
      </c>
      <c r="G463" s="221">
        <f>COMPOSIÇÕES!I504</f>
        <v>99631.285000000018</v>
      </c>
      <c r="H463" s="221">
        <f>G463*(1+$K$20)</f>
        <v>116369.73267435242</v>
      </c>
      <c r="I463" s="222">
        <f t="shared" si="33"/>
        <v>116369.73</v>
      </c>
      <c r="J463" s="366"/>
      <c r="K463" s="186"/>
      <c r="L463" s="186"/>
      <c r="M463" s="186"/>
      <c r="N463" s="47"/>
      <c r="O463" s="47"/>
      <c r="P463" s="47"/>
      <c r="Q463" s="48"/>
      <c r="R463" s="47"/>
      <c r="S463" s="48"/>
      <c r="T463" s="48"/>
      <c r="U463" s="48"/>
      <c r="V463" s="48"/>
    </row>
    <row r="464" spans="1:22" s="162" customFormat="1" ht="28.5" x14ac:dyDescent="0.2">
      <c r="A464" s="395" t="s">
        <v>2221</v>
      </c>
      <c r="B464" s="220" t="s">
        <v>717</v>
      </c>
      <c r="C464" s="220" t="str">
        <f>COMPOSIÇÕES!B548</f>
        <v>CE-043</v>
      </c>
      <c r="D464" s="219" t="s">
        <v>2202</v>
      </c>
      <c r="E464" s="220" t="s">
        <v>64</v>
      </c>
      <c r="F464" s="221">
        <v>1</v>
      </c>
      <c r="G464" s="221">
        <f>COMPOSIÇÕES!I548</f>
        <v>14776</v>
      </c>
      <c r="H464" s="221">
        <f>G464*(1+$L$20)</f>
        <v>18682.137065352199</v>
      </c>
      <c r="I464" s="222">
        <f t="shared" si="33"/>
        <v>18682.14</v>
      </c>
      <c r="J464" s="366"/>
      <c r="K464" s="186"/>
      <c r="L464" s="186"/>
      <c r="M464" s="186"/>
      <c r="N464" s="47"/>
      <c r="O464" s="47"/>
      <c r="P464" s="47"/>
      <c r="Q464" s="48"/>
      <c r="R464" s="47"/>
      <c r="S464" s="48"/>
      <c r="T464" s="48"/>
      <c r="U464" s="48"/>
      <c r="V464" s="48"/>
    </row>
    <row r="465" spans="1:22" s="162" customFormat="1" ht="15" customHeight="1" x14ac:dyDescent="0.2">
      <c r="A465" s="395" t="s">
        <v>2222</v>
      </c>
      <c r="B465" s="220" t="s">
        <v>717</v>
      </c>
      <c r="C465" s="220" t="str">
        <f>COMPOSIÇÕES!B552</f>
        <v>CE-044</v>
      </c>
      <c r="D465" s="219" t="str">
        <f>COMPOSIÇÕES!D552</f>
        <v>ETE - RESERVATÓRIO METÁLICO ELEVADO 5 M3</v>
      </c>
      <c r="E465" s="220" t="s">
        <v>64</v>
      </c>
      <c r="F465" s="221">
        <v>1</v>
      </c>
      <c r="G465" s="221">
        <f>COMPOSIÇÕES!I552</f>
        <v>47690.45</v>
      </c>
      <c r="H465" s="221">
        <f>G465*(1+$K$20)</f>
        <v>55702.633139977763</v>
      </c>
      <c r="I465" s="222">
        <f t="shared" ref="I465:I466" si="46">ROUND(F465*H465,2)</f>
        <v>55702.63</v>
      </c>
      <c r="J465" s="366"/>
      <c r="K465" s="186"/>
      <c r="L465" s="186"/>
      <c r="M465" s="186"/>
      <c r="N465" s="47"/>
      <c r="O465" s="47"/>
      <c r="P465" s="47"/>
      <c r="Q465" s="48"/>
      <c r="R465" s="47"/>
      <c r="S465" s="48"/>
      <c r="T465" s="48"/>
      <c r="U465" s="48"/>
      <c r="V465" s="48"/>
    </row>
    <row r="466" spans="1:22" s="162" customFormat="1" ht="15" customHeight="1" x14ac:dyDescent="0.2">
      <c r="A466" s="395" t="s">
        <v>2681</v>
      </c>
      <c r="B466" s="220" t="s">
        <v>717</v>
      </c>
      <c r="C466" s="220" t="str">
        <f>COMPOSIÇÕES!B592</f>
        <v>CE-047</v>
      </c>
      <c r="D466" s="219" t="str">
        <f>COMPOSIÇÕES!D592</f>
        <v>BLOCO DE ANCORAGEM 45º/22º</v>
      </c>
      <c r="E466" s="220" t="s">
        <v>64</v>
      </c>
      <c r="F466" s="221">
        <v>6</v>
      </c>
      <c r="G466" s="221">
        <f>COMPOSIÇÕES!I592</f>
        <v>280.95000000000005</v>
      </c>
      <c r="H466" s="221">
        <f t="shared" ref="H466" si="47">G466*(1+$L$20)</f>
        <v>355.2210617562738</v>
      </c>
      <c r="I466" s="222">
        <f t="shared" si="46"/>
        <v>2131.33</v>
      </c>
      <c r="J466" s="366"/>
      <c r="K466" s="186"/>
      <c r="L466" s="186"/>
      <c r="M466" s="186"/>
      <c r="N466" s="47"/>
      <c r="O466" s="47"/>
      <c r="P466" s="47"/>
      <c r="Q466" s="48"/>
      <c r="R466" s="47"/>
      <c r="S466" s="48"/>
      <c r="T466" s="48"/>
      <c r="U466" s="48"/>
      <c r="V466" s="48"/>
    </row>
    <row r="467" spans="1:22" s="162" customFormat="1" ht="15" customHeight="1" x14ac:dyDescent="0.2">
      <c r="A467" s="395" t="s">
        <v>2682</v>
      </c>
      <c r="B467" s="220" t="s">
        <v>717</v>
      </c>
      <c r="C467" s="220" t="str">
        <f>COMPOSIÇÕES!B598</f>
        <v>CE-048</v>
      </c>
      <c r="D467" s="219" t="str">
        <f>COMPOSIÇÕES!D598</f>
        <v>BLOCO DE ANCORAGEM 90º</v>
      </c>
      <c r="E467" s="220" t="s">
        <v>64</v>
      </c>
      <c r="F467" s="221">
        <v>4</v>
      </c>
      <c r="G467" s="221">
        <f>COMPOSIÇÕES!I598</f>
        <v>421.59000000000003</v>
      </c>
      <c r="H467" s="221">
        <f t="shared" ref="H467" si="48">G467*(1+$L$20)</f>
        <v>533.04021151744951</v>
      </c>
      <c r="I467" s="222">
        <f t="shared" ref="I467" si="49">ROUND(F467*H467,2)</f>
        <v>2132.16</v>
      </c>
      <c r="J467" s="366"/>
      <c r="K467" s="186"/>
      <c r="L467" s="186"/>
      <c r="M467" s="186"/>
      <c r="N467" s="47"/>
      <c r="O467" s="47"/>
      <c r="P467" s="47"/>
      <c r="Q467" s="48"/>
      <c r="R467" s="47"/>
      <c r="S467" s="48"/>
      <c r="T467" s="48"/>
      <c r="U467" s="48"/>
      <c r="V467" s="48"/>
    </row>
    <row r="468" spans="1:22" s="48" customFormat="1" x14ac:dyDescent="0.2">
      <c r="A468" s="395"/>
      <c r="B468" s="392"/>
      <c r="C468" s="392"/>
      <c r="D468" s="396"/>
      <c r="E468" s="392"/>
      <c r="F468" s="221"/>
      <c r="G468" s="221"/>
      <c r="H468" s="221"/>
      <c r="I468" s="222"/>
      <c r="J468" s="209"/>
      <c r="K468" s="47"/>
      <c r="L468" s="47"/>
      <c r="M468" s="47"/>
      <c r="N468" s="47"/>
      <c r="O468" s="47"/>
      <c r="P468" s="47"/>
      <c r="R468" s="47"/>
    </row>
    <row r="469" spans="1:22" ht="15" customHeight="1" x14ac:dyDescent="0.2">
      <c r="A469" s="409" t="s">
        <v>2756</v>
      </c>
      <c r="B469" s="410"/>
      <c r="C469" s="410"/>
      <c r="D469" s="411" t="s">
        <v>412</v>
      </c>
      <c r="E469" s="410"/>
      <c r="F469" s="412"/>
      <c r="G469" s="413"/>
      <c r="H469" s="414"/>
      <c r="I469" s="415">
        <f>SUM(I470:I480)</f>
        <v>13901.010000000002</v>
      </c>
      <c r="J469" s="211"/>
      <c r="N469" s="47"/>
      <c r="O469" s="47"/>
      <c r="P469" s="47"/>
      <c r="R469" s="47"/>
    </row>
    <row r="470" spans="1:22" ht="30" customHeight="1" x14ac:dyDescent="0.2">
      <c r="A470" s="395" t="s">
        <v>1121</v>
      </c>
      <c r="B470" s="392" t="s">
        <v>94</v>
      </c>
      <c r="C470" s="392" t="s">
        <v>138</v>
      </c>
      <c r="D470" s="396" t="s">
        <v>139</v>
      </c>
      <c r="E470" s="392" t="s">
        <v>61</v>
      </c>
      <c r="F470" s="221">
        <f>(1.5+4)*(1+4)</f>
        <v>27.5</v>
      </c>
      <c r="G470" s="221">
        <v>6.76</v>
      </c>
      <c r="H470" s="221">
        <f t="shared" ref="H470:H477" si="50">G470*(1+$L$20)</f>
        <v>8.5470524202612932</v>
      </c>
      <c r="I470" s="222">
        <f>ROUND(F470*H470,2)</f>
        <v>235.04</v>
      </c>
      <c r="J470" s="209"/>
      <c r="K470" s="47"/>
      <c r="L470" s="168"/>
      <c r="M470" s="47"/>
      <c r="N470" s="47"/>
      <c r="O470" s="47"/>
      <c r="P470" s="47"/>
      <c r="R470" s="47"/>
    </row>
    <row r="471" spans="1:22" ht="30" customHeight="1" x14ac:dyDescent="0.2">
      <c r="A471" s="395" t="s">
        <v>1122</v>
      </c>
      <c r="B471" s="392" t="s">
        <v>94</v>
      </c>
      <c r="C471" s="392" t="s">
        <v>105</v>
      </c>
      <c r="D471" s="396" t="s">
        <v>106</v>
      </c>
      <c r="E471" s="392" t="s">
        <v>62</v>
      </c>
      <c r="F471" s="221">
        <v>0.5</v>
      </c>
      <c r="G471" s="221">
        <v>49.27</v>
      </c>
      <c r="H471" s="221">
        <f t="shared" si="50"/>
        <v>62.294862832289049</v>
      </c>
      <c r="I471" s="222">
        <f t="shared" ref="I471:I479" si="51">ROUND(F471*H471,2)</f>
        <v>31.15</v>
      </c>
      <c r="J471" s="209"/>
      <c r="K471" s="47"/>
      <c r="L471" s="168"/>
      <c r="M471" s="47"/>
      <c r="N471" s="47"/>
      <c r="O471" s="47"/>
      <c r="P471" s="47"/>
      <c r="R471" s="47"/>
    </row>
    <row r="472" spans="1:22" ht="17.25" customHeight="1" x14ac:dyDescent="0.2">
      <c r="A472" s="395" t="s">
        <v>1123</v>
      </c>
      <c r="B472" s="392" t="s">
        <v>94</v>
      </c>
      <c r="C472" s="392">
        <v>5622</v>
      </c>
      <c r="D472" s="396" t="s">
        <v>723</v>
      </c>
      <c r="E472" s="392" t="s">
        <v>61</v>
      </c>
      <c r="F472" s="221">
        <v>0.36</v>
      </c>
      <c r="G472" s="221">
        <v>4.6399999999999997</v>
      </c>
      <c r="H472" s="221">
        <f t="shared" si="50"/>
        <v>5.8666158624278699</v>
      </c>
      <c r="I472" s="222">
        <f t="shared" si="51"/>
        <v>2.11</v>
      </c>
      <c r="J472" s="209"/>
      <c r="K472" s="47"/>
      <c r="L472" s="168"/>
      <c r="M472" s="47"/>
      <c r="N472" s="47"/>
      <c r="O472" s="47"/>
      <c r="P472" s="47"/>
      <c r="R472" s="47"/>
    </row>
    <row r="473" spans="1:22" s="162" customFormat="1" x14ac:dyDescent="0.2">
      <c r="A473" s="395" t="s">
        <v>1124</v>
      </c>
      <c r="B473" s="220" t="s">
        <v>94</v>
      </c>
      <c r="C473" s="220" t="s">
        <v>140</v>
      </c>
      <c r="D473" s="219" t="s">
        <v>141</v>
      </c>
      <c r="E473" s="220" t="s">
        <v>62</v>
      </c>
      <c r="F473" s="221">
        <v>0.18</v>
      </c>
      <c r="G473" s="221">
        <v>85.35</v>
      </c>
      <c r="H473" s="221">
        <f t="shared" si="50"/>
        <v>107.91285859013334</v>
      </c>
      <c r="I473" s="222">
        <f t="shared" si="51"/>
        <v>19.420000000000002</v>
      </c>
      <c r="J473" s="209"/>
      <c r="K473" s="186"/>
      <c r="L473" s="186"/>
      <c r="M473" s="186"/>
      <c r="N473" s="47"/>
      <c r="O473" s="47"/>
      <c r="P473" s="47"/>
      <c r="Q473" s="48"/>
      <c r="R473" s="47"/>
      <c r="S473" s="48"/>
      <c r="T473" s="48"/>
      <c r="U473" s="48"/>
      <c r="V473" s="48"/>
    </row>
    <row r="474" spans="1:22" s="162" customFormat="1" x14ac:dyDescent="0.2">
      <c r="A474" s="395" t="s">
        <v>1125</v>
      </c>
      <c r="B474" s="220" t="s">
        <v>94</v>
      </c>
      <c r="C474" s="220" t="s">
        <v>82</v>
      </c>
      <c r="D474" s="219" t="s">
        <v>53</v>
      </c>
      <c r="E474" s="220" t="s">
        <v>62</v>
      </c>
      <c r="F474" s="221">
        <v>0.02</v>
      </c>
      <c r="G474" s="221">
        <v>344.14</v>
      </c>
      <c r="H474" s="221">
        <f t="shared" si="50"/>
        <v>435.11577217584636</v>
      </c>
      <c r="I474" s="222">
        <f t="shared" si="51"/>
        <v>8.6999999999999993</v>
      </c>
      <c r="J474" s="209"/>
      <c r="K474" s="186"/>
      <c r="L474" s="186"/>
      <c r="M474" s="186"/>
      <c r="N474" s="47"/>
      <c r="O474" s="47"/>
      <c r="P474" s="47"/>
      <c r="Q474" s="48"/>
      <c r="R474" s="47"/>
      <c r="S474" s="48"/>
      <c r="T474" s="48"/>
      <c r="U474" s="48"/>
      <c r="V474" s="48"/>
    </row>
    <row r="475" spans="1:22" s="160" customFormat="1" ht="30" customHeight="1" x14ac:dyDescent="0.2">
      <c r="A475" s="425" t="s">
        <v>1126</v>
      </c>
      <c r="B475" s="426" t="s">
        <v>94</v>
      </c>
      <c r="C475" s="428" t="s">
        <v>845</v>
      </c>
      <c r="D475" s="427" t="s">
        <v>846</v>
      </c>
      <c r="E475" s="426" t="s">
        <v>61</v>
      </c>
      <c r="F475" s="429">
        <v>3.28</v>
      </c>
      <c r="G475" s="429">
        <v>52.56</v>
      </c>
      <c r="H475" s="429">
        <f t="shared" si="50"/>
        <v>66.454596924398459</v>
      </c>
      <c r="I475" s="430">
        <f t="shared" si="51"/>
        <v>217.97</v>
      </c>
      <c r="J475" s="431"/>
      <c r="K475" s="347"/>
      <c r="L475" s="435"/>
      <c r="M475" s="347"/>
      <c r="N475" s="347"/>
      <c r="O475" s="347"/>
      <c r="P475" s="347"/>
      <c r="R475" s="347"/>
    </row>
    <row r="476" spans="1:22" s="160" customFormat="1" ht="30" customHeight="1" x14ac:dyDescent="0.2">
      <c r="A476" s="425" t="s">
        <v>1127</v>
      </c>
      <c r="B476" s="426" t="s">
        <v>94</v>
      </c>
      <c r="C476" s="426" t="s">
        <v>614</v>
      </c>
      <c r="D476" s="434" t="s">
        <v>716</v>
      </c>
      <c r="E476" s="426" t="s">
        <v>384</v>
      </c>
      <c r="F476" s="429">
        <f>50*F477</f>
        <v>25</v>
      </c>
      <c r="G476" s="429">
        <v>6.71</v>
      </c>
      <c r="H476" s="429">
        <f t="shared" si="50"/>
        <v>8.4838345769161663</v>
      </c>
      <c r="I476" s="430">
        <f t="shared" si="51"/>
        <v>212.1</v>
      </c>
      <c r="J476" s="431"/>
      <c r="K476" s="347"/>
      <c r="L476" s="435"/>
      <c r="M476" s="347"/>
      <c r="N476" s="347"/>
      <c r="O476" s="347"/>
      <c r="P476" s="347"/>
      <c r="R476" s="347"/>
    </row>
    <row r="477" spans="1:22" s="160" customFormat="1" ht="30" customHeight="1" x14ac:dyDescent="0.2">
      <c r="A477" s="425" t="s">
        <v>1128</v>
      </c>
      <c r="B477" s="426" t="s">
        <v>94</v>
      </c>
      <c r="C477" s="426" t="s">
        <v>612</v>
      </c>
      <c r="D477" s="434" t="s">
        <v>724</v>
      </c>
      <c r="E477" s="426" t="s">
        <v>62</v>
      </c>
      <c r="F477" s="429">
        <v>0.5</v>
      </c>
      <c r="G477" s="429">
        <v>350.85</v>
      </c>
      <c r="H477" s="429">
        <f t="shared" si="50"/>
        <v>443.59960675276255</v>
      </c>
      <c r="I477" s="430">
        <f t="shared" si="51"/>
        <v>221.8</v>
      </c>
      <c r="J477" s="431"/>
      <c r="K477" s="347"/>
      <c r="L477" s="435"/>
      <c r="M477" s="347"/>
      <c r="N477" s="347"/>
      <c r="O477" s="347"/>
      <c r="P477" s="347"/>
      <c r="R477" s="347"/>
    </row>
    <row r="478" spans="1:22" ht="42.75" x14ac:dyDescent="0.2">
      <c r="A478" s="395" t="s">
        <v>1129</v>
      </c>
      <c r="B478" s="392" t="s">
        <v>145</v>
      </c>
      <c r="C478" s="392"/>
      <c r="D478" s="396" t="s">
        <v>861</v>
      </c>
      <c r="E478" s="392" t="s">
        <v>65</v>
      </c>
      <c r="F478" s="221">
        <v>1</v>
      </c>
      <c r="G478" s="221">
        <v>10500</v>
      </c>
      <c r="H478" s="221">
        <f>G478*(1+$K$20)</f>
        <v>12264.041290651829</v>
      </c>
      <c r="I478" s="222">
        <f t="shared" si="51"/>
        <v>12264.04</v>
      </c>
      <c r="J478" s="209"/>
      <c r="K478" s="47"/>
      <c r="L478" s="168"/>
      <c r="M478" s="47"/>
      <c r="N478" s="47"/>
      <c r="O478" s="47"/>
      <c r="P478" s="47"/>
      <c r="R478" s="47"/>
    </row>
    <row r="479" spans="1:22" s="162" customFormat="1" x14ac:dyDescent="0.2">
      <c r="A479" s="395" t="s">
        <v>1130</v>
      </c>
      <c r="B479" s="220" t="s">
        <v>717</v>
      </c>
      <c r="C479" s="220" t="str">
        <f>COMPOSIÇÕES!B578</f>
        <v>CE-045</v>
      </c>
      <c r="D479" s="219" t="s">
        <v>819</v>
      </c>
      <c r="E479" s="220" t="s">
        <v>65</v>
      </c>
      <c r="F479" s="221">
        <v>1</v>
      </c>
      <c r="G479" s="221">
        <f>COMPOSIÇÕES!I578</f>
        <v>309.78999999999996</v>
      </c>
      <c r="H479" s="221">
        <f>G479*(1+$K$20)</f>
        <v>361.83593823152665</v>
      </c>
      <c r="I479" s="222">
        <f t="shared" si="51"/>
        <v>361.84</v>
      </c>
      <c r="J479" s="366"/>
      <c r="K479" s="186"/>
      <c r="L479" s="186"/>
      <c r="M479" s="186"/>
      <c r="N479" s="47"/>
      <c r="O479" s="47"/>
      <c r="P479" s="47"/>
      <c r="Q479" s="48"/>
      <c r="R479" s="47"/>
      <c r="S479" s="48"/>
      <c r="T479" s="48"/>
      <c r="U479" s="48"/>
      <c r="V479" s="48"/>
    </row>
    <row r="480" spans="1:22" s="162" customFormat="1" x14ac:dyDescent="0.2">
      <c r="A480" s="395" t="s">
        <v>1131</v>
      </c>
      <c r="B480" s="220" t="s">
        <v>717</v>
      </c>
      <c r="C480" s="220" t="str">
        <f>COMPOSIÇÕES!B588</f>
        <v>CE-046</v>
      </c>
      <c r="D480" s="219" t="s">
        <v>820</v>
      </c>
      <c r="E480" s="220" t="s">
        <v>64</v>
      </c>
      <c r="F480" s="221">
        <v>1</v>
      </c>
      <c r="G480" s="221">
        <f>COMPOSIÇÕES!I588</f>
        <v>258.5</v>
      </c>
      <c r="H480" s="221">
        <f>G480*(1+$L$20)</f>
        <v>326.83625009431131</v>
      </c>
      <c r="I480" s="222">
        <f>ROUND(F480*H480,2)</f>
        <v>326.83999999999997</v>
      </c>
      <c r="J480" s="366"/>
      <c r="K480" s="186"/>
      <c r="L480" s="186"/>
      <c r="M480" s="186"/>
      <c r="N480" s="47"/>
      <c r="O480" s="47"/>
      <c r="P480" s="47"/>
      <c r="Q480" s="48"/>
      <c r="R480" s="47"/>
      <c r="S480" s="48"/>
      <c r="T480" s="48"/>
      <c r="U480" s="48"/>
      <c r="V480" s="48"/>
    </row>
    <row r="481" spans="1:22" s="162" customFormat="1" x14ac:dyDescent="0.2">
      <c r="A481" s="395"/>
      <c r="B481" s="220"/>
      <c r="C481" s="220"/>
      <c r="D481" s="219"/>
      <c r="E481" s="220"/>
      <c r="F481" s="221"/>
      <c r="G481" s="221"/>
      <c r="H481" s="221"/>
      <c r="I481" s="222"/>
      <c r="J481" s="209"/>
      <c r="K481" s="186"/>
      <c r="L481" s="186"/>
      <c r="M481" s="186"/>
      <c r="N481" s="47"/>
      <c r="O481" s="47"/>
      <c r="P481" s="47"/>
      <c r="Q481" s="48"/>
      <c r="R481" s="47"/>
      <c r="S481" s="48"/>
      <c r="T481" s="48"/>
      <c r="U481" s="48"/>
      <c r="V481" s="48"/>
    </row>
    <row r="482" spans="1:22" ht="15" customHeight="1" x14ac:dyDescent="0.2">
      <c r="A482" s="409" t="s">
        <v>2757</v>
      </c>
      <c r="B482" s="410"/>
      <c r="C482" s="410"/>
      <c r="D482" s="411" t="s">
        <v>2169</v>
      </c>
      <c r="E482" s="410"/>
      <c r="F482" s="412"/>
      <c r="G482" s="413"/>
      <c r="H482" s="414"/>
      <c r="I482" s="415">
        <f>SUM(I483:I500)</f>
        <v>650350.35999999975</v>
      </c>
      <c r="J482" s="211"/>
      <c r="K482" s="47"/>
      <c r="L482" s="47"/>
      <c r="M482" s="47"/>
      <c r="N482" s="47"/>
      <c r="O482" s="47"/>
      <c r="P482" s="47"/>
      <c r="R482" s="47"/>
    </row>
    <row r="483" spans="1:22" s="162" customFormat="1" ht="42.75" x14ac:dyDescent="0.2">
      <c r="A483" s="407" t="s">
        <v>1108</v>
      </c>
      <c r="B483" s="220" t="s">
        <v>94</v>
      </c>
      <c r="C483" s="220" t="s">
        <v>83</v>
      </c>
      <c r="D483" s="219" t="s">
        <v>84</v>
      </c>
      <c r="E483" s="220" t="s">
        <v>63</v>
      </c>
      <c r="F483" s="221">
        <v>219</v>
      </c>
      <c r="G483" s="221">
        <v>43.01</v>
      </c>
      <c r="H483" s="221">
        <f t="shared" ref="H483:H499" si="52">G483*(1+$L$20)</f>
        <v>54.379988845479026</v>
      </c>
      <c r="I483" s="222">
        <f t="shared" ref="I483:I490" si="53">ROUND(F483*H483,2)</f>
        <v>11909.22</v>
      </c>
      <c r="J483" s="209"/>
      <c r="K483" s="186"/>
      <c r="L483" s="186"/>
      <c r="M483" s="186"/>
      <c r="N483" s="47"/>
      <c r="O483" s="47"/>
      <c r="P483" s="47"/>
      <c r="Q483" s="48"/>
      <c r="R483" s="47"/>
      <c r="S483" s="48"/>
      <c r="T483" s="48"/>
      <c r="U483" s="48"/>
      <c r="V483" s="48"/>
    </row>
    <row r="484" spans="1:22" s="162" customFormat="1" ht="28.5" x14ac:dyDescent="0.2">
      <c r="A484" s="407" t="s">
        <v>1109</v>
      </c>
      <c r="B484" s="220" t="s">
        <v>94</v>
      </c>
      <c r="C484" s="220">
        <v>72961</v>
      </c>
      <c r="D484" s="219" t="s">
        <v>702</v>
      </c>
      <c r="E484" s="220" t="s">
        <v>61</v>
      </c>
      <c r="F484" s="221">
        <v>4990.2</v>
      </c>
      <c r="G484" s="221">
        <v>1.1599999999999999</v>
      </c>
      <c r="H484" s="221">
        <f t="shared" ref="H484:H490" si="54">G484*(1+$L$20)</f>
        <v>1.4666539656069675</v>
      </c>
      <c r="I484" s="222">
        <f t="shared" si="53"/>
        <v>7318.9</v>
      </c>
      <c r="J484" s="209"/>
      <c r="K484" s="186"/>
      <c r="L484" s="186"/>
      <c r="M484" s="186"/>
      <c r="N484" s="47"/>
      <c r="O484" s="47"/>
      <c r="P484" s="47"/>
      <c r="Q484" s="48"/>
      <c r="R484" s="47"/>
      <c r="S484" s="48"/>
      <c r="T484" s="48"/>
      <c r="U484" s="48"/>
      <c r="V484" s="48"/>
    </row>
    <row r="485" spans="1:22" s="162" customFormat="1" ht="28.5" x14ac:dyDescent="0.2">
      <c r="A485" s="407" t="s">
        <v>1110</v>
      </c>
      <c r="B485" s="220" t="s">
        <v>94</v>
      </c>
      <c r="C485" s="220">
        <v>73710</v>
      </c>
      <c r="D485" s="219" t="s">
        <v>811</v>
      </c>
      <c r="E485" s="220" t="s">
        <v>62</v>
      </c>
      <c r="F485" s="221">
        <f>F486*0.2</f>
        <v>998.04</v>
      </c>
      <c r="G485" s="221">
        <v>93.88</v>
      </c>
      <c r="H485" s="221">
        <f t="shared" si="54"/>
        <v>118.69782266481216</v>
      </c>
      <c r="I485" s="222">
        <f t="shared" si="53"/>
        <v>118465.17</v>
      </c>
      <c r="J485" s="209"/>
      <c r="K485" s="186"/>
      <c r="L485" s="186"/>
      <c r="M485" s="186"/>
      <c r="N485" s="47"/>
      <c r="O485" s="47"/>
      <c r="P485" s="47"/>
      <c r="Q485" s="48"/>
      <c r="R485" s="47"/>
      <c r="S485" s="48"/>
      <c r="T485" s="48"/>
      <c r="U485" s="48"/>
      <c r="V485" s="48"/>
    </row>
    <row r="486" spans="1:22" s="162" customFormat="1" x14ac:dyDescent="0.2">
      <c r="A486" s="407" t="s">
        <v>1111</v>
      </c>
      <c r="B486" s="220" t="s">
        <v>94</v>
      </c>
      <c r="C486" s="220">
        <v>72945</v>
      </c>
      <c r="D486" s="219" t="s">
        <v>2173</v>
      </c>
      <c r="E486" s="220" t="s">
        <v>61</v>
      </c>
      <c r="F486" s="221">
        <f>F484</f>
        <v>4990.2</v>
      </c>
      <c r="G486" s="221">
        <v>4.53</v>
      </c>
      <c r="H486" s="221">
        <f t="shared" si="54"/>
        <v>5.7275366070685889</v>
      </c>
      <c r="I486" s="222">
        <f t="shared" si="53"/>
        <v>28581.55</v>
      </c>
      <c r="J486" s="209"/>
      <c r="K486" s="186"/>
      <c r="L486" s="186"/>
      <c r="M486" s="186"/>
      <c r="N486" s="47"/>
      <c r="O486" s="47"/>
      <c r="P486" s="47"/>
      <c r="Q486" s="48"/>
      <c r="R486" s="47"/>
      <c r="S486" s="48"/>
      <c r="T486" s="48"/>
      <c r="U486" s="48"/>
      <c r="V486" s="48"/>
    </row>
    <row r="487" spans="1:22" s="162" customFormat="1" x14ac:dyDescent="0.2">
      <c r="A487" s="407" t="s">
        <v>1112</v>
      </c>
      <c r="B487" s="220" t="s">
        <v>94</v>
      </c>
      <c r="C487" s="220">
        <v>72943</v>
      </c>
      <c r="D487" s="219" t="s">
        <v>2174</v>
      </c>
      <c r="E487" s="220" t="s">
        <v>61</v>
      </c>
      <c r="F487" s="221">
        <f>F486</f>
        <v>4990.2</v>
      </c>
      <c r="G487" s="221">
        <v>1.32</v>
      </c>
      <c r="H487" s="221">
        <f t="shared" si="54"/>
        <v>1.668951064311377</v>
      </c>
      <c r="I487" s="222">
        <f t="shared" si="53"/>
        <v>8328.4</v>
      </c>
      <c r="J487" s="209"/>
      <c r="K487" s="186"/>
      <c r="L487" s="186"/>
      <c r="M487" s="186"/>
      <c r="N487" s="47"/>
      <c r="O487" s="47"/>
      <c r="P487" s="47"/>
      <c r="Q487" s="48"/>
      <c r="R487" s="47"/>
      <c r="S487" s="48"/>
      <c r="T487" s="48"/>
      <c r="U487" s="48"/>
      <c r="V487" s="48"/>
    </row>
    <row r="488" spans="1:22" s="162" customFormat="1" ht="28.5" x14ac:dyDescent="0.2">
      <c r="A488" s="407" t="s">
        <v>1113</v>
      </c>
      <c r="B488" s="220" t="s">
        <v>94</v>
      </c>
      <c r="C488" s="220">
        <v>72965</v>
      </c>
      <c r="D488" s="219" t="s">
        <v>2176</v>
      </c>
      <c r="E488" s="220" t="s">
        <v>2175</v>
      </c>
      <c r="F488" s="221">
        <f>F486*0.03*2.4</f>
        <v>359.29439999999994</v>
      </c>
      <c r="G488" s="221">
        <v>203.75</v>
      </c>
      <c r="H488" s="221">
        <f t="shared" si="54"/>
        <v>257.61271163139622</v>
      </c>
      <c r="I488" s="222">
        <f t="shared" si="53"/>
        <v>92558.8</v>
      </c>
      <c r="J488" s="209"/>
      <c r="K488" s="186"/>
      <c r="L488" s="186"/>
      <c r="M488" s="186"/>
      <c r="N488" s="47"/>
      <c r="O488" s="47"/>
      <c r="P488" s="47"/>
      <c r="Q488" s="48"/>
      <c r="R488" s="47"/>
      <c r="S488" s="48"/>
      <c r="T488" s="48"/>
      <c r="U488" s="48"/>
      <c r="V488" s="48"/>
    </row>
    <row r="489" spans="1:22" s="162" customFormat="1" ht="42.75" x14ac:dyDescent="0.2">
      <c r="A489" s="407" t="s">
        <v>1114</v>
      </c>
      <c r="B489" s="220" t="s">
        <v>94</v>
      </c>
      <c r="C489" s="220" t="s">
        <v>2177</v>
      </c>
      <c r="D489" s="219" t="s">
        <v>2178</v>
      </c>
      <c r="E489" s="220" t="s">
        <v>63</v>
      </c>
      <c r="F489" s="221">
        <v>2112</v>
      </c>
      <c r="G489" s="221">
        <v>93.95</v>
      </c>
      <c r="H489" s="221">
        <f t="shared" si="54"/>
        <v>118.78632764549535</v>
      </c>
      <c r="I489" s="222">
        <f t="shared" si="53"/>
        <v>250876.72</v>
      </c>
      <c r="J489" s="209"/>
      <c r="K489" s="186"/>
      <c r="L489" s="186"/>
      <c r="M489" s="186"/>
      <c r="N489" s="47"/>
      <c r="O489" s="47"/>
      <c r="P489" s="47"/>
      <c r="Q489" s="48"/>
      <c r="R489" s="47"/>
      <c r="S489" s="48"/>
      <c r="T489" s="48"/>
      <c r="U489" s="48"/>
      <c r="V489" s="48"/>
    </row>
    <row r="490" spans="1:22" s="162" customFormat="1" ht="28.5" x14ac:dyDescent="0.2">
      <c r="A490" s="407" t="s">
        <v>1115</v>
      </c>
      <c r="B490" s="220" t="s">
        <v>94</v>
      </c>
      <c r="C490" s="220" t="s">
        <v>2171</v>
      </c>
      <c r="D490" s="219" t="s">
        <v>2172</v>
      </c>
      <c r="E490" s="220" t="s">
        <v>63</v>
      </c>
      <c r="F490" s="221">
        <v>983</v>
      </c>
      <c r="G490" s="221">
        <v>38.97</v>
      </c>
      <c r="H490" s="221">
        <f t="shared" si="54"/>
        <v>49.271987103192693</v>
      </c>
      <c r="I490" s="222">
        <f t="shared" si="53"/>
        <v>48434.36</v>
      </c>
      <c r="J490" s="209"/>
      <c r="K490" s="186"/>
      <c r="L490" s="186"/>
      <c r="M490" s="186"/>
      <c r="N490" s="47"/>
      <c r="O490" s="47"/>
      <c r="P490" s="47"/>
      <c r="Q490" s="48"/>
      <c r="R490" s="47"/>
      <c r="S490" s="48"/>
      <c r="T490" s="48"/>
      <c r="U490" s="48"/>
      <c r="V490" s="48"/>
    </row>
    <row r="491" spans="1:22" s="160" customFormat="1" ht="57" x14ac:dyDescent="0.2">
      <c r="A491" s="440" t="s">
        <v>1116</v>
      </c>
      <c r="B491" s="426" t="s">
        <v>94</v>
      </c>
      <c r="C491" s="426">
        <v>85190</v>
      </c>
      <c r="D491" s="434" t="s">
        <v>841</v>
      </c>
      <c r="E491" s="426" t="s">
        <v>64</v>
      </c>
      <c r="F491" s="429">
        <v>1</v>
      </c>
      <c r="G491" s="429">
        <v>2230.5300000000002</v>
      </c>
      <c r="H491" s="429">
        <f t="shared" si="52"/>
        <v>2820.1859223321635</v>
      </c>
      <c r="I491" s="430">
        <f t="shared" ref="I491:I499" si="55">ROUND(F491*H491,2)</f>
        <v>2820.19</v>
      </c>
      <c r="J491" s="431"/>
      <c r="K491" s="347"/>
      <c r="L491" s="435"/>
      <c r="M491" s="347"/>
      <c r="N491" s="347"/>
      <c r="O491" s="347"/>
      <c r="P491" s="347"/>
      <c r="R491" s="347"/>
    </row>
    <row r="492" spans="1:22" s="160" customFormat="1" ht="57" x14ac:dyDescent="0.2">
      <c r="A492" s="440" t="s">
        <v>1117</v>
      </c>
      <c r="B492" s="426" t="s">
        <v>94</v>
      </c>
      <c r="C492" s="426">
        <v>85191</v>
      </c>
      <c r="D492" s="434" t="s">
        <v>842</v>
      </c>
      <c r="E492" s="426" t="s">
        <v>64</v>
      </c>
      <c r="F492" s="429">
        <v>1</v>
      </c>
      <c r="G492" s="429">
        <v>933.55</v>
      </c>
      <c r="H492" s="429">
        <f t="shared" si="52"/>
        <v>1180.3403530968831</v>
      </c>
      <c r="I492" s="430">
        <f t="shared" si="55"/>
        <v>1180.3399999999999</v>
      </c>
      <c r="J492" s="431"/>
      <c r="K492" s="347"/>
      <c r="L492" s="435"/>
      <c r="M492" s="347"/>
      <c r="N492" s="347"/>
      <c r="O492" s="347"/>
      <c r="P492" s="347"/>
      <c r="R492" s="347"/>
    </row>
    <row r="493" spans="1:22" s="506" customFormat="1" ht="42.75" x14ac:dyDescent="0.2">
      <c r="A493" s="498" t="s">
        <v>1205</v>
      </c>
      <c r="B493" s="499" t="s">
        <v>94</v>
      </c>
      <c r="C493" s="500" t="s">
        <v>112</v>
      </c>
      <c r="D493" s="501" t="s">
        <v>713</v>
      </c>
      <c r="E493" s="499" t="s">
        <v>2700</v>
      </c>
      <c r="F493" s="502">
        <v>437.5</v>
      </c>
      <c r="G493" s="503">
        <v>3.07</v>
      </c>
      <c r="H493" s="502">
        <v>3.88</v>
      </c>
      <c r="I493" s="504">
        <v>1697.5</v>
      </c>
      <c r="J493" s="505">
        <f t="shared" ref="J493" si="56">IF(C493="","",ROUND((H493*I493),2))</f>
        <v>6586.3</v>
      </c>
    </row>
    <row r="494" spans="1:22" s="162" customFormat="1" ht="28.5" x14ac:dyDescent="0.2">
      <c r="A494" s="498" t="s">
        <v>1206</v>
      </c>
      <c r="B494" s="499" t="s">
        <v>94</v>
      </c>
      <c r="C494" s="499">
        <v>72841</v>
      </c>
      <c r="D494" s="501" t="s">
        <v>709</v>
      </c>
      <c r="E494" s="499" t="s">
        <v>710</v>
      </c>
      <c r="F494" s="502">
        <v>2843.75</v>
      </c>
      <c r="G494" s="502">
        <v>0.86</v>
      </c>
      <c r="H494" s="502">
        <v>1.0900000000000001</v>
      </c>
      <c r="I494" s="504">
        <v>3099.69</v>
      </c>
      <c r="K494" s="507"/>
    </row>
    <row r="495" spans="1:22" s="509" customFormat="1" ht="28.5" x14ac:dyDescent="0.2">
      <c r="A495" s="498" t="s">
        <v>1209</v>
      </c>
      <c r="B495" s="499" t="s">
        <v>94</v>
      </c>
      <c r="C495" s="500" t="s">
        <v>2701</v>
      </c>
      <c r="D495" s="501" t="s">
        <v>2702</v>
      </c>
      <c r="E495" s="499" t="s">
        <v>62</v>
      </c>
      <c r="F495" s="502">
        <v>180</v>
      </c>
      <c r="G495" s="503">
        <v>4.53</v>
      </c>
      <c r="H495" s="502">
        <v>5.73</v>
      </c>
      <c r="I495" s="504">
        <v>1031.4000000000001</v>
      </c>
      <c r="J495" s="508"/>
    </row>
    <row r="496" spans="1:22" s="510" customFormat="1" x14ac:dyDescent="0.2">
      <c r="A496" s="498" t="s">
        <v>1276</v>
      </c>
      <c r="B496" s="499" t="s">
        <v>94</v>
      </c>
      <c r="C496" s="499" t="s">
        <v>2704</v>
      </c>
      <c r="D496" s="501" t="s">
        <v>2705</v>
      </c>
      <c r="E496" s="499" t="s">
        <v>61</v>
      </c>
      <c r="F496" s="502">
        <v>630</v>
      </c>
      <c r="G496" s="502">
        <v>6.29</v>
      </c>
      <c r="H496" s="502">
        <v>7.95</v>
      </c>
      <c r="I496" s="504">
        <v>5008.5</v>
      </c>
    </row>
    <row r="497" spans="1:22" ht="42.75" x14ac:dyDescent="0.2">
      <c r="A497" s="407" t="s">
        <v>1118</v>
      </c>
      <c r="B497" s="392" t="s">
        <v>94</v>
      </c>
      <c r="C497" s="392">
        <v>84172</v>
      </c>
      <c r="D497" s="396" t="s">
        <v>1037</v>
      </c>
      <c r="E497" s="392" t="s">
        <v>61</v>
      </c>
      <c r="F497" s="221">
        <v>675</v>
      </c>
      <c r="G497" s="221">
        <v>45.54</v>
      </c>
      <c r="H497" s="221">
        <f t="shared" si="52"/>
        <v>57.5788117187425</v>
      </c>
      <c r="I497" s="222">
        <f t="shared" si="55"/>
        <v>38865.699999999997</v>
      </c>
      <c r="J497" s="209"/>
      <c r="K497" s="47"/>
      <c r="L497" s="168"/>
      <c r="M497" s="47"/>
      <c r="N497" s="47"/>
      <c r="O497" s="47"/>
      <c r="P497" s="47"/>
      <c r="R497" s="47"/>
    </row>
    <row r="498" spans="1:22" s="162" customFormat="1" x14ac:dyDescent="0.2">
      <c r="A498" s="407" t="s">
        <v>1119</v>
      </c>
      <c r="B498" s="220" t="s">
        <v>94</v>
      </c>
      <c r="C498" s="220" t="s">
        <v>85</v>
      </c>
      <c r="D498" s="219" t="s">
        <v>86</v>
      </c>
      <c r="E498" s="220" t="s">
        <v>61</v>
      </c>
      <c r="F498" s="221">
        <v>1205</v>
      </c>
      <c r="G498" s="221">
        <v>6.48</v>
      </c>
      <c r="H498" s="221">
        <f t="shared" si="52"/>
        <v>8.1930324975285771</v>
      </c>
      <c r="I498" s="222">
        <f t="shared" si="55"/>
        <v>9872.6</v>
      </c>
      <c r="J498" s="209"/>
      <c r="K498" s="186"/>
      <c r="L498" s="186"/>
      <c r="M498" s="186"/>
      <c r="N498" s="47"/>
      <c r="O498" s="47"/>
      <c r="P498" s="47"/>
      <c r="Q498" s="48"/>
      <c r="R498" s="47"/>
      <c r="S498" s="48"/>
      <c r="T498" s="48"/>
      <c r="U498" s="48"/>
      <c r="V498" s="48"/>
    </row>
    <row r="499" spans="1:22" ht="18" customHeight="1" x14ac:dyDescent="0.2">
      <c r="A499" s="407" t="s">
        <v>1120</v>
      </c>
      <c r="B499" s="392" t="s">
        <v>94</v>
      </c>
      <c r="C499" s="392">
        <v>85178</v>
      </c>
      <c r="D499" s="396" t="s">
        <v>966</v>
      </c>
      <c r="E499" s="392" t="s">
        <v>63</v>
      </c>
      <c r="F499" s="221">
        <v>274</v>
      </c>
      <c r="G499" s="221">
        <v>42.52</v>
      </c>
      <c r="H499" s="221">
        <f t="shared" si="52"/>
        <v>53.760453980696781</v>
      </c>
      <c r="I499" s="222">
        <f t="shared" si="55"/>
        <v>14730.36</v>
      </c>
      <c r="J499" s="209"/>
      <c r="K499" s="47"/>
      <c r="L499" s="168"/>
      <c r="M499" s="47"/>
      <c r="N499" s="47"/>
      <c r="O499" s="47"/>
      <c r="P499" s="47"/>
      <c r="R499" s="47"/>
    </row>
    <row r="500" spans="1:22" s="162" customFormat="1" x14ac:dyDescent="0.2">
      <c r="A500" s="407" t="s">
        <v>2179</v>
      </c>
      <c r="B500" s="220" t="s">
        <v>94</v>
      </c>
      <c r="C500" s="220" t="s">
        <v>181</v>
      </c>
      <c r="D500" s="219" t="s">
        <v>0</v>
      </c>
      <c r="E500" s="220" t="s">
        <v>64</v>
      </c>
      <c r="F500" s="221">
        <v>44</v>
      </c>
      <c r="G500" s="221">
        <v>100.14</v>
      </c>
      <c r="H500" s="221">
        <f>G500*(1+$L$20)</f>
        <v>126.61269665162219</v>
      </c>
      <c r="I500" s="222">
        <f>ROUND(F500*H500,2)</f>
        <v>5570.96</v>
      </c>
      <c r="J500" s="209"/>
      <c r="K500" s="186"/>
      <c r="L500" s="186"/>
      <c r="M500" s="186"/>
      <c r="N500" s="47"/>
      <c r="O500" s="47"/>
      <c r="P500" s="47"/>
      <c r="Q500" s="48"/>
      <c r="R500" s="47"/>
      <c r="S500" s="48"/>
      <c r="T500" s="48"/>
      <c r="U500" s="48"/>
      <c r="V500" s="48"/>
    </row>
    <row r="501" spans="1:22" s="162" customFormat="1" x14ac:dyDescent="0.2">
      <c r="A501" s="407"/>
      <c r="B501" s="220"/>
      <c r="C501" s="220"/>
      <c r="D501" s="219"/>
      <c r="E501" s="220"/>
      <c r="F501" s="221"/>
      <c r="G501" s="221"/>
      <c r="H501" s="221"/>
      <c r="I501" s="222"/>
      <c r="J501" s="209"/>
      <c r="K501" s="186"/>
      <c r="L501" s="186"/>
      <c r="M501" s="186"/>
      <c r="N501" s="47"/>
      <c r="O501" s="47"/>
      <c r="P501" s="47"/>
      <c r="Q501" s="48"/>
      <c r="R501" s="47"/>
      <c r="S501" s="48"/>
      <c r="T501" s="48"/>
      <c r="U501" s="48"/>
      <c r="V501" s="48"/>
    </row>
    <row r="502" spans="1:22" s="162" customFormat="1" x14ac:dyDescent="0.2">
      <c r="A502" s="407"/>
      <c r="B502" s="220"/>
      <c r="C502" s="220"/>
      <c r="D502" s="219"/>
      <c r="E502" s="220"/>
      <c r="F502" s="221"/>
      <c r="G502" s="221"/>
      <c r="H502" s="221"/>
      <c r="I502" s="222"/>
      <c r="J502" s="209"/>
      <c r="K502" s="186"/>
      <c r="L502" s="186"/>
      <c r="M502" s="186"/>
      <c r="N502" s="47"/>
      <c r="O502" s="47"/>
      <c r="P502" s="47"/>
      <c r="Q502" s="48"/>
      <c r="R502" s="47"/>
      <c r="S502" s="48"/>
      <c r="T502" s="48"/>
      <c r="U502" s="48"/>
      <c r="V502" s="48"/>
    </row>
    <row r="503" spans="1:22" s="162" customFormat="1" x14ac:dyDescent="0.2">
      <c r="A503" s="407"/>
      <c r="B503" s="220"/>
      <c r="C503" s="220"/>
      <c r="D503" s="219"/>
      <c r="E503" s="220"/>
      <c r="F503" s="221"/>
      <c r="G503" s="221"/>
      <c r="H503" s="221"/>
      <c r="I503" s="222"/>
      <c r="J503" s="209"/>
      <c r="K503" s="186"/>
      <c r="L503" s="186"/>
      <c r="M503" s="186"/>
      <c r="N503" s="47"/>
      <c r="O503" s="47"/>
      <c r="P503" s="47"/>
      <c r="Q503" s="48"/>
      <c r="R503" s="47"/>
      <c r="S503" s="48"/>
      <c r="T503" s="48"/>
      <c r="U503" s="48"/>
      <c r="V503" s="48"/>
    </row>
    <row r="504" spans="1:22" s="162" customFormat="1" x14ac:dyDescent="0.2">
      <c r="A504" s="407"/>
      <c r="B504" s="220"/>
      <c r="C504" s="220"/>
      <c r="D504" s="219"/>
      <c r="E504" s="220"/>
      <c r="F504" s="221"/>
      <c r="G504" s="221"/>
      <c r="H504" s="221"/>
      <c r="I504" s="222"/>
      <c r="J504" s="209"/>
      <c r="K504" s="186"/>
      <c r="L504" s="186"/>
      <c r="M504" s="186"/>
      <c r="N504" s="47"/>
      <c r="O504" s="47"/>
      <c r="P504" s="47"/>
      <c r="Q504" s="48"/>
      <c r="R504" s="47"/>
      <c r="S504" s="48"/>
      <c r="T504" s="48"/>
      <c r="U504" s="48"/>
      <c r="V504" s="48"/>
    </row>
    <row r="505" spans="1:22" s="162" customFormat="1" x14ac:dyDescent="0.2">
      <c r="A505" s="407"/>
      <c r="B505" s="220"/>
      <c r="C505" s="220"/>
      <c r="D505" s="219"/>
      <c r="E505" s="220"/>
      <c r="F505" s="221"/>
      <c r="G505" s="221"/>
      <c r="H505" s="221"/>
      <c r="I505" s="222"/>
      <c r="J505" s="209"/>
      <c r="K505" s="186"/>
      <c r="L505" s="186"/>
      <c r="M505" s="186"/>
      <c r="N505" s="47"/>
      <c r="O505" s="47"/>
      <c r="P505" s="47"/>
      <c r="Q505" s="48"/>
      <c r="R505" s="47"/>
      <c r="S505" s="48"/>
      <c r="T505" s="48"/>
      <c r="U505" s="48"/>
      <c r="V505" s="48"/>
    </row>
    <row r="506" spans="1:22" s="162" customFormat="1" x14ac:dyDescent="0.2">
      <c r="A506" s="407"/>
      <c r="B506" s="220"/>
      <c r="C506" s="220"/>
      <c r="D506" s="219"/>
      <c r="E506" s="220"/>
      <c r="F506" s="221"/>
      <c r="G506" s="221"/>
      <c r="H506" s="221"/>
      <c r="I506" s="222"/>
      <c r="J506" s="209"/>
      <c r="K506" s="186"/>
      <c r="L506" s="186"/>
      <c r="M506" s="186"/>
      <c r="N506" s="47"/>
      <c r="O506" s="47"/>
      <c r="P506" s="47"/>
      <c r="Q506" s="48"/>
      <c r="R506" s="47"/>
      <c r="S506" s="48"/>
      <c r="T506" s="48"/>
      <c r="U506" s="48"/>
      <c r="V506" s="48"/>
    </row>
    <row r="507" spans="1:22" s="162" customFormat="1" x14ac:dyDescent="0.2">
      <c r="A507" s="407"/>
      <c r="B507" s="220"/>
      <c r="C507" s="220"/>
      <c r="D507" s="219"/>
      <c r="E507" s="220"/>
      <c r="F507" s="221"/>
      <c r="G507" s="221"/>
      <c r="H507" s="221"/>
      <c r="I507" s="222"/>
      <c r="J507" s="209"/>
      <c r="K507" s="186"/>
      <c r="L507" s="186"/>
      <c r="M507" s="186"/>
      <c r="N507" s="47"/>
      <c r="O507" s="47"/>
      <c r="P507" s="47"/>
      <c r="Q507" s="48"/>
      <c r="R507" s="47"/>
      <c r="S507" s="48"/>
      <c r="T507" s="48"/>
      <c r="U507" s="48"/>
      <c r="V507" s="48"/>
    </row>
    <row r="508" spans="1:22" s="162" customFormat="1" x14ac:dyDescent="0.2">
      <c r="A508" s="407"/>
      <c r="B508" s="220"/>
      <c r="C508" s="220"/>
      <c r="D508" s="219"/>
      <c r="E508" s="220"/>
      <c r="F508" s="221"/>
      <c r="G508" s="221"/>
      <c r="H508" s="221"/>
      <c r="I508" s="222"/>
      <c r="J508" s="209"/>
      <c r="K508" s="186"/>
      <c r="L508" s="186"/>
      <c r="M508" s="186"/>
      <c r="N508" s="47"/>
      <c r="O508" s="47"/>
      <c r="P508" s="47"/>
      <c r="Q508" s="48"/>
      <c r="R508" s="47"/>
      <c r="S508" s="48"/>
      <c r="T508" s="48"/>
      <c r="U508" s="48"/>
      <c r="V508" s="48"/>
    </row>
    <row r="509" spans="1:22" s="162" customFormat="1" x14ac:dyDescent="0.2">
      <c r="A509" s="407"/>
      <c r="B509" s="220"/>
      <c r="C509" s="220"/>
      <c r="D509" s="219"/>
      <c r="E509" s="220"/>
      <c r="F509" s="221"/>
      <c r="G509" s="221"/>
      <c r="H509" s="221"/>
      <c r="I509" s="222"/>
      <c r="J509" s="209"/>
      <c r="K509" s="186"/>
      <c r="L509" s="186"/>
      <c r="M509" s="186"/>
      <c r="N509" s="47"/>
      <c r="O509" s="47"/>
      <c r="P509" s="47"/>
      <c r="Q509" s="48"/>
      <c r="R509" s="47"/>
      <c r="S509" s="48"/>
      <c r="T509" s="48"/>
      <c r="U509" s="48"/>
      <c r="V509" s="48"/>
    </row>
    <row r="510" spans="1:22" s="162" customFormat="1" x14ac:dyDescent="0.2">
      <c r="A510" s="407"/>
      <c r="B510" s="220"/>
      <c r="C510" s="220"/>
      <c r="D510" s="219"/>
      <c r="E510" s="220"/>
      <c r="F510" s="221"/>
      <c r="G510" s="221"/>
      <c r="H510" s="221"/>
      <c r="I510" s="222"/>
      <c r="J510" s="209"/>
      <c r="K510" s="186"/>
      <c r="L510" s="186"/>
      <c r="M510" s="186"/>
      <c r="N510" s="47"/>
      <c r="O510" s="47"/>
      <c r="P510" s="47"/>
      <c r="Q510" s="48"/>
      <c r="R510" s="47"/>
      <c r="S510" s="48"/>
      <c r="T510" s="48"/>
      <c r="U510" s="48"/>
      <c r="V510" s="48"/>
    </row>
    <row r="511" spans="1:22" s="162" customFormat="1" x14ac:dyDescent="0.2">
      <c r="A511" s="407"/>
      <c r="B511" s="220"/>
      <c r="C511" s="220"/>
      <c r="D511" s="219"/>
      <c r="E511" s="220"/>
      <c r="F511" s="221"/>
      <c r="G511" s="221"/>
      <c r="H511" s="221"/>
      <c r="I511" s="222"/>
      <c r="J511" s="209"/>
      <c r="K511" s="186"/>
      <c r="L511" s="186"/>
      <c r="M511" s="186"/>
      <c r="N511" s="47"/>
      <c r="O511" s="47"/>
      <c r="P511" s="47"/>
      <c r="Q511" s="48"/>
      <c r="R511" s="47"/>
      <c r="S511" s="48"/>
      <c r="T511" s="48"/>
      <c r="U511" s="48"/>
      <c r="V511" s="48"/>
    </row>
    <row r="512" spans="1:22" s="162" customFormat="1" x14ac:dyDescent="0.2">
      <c r="A512" s="407"/>
      <c r="B512" s="220"/>
      <c r="C512" s="220"/>
      <c r="D512" s="219"/>
      <c r="E512" s="220"/>
      <c r="F512" s="221"/>
      <c r="G512" s="221"/>
      <c r="H512" s="221"/>
      <c r="I512" s="222"/>
      <c r="J512" s="209"/>
      <c r="K512" s="186"/>
      <c r="L512" s="186"/>
      <c r="M512" s="186"/>
      <c r="N512" s="47"/>
      <c r="O512" s="47"/>
      <c r="P512" s="47"/>
      <c r="Q512" s="48"/>
      <c r="R512" s="47"/>
      <c r="S512" s="48"/>
      <c r="T512" s="48"/>
      <c r="U512" s="48"/>
      <c r="V512" s="48"/>
    </row>
    <row r="513" spans="1:22" s="162" customFormat="1" x14ac:dyDescent="0.2">
      <c r="A513" s="407"/>
      <c r="B513" s="220"/>
      <c r="C513" s="220"/>
      <c r="D513" s="219"/>
      <c r="E513" s="220"/>
      <c r="F513" s="221"/>
      <c r="G513" s="221"/>
      <c r="H513" s="221"/>
      <c r="I513" s="222"/>
      <c r="J513" s="209"/>
      <c r="K513" s="186"/>
      <c r="L513" s="186"/>
      <c r="M513" s="186"/>
      <c r="N513" s="47"/>
      <c r="O513" s="47"/>
      <c r="P513" s="47"/>
      <c r="Q513" s="48"/>
      <c r="R513" s="47"/>
      <c r="S513" s="48"/>
      <c r="T513" s="48"/>
      <c r="U513" s="48"/>
      <c r="V513" s="48"/>
    </row>
    <row r="514" spans="1:22" s="162" customFormat="1" x14ac:dyDescent="0.2">
      <c r="A514" s="407"/>
      <c r="B514" s="220"/>
      <c r="C514" s="220"/>
      <c r="D514" s="219"/>
      <c r="E514" s="220"/>
      <c r="F514" s="221"/>
      <c r="G514" s="221"/>
      <c r="H514" s="221"/>
      <c r="I514" s="222"/>
      <c r="J514" s="209"/>
      <c r="K514" s="186"/>
      <c r="L514" s="186"/>
      <c r="M514" s="186"/>
      <c r="N514" s="47"/>
      <c r="O514" s="47"/>
      <c r="P514" s="47"/>
      <c r="Q514" s="48"/>
      <c r="R514" s="47"/>
      <c r="S514" s="48"/>
      <c r="T514" s="48"/>
      <c r="U514" s="48"/>
      <c r="V514" s="48"/>
    </row>
    <row r="515" spans="1:22" s="162" customFormat="1" x14ac:dyDescent="0.2">
      <c r="A515" s="407"/>
      <c r="B515" s="220"/>
      <c r="C515" s="220"/>
      <c r="D515" s="219"/>
      <c r="E515" s="220"/>
      <c r="F515" s="221"/>
      <c r="G515" s="221"/>
      <c r="H515" s="221"/>
      <c r="I515" s="222"/>
      <c r="J515" s="209"/>
      <c r="K515" s="186"/>
      <c r="L515" s="186"/>
      <c r="M515" s="186"/>
      <c r="N515" s="47"/>
      <c r="O515" s="47"/>
      <c r="P515" s="47"/>
      <c r="Q515" s="48"/>
      <c r="R515" s="47"/>
      <c r="S515" s="48"/>
      <c r="T515" s="48"/>
      <c r="U515" s="48"/>
      <c r="V515" s="48"/>
    </row>
    <row r="516" spans="1:22" s="162" customFormat="1" x14ac:dyDescent="0.2">
      <c r="A516" s="407"/>
      <c r="B516" s="220"/>
      <c r="C516" s="220"/>
      <c r="D516" s="219"/>
      <c r="E516" s="220"/>
      <c r="F516" s="221"/>
      <c r="G516" s="221"/>
      <c r="H516" s="221"/>
      <c r="I516" s="222"/>
      <c r="J516" s="209"/>
      <c r="K516" s="186"/>
      <c r="L516" s="186"/>
      <c r="M516" s="186"/>
      <c r="N516" s="47"/>
      <c r="O516" s="47"/>
      <c r="P516" s="47"/>
      <c r="Q516" s="48"/>
      <c r="R516" s="47"/>
      <c r="S516" s="48"/>
      <c r="T516" s="48"/>
      <c r="U516" s="48"/>
      <c r="V516" s="48"/>
    </row>
    <row r="517" spans="1:22" s="162" customFormat="1" x14ac:dyDescent="0.2">
      <c r="A517" s="407"/>
      <c r="B517" s="220"/>
      <c r="C517" s="220"/>
      <c r="D517" s="219"/>
      <c r="E517" s="220"/>
      <c r="F517" s="221"/>
      <c r="G517" s="221"/>
      <c r="H517" s="221"/>
      <c r="I517" s="222"/>
      <c r="J517" s="209"/>
      <c r="K517" s="186"/>
      <c r="L517" s="186"/>
      <c r="M517" s="186"/>
      <c r="N517" s="47"/>
      <c r="O517" s="47"/>
      <c r="P517" s="47"/>
      <c r="Q517" s="48"/>
      <c r="R517" s="47"/>
      <c r="S517" s="48"/>
      <c r="T517" s="48"/>
      <c r="U517" s="48"/>
      <c r="V517" s="48"/>
    </row>
    <row r="518" spans="1:22" s="162" customFormat="1" x14ac:dyDescent="0.2">
      <c r="A518" s="407"/>
      <c r="B518" s="220"/>
      <c r="C518" s="220"/>
      <c r="D518" s="219"/>
      <c r="E518" s="220"/>
      <c r="F518" s="221"/>
      <c r="G518" s="221"/>
      <c r="H518" s="221"/>
      <c r="I518" s="222"/>
      <c r="J518" s="209"/>
      <c r="K518" s="186"/>
      <c r="L518" s="186"/>
      <c r="M518" s="186"/>
      <c r="N518" s="47"/>
      <c r="O518" s="47"/>
      <c r="P518" s="47"/>
      <c r="Q518" s="48"/>
      <c r="R518" s="47"/>
      <c r="S518" s="48"/>
      <c r="T518" s="48"/>
      <c r="U518" s="48"/>
      <c r="V518" s="48"/>
    </row>
    <row r="519" spans="1:22" s="162" customFormat="1" x14ac:dyDescent="0.2">
      <c r="A519" s="407"/>
      <c r="B519" s="220"/>
      <c r="C519" s="220"/>
      <c r="D519" s="219"/>
      <c r="E519" s="220"/>
      <c r="F519" s="221"/>
      <c r="G519" s="221"/>
      <c r="H519" s="221"/>
      <c r="I519" s="222"/>
      <c r="J519" s="209"/>
      <c r="K519" s="186"/>
      <c r="L519" s="186"/>
      <c r="M519" s="186"/>
      <c r="N519" s="47"/>
      <c r="O519" s="47"/>
      <c r="P519" s="47"/>
      <c r="Q519" s="48"/>
      <c r="R519" s="47"/>
      <c r="S519" s="48"/>
      <c r="T519" s="48"/>
      <c r="U519" s="48"/>
      <c r="V519" s="48"/>
    </row>
    <row r="520" spans="1:22" s="162" customFormat="1" x14ac:dyDescent="0.2">
      <c r="A520" s="407"/>
      <c r="B520" s="220"/>
      <c r="C520" s="220"/>
      <c r="D520" s="219"/>
      <c r="E520" s="220"/>
      <c r="F520" s="221"/>
      <c r="G520" s="221"/>
      <c r="H520" s="221"/>
      <c r="I520" s="222"/>
      <c r="J520" s="209"/>
      <c r="K520" s="186"/>
      <c r="L520" s="186"/>
      <c r="M520" s="186"/>
      <c r="N520" s="47"/>
      <c r="O520" s="47"/>
      <c r="P520" s="47"/>
      <c r="Q520" s="48"/>
      <c r="R520" s="47"/>
      <c r="S520" s="48"/>
      <c r="T520" s="48"/>
      <c r="U520" s="48"/>
      <c r="V520" s="48"/>
    </row>
    <row r="521" spans="1:22" s="162" customFormat="1" x14ac:dyDescent="0.2">
      <c r="A521" s="407"/>
      <c r="B521" s="220"/>
      <c r="C521" s="220"/>
      <c r="D521" s="219"/>
      <c r="E521" s="220"/>
      <c r="F521" s="221"/>
      <c r="G521" s="221"/>
      <c r="H521" s="221"/>
      <c r="I521" s="222"/>
      <c r="J521" s="209"/>
      <c r="K521" s="186"/>
      <c r="L521" s="186"/>
      <c r="M521" s="186"/>
      <c r="N521" s="47"/>
      <c r="O521" s="47"/>
      <c r="P521" s="47"/>
      <c r="Q521" s="48"/>
      <c r="R521" s="47"/>
      <c r="S521" s="48"/>
      <c r="T521" s="48"/>
      <c r="U521" s="48"/>
      <c r="V521" s="48"/>
    </row>
    <row r="522" spans="1:22" s="162" customFormat="1" x14ac:dyDescent="0.2">
      <c r="A522" s="407"/>
      <c r="B522" s="220"/>
      <c r="C522" s="220"/>
      <c r="D522" s="219"/>
      <c r="E522" s="220"/>
      <c r="F522" s="221"/>
      <c r="G522" s="221"/>
      <c r="H522" s="221"/>
      <c r="I522" s="222"/>
      <c r="J522" s="209"/>
      <c r="K522" s="186"/>
      <c r="L522" s="186"/>
      <c r="M522" s="186"/>
      <c r="N522" s="47"/>
      <c r="O522" s="47"/>
      <c r="P522" s="47"/>
      <c r="Q522" s="48"/>
      <c r="R522" s="47"/>
      <c r="S522" s="48"/>
      <c r="T522" s="48"/>
      <c r="U522" s="48"/>
      <c r="V522" s="48"/>
    </row>
    <row r="523" spans="1:22" s="162" customFormat="1" x14ac:dyDescent="0.2">
      <c r="A523" s="407"/>
      <c r="B523" s="220"/>
      <c r="C523" s="220"/>
      <c r="D523" s="219"/>
      <c r="E523" s="220"/>
      <c r="F523" s="221"/>
      <c r="G523" s="221"/>
      <c r="H523" s="221"/>
      <c r="I523" s="222"/>
      <c r="J523" s="209"/>
      <c r="K523" s="186"/>
      <c r="L523" s="186"/>
      <c r="M523" s="186"/>
      <c r="N523" s="47"/>
      <c r="O523" s="47"/>
      <c r="P523" s="47"/>
      <c r="Q523" s="48"/>
      <c r="R523" s="47"/>
      <c r="S523" s="48"/>
      <c r="T523" s="48"/>
      <c r="U523" s="48"/>
      <c r="V523" s="48"/>
    </row>
    <row r="524" spans="1:22" s="162" customFormat="1" x14ac:dyDescent="0.2">
      <c r="A524" s="407"/>
      <c r="B524" s="220"/>
      <c r="C524" s="220"/>
      <c r="D524" s="219"/>
      <c r="E524" s="220"/>
      <c r="F524" s="221"/>
      <c r="G524" s="221"/>
      <c r="H524" s="221"/>
      <c r="I524" s="222"/>
      <c r="J524" s="209"/>
      <c r="K524" s="186"/>
      <c r="L524" s="186"/>
      <c r="M524" s="186"/>
      <c r="N524" s="47"/>
      <c r="O524" s="47"/>
      <c r="P524" s="47"/>
      <c r="Q524" s="48"/>
      <c r="R524" s="47"/>
      <c r="S524" s="48"/>
      <c r="T524" s="48"/>
      <c r="U524" s="48"/>
      <c r="V524" s="48"/>
    </row>
    <row r="525" spans="1:22" s="162" customFormat="1" x14ac:dyDescent="0.2">
      <c r="A525" s="407"/>
      <c r="B525" s="220"/>
      <c r="C525" s="220"/>
      <c r="D525" s="219"/>
      <c r="E525" s="220"/>
      <c r="F525" s="221"/>
      <c r="G525" s="221"/>
      <c r="H525" s="221"/>
      <c r="I525" s="222"/>
      <c r="J525" s="209"/>
      <c r="K525" s="186"/>
      <c r="L525" s="186"/>
      <c r="M525" s="186"/>
      <c r="N525" s="47"/>
      <c r="O525" s="47"/>
      <c r="P525" s="47"/>
      <c r="Q525" s="48"/>
      <c r="R525" s="47"/>
      <c r="S525" s="48"/>
      <c r="T525" s="48"/>
      <c r="U525" s="48"/>
      <c r="V525" s="48"/>
    </row>
    <row r="526" spans="1:22" s="162" customFormat="1" x14ac:dyDescent="0.2">
      <c r="A526" s="407"/>
      <c r="B526" s="220"/>
      <c r="C526" s="220"/>
      <c r="D526" s="219"/>
      <c r="E526" s="220"/>
      <c r="F526" s="221"/>
      <c r="G526" s="221"/>
      <c r="H526" s="221"/>
      <c r="I526" s="222"/>
      <c r="J526" s="209"/>
      <c r="K526" s="186"/>
      <c r="L526" s="186"/>
      <c r="M526" s="186"/>
      <c r="N526" s="47"/>
      <c r="O526" s="47"/>
      <c r="P526" s="47"/>
      <c r="Q526" s="48"/>
      <c r="R526" s="47"/>
      <c r="S526" s="48"/>
      <c r="T526" s="48"/>
      <c r="U526" s="48"/>
      <c r="V526" s="48"/>
    </row>
    <row r="527" spans="1:22" s="162" customFormat="1" x14ac:dyDescent="0.2">
      <c r="A527" s="407"/>
      <c r="B527" s="220"/>
      <c r="C527" s="220"/>
      <c r="D527" s="219"/>
      <c r="E527" s="220"/>
      <c r="F527" s="221"/>
      <c r="G527" s="221"/>
      <c r="H527" s="221"/>
      <c r="I527" s="222"/>
      <c r="J527" s="209"/>
      <c r="K527" s="186"/>
      <c r="L527" s="186"/>
      <c r="M527" s="186"/>
      <c r="N527" s="47"/>
      <c r="O527" s="47"/>
      <c r="P527" s="47"/>
      <c r="Q527" s="48"/>
      <c r="R527" s="47"/>
      <c r="S527" s="48"/>
      <c r="T527" s="48"/>
      <c r="U527" s="48"/>
      <c r="V527" s="48"/>
    </row>
    <row r="528" spans="1:22" s="162" customFormat="1" x14ac:dyDescent="0.2">
      <c r="A528" s="407"/>
      <c r="B528" s="220"/>
      <c r="C528" s="220"/>
      <c r="D528" s="219"/>
      <c r="E528" s="220"/>
      <c r="F528" s="221"/>
      <c r="G528" s="221"/>
      <c r="H528" s="221"/>
      <c r="I528" s="222"/>
      <c r="J528" s="209"/>
      <c r="K528" s="186"/>
      <c r="L528" s="186"/>
      <c r="M528" s="186"/>
      <c r="N528" s="47"/>
      <c r="O528" s="47"/>
      <c r="P528" s="47"/>
      <c r="Q528" s="48"/>
      <c r="R528" s="47"/>
      <c r="S528" s="48"/>
      <c r="T528" s="48"/>
      <c r="U528" s="48"/>
      <c r="V528" s="48"/>
    </row>
    <row r="529" spans="1:22" s="162" customFormat="1" x14ac:dyDescent="0.2">
      <c r="A529" s="407"/>
      <c r="B529" s="220"/>
      <c r="C529" s="220"/>
      <c r="D529" s="219"/>
      <c r="E529" s="220"/>
      <c r="F529" s="221"/>
      <c r="G529" s="221"/>
      <c r="H529" s="221"/>
      <c r="I529" s="222"/>
      <c r="J529" s="209"/>
      <c r="K529" s="186"/>
      <c r="L529" s="186"/>
      <c r="M529" s="186"/>
      <c r="N529" s="47"/>
      <c r="O529" s="47"/>
      <c r="P529" s="47"/>
      <c r="Q529" s="48"/>
      <c r="R529" s="47"/>
      <c r="S529" s="48"/>
      <c r="T529" s="48"/>
      <c r="U529" s="48"/>
      <c r="V529" s="48"/>
    </row>
    <row r="530" spans="1:22" s="162" customFormat="1" x14ac:dyDescent="0.2">
      <c r="A530" s="407"/>
      <c r="B530" s="220"/>
      <c r="C530" s="220"/>
      <c r="D530" s="219"/>
      <c r="E530" s="220"/>
      <c r="F530" s="221"/>
      <c r="G530" s="221"/>
      <c r="H530" s="221"/>
      <c r="I530" s="222"/>
      <c r="J530" s="209"/>
      <c r="K530" s="186"/>
      <c r="L530" s="186"/>
      <c r="M530" s="186"/>
      <c r="N530" s="47"/>
      <c r="O530" s="47"/>
      <c r="P530" s="47"/>
      <c r="Q530" s="48"/>
      <c r="R530" s="47"/>
      <c r="S530" s="48"/>
      <c r="T530" s="48"/>
      <c r="U530" s="48"/>
      <c r="V530" s="48"/>
    </row>
    <row r="531" spans="1:22" s="162" customFormat="1" x14ac:dyDescent="0.2">
      <c r="A531" s="407"/>
      <c r="B531" s="220"/>
      <c r="C531" s="220"/>
      <c r="D531" s="219"/>
      <c r="E531" s="220"/>
      <c r="F531" s="221"/>
      <c r="G531" s="221"/>
      <c r="H531" s="221"/>
      <c r="I531" s="222"/>
      <c r="J531" s="209"/>
      <c r="K531" s="186"/>
      <c r="L531" s="186"/>
      <c r="M531" s="186"/>
      <c r="N531" s="47"/>
      <c r="O531" s="47"/>
      <c r="P531" s="47"/>
      <c r="Q531" s="48"/>
      <c r="R531" s="47"/>
      <c r="S531" s="48"/>
      <c r="T531" s="48"/>
      <c r="U531" s="48"/>
      <c r="V531" s="48"/>
    </row>
    <row r="532" spans="1:22" s="162" customFormat="1" x14ac:dyDescent="0.2">
      <c r="A532" s="407"/>
      <c r="B532" s="220"/>
      <c r="C532" s="220"/>
      <c r="D532" s="219"/>
      <c r="E532" s="220"/>
      <c r="F532" s="221"/>
      <c r="G532" s="221"/>
      <c r="H532" s="221"/>
      <c r="I532" s="222"/>
      <c r="J532" s="209"/>
      <c r="K532" s="186"/>
      <c r="L532" s="186"/>
      <c r="M532" s="186"/>
      <c r="N532" s="47"/>
      <c r="O532" s="47"/>
      <c r="P532" s="47"/>
      <c r="Q532" s="48"/>
      <c r="R532" s="47"/>
      <c r="S532" s="48"/>
      <c r="T532" s="48"/>
      <c r="U532" s="48"/>
      <c r="V532" s="48"/>
    </row>
    <row r="533" spans="1:22" s="162" customFormat="1" x14ac:dyDescent="0.2">
      <c r="A533" s="407"/>
      <c r="B533" s="220"/>
      <c r="C533" s="220"/>
      <c r="D533" s="219"/>
      <c r="E533" s="220"/>
      <c r="F533" s="221"/>
      <c r="G533" s="221"/>
      <c r="H533" s="221"/>
      <c r="I533" s="222"/>
      <c r="J533" s="209"/>
      <c r="K533" s="186"/>
      <c r="L533" s="186"/>
      <c r="M533" s="186"/>
      <c r="N533" s="47"/>
      <c r="O533" s="47"/>
      <c r="P533" s="47"/>
      <c r="Q533" s="48"/>
      <c r="R533" s="47"/>
      <c r="S533" s="48"/>
      <c r="T533" s="48"/>
      <c r="U533" s="48"/>
      <c r="V533" s="48"/>
    </row>
    <row r="534" spans="1:22" s="162" customFormat="1" x14ac:dyDescent="0.2">
      <c r="A534" s="407"/>
      <c r="B534" s="220"/>
      <c r="C534" s="220"/>
      <c r="D534" s="219"/>
      <c r="E534" s="220"/>
      <c r="F534" s="221"/>
      <c r="G534" s="221"/>
      <c r="H534" s="221"/>
      <c r="I534" s="222"/>
      <c r="J534" s="209"/>
      <c r="K534" s="186"/>
      <c r="L534" s="186"/>
      <c r="M534" s="186"/>
      <c r="N534" s="47"/>
      <c r="O534" s="47"/>
      <c r="P534" s="47"/>
      <c r="Q534" s="48"/>
      <c r="R534" s="47"/>
      <c r="S534" s="48"/>
      <c r="T534" s="48"/>
      <c r="U534" s="48"/>
      <c r="V534" s="48"/>
    </row>
    <row r="535" spans="1:22" s="162" customFormat="1" x14ac:dyDescent="0.2">
      <c r="A535" s="407"/>
      <c r="B535" s="220"/>
      <c r="C535" s="220"/>
      <c r="D535" s="219"/>
      <c r="E535" s="220"/>
      <c r="F535" s="221"/>
      <c r="G535" s="221"/>
      <c r="H535" s="221"/>
      <c r="I535" s="222"/>
      <c r="J535" s="209"/>
      <c r="K535" s="186"/>
      <c r="L535" s="186"/>
      <c r="M535" s="186"/>
      <c r="N535" s="47"/>
      <c r="O535" s="47"/>
      <c r="P535" s="47"/>
      <c r="Q535" s="48"/>
      <c r="R535" s="47"/>
      <c r="S535" s="48"/>
      <c r="T535" s="48"/>
      <c r="U535" s="48"/>
      <c r="V535" s="48"/>
    </row>
    <row r="536" spans="1:22" s="162" customFormat="1" x14ac:dyDescent="0.2">
      <c r="A536" s="407"/>
      <c r="B536" s="220"/>
      <c r="C536" s="220"/>
      <c r="D536" s="219"/>
      <c r="E536" s="220"/>
      <c r="F536" s="221"/>
      <c r="G536" s="221"/>
      <c r="H536" s="221"/>
      <c r="I536" s="222"/>
      <c r="J536" s="209"/>
      <c r="K536" s="186"/>
      <c r="L536" s="186"/>
      <c r="M536" s="186"/>
      <c r="N536" s="47"/>
      <c r="O536" s="47"/>
      <c r="P536" s="47"/>
      <c r="Q536" s="48"/>
      <c r="R536" s="47"/>
      <c r="S536" s="48"/>
      <c r="T536" s="48"/>
      <c r="U536" s="48"/>
      <c r="V536" s="48"/>
    </row>
    <row r="537" spans="1:22" s="162" customFormat="1" x14ac:dyDescent="0.2">
      <c r="A537" s="407"/>
      <c r="B537" s="220"/>
      <c r="C537" s="220"/>
      <c r="D537" s="219"/>
      <c r="E537" s="220"/>
      <c r="F537" s="221"/>
      <c r="G537" s="221"/>
      <c r="H537" s="221"/>
      <c r="I537" s="222"/>
      <c r="J537" s="209"/>
      <c r="K537" s="186"/>
      <c r="L537" s="186"/>
      <c r="M537" s="186"/>
      <c r="N537" s="47"/>
      <c r="O537" s="47"/>
      <c r="P537" s="47"/>
      <c r="Q537" s="48"/>
      <c r="R537" s="47"/>
      <c r="S537" s="48"/>
      <c r="T537" s="48"/>
      <c r="U537" s="48"/>
      <c r="V537" s="48"/>
    </row>
    <row r="538" spans="1:22" s="162" customFormat="1" x14ac:dyDescent="0.2">
      <c r="A538" s="407"/>
      <c r="B538" s="220"/>
      <c r="C538" s="220"/>
      <c r="D538" s="219"/>
      <c r="E538" s="220"/>
      <c r="F538" s="221"/>
      <c r="G538" s="221"/>
      <c r="H538" s="221"/>
      <c r="I538" s="222"/>
      <c r="J538" s="209"/>
      <c r="K538" s="186"/>
      <c r="L538" s="186"/>
      <c r="M538" s="186"/>
      <c r="N538" s="47"/>
      <c r="O538" s="47"/>
      <c r="P538" s="47"/>
      <c r="Q538" s="48"/>
      <c r="R538" s="47"/>
      <c r="S538" s="48"/>
      <c r="T538" s="48"/>
      <c r="U538" s="48"/>
      <c r="V538" s="48"/>
    </row>
    <row r="539" spans="1:22" x14ac:dyDescent="0.2">
      <c r="A539" s="9"/>
      <c r="B539" s="3"/>
      <c r="C539" s="3"/>
      <c r="N539" s="47"/>
      <c r="O539" s="47"/>
      <c r="P539" s="47"/>
      <c r="R539" s="47"/>
    </row>
    <row r="540" spans="1:22" x14ac:dyDescent="0.2">
      <c r="A540" s="9"/>
      <c r="B540" s="3"/>
      <c r="C540" s="3"/>
      <c r="H540" s="45" t="s">
        <v>1034</v>
      </c>
      <c r="I540" s="5">
        <f>I153+I233+I236+I238+I256+I278+I281+I282+I311+I328+I332+I348+I353+I375+I397+I398+I399+I433+I463+I465+I478+I479</f>
        <v>827216.45</v>
      </c>
      <c r="K540" s="48" t="s">
        <v>1035</v>
      </c>
      <c r="N540" s="47"/>
      <c r="O540" s="47"/>
      <c r="P540" s="47"/>
      <c r="R540" s="47"/>
    </row>
    <row r="541" spans="1:22" x14ac:dyDescent="0.2">
      <c r="A541" s="9"/>
      <c r="B541" s="3"/>
      <c r="C541" s="3"/>
      <c r="N541" s="47"/>
      <c r="O541" s="47"/>
      <c r="P541" s="47"/>
      <c r="R541" s="47"/>
    </row>
    <row r="542" spans="1:22" x14ac:dyDescent="0.2">
      <c r="A542" s="9"/>
      <c r="B542" s="3"/>
      <c r="C542" s="3"/>
      <c r="H542" s="45" t="s">
        <v>1036</v>
      </c>
      <c r="I542" s="5">
        <f>I57-I540</f>
        <v>4552559.55</v>
      </c>
      <c r="N542" s="47"/>
      <c r="O542" s="47"/>
      <c r="P542" s="47"/>
      <c r="R542" s="47"/>
    </row>
    <row r="543" spans="1:22" x14ac:dyDescent="0.2">
      <c r="A543" s="9"/>
      <c r="B543" s="3"/>
      <c r="C543" s="3"/>
      <c r="N543" s="47"/>
      <c r="O543" s="47"/>
      <c r="P543" s="47"/>
      <c r="R543" s="47"/>
    </row>
    <row r="544" spans="1:22" x14ac:dyDescent="0.2">
      <c r="A544" s="9"/>
      <c r="B544" s="3"/>
      <c r="C544" s="3"/>
      <c r="I544" s="5">
        <f>I540+I542</f>
        <v>5379776</v>
      </c>
      <c r="N544" s="47"/>
      <c r="O544" s="47"/>
      <c r="P544" s="47"/>
      <c r="R544" s="47"/>
    </row>
    <row r="545" spans="1:18" x14ac:dyDescent="0.2">
      <c r="A545" s="9"/>
      <c r="B545" s="3"/>
      <c r="C545" s="3"/>
      <c r="N545" s="47"/>
      <c r="O545" s="47"/>
      <c r="P545" s="47"/>
      <c r="R545" s="47"/>
    </row>
    <row r="546" spans="1:18" x14ac:dyDescent="0.2">
      <c r="A546" s="9"/>
      <c r="B546" s="3"/>
      <c r="C546" s="3"/>
      <c r="I546" s="5">
        <v>4279800.83</v>
      </c>
      <c r="N546" s="47"/>
      <c r="O546" s="47"/>
      <c r="P546" s="47"/>
      <c r="R546" s="47"/>
    </row>
    <row r="547" spans="1:18" x14ac:dyDescent="0.2">
      <c r="A547" s="9"/>
      <c r="B547" s="3"/>
      <c r="C547" s="3"/>
      <c r="N547" s="47"/>
      <c r="O547" s="47"/>
      <c r="P547" s="47"/>
      <c r="R547" s="47"/>
    </row>
    <row r="548" spans="1:18" x14ac:dyDescent="0.2">
      <c r="A548" s="9"/>
      <c r="B548" s="3"/>
      <c r="C548" s="3"/>
      <c r="N548" s="47"/>
      <c r="O548" s="47"/>
      <c r="P548" s="47"/>
      <c r="R548" s="47"/>
    </row>
    <row r="549" spans="1:18" x14ac:dyDescent="0.2">
      <c r="A549" s="9"/>
      <c r="B549" s="3"/>
      <c r="C549" s="3"/>
      <c r="N549" s="47"/>
      <c r="O549" s="47"/>
      <c r="P549" s="47"/>
      <c r="R549" s="47"/>
    </row>
    <row r="550" spans="1:18" x14ac:dyDescent="0.2">
      <c r="A550" s="9"/>
      <c r="B550" s="3"/>
      <c r="C550" s="3"/>
      <c r="N550" s="47"/>
      <c r="O550" s="47"/>
      <c r="P550" s="47"/>
      <c r="R550" s="47"/>
    </row>
    <row r="551" spans="1:18" x14ac:dyDescent="0.2">
      <c r="A551" s="9"/>
      <c r="B551" s="3"/>
      <c r="C551" s="3"/>
      <c r="N551" s="47"/>
      <c r="O551" s="47"/>
      <c r="P551" s="47"/>
      <c r="R551" s="47"/>
    </row>
    <row r="552" spans="1:18" x14ac:dyDescent="0.2">
      <c r="A552" s="9"/>
      <c r="B552" s="3"/>
      <c r="C552" s="3"/>
      <c r="N552" s="47"/>
      <c r="O552" s="47"/>
      <c r="P552" s="47"/>
      <c r="R552" s="47"/>
    </row>
    <row r="553" spans="1:18" x14ac:dyDescent="0.2">
      <c r="A553" s="9"/>
      <c r="B553" s="3"/>
      <c r="C553" s="3"/>
      <c r="N553" s="47"/>
      <c r="O553" s="47"/>
      <c r="P553" s="47"/>
      <c r="R553" s="47"/>
    </row>
    <row r="554" spans="1:18" x14ac:dyDescent="0.2">
      <c r="A554" s="9"/>
      <c r="B554" s="3"/>
      <c r="C554" s="3"/>
      <c r="N554" s="47"/>
      <c r="O554" s="47"/>
      <c r="P554" s="47"/>
      <c r="R554" s="47"/>
    </row>
    <row r="555" spans="1:18" x14ac:dyDescent="0.2">
      <c r="A555" s="9"/>
      <c r="B555" s="3"/>
      <c r="C555" s="3"/>
      <c r="N555" s="47"/>
      <c r="O555" s="47"/>
      <c r="P555" s="47"/>
      <c r="R555" s="47"/>
    </row>
    <row r="556" spans="1:18" x14ac:dyDescent="0.2">
      <c r="A556" s="9"/>
      <c r="B556" s="3"/>
      <c r="C556" s="3"/>
      <c r="N556" s="47"/>
      <c r="O556" s="47"/>
      <c r="P556" s="47"/>
      <c r="R556" s="47"/>
    </row>
    <row r="557" spans="1:18" x14ac:dyDescent="0.2">
      <c r="A557" s="9"/>
      <c r="B557" s="3"/>
      <c r="C557" s="3"/>
      <c r="N557" s="47"/>
      <c r="O557" s="47"/>
      <c r="P557" s="47"/>
      <c r="R557" s="47"/>
    </row>
    <row r="558" spans="1:18" x14ac:dyDescent="0.2">
      <c r="A558" s="9"/>
      <c r="B558" s="3"/>
      <c r="C558" s="3"/>
      <c r="N558" s="47"/>
      <c r="O558" s="47"/>
      <c r="P558" s="47"/>
      <c r="R558" s="47"/>
    </row>
    <row r="559" spans="1:18" x14ac:dyDescent="0.2">
      <c r="A559" s="9"/>
      <c r="B559" s="3"/>
      <c r="C559" s="3"/>
      <c r="N559" s="47"/>
      <c r="O559" s="47"/>
      <c r="P559" s="47"/>
      <c r="R559" s="47"/>
    </row>
    <row r="560" spans="1:18" x14ac:dyDescent="0.2">
      <c r="A560" s="9"/>
      <c r="B560" s="3"/>
      <c r="C560" s="3"/>
      <c r="N560" s="47"/>
      <c r="O560" s="47"/>
      <c r="P560" s="47"/>
      <c r="R560" s="47"/>
    </row>
    <row r="561" spans="1:18" x14ac:dyDescent="0.2">
      <c r="A561" s="9"/>
      <c r="B561" s="3"/>
      <c r="C561" s="3"/>
      <c r="N561" s="47"/>
      <c r="O561" s="47"/>
      <c r="P561" s="47"/>
      <c r="R561" s="47"/>
    </row>
    <row r="562" spans="1:18" x14ac:dyDescent="0.2">
      <c r="A562" s="9"/>
      <c r="B562" s="3"/>
      <c r="C562" s="3"/>
    </row>
    <row r="563" spans="1:18" x14ac:dyDescent="0.2">
      <c r="A563" s="9"/>
      <c r="B563" s="3"/>
      <c r="C563" s="3"/>
    </row>
    <row r="564" spans="1:18" x14ac:dyDescent="0.2">
      <c r="A564" s="9"/>
      <c r="B564" s="3"/>
      <c r="C564" s="3"/>
    </row>
    <row r="565" spans="1:18" x14ac:dyDescent="0.2">
      <c r="A565" s="9"/>
      <c r="B565" s="3"/>
      <c r="C565" s="3"/>
    </row>
    <row r="566" spans="1:18" x14ac:dyDescent="0.2">
      <c r="A566" s="9"/>
      <c r="B566" s="3"/>
      <c r="C566" s="3"/>
    </row>
    <row r="567" spans="1:18" x14ac:dyDescent="0.2">
      <c r="A567" s="9"/>
      <c r="B567" s="3"/>
      <c r="C567" s="3"/>
    </row>
    <row r="568" spans="1:18" x14ac:dyDescent="0.2">
      <c r="A568" s="9"/>
      <c r="B568" s="3"/>
      <c r="C568" s="3"/>
    </row>
    <row r="569" spans="1:18" x14ac:dyDescent="0.2">
      <c r="A569" s="9"/>
      <c r="B569" s="3"/>
      <c r="C569" s="3"/>
    </row>
    <row r="570" spans="1:18" x14ac:dyDescent="0.2">
      <c r="A570" s="9"/>
      <c r="B570" s="3"/>
      <c r="C570" s="3"/>
    </row>
    <row r="571" spans="1:18" x14ac:dyDescent="0.2">
      <c r="A571" s="9"/>
      <c r="B571" s="3"/>
      <c r="C571" s="3"/>
    </row>
    <row r="572" spans="1:18" x14ac:dyDescent="0.2">
      <c r="A572" s="9"/>
      <c r="B572" s="3"/>
      <c r="C572" s="3"/>
    </row>
    <row r="573" spans="1:18" x14ac:dyDescent="0.2">
      <c r="A573" s="9"/>
      <c r="B573" s="3"/>
      <c r="C573" s="3"/>
    </row>
    <row r="574" spans="1:18" x14ac:dyDescent="0.2">
      <c r="A574" s="9"/>
      <c r="B574" s="3"/>
      <c r="C574" s="3"/>
    </row>
    <row r="575" spans="1:18" x14ac:dyDescent="0.2">
      <c r="A575" s="9"/>
      <c r="B575" s="3"/>
      <c r="C575" s="3"/>
    </row>
    <row r="576" spans="1:18" x14ac:dyDescent="0.2">
      <c r="A576" s="9"/>
      <c r="B576" s="3"/>
      <c r="C576" s="3"/>
    </row>
    <row r="577" spans="1:3" x14ac:dyDescent="0.2">
      <c r="A577" s="9"/>
      <c r="B577" s="3"/>
      <c r="C577" s="3"/>
    </row>
    <row r="578" spans="1:3" x14ac:dyDescent="0.2">
      <c r="A578" s="9"/>
      <c r="B578" s="3"/>
      <c r="C578" s="3"/>
    </row>
    <row r="579" spans="1:3" x14ac:dyDescent="0.2">
      <c r="A579" s="9"/>
      <c r="B579" s="3"/>
      <c r="C579" s="3"/>
    </row>
    <row r="580" spans="1:3" x14ac:dyDescent="0.2">
      <c r="A580" s="9"/>
      <c r="B580" s="3"/>
      <c r="C580" s="3"/>
    </row>
    <row r="581" spans="1:3" x14ac:dyDescent="0.2">
      <c r="A581" s="9"/>
      <c r="B581" s="3"/>
      <c r="C581" s="3"/>
    </row>
    <row r="582" spans="1:3" x14ac:dyDescent="0.2">
      <c r="A582" s="9"/>
      <c r="B582" s="3"/>
      <c r="C582" s="3"/>
    </row>
    <row r="583" spans="1:3" x14ac:dyDescent="0.2">
      <c r="A583" s="9"/>
      <c r="B583" s="3"/>
      <c r="C583" s="3"/>
    </row>
    <row r="584" spans="1:3" x14ac:dyDescent="0.2">
      <c r="A584" s="9"/>
      <c r="B584" s="3"/>
      <c r="C584" s="3"/>
    </row>
    <row r="585" spans="1:3" x14ac:dyDescent="0.2">
      <c r="A585" s="9"/>
      <c r="B585" s="3"/>
      <c r="C585" s="3"/>
    </row>
    <row r="586" spans="1:3" x14ac:dyDescent="0.2">
      <c r="A586" s="9"/>
      <c r="B586" s="3"/>
      <c r="C586" s="3"/>
    </row>
    <row r="587" spans="1:3" x14ac:dyDescent="0.2">
      <c r="A587" s="9"/>
      <c r="B587" s="3"/>
      <c r="C587" s="3"/>
    </row>
    <row r="588" spans="1:3" x14ac:dyDescent="0.2">
      <c r="A588" s="9"/>
      <c r="B588" s="3"/>
      <c r="C588" s="3"/>
    </row>
    <row r="589" spans="1:3" x14ac:dyDescent="0.2">
      <c r="A589" s="9"/>
      <c r="B589" s="3"/>
      <c r="C589" s="3"/>
    </row>
    <row r="590" spans="1:3" x14ac:dyDescent="0.2">
      <c r="A590" s="9"/>
      <c r="B590" s="3"/>
      <c r="C590" s="3"/>
    </row>
    <row r="591" spans="1:3" x14ac:dyDescent="0.2">
      <c r="A591" s="9"/>
      <c r="B591" s="3"/>
      <c r="C591" s="3"/>
    </row>
    <row r="592" spans="1:3" x14ac:dyDescent="0.2">
      <c r="A592" s="9"/>
      <c r="B592" s="3"/>
      <c r="C592" s="3"/>
    </row>
    <row r="593" spans="1:3" x14ac:dyDescent="0.2">
      <c r="A593" s="9"/>
      <c r="B593" s="3"/>
      <c r="C593" s="3"/>
    </row>
    <row r="594" spans="1:3" x14ac:dyDescent="0.2">
      <c r="A594" s="9"/>
      <c r="B594" s="3"/>
      <c r="C594" s="3"/>
    </row>
    <row r="595" spans="1:3" x14ac:dyDescent="0.2">
      <c r="A595" s="9"/>
      <c r="B595" s="3"/>
      <c r="C595" s="3"/>
    </row>
    <row r="596" spans="1:3" x14ac:dyDescent="0.2">
      <c r="A596" s="9"/>
      <c r="B596" s="3"/>
      <c r="C596" s="3"/>
    </row>
    <row r="597" spans="1:3" x14ac:dyDescent="0.2">
      <c r="A597" s="9"/>
      <c r="B597" s="3"/>
      <c r="C597" s="3"/>
    </row>
    <row r="598" spans="1:3" x14ac:dyDescent="0.2">
      <c r="A598" s="9"/>
      <c r="B598" s="3"/>
      <c r="C598" s="3"/>
    </row>
    <row r="599" spans="1:3" x14ac:dyDescent="0.2">
      <c r="A599" s="9"/>
      <c r="B599" s="3"/>
      <c r="C599" s="3"/>
    </row>
    <row r="600" spans="1:3" x14ac:dyDescent="0.2">
      <c r="A600" s="9"/>
      <c r="B600" s="3"/>
      <c r="C600" s="3"/>
    </row>
    <row r="601" spans="1:3" x14ac:dyDescent="0.2">
      <c r="A601" s="9"/>
      <c r="B601" s="3"/>
      <c r="C601" s="3"/>
    </row>
    <row r="602" spans="1:3" x14ac:dyDescent="0.2">
      <c r="A602" s="9"/>
      <c r="B602" s="3"/>
      <c r="C602" s="3"/>
    </row>
    <row r="603" spans="1:3" x14ac:dyDescent="0.2">
      <c r="A603" s="9"/>
      <c r="B603" s="3"/>
      <c r="C603" s="3"/>
    </row>
    <row r="604" spans="1:3" x14ac:dyDescent="0.2">
      <c r="A604" s="9"/>
      <c r="B604" s="3"/>
      <c r="C604" s="3"/>
    </row>
    <row r="605" spans="1:3" x14ac:dyDescent="0.2">
      <c r="A605" s="9"/>
      <c r="B605" s="3"/>
      <c r="C605" s="3"/>
    </row>
    <row r="606" spans="1:3" x14ac:dyDescent="0.2">
      <c r="A606" s="9"/>
      <c r="B606" s="3"/>
      <c r="C606" s="3"/>
    </row>
    <row r="607" spans="1:3" x14ac:dyDescent="0.2">
      <c r="A607" s="9"/>
      <c r="B607" s="3"/>
      <c r="C607" s="3"/>
    </row>
    <row r="608" spans="1:3" x14ac:dyDescent="0.2">
      <c r="A608" s="9"/>
      <c r="B608" s="3"/>
      <c r="C608" s="3"/>
    </row>
  </sheetData>
  <mergeCells count="29">
    <mergeCell ref="K22:L22"/>
    <mergeCell ref="K18:L18"/>
    <mergeCell ref="A7:I7"/>
    <mergeCell ref="A1:I1"/>
    <mergeCell ref="E11:E13"/>
    <mergeCell ref="F11:F13"/>
    <mergeCell ref="A11:A13"/>
    <mergeCell ref="B11:B13"/>
    <mergeCell ref="C11:C13"/>
    <mergeCell ref="A9:I9"/>
    <mergeCell ref="A5:D5"/>
    <mergeCell ref="I11:I13"/>
    <mergeCell ref="D11:D13"/>
    <mergeCell ref="A3:I3"/>
    <mergeCell ref="K26:L26"/>
    <mergeCell ref="K28:L28"/>
    <mergeCell ref="K30:L30"/>
    <mergeCell ref="K32:L32"/>
    <mergeCell ref="K34:L34"/>
    <mergeCell ref="K36:L36"/>
    <mergeCell ref="K38:L38"/>
    <mergeCell ref="K40:L40"/>
    <mergeCell ref="K42:L42"/>
    <mergeCell ref="K44:L44"/>
    <mergeCell ref="K48:L48"/>
    <mergeCell ref="K50:L50"/>
    <mergeCell ref="K52:L52"/>
    <mergeCell ref="K54:L54"/>
    <mergeCell ref="K57:L57"/>
  </mergeCells>
  <phoneticPr fontId="2" type="noConversion"/>
  <printOptions horizontalCentered="1"/>
  <pageMargins left="0.39370078740157483" right="0.39370078740157483" top="0.78740157480314965" bottom="0.59055118110236227" header="0.35433070866141736" footer="0.23622047244094491"/>
  <pageSetup paperSize="9" scale="68" fitToHeight="20" orientation="landscape" r:id="rId1"/>
  <headerFooter alignWithMargins="0">
    <oddHeader>&amp;L&amp;G&amp;R&amp;G</oddHeader>
    <oddFooter>&amp;C&amp;K03+000
Rua Nilton Baldo, 744 – Bairro Jardim Paquetá - CEP 31.330-660 – Belo Horizonte / Minas Gerais.
Endereço Eletrônico: ottawaeng@terra.com.br – Telefax (31) 3418-2175 – CNPJ: 04.472.311/0001-04
&amp;R&amp;K03+000Página &amp;P de &amp;N</oddFooter>
  </headerFooter>
  <ignoredErrors>
    <ignoredError sqref="B204 B240:C240 B241 B254 B286 B314:C314 B315 B318 B320 B203:C203 B285:C285 B289 B291 B328:C328 B202:C202" numberStoredAsText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2"/>
  <sheetViews>
    <sheetView view="pageBreakPreview" zoomScale="85" zoomScaleNormal="90" zoomScaleSheetLayoutView="85" workbookViewId="0">
      <selection activeCell="O12" sqref="O12"/>
    </sheetView>
  </sheetViews>
  <sheetFormatPr defaultRowHeight="17.100000000000001" customHeight="1" x14ac:dyDescent="0.2"/>
  <cols>
    <col min="1" max="1" width="13" style="39" customWidth="1"/>
    <col min="2" max="2" width="55.7109375" style="39" customWidth="1"/>
    <col min="3" max="3" width="9.7109375" style="39" customWidth="1"/>
    <col min="4" max="4" width="13.28515625" style="39" customWidth="1"/>
    <col min="5" max="5" width="13.28515625" style="40" customWidth="1"/>
    <col min="6" max="6" width="13.28515625" style="39" customWidth="1"/>
    <col min="7" max="15" width="13.28515625" style="40" customWidth="1"/>
    <col min="16" max="16" width="14.7109375" style="39" customWidth="1"/>
    <col min="17" max="17" width="3" style="39" customWidth="1"/>
    <col min="18" max="18" width="8.7109375" style="39" customWidth="1"/>
    <col min="19" max="19" width="3.5703125" style="39" customWidth="1"/>
    <col min="20" max="23" width="12.7109375" style="39" customWidth="1"/>
    <col min="24" max="24" width="12.7109375" style="42" customWidth="1"/>
    <col min="25" max="31" width="12.7109375" style="39" customWidth="1"/>
    <col min="32" max="32" width="9.140625" style="39"/>
    <col min="33" max="33" width="18.7109375" style="39" customWidth="1"/>
    <col min="34" max="16384" width="9.140625" style="39"/>
  </cols>
  <sheetData>
    <row r="1" spans="1:31" s="11" customFormat="1" ht="30" customHeight="1" thickBot="1" x14ac:dyDescent="0.25">
      <c r="A1" s="543" t="s">
        <v>58</v>
      </c>
      <c r="B1" s="544"/>
      <c r="C1" s="544"/>
      <c r="D1" s="544"/>
      <c r="E1" s="544"/>
      <c r="F1" s="544"/>
      <c r="G1" s="544"/>
      <c r="H1" s="544"/>
      <c r="I1" s="544"/>
      <c r="J1" s="544"/>
      <c r="K1" s="544"/>
      <c r="L1" s="544"/>
      <c r="M1" s="544"/>
      <c r="N1" s="544"/>
      <c r="O1" s="544"/>
      <c r="P1" s="545"/>
    </row>
    <row r="2" spans="1:31" s="11" customFormat="1" ht="5.0999999999999996" customHeight="1" thickBot="1" x14ac:dyDescent="0.25">
      <c r="A2" s="284"/>
      <c r="B2" s="285"/>
      <c r="C2" s="285"/>
      <c r="D2" s="286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7"/>
    </row>
    <row r="3" spans="1:31" s="11" customFormat="1" ht="20.100000000000001" customHeight="1" thickBot="1" x14ac:dyDescent="0.25">
      <c r="A3" s="288" t="s">
        <v>87</v>
      </c>
      <c r="B3" s="289" t="s">
        <v>1042</v>
      </c>
      <c r="C3" s="289"/>
      <c r="D3" s="290"/>
      <c r="E3" s="291"/>
      <c r="F3" s="291"/>
      <c r="G3" s="154"/>
      <c r="H3" s="154"/>
      <c r="I3" s="154"/>
      <c r="J3" s="154"/>
      <c r="K3" s="154"/>
      <c r="L3" s="154"/>
      <c r="M3" s="154"/>
      <c r="N3" s="154"/>
      <c r="O3" s="154" t="s">
        <v>52</v>
      </c>
      <c r="P3" s="155" t="s">
        <v>1044</v>
      </c>
    </row>
    <row r="4" spans="1:31" s="11" customFormat="1" ht="5.0999999999999996" customHeight="1" thickBot="1" x14ac:dyDescent="0.25">
      <c r="A4" s="292"/>
      <c r="B4" s="293"/>
      <c r="C4" s="293"/>
      <c r="D4" s="294"/>
      <c r="E4" s="295"/>
      <c r="F4" s="295"/>
      <c r="G4" s="119"/>
      <c r="H4" s="119"/>
      <c r="I4" s="119"/>
      <c r="J4" s="119"/>
      <c r="K4" s="119"/>
      <c r="L4" s="119"/>
      <c r="M4" s="119"/>
      <c r="N4" s="119"/>
      <c r="O4" s="119"/>
      <c r="P4" s="296"/>
    </row>
    <row r="5" spans="1:31" s="11" customFormat="1" ht="20.100000000000001" customHeight="1" thickBot="1" x14ac:dyDescent="0.25">
      <c r="A5" s="297" t="s">
        <v>68</v>
      </c>
      <c r="B5" s="298" t="s">
        <v>898</v>
      </c>
      <c r="C5" s="298"/>
      <c r="D5" s="299"/>
      <c r="E5" s="300"/>
      <c r="F5" s="300"/>
      <c r="G5" s="301"/>
      <c r="H5" s="301"/>
      <c r="I5" s="301"/>
      <c r="J5" s="301"/>
      <c r="K5" s="301"/>
      <c r="L5" s="301"/>
      <c r="M5" s="301"/>
      <c r="N5" s="301"/>
      <c r="O5" s="301"/>
      <c r="P5" s="302"/>
      <c r="Q5" s="4"/>
    </row>
    <row r="6" spans="1:31" s="11" customFormat="1" ht="5.0999999999999996" customHeight="1" thickBot="1" x14ac:dyDescent="0.25">
      <c r="A6" s="303"/>
      <c r="B6" s="304"/>
      <c r="C6" s="304"/>
      <c r="D6" s="305"/>
      <c r="E6" s="304"/>
      <c r="F6" s="304"/>
      <c r="G6" s="306"/>
      <c r="H6" s="306"/>
      <c r="I6" s="306"/>
      <c r="J6" s="306"/>
      <c r="K6" s="306"/>
      <c r="L6" s="306"/>
      <c r="M6" s="306"/>
      <c r="N6" s="306"/>
      <c r="O6" s="306"/>
      <c r="P6" s="307"/>
    </row>
    <row r="7" spans="1:31" s="11" customFormat="1" ht="20.100000000000001" customHeight="1" thickBot="1" x14ac:dyDescent="0.25">
      <c r="A7" s="297" t="s">
        <v>88</v>
      </c>
      <c r="B7" s="298" t="s">
        <v>1043</v>
      </c>
      <c r="C7" s="298"/>
      <c r="D7" s="299"/>
      <c r="E7" s="298"/>
      <c r="F7" s="298"/>
      <c r="G7" s="301"/>
      <c r="H7" s="301"/>
      <c r="I7" s="301"/>
      <c r="J7" s="301"/>
      <c r="K7" s="301"/>
      <c r="L7" s="301"/>
      <c r="M7" s="301"/>
      <c r="N7" s="301"/>
      <c r="O7" s="301"/>
      <c r="P7" s="302"/>
    </row>
    <row r="8" spans="1:31" s="14" customFormat="1" ht="30" customHeight="1" thickBot="1" x14ac:dyDescent="0.25">
      <c r="A8" s="308" t="s">
        <v>69</v>
      </c>
      <c r="B8" s="309" t="s">
        <v>70</v>
      </c>
      <c r="C8" s="309" t="s">
        <v>71</v>
      </c>
      <c r="D8" s="309" t="s">
        <v>72</v>
      </c>
      <c r="E8" s="309" t="s">
        <v>73</v>
      </c>
      <c r="F8" s="309" t="s">
        <v>74</v>
      </c>
      <c r="G8" s="309" t="s">
        <v>75</v>
      </c>
      <c r="H8" s="309" t="s">
        <v>228</v>
      </c>
      <c r="I8" s="309" t="s">
        <v>229</v>
      </c>
      <c r="J8" s="309" t="s">
        <v>115</v>
      </c>
      <c r="K8" s="309" t="s">
        <v>116</v>
      </c>
      <c r="L8" s="309" t="s">
        <v>117</v>
      </c>
      <c r="M8" s="309" t="s">
        <v>118</v>
      </c>
      <c r="N8" s="309" t="s">
        <v>119</v>
      </c>
      <c r="O8" s="309" t="s">
        <v>120</v>
      </c>
      <c r="P8" s="310" t="s">
        <v>76</v>
      </c>
      <c r="Q8" s="13"/>
      <c r="R8" s="13"/>
      <c r="S8" s="13"/>
      <c r="T8" s="13"/>
      <c r="U8" s="13"/>
      <c r="V8" s="13"/>
      <c r="X8" s="15"/>
    </row>
    <row r="9" spans="1:31" s="14" customFormat="1" ht="20.100000000000001" customHeight="1" thickBot="1" x14ac:dyDescent="0.25">
      <c r="A9" s="16"/>
      <c r="B9" s="17"/>
      <c r="C9" s="18"/>
      <c r="D9" s="19"/>
      <c r="E9" s="19"/>
      <c r="F9" s="19"/>
      <c r="G9" s="19"/>
      <c r="H9" s="20"/>
      <c r="I9" s="20"/>
      <c r="J9" s="20"/>
      <c r="K9" s="20"/>
      <c r="L9" s="20"/>
      <c r="M9" s="20"/>
      <c r="N9" s="20"/>
      <c r="O9" s="20"/>
      <c r="P9" s="21"/>
      <c r="Q9" s="22"/>
      <c r="R9" s="22"/>
      <c r="S9" s="22"/>
      <c r="T9" s="22"/>
      <c r="V9" s="15"/>
    </row>
    <row r="10" spans="1:31" s="14" customFormat="1" ht="20.100000000000001" customHeight="1" thickTop="1" thickBot="1" x14ac:dyDescent="0.25">
      <c r="A10" s="23" t="str">
        <f>ORÇAMENTO!A18</f>
        <v>01.00.00</v>
      </c>
      <c r="B10" s="24" t="str">
        <f>ORÇAMENTO!D18</f>
        <v xml:space="preserve">MOBILIZAÇÃO E DESMOBILIZAÇÃO                                 </v>
      </c>
      <c r="C10" s="25">
        <f>P10/$P$36*100</f>
        <v>4.2744647175148236</v>
      </c>
      <c r="D10" s="315">
        <v>60</v>
      </c>
      <c r="E10" s="26"/>
      <c r="F10" s="26"/>
      <c r="G10" s="26"/>
      <c r="H10" s="27"/>
      <c r="I10" s="27"/>
      <c r="J10" s="27"/>
      <c r="K10" s="27"/>
      <c r="L10" s="27"/>
      <c r="M10" s="27"/>
      <c r="N10" s="27"/>
      <c r="O10" s="316">
        <v>40</v>
      </c>
      <c r="P10" s="28">
        <f>ORÇAMENTO!I18</f>
        <v>209101.64999999994</v>
      </c>
      <c r="Q10" s="22"/>
      <c r="R10" s="234">
        <f>SUM(D10:O10)</f>
        <v>100</v>
      </c>
      <c r="S10" s="22"/>
      <c r="T10" s="237">
        <f>D10*$P10/100</f>
        <v>125460.98999999996</v>
      </c>
      <c r="U10" s="240">
        <f t="shared" ref="U10:AE10" si="0">E10*$P10/100</f>
        <v>0</v>
      </c>
      <c r="V10" s="240">
        <f t="shared" si="0"/>
        <v>0</v>
      </c>
      <c r="W10" s="240">
        <f t="shared" si="0"/>
        <v>0</v>
      </c>
      <c r="X10" s="240">
        <f t="shared" si="0"/>
        <v>0</v>
      </c>
      <c r="Y10" s="240">
        <f t="shared" si="0"/>
        <v>0</v>
      </c>
      <c r="Z10" s="240">
        <f t="shared" si="0"/>
        <v>0</v>
      </c>
      <c r="AA10" s="240">
        <f t="shared" si="0"/>
        <v>0</v>
      </c>
      <c r="AB10" s="240">
        <f t="shared" si="0"/>
        <v>0</v>
      </c>
      <c r="AC10" s="240">
        <f t="shared" si="0"/>
        <v>0</v>
      </c>
      <c r="AD10" s="240">
        <f t="shared" si="0"/>
        <v>0</v>
      </c>
      <c r="AE10" s="241">
        <f t="shared" si="0"/>
        <v>83640.659999999974</v>
      </c>
    </row>
    <row r="11" spans="1:31" s="14" customFormat="1" ht="20.100000000000001" customHeight="1" thickTop="1" thickBot="1" x14ac:dyDescent="0.25">
      <c r="A11" s="23" t="str">
        <f>ORÇAMENTO!A20</f>
        <v>02.00.00</v>
      </c>
      <c r="B11" s="24" t="str">
        <f>ORÇAMENTO!D20</f>
        <v>ADMINISTRAÇÃO DA OBRA</v>
      </c>
      <c r="C11" s="25">
        <f>P11/$P$36*100</f>
        <v>9.5858115416787317</v>
      </c>
      <c r="D11" s="315">
        <v>8</v>
      </c>
      <c r="E11" s="315">
        <v>7</v>
      </c>
      <c r="F11" s="315">
        <v>8</v>
      </c>
      <c r="G11" s="315">
        <v>8</v>
      </c>
      <c r="H11" s="316">
        <v>8</v>
      </c>
      <c r="I11" s="316">
        <v>8</v>
      </c>
      <c r="J11" s="316">
        <v>8</v>
      </c>
      <c r="K11" s="316">
        <v>8</v>
      </c>
      <c r="L11" s="316">
        <v>8</v>
      </c>
      <c r="M11" s="316">
        <v>8</v>
      </c>
      <c r="N11" s="316">
        <v>8</v>
      </c>
      <c r="O11" s="316">
        <v>13</v>
      </c>
      <c r="P11" s="28">
        <f>ORÇAMENTO!I20</f>
        <v>468926.32</v>
      </c>
      <c r="Q11" s="22"/>
      <c r="R11" s="234">
        <f t="shared" ref="R11:R13" si="1">SUM(D11:O11)</f>
        <v>100</v>
      </c>
      <c r="S11" s="22"/>
      <c r="T11" s="238">
        <f t="shared" ref="T11:T25" si="2">D11*$P11/100</f>
        <v>37514.105600000003</v>
      </c>
      <c r="U11" s="22">
        <f t="shared" ref="U11:U25" si="3">E11*$P11/100</f>
        <v>32824.842400000001</v>
      </c>
      <c r="V11" s="22">
        <f t="shared" ref="V11:V25" si="4">F11*$P11/100</f>
        <v>37514.105600000003</v>
      </c>
      <c r="W11" s="22">
        <f t="shared" ref="W11:W25" si="5">G11*$P11/100</f>
        <v>37514.105600000003</v>
      </c>
      <c r="X11" s="22">
        <f t="shared" ref="X11:X25" si="6">H11*$P11/100</f>
        <v>37514.105600000003</v>
      </c>
      <c r="Y11" s="22">
        <f t="shared" ref="Y11:Y25" si="7">I11*$P11/100</f>
        <v>37514.105600000003</v>
      </c>
      <c r="Z11" s="22">
        <f t="shared" ref="Z11:Z25" si="8">J11*$P11/100</f>
        <v>37514.105600000003</v>
      </c>
      <c r="AA11" s="22">
        <f t="shared" ref="AA11:AA25" si="9">K11*$P11/100</f>
        <v>37514.105600000003</v>
      </c>
      <c r="AB11" s="22">
        <f t="shared" ref="AB11:AB25" si="10">L11*$P11/100</f>
        <v>37514.105600000003</v>
      </c>
      <c r="AC11" s="22">
        <f t="shared" ref="AC11:AC25" si="11">M11*$P11/100</f>
        <v>37514.105600000003</v>
      </c>
      <c r="AD11" s="22">
        <f t="shared" ref="AD11:AD25" si="12">N11*$P11/100</f>
        <v>37514.105600000003</v>
      </c>
      <c r="AE11" s="242">
        <f t="shared" ref="AE11:AE25" si="13">O11*$P11/100</f>
        <v>60960.421600000001</v>
      </c>
    </row>
    <row r="12" spans="1:31" s="14" customFormat="1" ht="20.100000000000001" customHeight="1" thickTop="1" thickBot="1" x14ac:dyDescent="0.25">
      <c r="A12" s="23" t="str">
        <f>ORÇAMENTO!A22</f>
        <v>03.00.00</v>
      </c>
      <c r="B12" s="24" t="str">
        <f>ORÇAMENTO!D22</f>
        <v>REDE COLETORA DE ESGOTOS</v>
      </c>
      <c r="C12" s="25">
        <f>P12/$P$36*100</f>
        <v>6.9214644689539044</v>
      </c>
      <c r="D12" s="315">
        <v>10</v>
      </c>
      <c r="E12" s="315">
        <v>15</v>
      </c>
      <c r="F12" s="315">
        <v>15</v>
      </c>
      <c r="G12" s="315">
        <v>15</v>
      </c>
      <c r="H12" s="316">
        <v>15</v>
      </c>
      <c r="I12" s="316">
        <v>15</v>
      </c>
      <c r="J12" s="316">
        <v>15</v>
      </c>
      <c r="K12" s="26"/>
      <c r="L12" s="26"/>
      <c r="M12" s="26"/>
      <c r="N12" s="26"/>
      <c r="O12" s="26"/>
      <c r="P12" s="28">
        <f>ORÇAMENTO!I22</f>
        <v>338589.68000000005</v>
      </c>
      <c r="Q12" s="22"/>
      <c r="R12" s="234">
        <f t="shared" si="1"/>
        <v>100</v>
      </c>
      <c r="S12" s="22"/>
      <c r="T12" s="238">
        <f t="shared" si="2"/>
        <v>33858.968000000008</v>
      </c>
      <c r="U12" s="22">
        <f t="shared" si="3"/>
        <v>50788.452000000012</v>
      </c>
      <c r="V12" s="22">
        <f t="shared" si="4"/>
        <v>50788.452000000012</v>
      </c>
      <c r="W12" s="22">
        <f t="shared" si="5"/>
        <v>50788.452000000012</v>
      </c>
      <c r="X12" s="22">
        <f t="shared" si="6"/>
        <v>50788.452000000012</v>
      </c>
      <c r="Y12" s="22">
        <f t="shared" si="7"/>
        <v>50788.452000000012</v>
      </c>
      <c r="Z12" s="22">
        <f t="shared" si="8"/>
        <v>50788.452000000012</v>
      </c>
      <c r="AA12" s="22">
        <f t="shared" si="9"/>
        <v>0</v>
      </c>
      <c r="AB12" s="22">
        <f t="shared" si="10"/>
        <v>0</v>
      </c>
      <c r="AC12" s="22">
        <f t="shared" si="11"/>
        <v>0</v>
      </c>
      <c r="AD12" s="22">
        <f t="shared" si="12"/>
        <v>0</v>
      </c>
      <c r="AE12" s="242">
        <f t="shared" si="13"/>
        <v>0</v>
      </c>
    </row>
    <row r="13" spans="1:31" s="14" customFormat="1" ht="20.100000000000001" customHeight="1" thickTop="1" x14ac:dyDescent="0.2">
      <c r="A13" s="318" t="str">
        <f>ORÇAMENTO!A26</f>
        <v>05.00.00</v>
      </c>
      <c r="B13" s="319" t="str">
        <f>ORÇAMENTO!D26</f>
        <v>ESTAÇÃO DE TRATAMENTO DE ESGOTOS</v>
      </c>
      <c r="C13" s="320"/>
      <c r="D13" s="321"/>
      <c r="E13" s="321"/>
      <c r="F13" s="321"/>
      <c r="G13" s="321"/>
      <c r="H13" s="322"/>
      <c r="I13" s="322"/>
      <c r="J13" s="322"/>
      <c r="K13" s="322"/>
      <c r="L13" s="322"/>
      <c r="M13" s="322"/>
      <c r="N13" s="322"/>
      <c r="O13" s="322"/>
      <c r="P13" s="323"/>
      <c r="Q13" s="22"/>
      <c r="R13" s="234">
        <f t="shared" si="1"/>
        <v>0</v>
      </c>
      <c r="S13" s="22"/>
      <c r="T13" s="238">
        <f t="shared" si="2"/>
        <v>0</v>
      </c>
      <c r="U13" s="22">
        <f t="shared" si="3"/>
        <v>0</v>
      </c>
      <c r="V13" s="22">
        <f t="shared" si="4"/>
        <v>0</v>
      </c>
      <c r="W13" s="22">
        <f t="shared" si="5"/>
        <v>0</v>
      </c>
      <c r="X13" s="22">
        <f t="shared" si="6"/>
        <v>0</v>
      </c>
      <c r="Y13" s="22">
        <f t="shared" si="7"/>
        <v>0</v>
      </c>
      <c r="Z13" s="22">
        <f t="shared" si="8"/>
        <v>0</v>
      </c>
      <c r="AA13" s="22">
        <f t="shared" si="9"/>
        <v>0</v>
      </c>
      <c r="AB13" s="22">
        <f t="shared" si="10"/>
        <v>0</v>
      </c>
      <c r="AC13" s="22">
        <f t="shared" si="11"/>
        <v>0</v>
      </c>
      <c r="AD13" s="22">
        <f t="shared" si="12"/>
        <v>0</v>
      </c>
      <c r="AE13" s="242">
        <f t="shared" si="13"/>
        <v>0</v>
      </c>
    </row>
    <row r="14" spans="1:31" s="14" customFormat="1" ht="20.100000000000001" customHeight="1" x14ac:dyDescent="0.2">
      <c r="A14" s="23" t="str">
        <f>ORÇAMENTO!A28</f>
        <v>05.01.00</v>
      </c>
      <c r="B14" s="24" t="str">
        <f>ORÇAMENTO!D28</f>
        <v>TERRAPLENAGEM GERAL</v>
      </c>
      <c r="C14" s="25">
        <f t="shared" ref="C14:C26" si="14">P14/$P$36*100</f>
        <v>3.9480838037621284</v>
      </c>
      <c r="D14" s="315">
        <v>70</v>
      </c>
      <c r="E14" s="315">
        <v>30</v>
      </c>
      <c r="F14" s="350"/>
      <c r="G14" s="350"/>
      <c r="H14" s="350"/>
      <c r="I14" s="26"/>
      <c r="J14" s="26"/>
      <c r="K14" s="26"/>
      <c r="L14" s="26"/>
      <c r="M14" s="26"/>
      <c r="N14" s="26"/>
      <c r="O14" s="26"/>
      <c r="P14" s="28">
        <f>ORÇAMENTO!I28</f>
        <v>193135.49</v>
      </c>
      <c r="Q14" s="22"/>
      <c r="R14" s="235">
        <f t="shared" ref="R14:R25" si="15">SUM(D14:O14)</f>
        <v>100</v>
      </c>
      <c r="S14" s="22"/>
      <c r="T14" s="238">
        <f t="shared" si="2"/>
        <v>135194.84299999999</v>
      </c>
      <c r="U14" s="22">
        <f t="shared" si="3"/>
        <v>57940.64699999999</v>
      </c>
      <c r="V14" s="22">
        <f t="shared" si="4"/>
        <v>0</v>
      </c>
      <c r="W14" s="22">
        <f t="shared" si="5"/>
        <v>0</v>
      </c>
      <c r="X14" s="22">
        <f t="shared" si="6"/>
        <v>0</v>
      </c>
      <c r="Y14" s="22">
        <f t="shared" si="7"/>
        <v>0</v>
      </c>
      <c r="Z14" s="22">
        <f t="shared" si="8"/>
        <v>0</v>
      </c>
      <c r="AA14" s="22">
        <f t="shared" si="9"/>
        <v>0</v>
      </c>
      <c r="AB14" s="22">
        <f t="shared" si="10"/>
        <v>0</v>
      </c>
      <c r="AC14" s="22">
        <f t="shared" si="11"/>
        <v>0</v>
      </c>
      <c r="AD14" s="22">
        <f t="shared" si="12"/>
        <v>0</v>
      </c>
      <c r="AE14" s="242">
        <f t="shared" si="13"/>
        <v>0</v>
      </c>
    </row>
    <row r="15" spans="1:31" s="14" customFormat="1" ht="20.100000000000001" customHeight="1" x14ac:dyDescent="0.2">
      <c r="A15" s="23" t="str">
        <f>ORÇAMENTO!A30</f>
        <v>05.02.00</v>
      </c>
      <c r="B15" s="24" t="str">
        <f>ORÇAMENTO!D30</f>
        <v>ELEVATÓRIA FINAL</v>
      </c>
      <c r="C15" s="25">
        <f t="shared" si="14"/>
        <v>3.0406423426004525</v>
      </c>
      <c r="D15" s="26"/>
      <c r="E15" s="26"/>
      <c r="F15" s="26"/>
      <c r="G15" s="26"/>
      <c r="H15" s="350"/>
      <c r="I15" s="350"/>
      <c r="J15" s="350"/>
      <c r="K15" s="315">
        <v>25</v>
      </c>
      <c r="L15" s="315">
        <v>20</v>
      </c>
      <c r="M15" s="315">
        <v>25</v>
      </c>
      <c r="N15" s="315">
        <v>30</v>
      </c>
      <c r="O15" s="315"/>
      <c r="P15" s="28">
        <f>ORÇAMENTO!I30</f>
        <v>148744.55000000002</v>
      </c>
      <c r="Q15" s="22"/>
      <c r="R15" s="235">
        <f t="shared" si="15"/>
        <v>100</v>
      </c>
      <c r="S15" s="22"/>
      <c r="T15" s="238">
        <f t="shared" ref="T15" si="16">D15*$P15/100</f>
        <v>0</v>
      </c>
      <c r="U15" s="22">
        <f t="shared" ref="U15" si="17">E15*$P15/100</f>
        <v>0</v>
      </c>
      <c r="V15" s="22">
        <f t="shared" ref="V15" si="18">F15*$P15/100</f>
        <v>0</v>
      </c>
      <c r="W15" s="22">
        <f t="shared" ref="W15" si="19">G15*$P15/100</f>
        <v>0</v>
      </c>
      <c r="X15" s="22">
        <f t="shared" ref="X15" si="20">H15*$P15/100</f>
        <v>0</v>
      </c>
      <c r="Y15" s="22">
        <f t="shared" ref="Y15" si="21">I15*$P15/100</f>
        <v>0</v>
      </c>
      <c r="Z15" s="22">
        <f t="shared" ref="Z15" si="22">J15*$P15/100</f>
        <v>0</v>
      </c>
      <c r="AA15" s="22">
        <f t="shared" ref="AA15" si="23">K15*$P15/100</f>
        <v>37186.137500000004</v>
      </c>
      <c r="AB15" s="22">
        <f t="shared" ref="AB15" si="24">L15*$P15/100</f>
        <v>29748.910000000003</v>
      </c>
      <c r="AC15" s="22">
        <f t="shared" ref="AC15" si="25">M15*$P15/100</f>
        <v>37186.137500000004</v>
      </c>
      <c r="AD15" s="22">
        <f t="shared" ref="AD15" si="26">N15*$P15/100</f>
        <v>44623.365000000013</v>
      </c>
      <c r="AE15" s="242">
        <f t="shared" ref="AE15" si="27">O15*$P15/100</f>
        <v>0</v>
      </c>
    </row>
    <row r="16" spans="1:31" s="14" customFormat="1" ht="20.100000000000001" customHeight="1" x14ac:dyDescent="0.2">
      <c r="A16" s="23" t="str">
        <f>ORÇAMENTO!A32</f>
        <v>05.03.00</v>
      </c>
      <c r="B16" s="24" t="str">
        <f>ORÇAMENTO!D32</f>
        <v>TRATAMENTO PRELIMINAR</v>
      </c>
      <c r="C16" s="25">
        <f t="shared" si="14"/>
        <v>0.75405562090342637</v>
      </c>
      <c r="D16" s="26"/>
      <c r="E16" s="26"/>
      <c r="F16" s="26"/>
      <c r="G16" s="26"/>
      <c r="H16" s="350"/>
      <c r="I16" s="350"/>
      <c r="J16" s="350"/>
      <c r="K16" s="315">
        <v>25</v>
      </c>
      <c r="L16" s="315">
        <v>20</v>
      </c>
      <c r="M16" s="315">
        <v>25</v>
      </c>
      <c r="N16" s="315">
        <v>30</v>
      </c>
      <c r="O16" s="315"/>
      <c r="P16" s="28">
        <f>ORÇAMENTO!I32</f>
        <v>36887.49</v>
      </c>
      <c r="Q16" s="22"/>
      <c r="R16" s="235">
        <f t="shared" si="15"/>
        <v>100</v>
      </c>
      <c r="S16" s="22"/>
      <c r="T16" s="238">
        <f t="shared" si="2"/>
        <v>0</v>
      </c>
      <c r="U16" s="22">
        <f t="shared" si="3"/>
        <v>0</v>
      </c>
      <c r="V16" s="22">
        <f t="shared" si="4"/>
        <v>0</v>
      </c>
      <c r="W16" s="22">
        <f t="shared" si="5"/>
        <v>0</v>
      </c>
      <c r="X16" s="22">
        <f t="shared" si="6"/>
        <v>0</v>
      </c>
      <c r="Y16" s="22">
        <f t="shared" si="7"/>
        <v>0</v>
      </c>
      <c r="Z16" s="22">
        <f t="shared" si="8"/>
        <v>0</v>
      </c>
      <c r="AA16" s="22">
        <f t="shared" si="9"/>
        <v>9221.8724999999995</v>
      </c>
      <c r="AB16" s="22">
        <f t="shared" si="10"/>
        <v>7377.4979999999996</v>
      </c>
      <c r="AC16" s="22">
        <f t="shared" si="11"/>
        <v>9221.8724999999995</v>
      </c>
      <c r="AD16" s="22">
        <f t="shared" si="12"/>
        <v>11066.246999999999</v>
      </c>
      <c r="AE16" s="242">
        <f t="shared" si="13"/>
        <v>0</v>
      </c>
    </row>
    <row r="17" spans="1:31" s="14" customFormat="1" ht="20.100000000000001" customHeight="1" x14ac:dyDescent="0.2">
      <c r="A17" s="23" t="str">
        <f>ORÇAMENTO!A34</f>
        <v>05.04.00</v>
      </c>
      <c r="B17" s="24" t="str">
        <f>ORÇAMENTO!D34</f>
        <v xml:space="preserve">ELEVATÓRIA PÓS TRATAMENTO PRELIMINAR </v>
      </c>
      <c r="C17" s="25">
        <f t="shared" si="14"/>
        <v>3.8543803449896741</v>
      </c>
      <c r="D17" s="26"/>
      <c r="E17" s="26"/>
      <c r="F17" s="26"/>
      <c r="G17" s="26"/>
      <c r="H17" s="350"/>
      <c r="I17" s="350"/>
      <c r="J17" s="350"/>
      <c r="K17" s="315">
        <v>25</v>
      </c>
      <c r="L17" s="315">
        <v>20</v>
      </c>
      <c r="M17" s="315">
        <v>25</v>
      </c>
      <c r="N17" s="315">
        <v>30</v>
      </c>
      <c r="O17" s="315"/>
      <c r="P17" s="28">
        <f>ORÇAMENTO!I34</f>
        <v>188551.63000000003</v>
      </c>
      <c r="Q17" s="22"/>
      <c r="R17" s="235">
        <f t="shared" si="15"/>
        <v>100</v>
      </c>
      <c r="S17" s="22"/>
      <c r="T17" s="238">
        <f t="shared" si="2"/>
        <v>0</v>
      </c>
      <c r="U17" s="22">
        <f t="shared" si="3"/>
        <v>0</v>
      </c>
      <c r="V17" s="22">
        <f t="shared" si="4"/>
        <v>0</v>
      </c>
      <c r="W17" s="22">
        <f t="shared" si="5"/>
        <v>0</v>
      </c>
      <c r="X17" s="22">
        <f t="shared" si="6"/>
        <v>0</v>
      </c>
      <c r="Y17" s="22">
        <f t="shared" si="7"/>
        <v>0</v>
      </c>
      <c r="Z17" s="22">
        <f t="shared" si="8"/>
        <v>0</v>
      </c>
      <c r="AA17" s="22">
        <f t="shared" si="9"/>
        <v>47137.907500000008</v>
      </c>
      <c r="AB17" s="22">
        <f t="shared" si="10"/>
        <v>37710.326000000008</v>
      </c>
      <c r="AC17" s="22">
        <f t="shared" si="11"/>
        <v>47137.907500000008</v>
      </c>
      <c r="AD17" s="22">
        <f t="shared" si="12"/>
        <v>56565.489000000016</v>
      </c>
      <c r="AE17" s="242">
        <f t="shared" si="13"/>
        <v>0</v>
      </c>
    </row>
    <row r="18" spans="1:31" s="14" customFormat="1" ht="20.100000000000001" customHeight="1" x14ac:dyDescent="0.2">
      <c r="A18" s="23" t="str">
        <f>ORÇAMENTO!A36</f>
        <v>05.05.00</v>
      </c>
      <c r="B18" s="24" t="str">
        <f>ORÇAMENTO!D36</f>
        <v xml:space="preserve">REATORES UASB </v>
      </c>
      <c r="C18" s="25">
        <f t="shared" si="14"/>
        <v>19.283394240976754</v>
      </c>
      <c r="D18" s="26"/>
      <c r="E18" s="26"/>
      <c r="F18" s="26"/>
      <c r="G18" s="350"/>
      <c r="H18" s="350"/>
      <c r="I18" s="350"/>
      <c r="J18" s="350"/>
      <c r="K18" s="315">
        <v>25</v>
      </c>
      <c r="L18" s="315">
        <v>30</v>
      </c>
      <c r="M18" s="315">
        <v>25</v>
      </c>
      <c r="N18" s="350">
        <v>20</v>
      </c>
      <c r="O18" s="350"/>
      <c r="P18" s="28">
        <f>ORÇAMENTO!I36</f>
        <v>943320.35000000009</v>
      </c>
      <c r="Q18" s="22"/>
      <c r="R18" s="235">
        <f t="shared" si="15"/>
        <v>100</v>
      </c>
      <c r="S18" s="22"/>
      <c r="T18" s="238">
        <f t="shared" si="2"/>
        <v>0</v>
      </c>
      <c r="U18" s="22">
        <f t="shared" si="3"/>
        <v>0</v>
      </c>
      <c r="V18" s="22">
        <f t="shared" si="4"/>
        <v>0</v>
      </c>
      <c r="W18" s="22">
        <f t="shared" si="5"/>
        <v>0</v>
      </c>
      <c r="X18" s="22">
        <f t="shared" si="6"/>
        <v>0</v>
      </c>
      <c r="Y18" s="22">
        <f t="shared" si="7"/>
        <v>0</v>
      </c>
      <c r="Z18" s="22">
        <f t="shared" si="8"/>
        <v>0</v>
      </c>
      <c r="AA18" s="22">
        <f t="shared" si="9"/>
        <v>235830.08750000002</v>
      </c>
      <c r="AB18" s="22">
        <f t="shared" si="10"/>
        <v>282996.10500000004</v>
      </c>
      <c r="AC18" s="22">
        <f t="shared" si="11"/>
        <v>235830.08750000002</v>
      </c>
      <c r="AD18" s="22">
        <f t="shared" si="12"/>
        <v>188664.07</v>
      </c>
      <c r="AE18" s="242">
        <f t="shared" si="13"/>
        <v>0</v>
      </c>
    </row>
    <row r="19" spans="1:31" s="14" customFormat="1" ht="20.100000000000001" customHeight="1" x14ac:dyDescent="0.2">
      <c r="A19" s="23" t="str">
        <f>ORÇAMENTO!A38</f>
        <v>05.06.00</v>
      </c>
      <c r="B19" s="24" t="str">
        <f>ORÇAMENTO!D38</f>
        <v>FILTRO BIOLÓGICO PERCOLADOR</v>
      </c>
      <c r="C19" s="25">
        <f t="shared" si="14"/>
        <v>12.810670821165557</v>
      </c>
      <c r="D19" s="26"/>
      <c r="E19" s="26"/>
      <c r="F19" s="350"/>
      <c r="G19" s="350"/>
      <c r="H19" s="350"/>
      <c r="I19" s="350"/>
      <c r="J19" s="350"/>
      <c r="K19" s="315">
        <v>25</v>
      </c>
      <c r="L19" s="315">
        <v>25</v>
      </c>
      <c r="M19" s="315">
        <v>20</v>
      </c>
      <c r="N19" s="350">
        <v>30</v>
      </c>
      <c r="O19" s="350"/>
      <c r="P19" s="28">
        <f>ORÇAMENTO!I38</f>
        <v>626682.53999999992</v>
      </c>
      <c r="Q19" s="22"/>
      <c r="R19" s="235">
        <f t="shared" si="15"/>
        <v>100</v>
      </c>
      <c r="S19" s="22"/>
      <c r="T19" s="238">
        <f t="shared" si="2"/>
        <v>0</v>
      </c>
      <c r="U19" s="22">
        <f t="shared" si="3"/>
        <v>0</v>
      </c>
      <c r="V19" s="22">
        <f t="shared" si="4"/>
        <v>0</v>
      </c>
      <c r="W19" s="22">
        <f t="shared" si="5"/>
        <v>0</v>
      </c>
      <c r="X19" s="22">
        <f t="shared" si="6"/>
        <v>0</v>
      </c>
      <c r="Y19" s="22">
        <f t="shared" si="7"/>
        <v>0</v>
      </c>
      <c r="Z19" s="22">
        <f t="shared" si="8"/>
        <v>0</v>
      </c>
      <c r="AA19" s="22">
        <f t="shared" si="9"/>
        <v>156670.63499999998</v>
      </c>
      <c r="AB19" s="22">
        <f t="shared" si="10"/>
        <v>156670.63499999998</v>
      </c>
      <c r="AC19" s="22">
        <f t="shared" si="11"/>
        <v>125336.50799999999</v>
      </c>
      <c r="AD19" s="22">
        <f t="shared" si="12"/>
        <v>188004.76199999999</v>
      </c>
      <c r="AE19" s="242">
        <f t="shared" si="13"/>
        <v>0</v>
      </c>
    </row>
    <row r="20" spans="1:31" s="14" customFormat="1" ht="20.100000000000001" customHeight="1" x14ac:dyDescent="0.2">
      <c r="A20" s="23" t="str">
        <f>ORÇAMENTO!A40</f>
        <v>05.07.00</v>
      </c>
      <c r="B20" s="24" t="str">
        <f>ORÇAMENTO!D40</f>
        <v>DECANTADOR</v>
      </c>
      <c r="C20" s="25">
        <f t="shared" si="14"/>
        <v>5.7559651222703234</v>
      </c>
      <c r="D20" s="26"/>
      <c r="E20" s="26"/>
      <c r="F20" s="350"/>
      <c r="G20" s="350"/>
      <c r="H20" s="350"/>
      <c r="I20" s="350"/>
      <c r="J20" s="350"/>
      <c r="K20" s="315">
        <v>25</v>
      </c>
      <c r="L20" s="315">
        <v>25</v>
      </c>
      <c r="M20" s="315">
        <v>25</v>
      </c>
      <c r="N20" s="350">
        <v>25</v>
      </c>
      <c r="O20" s="350"/>
      <c r="P20" s="28">
        <f>ORÇAMENTO!I40</f>
        <v>281574.86</v>
      </c>
      <c r="Q20" s="22"/>
      <c r="R20" s="235">
        <f t="shared" si="15"/>
        <v>100</v>
      </c>
      <c r="S20" s="22"/>
      <c r="T20" s="238">
        <f t="shared" si="2"/>
        <v>0</v>
      </c>
      <c r="U20" s="22">
        <f t="shared" si="3"/>
        <v>0</v>
      </c>
      <c r="V20" s="22">
        <f t="shared" si="4"/>
        <v>0</v>
      </c>
      <c r="W20" s="22">
        <f t="shared" si="5"/>
        <v>0</v>
      </c>
      <c r="X20" s="22">
        <f t="shared" si="6"/>
        <v>0</v>
      </c>
      <c r="Y20" s="22">
        <f t="shared" si="7"/>
        <v>0</v>
      </c>
      <c r="Z20" s="22">
        <f t="shared" si="8"/>
        <v>0</v>
      </c>
      <c r="AA20" s="22">
        <f t="shared" si="9"/>
        <v>70393.714999999997</v>
      </c>
      <c r="AB20" s="22">
        <f t="shared" si="10"/>
        <v>70393.714999999997</v>
      </c>
      <c r="AC20" s="22">
        <f t="shared" si="11"/>
        <v>70393.714999999997</v>
      </c>
      <c r="AD20" s="22">
        <f t="shared" si="12"/>
        <v>70393.714999999997</v>
      </c>
      <c r="AE20" s="242">
        <f t="shared" si="13"/>
        <v>0</v>
      </c>
    </row>
    <row r="21" spans="1:31" s="14" customFormat="1" ht="20.100000000000001" customHeight="1" x14ac:dyDescent="0.2">
      <c r="A21" s="23" t="str">
        <f>ORÇAMENTO!A42</f>
        <v>05.08.00</v>
      </c>
      <c r="B21" s="24" t="str">
        <f>ORÇAMENTO!D42</f>
        <v>LEITOS DE SECAGEM</v>
      </c>
      <c r="C21" s="25">
        <f t="shared" si="14"/>
        <v>5.5889975892883825</v>
      </c>
      <c r="D21" s="26"/>
      <c r="E21" s="26"/>
      <c r="F21" s="26"/>
      <c r="G21" s="26"/>
      <c r="H21" s="26"/>
      <c r="I21" s="350"/>
      <c r="J21" s="350"/>
      <c r="K21" s="315">
        <v>25</v>
      </c>
      <c r="L21" s="315">
        <v>25</v>
      </c>
      <c r="M21" s="315">
        <v>25</v>
      </c>
      <c r="N21" s="315">
        <v>25</v>
      </c>
      <c r="O21" s="315"/>
      <c r="P21" s="28">
        <f>ORÇAMENTO!I42</f>
        <v>273407.01</v>
      </c>
      <c r="Q21" s="22"/>
      <c r="R21" s="235">
        <f t="shared" si="15"/>
        <v>100</v>
      </c>
      <c r="S21" s="22"/>
      <c r="T21" s="238">
        <f t="shared" si="2"/>
        <v>0</v>
      </c>
      <c r="U21" s="22">
        <f t="shared" si="3"/>
        <v>0</v>
      </c>
      <c r="V21" s="22">
        <f t="shared" si="4"/>
        <v>0</v>
      </c>
      <c r="W21" s="22">
        <f t="shared" si="5"/>
        <v>0</v>
      </c>
      <c r="X21" s="22">
        <f t="shared" si="6"/>
        <v>0</v>
      </c>
      <c r="Y21" s="22">
        <f t="shared" si="7"/>
        <v>0</v>
      </c>
      <c r="Z21" s="22">
        <f t="shared" si="8"/>
        <v>0</v>
      </c>
      <c r="AA21" s="22">
        <f t="shared" si="9"/>
        <v>68351.752500000002</v>
      </c>
      <c r="AB21" s="22">
        <f t="shared" si="10"/>
        <v>68351.752500000002</v>
      </c>
      <c r="AC21" s="22">
        <f t="shared" si="11"/>
        <v>68351.752500000002</v>
      </c>
      <c r="AD21" s="22">
        <f t="shared" si="12"/>
        <v>68351.752500000002</v>
      </c>
      <c r="AE21" s="242">
        <f t="shared" si="13"/>
        <v>0</v>
      </c>
    </row>
    <row r="22" spans="1:31" s="14" customFormat="1" ht="20.100000000000001" customHeight="1" x14ac:dyDescent="0.2">
      <c r="A22" s="23" t="str">
        <f>ORÇAMENTO!A44</f>
        <v>05.09.00</v>
      </c>
      <c r="B22" s="24" t="str">
        <f>ORÇAMENTO!D44</f>
        <v>ELEVATÓRIA DE RECIRCULAÇÃO</v>
      </c>
      <c r="C22" s="25">
        <f t="shared" si="14"/>
        <v>2.4096643727622395</v>
      </c>
      <c r="D22" s="26"/>
      <c r="E22" s="26"/>
      <c r="F22" s="26"/>
      <c r="G22" s="26"/>
      <c r="H22" s="26"/>
      <c r="I22" s="350"/>
      <c r="J22" s="350"/>
      <c r="K22" s="315">
        <v>25</v>
      </c>
      <c r="L22" s="315">
        <v>25</v>
      </c>
      <c r="M22" s="315">
        <v>25</v>
      </c>
      <c r="N22" s="315">
        <v>25</v>
      </c>
      <c r="O22" s="315"/>
      <c r="P22" s="28">
        <f>ORÇAMENTO!I44</f>
        <v>117877.87000000001</v>
      </c>
      <c r="Q22" s="22"/>
      <c r="R22" s="235">
        <f t="shared" si="15"/>
        <v>100</v>
      </c>
      <c r="S22" s="22"/>
      <c r="T22" s="238">
        <f t="shared" si="2"/>
        <v>0</v>
      </c>
      <c r="U22" s="22">
        <f t="shared" si="3"/>
        <v>0</v>
      </c>
      <c r="V22" s="22">
        <f t="shared" si="4"/>
        <v>0</v>
      </c>
      <c r="W22" s="22">
        <f t="shared" si="5"/>
        <v>0</v>
      </c>
      <c r="X22" s="22">
        <f t="shared" si="6"/>
        <v>0</v>
      </c>
      <c r="Y22" s="22">
        <f t="shared" si="7"/>
        <v>0</v>
      </c>
      <c r="Z22" s="22">
        <f t="shared" si="8"/>
        <v>0</v>
      </c>
      <c r="AA22" s="22">
        <f t="shared" si="9"/>
        <v>29469.467500000006</v>
      </c>
      <c r="AB22" s="22">
        <f t="shared" si="10"/>
        <v>29469.467500000006</v>
      </c>
      <c r="AC22" s="22">
        <f t="shared" si="11"/>
        <v>29469.467500000006</v>
      </c>
      <c r="AD22" s="22">
        <f t="shared" si="12"/>
        <v>29469.467500000006</v>
      </c>
      <c r="AE22" s="242">
        <f t="shared" si="13"/>
        <v>0</v>
      </c>
    </row>
    <row r="23" spans="1:31" s="14" customFormat="1" ht="20.100000000000001" customHeight="1" x14ac:dyDescent="0.2">
      <c r="A23" s="23" t="str">
        <f>ORÇAMENTO!A48</f>
        <v>05.11.00</v>
      </c>
      <c r="B23" s="24" t="str">
        <f>ORÇAMENTO!D48</f>
        <v>EDIFICAÇÃO ADMINISTRATIVA - UNIDADE DE APOIO</v>
      </c>
      <c r="C23" s="25">
        <f t="shared" si="14"/>
        <v>1.7950144839942375</v>
      </c>
      <c r="D23" s="26"/>
      <c r="E23" s="26"/>
      <c r="F23" s="26"/>
      <c r="G23" s="26"/>
      <c r="H23" s="26"/>
      <c r="I23" s="350"/>
      <c r="J23" s="350"/>
      <c r="K23" s="315">
        <v>25</v>
      </c>
      <c r="L23" s="315">
        <v>25</v>
      </c>
      <c r="M23" s="315">
        <v>25</v>
      </c>
      <c r="N23" s="315">
        <v>25</v>
      </c>
      <c r="O23" s="315"/>
      <c r="P23" s="28">
        <f>ORÇAMENTO!I48</f>
        <v>87809.939999999973</v>
      </c>
      <c r="Q23" s="22"/>
      <c r="R23" s="235">
        <f t="shared" si="15"/>
        <v>100</v>
      </c>
      <c r="S23" s="22"/>
      <c r="T23" s="238">
        <f t="shared" si="2"/>
        <v>0</v>
      </c>
      <c r="U23" s="22">
        <f t="shared" si="3"/>
        <v>0</v>
      </c>
      <c r="V23" s="22">
        <f t="shared" si="4"/>
        <v>0</v>
      </c>
      <c r="W23" s="22">
        <f t="shared" si="5"/>
        <v>0</v>
      </c>
      <c r="X23" s="22">
        <f t="shared" si="6"/>
        <v>0</v>
      </c>
      <c r="Y23" s="22">
        <f t="shared" si="7"/>
        <v>0</v>
      </c>
      <c r="Z23" s="22">
        <f t="shared" si="8"/>
        <v>0</v>
      </c>
      <c r="AA23" s="22">
        <f t="shared" si="9"/>
        <v>21952.484999999997</v>
      </c>
      <c r="AB23" s="22">
        <f t="shared" si="10"/>
        <v>21952.484999999997</v>
      </c>
      <c r="AC23" s="22">
        <f t="shared" si="11"/>
        <v>21952.484999999997</v>
      </c>
      <c r="AD23" s="22">
        <f t="shared" si="12"/>
        <v>21952.484999999997</v>
      </c>
      <c r="AE23" s="242">
        <f t="shared" si="13"/>
        <v>0</v>
      </c>
    </row>
    <row r="24" spans="1:31" s="14" customFormat="1" ht="20.100000000000001" customHeight="1" x14ac:dyDescent="0.2">
      <c r="A24" s="23" t="str">
        <f>ORÇAMENTO!A50</f>
        <v>05.12.00</v>
      </c>
      <c r="B24" s="24" t="str">
        <f>ORÇAMENTO!D50</f>
        <v>INTERLIGAÇÕES DE PROCESSOS, DRENAGEM E ÁGUA FRIA</v>
      </c>
      <c r="C24" s="25">
        <f t="shared" si="14"/>
        <v>6.3987361061547396</v>
      </c>
      <c r="D24" s="26"/>
      <c r="E24" s="26"/>
      <c r="F24" s="26"/>
      <c r="G24" s="26"/>
      <c r="H24" s="26"/>
      <c r="I24" s="350"/>
      <c r="J24" s="350"/>
      <c r="K24" s="315">
        <v>25</v>
      </c>
      <c r="L24" s="315">
        <v>25</v>
      </c>
      <c r="M24" s="315">
        <v>30</v>
      </c>
      <c r="N24" s="315">
        <v>20</v>
      </c>
      <c r="O24" s="315"/>
      <c r="P24" s="28">
        <f>ORÇAMENTO!I50</f>
        <v>313018.44</v>
      </c>
      <c r="Q24" s="22"/>
      <c r="R24" s="235">
        <f t="shared" si="15"/>
        <v>100</v>
      </c>
      <c r="S24" s="22"/>
      <c r="T24" s="238">
        <f t="shared" si="2"/>
        <v>0</v>
      </c>
      <c r="U24" s="22">
        <f t="shared" si="3"/>
        <v>0</v>
      </c>
      <c r="V24" s="22">
        <f t="shared" si="4"/>
        <v>0</v>
      </c>
      <c r="W24" s="22">
        <f t="shared" si="5"/>
        <v>0</v>
      </c>
      <c r="X24" s="22">
        <f t="shared" si="6"/>
        <v>0</v>
      </c>
      <c r="Y24" s="22">
        <f t="shared" si="7"/>
        <v>0</v>
      </c>
      <c r="Z24" s="22">
        <f t="shared" si="8"/>
        <v>0</v>
      </c>
      <c r="AA24" s="22">
        <f t="shared" si="9"/>
        <v>78254.61</v>
      </c>
      <c r="AB24" s="22">
        <f t="shared" si="10"/>
        <v>78254.61</v>
      </c>
      <c r="AC24" s="22">
        <f t="shared" si="11"/>
        <v>93905.531999999992</v>
      </c>
      <c r="AD24" s="22">
        <f t="shared" si="12"/>
        <v>62603.687999999995</v>
      </c>
      <c r="AE24" s="242">
        <f t="shared" si="13"/>
        <v>0</v>
      </c>
    </row>
    <row r="25" spans="1:31" s="14" customFormat="1" ht="20.100000000000001" customHeight="1" thickBot="1" x14ac:dyDescent="0.25">
      <c r="A25" s="23" t="str">
        <f>ORÇAMENTO!A52</f>
        <v>05.13.00</v>
      </c>
      <c r="B25" s="24" t="str">
        <f>ORÇAMENTO!D52</f>
        <v>QUEIMADOR DE BIOGÁS</v>
      </c>
      <c r="C25" s="25">
        <f t="shared" si="14"/>
        <v>0.28416503065767662</v>
      </c>
      <c r="D25" s="26"/>
      <c r="E25" s="26"/>
      <c r="F25" s="26"/>
      <c r="G25" s="26"/>
      <c r="H25" s="26"/>
      <c r="I25" s="350"/>
      <c r="J25" s="350"/>
      <c r="K25" s="350"/>
      <c r="L25" s="350"/>
      <c r="M25" s="350"/>
      <c r="N25" s="350"/>
      <c r="O25" s="315">
        <v>100</v>
      </c>
      <c r="P25" s="28">
        <f>ORÇAMENTO!I52</f>
        <v>13901.010000000002</v>
      </c>
      <c r="Q25" s="22"/>
      <c r="R25" s="236">
        <f t="shared" si="15"/>
        <v>100</v>
      </c>
      <c r="S25" s="22"/>
      <c r="T25" s="239">
        <f t="shared" si="2"/>
        <v>0</v>
      </c>
      <c r="U25" s="243">
        <f t="shared" si="3"/>
        <v>0</v>
      </c>
      <c r="V25" s="243">
        <f t="shared" si="4"/>
        <v>0</v>
      </c>
      <c r="W25" s="243">
        <f t="shared" si="5"/>
        <v>0</v>
      </c>
      <c r="X25" s="243">
        <f t="shared" si="6"/>
        <v>0</v>
      </c>
      <c r="Y25" s="243">
        <f t="shared" si="7"/>
        <v>0</v>
      </c>
      <c r="Z25" s="243">
        <f t="shared" si="8"/>
        <v>0</v>
      </c>
      <c r="AA25" s="243">
        <f t="shared" si="9"/>
        <v>0</v>
      </c>
      <c r="AB25" s="243">
        <f t="shared" si="10"/>
        <v>0</v>
      </c>
      <c r="AC25" s="243">
        <f t="shared" si="11"/>
        <v>0</v>
      </c>
      <c r="AD25" s="243">
        <f t="shared" si="12"/>
        <v>0</v>
      </c>
      <c r="AE25" s="244">
        <f t="shared" si="13"/>
        <v>13901.010000000002</v>
      </c>
    </row>
    <row r="26" spans="1:31" s="14" customFormat="1" ht="14.25" thickTop="1" thickBot="1" x14ac:dyDescent="0.25">
      <c r="A26" s="23" t="str">
        <f>ORÇAMENTO!A54</f>
        <v>05.14.00</v>
      </c>
      <c r="B26" s="317" t="str">
        <f>ORÇAMENTO!D54</f>
        <v>URBANIZAÇÃO</v>
      </c>
      <c r="C26" s="25">
        <f t="shared" si="14"/>
        <v>13.294489392326955</v>
      </c>
      <c r="D26" s="26"/>
      <c r="E26" s="26"/>
      <c r="F26" s="26"/>
      <c r="G26" s="26"/>
      <c r="H26" s="27"/>
      <c r="I26" s="351"/>
      <c r="J26" s="351"/>
      <c r="K26" s="350"/>
      <c r="L26" s="350"/>
      <c r="M26" s="350"/>
      <c r="N26" s="350"/>
      <c r="O26" s="315">
        <v>100</v>
      </c>
      <c r="P26" s="28">
        <f>ORÇAMENTO!I54</f>
        <v>650350.35999999975</v>
      </c>
      <c r="Q26" s="22"/>
      <c r="R26" s="236">
        <f t="shared" ref="R26" si="28">SUM(D26:O26)</f>
        <v>100</v>
      </c>
      <c r="S26" s="22"/>
      <c r="T26" s="239">
        <f t="shared" ref="T26" si="29">D26*$P26/100</f>
        <v>0</v>
      </c>
      <c r="U26" s="243">
        <f t="shared" ref="U26" si="30">E26*$P26/100</f>
        <v>0</v>
      </c>
      <c r="V26" s="243">
        <f t="shared" ref="V26" si="31">F26*$P26/100</f>
        <v>0</v>
      </c>
      <c r="W26" s="243">
        <f t="shared" ref="W26" si="32">G26*$P26/100</f>
        <v>0</v>
      </c>
      <c r="X26" s="243">
        <f t="shared" ref="X26" si="33">H26*$P26/100</f>
        <v>0</v>
      </c>
      <c r="Y26" s="243">
        <f t="shared" ref="Y26" si="34">I26*$P26/100</f>
        <v>0</v>
      </c>
      <c r="Z26" s="243">
        <f t="shared" ref="Z26" si="35">J26*$P26/100</f>
        <v>0</v>
      </c>
      <c r="AA26" s="243">
        <f t="shared" ref="AA26" si="36">K26*$P26/100</f>
        <v>0</v>
      </c>
      <c r="AB26" s="243">
        <f t="shared" ref="AB26" si="37">L26*$P26/100</f>
        <v>0</v>
      </c>
      <c r="AC26" s="243">
        <f t="shared" ref="AC26" si="38">M26*$P26/100</f>
        <v>0</v>
      </c>
      <c r="AD26" s="243">
        <f t="shared" ref="AD26" si="39">N26*$P26/100</f>
        <v>0</v>
      </c>
      <c r="AE26" s="244">
        <f t="shared" ref="AE26" si="40">O26*$P26/100</f>
        <v>650350.35999999975</v>
      </c>
    </row>
    <row r="27" spans="1:31" s="14" customFormat="1" ht="20.100000000000001" customHeight="1" thickTop="1" x14ac:dyDescent="0.2">
      <c r="A27" s="23"/>
      <c r="B27" s="24"/>
      <c r="C27" s="25"/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8"/>
      <c r="Q27" s="22"/>
      <c r="R27" s="22"/>
      <c r="S27" s="22"/>
      <c r="T27" s="22"/>
      <c r="V27" s="15"/>
    </row>
    <row r="28" spans="1:31" s="14" customFormat="1" ht="20.100000000000001" customHeight="1" x14ac:dyDescent="0.2">
      <c r="A28" s="23"/>
      <c r="B28" s="24"/>
      <c r="C28" s="25"/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8"/>
      <c r="Q28" s="22"/>
      <c r="R28" s="22"/>
      <c r="S28" s="22"/>
      <c r="T28" s="22"/>
      <c r="V28" s="15"/>
    </row>
    <row r="29" spans="1:31" s="14" customFormat="1" ht="20.100000000000001" customHeight="1" x14ac:dyDescent="0.2">
      <c r="A29" s="23"/>
      <c r="B29" s="24"/>
      <c r="C29" s="25"/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8"/>
      <c r="Q29" s="22"/>
      <c r="R29" s="22"/>
      <c r="S29" s="22"/>
      <c r="T29" s="22"/>
      <c r="V29" s="15"/>
    </row>
    <row r="30" spans="1:31" s="14" customFormat="1" ht="20.100000000000001" customHeight="1" x14ac:dyDescent="0.2">
      <c r="A30" s="23"/>
      <c r="B30" s="24"/>
      <c r="C30" s="25"/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8"/>
      <c r="Q30" s="22"/>
      <c r="R30" s="22"/>
      <c r="S30" s="22"/>
      <c r="T30" s="22"/>
      <c r="V30" s="15"/>
    </row>
    <row r="31" spans="1:31" s="14" customFormat="1" ht="20.100000000000001" customHeight="1" x14ac:dyDescent="0.2">
      <c r="A31" s="23"/>
      <c r="B31" s="24"/>
      <c r="C31" s="30"/>
      <c r="D31" s="31"/>
      <c r="E31" s="31"/>
      <c r="F31" s="31"/>
      <c r="G31" s="31"/>
      <c r="H31" s="32"/>
      <c r="I31" s="32"/>
      <c r="J31" s="32"/>
      <c r="K31" s="32"/>
      <c r="L31" s="32"/>
      <c r="M31" s="32"/>
      <c r="N31" s="32"/>
      <c r="O31" s="32"/>
      <c r="P31" s="28"/>
      <c r="Q31" s="22"/>
      <c r="R31" s="22"/>
      <c r="S31" s="22"/>
      <c r="T31" s="22"/>
      <c r="V31" s="15"/>
    </row>
    <row r="32" spans="1:31" s="14" customFormat="1" ht="20.100000000000001" customHeight="1" x14ac:dyDescent="0.2">
      <c r="A32" s="23"/>
      <c r="B32" s="29"/>
      <c r="C32" s="30"/>
      <c r="D32" s="31"/>
      <c r="E32" s="31"/>
      <c r="F32" s="31"/>
      <c r="G32" s="31"/>
      <c r="H32" s="32"/>
      <c r="I32" s="32"/>
      <c r="J32" s="32"/>
      <c r="K32" s="32"/>
      <c r="L32" s="32"/>
      <c r="M32" s="32"/>
      <c r="N32" s="32"/>
      <c r="O32" s="32"/>
      <c r="P32" s="28"/>
      <c r="Q32" s="22"/>
      <c r="R32" s="22"/>
      <c r="S32" s="22"/>
      <c r="T32" s="22"/>
      <c r="V32" s="15"/>
    </row>
    <row r="33" spans="1:24" s="14" customFormat="1" ht="20.100000000000001" customHeight="1" x14ac:dyDescent="0.2">
      <c r="A33" s="23"/>
      <c r="B33" s="24"/>
      <c r="C33" s="30"/>
      <c r="D33" s="31"/>
      <c r="E33" s="31"/>
      <c r="F33" s="31"/>
      <c r="G33" s="31"/>
      <c r="H33" s="32"/>
      <c r="I33" s="32"/>
      <c r="J33" s="32"/>
      <c r="K33" s="32"/>
      <c r="L33" s="32"/>
      <c r="M33" s="32"/>
      <c r="N33" s="32"/>
      <c r="O33" s="32"/>
      <c r="P33" s="28"/>
      <c r="Q33" s="22"/>
      <c r="R33" s="22"/>
      <c r="S33" s="22"/>
      <c r="T33" s="22"/>
      <c r="V33" s="15"/>
    </row>
    <row r="34" spans="1:24" s="14" customFormat="1" ht="20.100000000000001" customHeight="1" thickBot="1" x14ac:dyDescent="0.25">
      <c r="A34" s="33"/>
      <c r="B34" s="34"/>
      <c r="C34" s="35"/>
      <c r="D34" s="34"/>
      <c r="E34" s="34"/>
      <c r="F34" s="34"/>
      <c r="G34" s="34"/>
      <c r="H34" s="36"/>
      <c r="I34" s="36"/>
      <c r="J34" s="36"/>
      <c r="K34" s="36"/>
      <c r="L34" s="36"/>
      <c r="M34" s="36"/>
      <c r="N34" s="36"/>
      <c r="O34" s="36"/>
      <c r="P34" s="37"/>
      <c r="Q34" s="22"/>
      <c r="R34" s="22"/>
      <c r="S34" s="22"/>
      <c r="T34" s="22"/>
      <c r="V34" s="15"/>
    </row>
    <row r="35" spans="1:24" s="14" customFormat="1" ht="29.25" customHeight="1" x14ac:dyDescent="0.2">
      <c r="A35" s="546" t="s">
        <v>77</v>
      </c>
      <c r="B35" s="547"/>
      <c r="C35" s="548"/>
      <c r="D35" s="126">
        <f>D36/$P36*100</f>
        <v>6.787348863372074</v>
      </c>
      <c r="E35" s="126">
        <f t="shared" ref="E35:O35" si="41">E36/$P36*100</f>
        <v>2.8936516193892357</v>
      </c>
      <c r="F35" s="126">
        <f t="shared" si="41"/>
        <v>1.8050845936773845</v>
      </c>
      <c r="G35" s="126">
        <f t="shared" si="41"/>
        <v>1.8050845936773845</v>
      </c>
      <c r="H35" s="126">
        <f t="shared" si="41"/>
        <v>1.8050845936773845</v>
      </c>
      <c r="I35" s="126">
        <f t="shared" si="41"/>
        <v>1.8050845936773845</v>
      </c>
      <c r="J35" s="126">
        <f t="shared" si="41"/>
        <v>1.8050845936773845</v>
      </c>
      <c r="K35" s="126">
        <f t="shared" si="41"/>
        <v>16.189745184610747</v>
      </c>
      <c r="L35" s="126">
        <f t="shared" si="41"/>
        <v>16.771460981234906</v>
      </c>
      <c r="M35" s="126">
        <f t="shared" si="41"/>
        <v>15.869148448860205</v>
      </c>
      <c r="N35" s="126">
        <f t="shared" si="41"/>
        <v>15.928626123737127</v>
      </c>
      <c r="O35" s="126">
        <f t="shared" si="41"/>
        <v>16.534595810408799</v>
      </c>
      <c r="P35" s="127">
        <f>SUM(P10:P26)-P13</f>
        <v>4891879.1899999995</v>
      </c>
      <c r="Q35" s="22"/>
      <c r="R35" s="22"/>
      <c r="S35" s="22"/>
      <c r="T35" s="22"/>
      <c r="V35" s="15"/>
    </row>
    <row r="36" spans="1:24" s="14" customFormat="1" ht="29.25" customHeight="1" x14ac:dyDescent="0.2">
      <c r="A36" s="549" t="s">
        <v>78</v>
      </c>
      <c r="B36" s="550"/>
      <c r="C36" s="551"/>
      <c r="D36" s="128">
        <f t="shared" ref="D36:O36" si="42">SUM(T10:T35)</f>
        <v>332028.90659999999</v>
      </c>
      <c r="E36" s="128">
        <f t="shared" si="42"/>
        <v>141553.94140000001</v>
      </c>
      <c r="F36" s="128">
        <f t="shared" si="42"/>
        <v>88302.557600000015</v>
      </c>
      <c r="G36" s="128">
        <f t="shared" si="42"/>
        <v>88302.557600000015</v>
      </c>
      <c r="H36" s="128">
        <f t="shared" si="42"/>
        <v>88302.557600000015</v>
      </c>
      <c r="I36" s="128">
        <f t="shared" si="42"/>
        <v>88302.557600000015</v>
      </c>
      <c r="J36" s="128">
        <f t="shared" si="42"/>
        <v>88302.557600000015</v>
      </c>
      <c r="K36" s="128">
        <f t="shared" si="42"/>
        <v>791982.77560000005</v>
      </c>
      <c r="L36" s="128">
        <f t="shared" si="42"/>
        <v>820439.60960000008</v>
      </c>
      <c r="M36" s="128">
        <f t="shared" si="42"/>
        <v>776299.57059999998</v>
      </c>
      <c r="N36" s="128">
        <f t="shared" si="42"/>
        <v>779209.14660000009</v>
      </c>
      <c r="O36" s="128">
        <f t="shared" si="42"/>
        <v>808852.4515999998</v>
      </c>
      <c r="P36" s="129">
        <f>SUM(P10:P34)</f>
        <v>4891879.1899999995</v>
      </c>
      <c r="Q36" s="22"/>
      <c r="R36" s="22"/>
      <c r="S36" s="22"/>
    </row>
    <row r="37" spans="1:24" s="14" customFormat="1" ht="29.25" customHeight="1" x14ac:dyDescent="0.2">
      <c r="A37" s="549" t="s">
        <v>79</v>
      </c>
      <c r="B37" s="550"/>
      <c r="C37" s="551"/>
      <c r="D37" s="130">
        <f>D35</f>
        <v>6.787348863372074</v>
      </c>
      <c r="E37" s="130">
        <f t="shared" ref="E37:O37" si="43">D37+E35</f>
        <v>9.6810004827613092</v>
      </c>
      <c r="F37" s="130">
        <f t="shared" si="43"/>
        <v>11.486085076438695</v>
      </c>
      <c r="G37" s="130">
        <f t="shared" si="43"/>
        <v>13.29116967011608</v>
      </c>
      <c r="H37" s="130">
        <f t="shared" si="43"/>
        <v>15.096254263793465</v>
      </c>
      <c r="I37" s="130">
        <f t="shared" si="43"/>
        <v>16.901338857470851</v>
      </c>
      <c r="J37" s="130">
        <f t="shared" si="43"/>
        <v>18.706423451148236</v>
      </c>
      <c r="K37" s="130">
        <f t="shared" si="43"/>
        <v>34.896168635758983</v>
      </c>
      <c r="L37" s="130">
        <f t="shared" si="43"/>
        <v>51.667629616993892</v>
      </c>
      <c r="M37" s="130">
        <f t="shared" si="43"/>
        <v>67.536778065854094</v>
      </c>
      <c r="N37" s="130">
        <f t="shared" si="43"/>
        <v>83.465404189591226</v>
      </c>
      <c r="O37" s="130">
        <f t="shared" si="43"/>
        <v>100.00000000000003</v>
      </c>
      <c r="P37" s="131"/>
      <c r="Q37" s="22"/>
      <c r="R37" s="22"/>
      <c r="S37" s="22"/>
      <c r="T37" s="22"/>
      <c r="V37" s="15"/>
    </row>
    <row r="38" spans="1:24" s="14" customFormat="1" ht="29.25" customHeight="1" thickBot="1" x14ac:dyDescent="0.25">
      <c r="A38" s="540" t="s">
        <v>80</v>
      </c>
      <c r="B38" s="541"/>
      <c r="C38" s="542"/>
      <c r="D38" s="132">
        <f>D36</f>
        <v>332028.90659999999</v>
      </c>
      <c r="E38" s="132">
        <f>D38+E36</f>
        <v>473582.848</v>
      </c>
      <c r="F38" s="132">
        <f t="shared" ref="F38:O38" si="44">E38+F36</f>
        <v>561885.40560000006</v>
      </c>
      <c r="G38" s="132">
        <f t="shared" si="44"/>
        <v>650187.96320000011</v>
      </c>
      <c r="H38" s="132">
        <f t="shared" si="44"/>
        <v>738490.52080000017</v>
      </c>
      <c r="I38" s="132">
        <f t="shared" si="44"/>
        <v>826793.07840000023</v>
      </c>
      <c r="J38" s="132">
        <f t="shared" si="44"/>
        <v>915095.63600000029</v>
      </c>
      <c r="K38" s="132">
        <f t="shared" si="44"/>
        <v>1707078.4116000002</v>
      </c>
      <c r="L38" s="132">
        <f t="shared" si="44"/>
        <v>2527518.0212000003</v>
      </c>
      <c r="M38" s="132">
        <f t="shared" si="44"/>
        <v>3303817.5918000005</v>
      </c>
      <c r="N38" s="132">
        <f t="shared" si="44"/>
        <v>4083026.7384000006</v>
      </c>
      <c r="O38" s="132">
        <f t="shared" si="44"/>
        <v>4891879.1900000004</v>
      </c>
      <c r="P38" s="133"/>
      <c r="Q38" s="22"/>
      <c r="R38" s="22"/>
      <c r="S38" s="22"/>
      <c r="T38" s="22"/>
      <c r="V38" s="15"/>
    </row>
    <row r="39" spans="1:24" s="14" customFormat="1" ht="18" customHeight="1" x14ac:dyDescent="0.2">
      <c r="B39" s="12"/>
      <c r="D39" s="38"/>
      <c r="F39" s="38"/>
      <c r="U39" s="15"/>
    </row>
    <row r="40" spans="1:24" s="14" customFormat="1" ht="17.100000000000001" customHeight="1" x14ac:dyDescent="0.2">
      <c r="B40" s="12"/>
      <c r="E40" s="38"/>
      <c r="G40" s="38"/>
      <c r="H40" s="38"/>
      <c r="I40" s="38"/>
      <c r="J40" s="38"/>
      <c r="K40" s="38"/>
      <c r="L40" s="38"/>
      <c r="M40" s="38"/>
      <c r="N40" s="38"/>
      <c r="O40" s="38"/>
      <c r="X40" s="15"/>
    </row>
    <row r="41" spans="1:24" s="14" customFormat="1" ht="17.100000000000001" customHeight="1" x14ac:dyDescent="0.2">
      <c r="A41" s="39"/>
      <c r="B41" s="12"/>
      <c r="E41" s="38"/>
      <c r="G41" s="38"/>
      <c r="H41" s="38"/>
      <c r="I41" s="38"/>
      <c r="J41" s="38"/>
      <c r="K41" s="38"/>
      <c r="L41" s="38"/>
      <c r="M41" s="38"/>
      <c r="N41" s="38"/>
      <c r="O41" s="38"/>
      <c r="X41" s="15"/>
    </row>
    <row r="42" spans="1:24" ht="17.100000000000001" customHeight="1" x14ac:dyDescent="0.2">
      <c r="P42" s="39">
        <f>ORÇAMENTO!I57</f>
        <v>5379776</v>
      </c>
      <c r="R42" s="41"/>
    </row>
  </sheetData>
  <mergeCells count="5">
    <mergeCell ref="A38:C38"/>
    <mergeCell ref="A1:P1"/>
    <mergeCell ref="A35:C35"/>
    <mergeCell ref="A36:C36"/>
    <mergeCell ref="A37:C37"/>
  </mergeCells>
  <phoneticPr fontId="0" type="noConversion"/>
  <printOptions horizontalCentered="1"/>
  <pageMargins left="0.19685039370078741" right="0.39370078740157483" top="1.1811023622047245" bottom="0.98425196850393704" header="0.31496062992125984" footer="0.51181102362204722"/>
  <pageSetup paperSize="9" scale="55" orientation="landscape" r:id="rId1"/>
  <headerFooter alignWithMargins="0">
    <oddHeader>&amp;L
&amp;G&amp;R&amp;G</oddHeader>
    <oddFooter>&amp;C&amp;12&amp;K03+000
Rua Nilton Baldo, 744 – Bairro Jardim Paquetá - CEP 31.330-660 – Belo Horizonte / Minas Gerais.
Endereço Eletrônico: ottawaeng@terra.com.br – Telefax (31) 3418-2175 – CNPJ: 04.472.311/0001-04
&amp;RPágina &amp;P de 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09"/>
  <sheetViews>
    <sheetView view="pageBreakPreview" zoomScale="80" zoomScaleNormal="100" zoomScaleSheetLayoutView="80" workbookViewId="0">
      <selection activeCell="F17" sqref="F17"/>
    </sheetView>
  </sheetViews>
  <sheetFormatPr defaultRowHeight="15" x14ac:dyDescent="0.2"/>
  <cols>
    <col min="1" max="1" width="16" style="60" customWidth="1"/>
    <col min="2" max="2" width="16" style="3" customWidth="1"/>
    <col min="3" max="3" width="15.140625" style="3" customWidth="1"/>
    <col min="4" max="4" width="90.7109375" style="61" customWidth="1"/>
    <col min="5" max="5" width="11" style="3" customWidth="1"/>
    <col min="6" max="6" width="13.5703125" style="62" customWidth="1"/>
    <col min="7" max="7" width="11.7109375" style="63" customWidth="1"/>
    <col min="8" max="8" width="13.5703125" style="63" customWidth="1"/>
    <col min="9" max="9" width="17.42578125" style="64" customWidth="1"/>
    <col min="10" max="10" width="21" style="1" customWidth="1"/>
    <col min="11" max="11" width="12.5703125" style="1" customWidth="1"/>
    <col min="12" max="12" width="9.28515625" style="1" bestFit="1" customWidth="1"/>
    <col min="13" max="13" width="12.140625" style="1" customWidth="1"/>
    <col min="14" max="16384" width="9.140625" style="1"/>
  </cols>
  <sheetData>
    <row r="1" spans="1:17" ht="28.5" customHeight="1" thickBot="1" x14ac:dyDescent="0.25">
      <c r="A1" s="554" t="s">
        <v>445</v>
      </c>
      <c r="B1" s="555"/>
      <c r="C1" s="555"/>
      <c r="D1" s="555"/>
      <c r="E1" s="555"/>
      <c r="F1" s="555"/>
      <c r="G1" s="555"/>
      <c r="H1" s="555"/>
      <c r="I1" s="556"/>
      <c r="J1" s="51"/>
      <c r="K1" s="52"/>
      <c r="L1" s="52"/>
      <c r="M1" s="52"/>
      <c r="N1" s="52"/>
      <c r="O1" s="52"/>
      <c r="P1" s="52"/>
      <c r="Q1" s="52"/>
    </row>
    <row r="2" spans="1:17" ht="5.0999999999999996" customHeight="1" thickBot="1" x14ac:dyDescent="0.25">
      <c r="A2" s="245"/>
      <c r="B2" s="246"/>
      <c r="C2" s="246"/>
      <c r="D2" s="247"/>
      <c r="E2" s="246"/>
      <c r="F2" s="248"/>
      <c r="G2" s="249"/>
      <c r="H2" s="249"/>
      <c r="I2" s="250"/>
      <c r="J2" s="51"/>
      <c r="K2" s="52"/>
      <c r="L2" s="52"/>
      <c r="M2" s="52"/>
      <c r="N2" s="52"/>
      <c r="O2" s="52"/>
      <c r="P2" s="52"/>
      <c r="Q2" s="52"/>
    </row>
    <row r="3" spans="1:17" ht="14.25" customHeight="1" thickBot="1" x14ac:dyDescent="0.25">
      <c r="A3" s="134" t="s">
        <v>87</v>
      </c>
      <c r="B3" s="557" t="s">
        <v>1046</v>
      </c>
      <c r="C3" s="557"/>
      <c r="D3" s="557"/>
      <c r="E3" s="135"/>
      <c r="F3" s="136"/>
      <c r="G3" s="137"/>
      <c r="H3" s="137" t="s">
        <v>446</v>
      </c>
      <c r="I3" s="324" t="s">
        <v>1045</v>
      </c>
      <c r="J3" s="51"/>
      <c r="K3" s="52"/>
      <c r="L3" s="52"/>
      <c r="M3" s="52"/>
      <c r="N3" s="52"/>
      <c r="O3" s="52"/>
      <c r="P3" s="52"/>
      <c r="Q3" s="52"/>
    </row>
    <row r="4" spans="1:17" ht="5.0999999999999996" customHeight="1" thickBot="1" x14ac:dyDescent="0.25">
      <c r="A4" s="53"/>
      <c r="B4" s="54"/>
      <c r="C4" s="54"/>
      <c r="D4" s="55"/>
      <c r="E4" s="54"/>
      <c r="F4" s="56"/>
      <c r="G4" s="57"/>
      <c r="H4" s="57"/>
      <c r="I4" s="58"/>
      <c r="J4" s="51"/>
      <c r="K4" s="52"/>
      <c r="L4" s="52"/>
      <c r="M4" s="52"/>
      <c r="N4" s="52"/>
      <c r="O4" s="52"/>
      <c r="P4" s="52"/>
      <c r="Q4" s="52"/>
    </row>
    <row r="5" spans="1:17" ht="14.25" customHeight="1" thickBot="1" x14ac:dyDescent="0.25">
      <c r="A5" s="138" t="s">
        <v>447</v>
      </c>
      <c r="B5" s="558" t="s">
        <v>898</v>
      </c>
      <c r="C5" s="559"/>
      <c r="D5" s="559"/>
      <c r="E5" s="123"/>
      <c r="F5" s="139"/>
      <c r="G5" s="140"/>
      <c r="H5" s="140"/>
      <c r="I5" s="141"/>
      <c r="J5" s="51"/>
      <c r="K5" s="52"/>
      <c r="L5" s="52"/>
      <c r="M5" s="52"/>
      <c r="N5" s="52"/>
      <c r="O5" s="52"/>
      <c r="P5" s="52"/>
      <c r="Q5" s="52"/>
    </row>
    <row r="6" spans="1:17" ht="5.0999999999999996" customHeight="1" thickBot="1" x14ac:dyDescent="0.25">
      <c r="A6" s="53"/>
      <c r="B6" s="54"/>
      <c r="C6" s="54"/>
      <c r="D6" s="55"/>
      <c r="E6" s="54"/>
      <c r="F6" s="56"/>
      <c r="G6" s="57"/>
      <c r="H6" s="57"/>
      <c r="I6" s="58"/>
      <c r="J6" s="51"/>
      <c r="K6" s="52"/>
      <c r="L6" s="52"/>
      <c r="M6" s="52"/>
      <c r="N6" s="52"/>
      <c r="O6" s="52"/>
      <c r="P6" s="52"/>
      <c r="Q6" s="52"/>
    </row>
    <row r="7" spans="1:17" ht="14.25" customHeight="1" thickBot="1" x14ac:dyDescent="0.25">
      <c r="A7" s="138" t="s">
        <v>448</v>
      </c>
      <c r="B7" s="142" t="s">
        <v>1043</v>
      </c>
      <c r="C7" s="123"/>
      <c r="D7" s="143"/>
      <c r="E7" s="123"/>
      <c r="F7" s="144"/>
      <c r="G7" s="140"/>
      <c r="H7" s="140"/>
      <c r="I7" s="145"/>
      <c r="J7" s="59"/>
      <c r="K7" s="52"/>
      <c r="L7" s="52"/>
      <c r="M7" s="52"/>
      <c r="N7" s="52"/>
      <c r="O7" s="52"/>
      <c r="P7" s="52"/>
      <c r="Q7" s="52"/>
    </row>
    <row r="8" spans="1:17" ht="5.0999999999999996" customHeight="1" thickBot="1" x14ac:dyDescent="0.25">
      <c r="A8" s="53"/>
      <c r="B8" s="54"/>
      <c r="C8" s="54"/>
      <c r="D8" s="55"/>
      <c r="E8" s="54"/>
      <c r="F8" s="56"/>
      <c r="G8" s="57"/>
      <c r="H8" s="57"/>
      <c r="I8" s="58"/>
      <c r="J8" s="51"/>
      <c r="K8" s="52"/>
      <c r="L8" s="52"/>
      <c r="M8" s="52"/>
      <c r="N8" s="52"/>
      <c r="O8" s="52"/>
      <c r="P8" s="52"/>
      <c r="Q8" s="52"/>
    </row>
    <row r="9" spans="1:17" ht="14.25" x14ac:dyDescent="0.2">
      <c r="A9" s="560" t="s">
        <v>449</v>
      </c>
      <c r="B9" s="562" t="s">
        <v>450</v>
      </c>
      <c r="C9" s="562" t="s">
        <v>451</v>
      </c>
      <c r="D9" s="564" t="s">
        <v>452</v>
      </c>
      <c r="E9" s="567" t="s">
        <v>453</v>
      </c>
      <c r="F9" s="570" t="s">
        <v>454</v>
      </c>
      <c r="G9" s="146" t="s">
        <v>89</v>
      </c>
      <c r="H9" s="146" t="s">
        <v>89</v>
      </c>
      <c r="I9" s="147" t="s">
        <v>89</v>
      </c>
      <c r="J9" s="52"/>
      <c r="K9" s="52"/>
      <c r="L9" s="52"/>
      <c r="M9" s="52"/>
      <c r="N9" s="52"/>
      <c r="O9" s="52"/>
      <c r="P9" s="52"/>
      <c r="Q9" s="52"/>
    </row>
    <row r="10" spans="1:17" ht="28.5" customHeight="1" x14ac:dyDescent="0.2">
      <c r="A10" s="561"/>
      <c r="B10" s="563"/>
      <c r="C10" s="563"/>
      <c r="D10" s="565"/>
      <c r="E10" s="568"/>
      <c r="F10" s="571"/>
      <c r="G10" s="148" t="s">
        <v>90</v>
      </c>
      <c r="H10" s="148" t="s">
        <v>90</v>
      </c>
      <c r="I10" s="149" t="s">
        <v>455</v>
      </c>
      <c r="J10" s="52"/>
      <c r="K10" s="52"/>
      <c r="L10" s="52"/>
      <c r="M10" s="52"/>
      <c r="N10" s="52"/>
      <c r="O10" s="52"/>
      <c r="P10" s="52"/>
      <c r="Q10" s="52"/>
    </row>
    <row r="11" spans="1:17" ht="14.25" customHeight="1" x14ac:dyDescent="0.2">
      <c r="A11" s="561"/>
      <c r="B11" s="563"/>
      <c r="C11" s="563"/>
      <c r="D11" s="566"/>
      <c r="E11" s="569"/>
      <c r="F11" s="572"/>
      <c r="G11" s="150" t="s">
        <v>91</v>
      </c>
      <c r="H11" s="150" t="s">
        <v>456</v>
      </c>
      <c r="I11" s="149"/>
      <c r="J11" s="52"/>
      <c r="K11" s="52"/>
      <c r="L11" s="52"/>
      <c r="M11" s="52"/>
      <c r="N11" s="52"/>
      <c r="O11" s="52"/>
      <c r="P11" s="52"/>
      <c r="Q11" s="52"/>
    </row>
    <row r="12" spans="1:17" ht="14.25" customHeight="1" x14ac:dyDescent="0.2">
      <c r="A12" s="251"/>
      <c r="B12" s="252"/>
      <c r="C12" s="252"/>
      <c r="D12" s="253"/>
      <c r="E12" s="254"/>
      <c r="F12" s="269"/>
      <c r="G12" s="270"/>
      <c r="H12" s="270"/>
      <c r="I12" s="271"/>
      <c r="J12" s="52"/>
      <c r="K12" s="52"/>
      <c r="L12" s="52"/>
      <c r="M12" s="52"/>
      <c r="N12" s="52"/>
      <c r="O12" s="52"/>
      <c r="P12" s="52"/>
      <c r="Q12" s="52"/>
    </row>
    <row r="13" spans="1:17" ht="14.25" customHeight="1" x14ac:dyDescent="0.2">
      <c r="A13" s="416" t="s">
        <v>457</v>
      </c>
      <c r="B13" s="553" t="s">
        <v>458</v>
      </c>
      <c r="C13" s="553"/>
      <c r="D13" s="255" t="s">
        <v>459</v>
      </c>
      <c r="E13" s="383"/>
      <c r="F13" s="272"/>
      <c r="G13" s="273"/>
      <c r="H13" s="273"/>
      <c r="I13" s="417">
        <f>I15+I30+I38</f>
        <v>37088.129999999997</v>
      </c>
      <c r="J13" s="52"/>
      <c r="K13" s="52"/>
      <c r="L13" s="52"/>
      <c r="M13" s="52"/>
      <c r="N13" s="52"/>
      <c r="O13" s="52"/>
      <c r="P13" s="52"/>
      <c r="Q13" s="52"/>
    </row>
    <row r="14" spans="1:17" ht="14.25" customHeight="1" x14ac:dyDescent="0.2">
      <c r="A14" s="314"/>
      <c r="B14" s="314"/>
      <c r="C14" s="314"/>
      <c r="D14" s="256"/>
      <c r="E14" s="314"/>
      <c r="F14" s="227"/>
      <c r="G14" s="227"/>
      <c r="H14" s="227"/>
      <c r="I14" s="418"/>
      <c r="J14" s="52"/>
      <c r="K14" s="52"/>
      <c r="L14" s="52"/>
      <c r="M14" s="52"/>
      <c r="N14" s="52"/>
      <c r="O14" s="52"/>
      <c r="P14" s="52"/>
      <c r="Q14" s="52"/>
    </row>
    <row r="15" spans="1:17" ht="14.25" customHeight="1" x14ac:dyDescent="0.2">
      <c r="A15" s="257" t="s">
        <v>460</v>
      </c>
      <c r="B15" s="257"/>
      <c r="C15" s="257"/>
      <c r="D15" s="258" t="s">
        <v>461</v>
      </c>
      <c r="E15" s="314"/>
      <c r="F15" s="227"/>
      <c r="G15" s="227"/>
      <c r="H15" s="227"/>
      <c r="I15" s="419">
        <f>SUM(I16:I28)</f>
        <v>26362.25</v>
      </c>
      <c r="J15" s="52"/>
      <c r="K15" s="52"/>
      <c r="L15" s="52"/>
      <c r="M15" s="52"/>
      <c r="N15" s="52"/>
      <c r="O15" s="52"/>
      <c r="P15" s="52"/>
      <c r="Q15" s="52"/>
    </row>
    <row r="16" spans="1:17" ht="14.25" customHeight="1" x14ac:dyDescent="0.2">
      <c r="A16" s="314" t="s">
        <v>462</v>
      </c>
      <c r="B16" s="314" t="s">
        <v>94</v>
      </c>
      <c r="C16" s="314">
        <v>2707</v>
      </c>
      <c r="D16" s="256" t="s">
        <v>463</v>
      </c>
      <c r="E16" s="314" t="s">
        <v>60</v>
      </c>
      <c r="F16" s="227">
        <v>45</v>
      </c>
      <c r="G16" s="227">
        <v>76.489999999999995</v>
      </c>
      <c r="H16" s="227">
        <f t="shared" ref="H16:H28" si="0">G16</f>
        <v>76.489999999999995</v>
      </c>
      <c r="I16" s="418">
        <f t="shared" ref="I16:I28" si="1">ROUND(F16*H16,2)</f>
        <v>3442.05</v>
      </c>
      <c r="J16" s="52"/>
      <c r="K16" s="52"/>
      <c r="L16" s="52"/>
      <c r="M16" s="52"/>
      <c r="N16" s="52"/>
      <c r="O16" s="52"/>
      <c r="P16" s="52"/>
      <c r="Q16" s="52"/>
    </row>
    <row r="17" spans="1:17" ht="14.25" customHeight="1" x14ac:dyDescent="0.2">
      <c r="A17" s="314" t="s">
        <v>464</v>
      </c>
      <c r="B17" s="313" t="s">
        <v>94</v>
      </c>
      <c r="C17" s="313">
        <v>4083</v>
      </c>
      <c r="D17" s="217" t="s">
        <v>466</v>
      </c>
      <c r="E17" s="313" t="s">
        <v>60</v>
      </c>
      <c r="F17" s="215">
        <v>180</v>
      </c>
      <c r="G17" s="215">
        <v>26.65</v>
      </c>
      <c r="H17" s="227">
        <f t="shared" si="0"/>
        <v>26.65</v>
      </c>
      <c r="I17" s="338">
        <f t="shared" si="1"/>
        <v>4797</v>
      </c>
      <c r="J17" s="52"/>
      <c r="K17" s="52"/>
      <c r="L17" s="52"/>
      <c r="M17" s="52"/>
      <c r="N17" s="52"/>
      <c r="O17" s="52"/>
      <c r="P17" s="52"/>
      <c r="Q17" s="52"/>
    </row>
    <row r="18" spans="1:17" ht="14.25" customHeight="1" x14ac:dyDescent="0.2">
      <c r="A18" s="314" t="s">
        <v>465</v>
      </c>
      <c r="B18" s="313" t="s">
        <v>94</v>
      </c>
      <c r="C18" s="313">
        <v>4083</v>
      </c>
      <c r="D18" s="217" t="s">
        <v>468</v>
      </c>
      <c r="E18" s="313" t="s">
        <v>60</v>
      </c>
      <c r="F18" s="215">
        <v>180</v>
      </c>
      <c r="G18" s="215">
        <v>26.65</v>
      </c>
      <c r="H18" s="227">
        <f t="shared" si="0"/>
        <v>26.65</v>
      </c>
      <c r="I18" s="338">
        <f t="shared" si="1"/>
        <v>4797</v>
      </c>
      <c r="J18" s="52"/>
      <c r="K18" s="52"/>
      <c r="L18" s="52"/>
      <c r="M18" s="52"/>
      <c r="N18" s="52"/>
      <c r="O18" s="52"/>
      <c r="P18" s="52"/>
      <c r="Q18" s="52"/>
    </row>
    <row r="19" spans="1:17" ht="14.25" customHeight="1" x14ac:dyDescent="0.2">
      <c r="A19" s="314" t="s">
        <v>467</v>
      </c>
      <c r="B19" s="314" t="s">
        <v>94</v>
      </c>
      <c r="C19" s="314">
        <v>2350</v>
      </c>
      <c r="D19" s="256" t="s">
        <v>470</v>
      </c>
      <c r="E19" s="314" t="s">
        <v>60</v>
      </c>
      <c r="F19" s="227">
        <v>180</v>
      </c>
      <c r="G19" s="227">
        <v>10.79</v>
      </c>
      <c r="H19" s="227">
        <f t="shared" si="0"/>
        <v>10.79</v>
      </c>
      <c r="I19" s="418">
        <f t="shared" si="1"/>
        <v>1942.2</v>
      </c>
      <c r="J19" s="52"/>
      <c r="K19" s="52"/>
      <c r="L19" s="52"/>
      <c r="M19" s="52"/>
      <c r="N19" s="52"/>
      <c r="O19" s="52"/>
      <c r="P19" s="52"/>
      <c r="Q19" s="52"/>
    </row>
    <row r="20" spans="1:17" ht="14.25" customHeight="1" x14ac:dyDescent="0.2">
      <c r="A20" s="314" t="s">
        <v>469</v>
      </c>
      <c r="B20" s="314" t="s">
        <v>94</v>
      </c>
      <c r="C20" s="314">
        <v>253</v>
      </c>
      <c r="D20" s="256" t="s">
        <v>472</v>
      </c>
      <c r="E20" s="314" t="s">
        <v>60</v>
      </c>
      <c r="F20" s="227">
        <v>180</v>
      </c>
      <c r="G20" s="227">
        <v>17.059999999999999</v>
      </c>
      <c r="H20" s="227">
        <f t="shared" si="0"/>
        <v>17.059999999999999</v>
      </c>
      <c r="I20" s="418">
        <f t="shared" si="1"/>
        <v>3070.8</v>
      </c>
      <c r="J20" s="52"/>
      <c r="K20" s="52"/>
      <c r="L20" s="52"/>
      <c r="M20" s="52"/>
      <c r="N20" s="52"/>
      <c r="O20" s="52"/>
      <c r="P20" s="52"/>
      <c r="Q20" s="52"/>
    </row>
    <row r="21" spans="1:17" ht="14.25" customHeight="1" x14ac:dyDescent="0.2">
      <c r="A21" s="314" t="s">
        <v>471</v>
      </c>
      <c r="B21" s="314" t="s">
        <v>94</v>
      </c>
      <c r="C21" s="314">
        <v>7592</v>
      </c>
      <c r="D21" s="256" t="s">
        <v>474</v>
      </c>
      <c r="E21" s="314" t="s">
        <v>60</v>
      </c>
      <c r="F21" s="227">
        <v>80</v>
      </c>
      <c r="G21" s="227">
        <v>12.92</v>
      </c>
      <c r="H21" s="227">
        <f t="shared" si="0"/>
        <v>12.92</v>
      </c>
      <c r="I21" s="418">
        <f t="shared" si="1"/>
        <v>1033.5999999999999</v>
      </c>
      <c r="J21" s="52"/>
      <c r="K21" s="52"/>
      <c r="L21" s="52"/>
      <c r="M21" s="52"/>
      <c r="N21" s="52"/>
      <c r="O21" s="52"/>
      <c r="P21" s="52"/>
      <c r="Q21" s="52"/>
    </row>
    <row r="22" spans="1:17" ht="14.25" customHeight="1" x14ac:dyDescent="0.2">
      <c r="A22" s="314" t="s">
        <v>473</v>
      </c>
      <c r="B22" s="313" t="s">
        <v>94</v>
      </c>
      <c r="C22" s="313">
        <v>244</v>
      </c>
      <c r="D22" s="217" t="s">
        <v>476</v>
      </c>
      <c r="E22" s="313" t="s">
        <v>60</v>
      </c>
      <c r="F22" s="215">
        <v>80</v>
      </c>
      <c r="G22" s="215">
        <v>9.6999999999999993</v>
      </c>
      <c r="H22" s="215">
        <f t="shared" si="0"/>
        <v>9.6999999999999993</v>
      </c>
      <c r="I22" s="338">
        <f t="shared" si="1"/>
        <v>776</v>
      </c>
      <c r="J22" s="52"/>
      <c r="K22" s="52"/>
      <c r="L22" s="52"/>
      <c r="M22" s="52"/>
      <c r="N22" s="52"/>
      <c r="O22" s="52"/>
      <c r="P22" s="52"/>
      <c r="Q22" s="52"/>
    </row>
    <row r="23" spans="1:17" ht="14.25" customHeight="1" x14ac:dyDescent="0.2">
      <c r="A23" s="314" t="s">
        <v>475</v>
      </c>
      <c r="B23" s="314" t="s">
        <v>94</v>
      </c>
      <c r="C23" s="314">
        <v>6122</v>
      </c>
      <c r="D23" s="256" t="s">
        <v>478</v>
      </c>
      <c r="E23" s="314" t="s">
        <v>60</v>
      </c>
      <c r="F23" s="227">
        <v>80</v>
      </c>
      <c r="G23" s="227">
        <v>10.79</v>
      </c>
      <c r="H23" s="227">
        <f t="shared" si="0"/>
        <v>10.79</v>
      </c>
      <c r="I23" s="418">
        <f t="shared" si="1"/>
        <v>863.2</v>
      </c>
      <c r="J23" s="52"/>
      <c r="K23" s="52"/>
      <c r="L23" s="52"/>
      <c r="M23" s="52"/>
      <c r="N23" s="52"/>
      <c r="O23" s="52"/>
      <c r="P23" s="52"/>
      <c r="Q23" s="52"/>
    </row>
    <row r="24" spans="1:17" ht="14.25" customHeight="1" x14ac:dyDescent="0.2">
      <c r="A24" s="314" t="s">
        <v>477</v>
      </c>
      <c r="B24" s="314" t="s">
        <v>94</v>
      </c>
      <c r="C24" s="314">
        <v>6111</v>
      </c>
      <c r="D24" s="256" t="s">
        <v>480</v>
      </c>
      <c r="E24" s="314" t="s">
        <v>60</v>
      </c>
      <c r="F24" s="227">
        <v>80</v>
      </c>
      <c r="G24" s="227">
        <v>10.62</v>
      </c>
      <c r="H24" s="227">
        <f t="shared" si="0"/>
        <v>10.62</v>
      </c>
      <c r="I24" s="418">
        <f t="shared" si="1"/>
        <v>849.6</v>
      </c>
      <c r="J24" s="52"/>
      <c r="K24" s="52"/>
      <c r="L24" s="52"/>
      <c r="M24" s="52"/>
      <c r="N24" s="52"/>
      <c r="O24" s="52"/>
      <c r="P24" s="52"/>
      <c r="Q24" s="52"/>
    </row>
    <row r="25" spans="1:17" ht="14.25" customHeight="1" x14ac:dyDescent="0.2">
      <c r="A25" s="314" t="s">
        <v>479</v>
      </c>
      <c r="B25" s="313" t="s">
        <v>94</v>
      </c>
      <c r="C25" s="313">
        <v>4095</v>
      </c>
      <c r="D25" s="217" t="s">
        <v>482</v>
      </c>
      <c r="E25" s="313" t="s">
        <v>60</v>
      </c>
      <c r="F25" s="215">
        <v>80</v>
      </c>
      <c r="G25" s="215">
        <v>13.48</v>
      </c>
      <c r="H25" s="215">
        <f t="shared" si="0"/>
        <v>13.48</v>
      </c>
      <c r="I25" s="338">
        <f t="shared" si="1"/>
        <v>1078.4000000000001</v>
      </c>
      <c r="J25" s="52"/>
      <c r="K25" s="52"/>
      <c r="L25" s="52"/>
      <c r="M25" s="52"/>
      <c r="N25" s="52"/>
      <c r="O25" s="52"/>
      <c r="P25" s="52"/>
      <c r="Q25" s="52"/>
    </row>
    <row r="26" spans="1:17" ht="14.25" customHeight="1" x14ac:dyDescent="0.2">
      <c r="A26" s="314" t="s">
        <v>481</v>
      </c>
      <c r="B26" s="314" t="s">
        <v>94</v>
      </c>
      <c r="C26" s="314">
        <v>20020</v>
      </c>
      <c r="D26" s="217" t="s">
        <v>484</v>
      </c>
      <c r="E26" s="314" t="s">
        <v>60</v>
      </c>
      <c r="F26" s="215">
        <v>80</v>
      </c>
      <c r="G26" s="227">
        <v>14.59</v>
      </c>
      <c r="H26" s="227">
        <f t="shared" si="0"/>
        <v>14.59</v>
      </c>
      <c r="I26" s="418">
        <f t="shared" si="1"/>
        <v>1167.2</v>
      </c>
      <c r="J26" s="52"/>
      <c r="K26" s="52"/>
      <c r="L26" s="52"/>
      <c r="M26" s="52"/>
      <c r="N26" s="52"/>
      <c r="O26" s="52"/>
      <c r="P26" s="52"/>
      <c r="Q26" s="52"/>
    </row>
    <row r="27" spans="1:17" ht="14.25" customHeight="1" x14ac:dyDescent="0.2">
      <c r="A27" s="314" t="s">
        <v>483</v>
      </c>
      <c r="B27" s="314" t="s">
        <v>94</v>
      </c>
      <c r="C27" s="314">
        <v>4093</v>
      </c>
      <c r="D27" s="217" t="s">
        <v>486</v>
      </c>
      <c r="E27" s="314" t="s">
        <v>60</v>
      </c>
      <c r="F27" s="227">
        <v>80</v>
      </c>
      <c r="G27" s="227">
        <v>14.59</v>
      </c>
      <c r="H27" s="227">
        <f t="shared" si="0"/>
        <v>14.59</v>
      </c>
      <c r="I27" s="418">
        <f t="shared" si="1"/>
        <v>1167.2</v>
      </c>
      <c r="J27" s="52"/>
      <c r="K27" s="52"/>
      <c r="L27" s="52"/>
      <c r="M27" s="52"/>
      <c r="N27" s="52"/>
      <c r="O27" s="52"/>
      <c r="P27" s="52"/>
      <c r="Q27" s="52"/>
    </row>
    <row r="28" spans="1:17" ht="14.25" customHeight="1" x14ac:dyDescent="0.2">
      <c r="A28" s="314" t="s">
        <v>485</v>
      </c>
      <c r="B28" s="314" t="s">
        <v>94</v>
      </c>
      <c r="C28" s="314">
        <v>10508</v>
      </c>
      <c r="D28" s="256" t="s">
        <v>487</v>
      </c>
      <c r="E28" s="314" t="s">
        <v>60</v>
      </c>
      <c r="F28" s="227">
        <v>100</v>
      </c>
      <c r="G28" s="227">
        <v>13.78</v>
      </c>
      <c r="H28" s="227">
        <f t="shared" si="0"/>
        <v>13.78</v>
      </c>
      <c r="I28" s="418">
        <f t="shared" si="1"/>
        <v>1378</v>
      </c>
      <c r="J28" s="52"/>
      <c r="K28" s="52"/>
      <c r="L28" s="52"/>
      <c r="M28" s="52"/>
      <c r="N28" s="52"/>
      <c r="O28" s="52"/>
      <c r="P28" s="52"/>
      <c r="Q28" s="52"/>
    </row>
    <row r="29" spans="1:17" ht="14.25" customHeight="1" x14ac:dyDescent="0.2">
      <c r="A29" s="314"/>
      <c r="B29" s="314"/>
      <c r="C29" s="314"/>
      <c r="D29" s="256"/>
      <c r="E29" s="314"/>
      <c r="F29" s="227"/>
      <c r="G29" s="227"/>
      <c r="H29" s="227"/>
      <c r="I29" s="418"/>
      <c r="J29" s="52"/>
      <c r="K29" s="52"/>
      <c r="L29" s="52"/>
      <c r="M29" s="52"/>
      <c r="N29" s="52"/>
      <c r="O29" s="52"/>
      <c r="P29" s="52"/>
      <c r="Q29" s="52"/>
    </row>
    <row r="30" spans="1:17" ht="14.25" customHeight="1" x14ac:dyDescent="0.2">
      <c r="A30" s="257" t="s">
        <v>488</v>
      </c>
      <c r="B30" s="314"/>
      <c r="C30" s="314"/>
      <c r="D30" s="258" t="s">
        <v>489</v>
      </c>
      <c r="E30" s="314"/>
      <c r="F30" s="227"/>
      <c r="G30" s="227"/>
      <c r="H30" s="227"/>
      <c r="I30" s="419">
        <f>SUM(I31:I37)</f>
        <v>7291.88</v>
      </c>
      <c r="J30" s="52"/>
      <c r="K30" s="52"/>
      <c r="L30" s="52"/>
      <c r="M30" s="52"/>
      <c r="N30" s="52"/>
      <c r="O30" s="52"/>
      <c r="P30" s="52"/>
      <c r="Q30" s="52"/>
    </row>
    <row r="31" spans="1:17" ht="50.25" customHeight="1" x14ac:dyDescent="0.2">
      <c r="A31" s="314" t="s">
        <v>490</v>
      </c>
      <c r="B31" s="314" t="s">
        <v>94</v>
      </c>
      <c r="C31" s="314" t="s">
        <v>364</v>
      </c>
      <c r="D31" s="256" t="s">
        <v>365</v>
      </c>
      <c r="E31" s="314" t="s">
        <v>66</v>
      </c>
      <c r="F31" s="227">
        <v>1</v>
      </c>
      <c r="G31" s="227">
        <v>776.48</v>
      </c>
      <c r="H31" s="227">
        <f t="shared" ref="H31" si="2">G31</f>
        <v>776.48</v>
      </c>
      <c r="I31" s="418">
        <f t="shared" ref="I31" si="3">ROUND(F31*H31,2)</f>
        <v>776.48</v>
      </c>
      <c r="J31" s="52"/>
      <c r="K31" s="52"/>
      <c r="L31" s="52"/>
      <c r="M31" s="52"/>
      <c r="N31" s="52"/>
      <c r="O31" s="52"/>
      <c r="P31" s="52"/>
      <c r="Q31" s="52"/>
    </row>
    <row r="32" spans="1:17" ht="28.5" x14ac:dyDescent="0.2">
      <c r="A32" s="314" t="s">
        <v>575</v>
      </c>
      <c r="B32" s="314" t="s">
        <v>94</v>
      </c>
      <c r="C32" s="314">
        <v>1160</v>
      </c>
      <c r="D32" s="256" t="s">
        <v>491</v>
      </c>
      <c r="E32" s="314" t="s">
        <v>60</v>
      </c>
      <c r="F32" s="227">
        <v>80</v>
      </c>
      <c r="G32" s="227">
        <v>15.78</v>
      </c>
      <c r="H32" s="227">
        <f t="shared" ref="H32:H37" si="4">G32</f>
        <v>15.78</v>
      </c>
      <c r="I32" s="418">
        <f t="shared" ref="I32:I37" si="5">ROUND(F32*H32,2)</f>
        <v>1262.4000000000001</v>
      </c>
      <c r="J32" s="52"/>
      <c r="K32" s="52"/>
      <c r="L32" s="52"/>
      <c r="M32" s="52"/>
      <c r="N32" s="52"/>
      <c r="O32" s="52"/>
      <c r="P32" s="52"/>
      <c r="Q32" s="52"/>
    </row>
    <row r="33" spans="1:17" ht="28.5" x14ac:dyDescent="0.2">
      <c r="A33" s="314" t="s">
        <v>492</v>
      </c>
      <c r="B33" s="314" t="s">
        <v>94</v>
      </c>
      <c r="C33" s="314">
        <v>1133</v>
      </c>
      <c r="D33" s="256" t="s">
        <v>493</v>
      </c>
      <c r="E33" s="314" t="s">
        <v>60</v>
      </c>
      <c r="F33" s="215">
        <v>40</v>
      </c>
      <c r="G33" s="227">
        <v>55.35</v>
      </c>
      <c r="H33" s="227">
        <f t="shared" si="4"/>
        <v>55.35</v>
      </c>
      <c r="I33" s="418">
        <f t="shared" si="5"/>
        <v>2214</v>
      </c>
      <c r="J33" s="52"/>
      <c r="K33" s="52"/>
      <c r="L33" s="52"/>
      <c r="M33" s="52"/>
      <c r="N33" s="52"/>
      <c r="O33" s="52"/>
      <c r="P33" s="52"/>
      <c r="Q33" s="52"/>
    </row>
    <row r="34" spans="1:17" s="160" customFormat="1" ht="28.5" x14ac:dyDescent="0.2">
      <c r="A34" s="428" t="s">
        <v>494</v>
      </c>
      <c r="B34" s="428" t="s">
        <v>94</v>
      </c>
      <c r="C34" s="428">
        <v>1140</v>
      </c>
      <c r="D34" s="427" t="s">
        <v>495</v>
      </c>
      <c r="E34" s="428" t="s">
        <v>60</v>
      </c>
      <c r="F34" s="429">
        <v>100</v>
      </c>
      <c r="G34" s="429">
        <v>26.21</v>
      </c>
      <c r="H34" s="429">
        <f t="shared" si="4"/>
        <v>26.21</v>
      </c>
      <c r="I34" s="441">
        <f t="shared" si="5"/>
        <v>2621</v>
      </c>
      <c r="J34" s="347"/>
      <c r="K34" s="347"/>
      <c r="L34" s="347"/>
      <c r="M34" s="347"/>
      <c r="N34" s="347"/>
      <c r="O34" s="347"/>
      <c r="P34" s="347"/>
      <c r="Q34" s="347"/>
    </row>
    <row r="35" spans="1:17" ht="14.25" x14ac:dyDescent="0.2">
      <c r="A35" s="314" t="s">
        <v>496</v>
      </c>
      <c r="B35" s="314" t="s">
        <v>94</v>
      </c>
      <c r="C35" s="314">
        <v>7252</v>
      </c>
      <c r="D35" s="256" t="s">
        <v>498</v>
      </c>
      <c r="E35" s="314" t="s">
        <v>60</v>
      </c>
      <c r="F35" s="227">
        <v>100</v>
      </c>
      <c r="G35" s="227">
        <v>1.33</v>
      </c>
      <c r="H35" s="227">
        <f t="shared" si="4"/>
        <v>1.33</v>
      </c>
      <c r="I35" s="418">
        <f t="shared" si="5"/>
        <v>133</v>
      </c>
      <c r="J35" s="52"/>
      <c r="K35" s="52"/>
      <c r="L35" s="52"/>
      <c r="M35" s="52"/>
      <c r="N35" s="52"/>
      <c r="O35" s="52"/>
      <c r="P35" s="52"/>
      <c r="Q35" s="52"/>
    </row>
    <row r="36" spans="1:17" ht="28.5" x14ac:dyDescent="0.2">
      <c r="A36" s="314" t="s">
        <v>497</v>
      </c>
      <c r="B36" s="314" t="s">
        <v>94</v>
      </c>
      <c r="C36" s="314">
        <v>10485</v>
      </c>
      <c r="D36" s="256" t="s">
        <v>499</v>
      </c>
      <c r="E36" s="314" t="s">
        <v>60</v>
      </c>
      <c r="F36" s="227">
        <v>100</v>
      </c>
      <c r="G36" s="227">
        <v>1.1200000000000001</v>
      </c>
      <c r="H36" s="227">
        <f t="shared" si="4"/>
        <v>1.1200000000000001</v>
      </c>
      <c r="I36" s="418">
        <f t="shared" si="5"/>
        <v>112</v>
      </c>
      <c r="J36" s="52"/>
      <c r="K36" s="52"/>
      <c r="L36" s="52"/>
      <c r="M36" s="52"/>
      <c r="N36" s="52"/>
      <c r="O36" s="52"/>
      <c r="P36" s="52"/>
      <c r="Q36" s="52"/>
    </row>
    <row r="37" spans="1:17" ht="14.25" x14ac:dyDescent="0.2">
      <c r="A37" s="314" t="s">
        <v>981</v>
      </c>
      <c r="B37" s="314" t="s">
        <v>94</v>
      </c>
      <c r="C37" s="314">
        <v>643</v>
      </c>
      <c r="D37" s="256" t="s">
        <v>500</v>
      </c>
      <c r="E37" s="314" t="s">
        <v>60</v>
      </c>
      <c r="F37" s="227">
        <f>F36</f>
        <v>100</v>
      </c>
      <c r="G37" s="227">
        <v>1.73</v>
      </c>
      <c r="H37" s="227">
        <f t="shared" si="4"/>
        <v>1.73</v>
      </c>
      <c r="I37" s="418">
        <f t="shared" si="5"/>
        <v>173</v>
      </c>
      <c r="J37" s="52"/>
      <c r="K37" s="52"/>
      <c r="L37" s="52"/>
      <c r="M37" s="52"/>
      <c r="N37" s="52"/>
      <c r="O37" s="52"/>
      <c r="P37" s="52"/>
      <c r="Q37" s="52"/>
    </row>
    <row r="38" spans="1:17" ht="14.25" customHeight="1" x14ac:dyDescent="0.2">
      <c r="A38" s="257" t="s">
        <v>501</v>
      </c>
      <c r="B38" s="314"/>
      <c r="C38" s="314"/>
      <c r="D38" s="258" t="s">
        <v>502</v>
      </c>
      <c r="E38" s="314"/>
      <c r="F38" s="227"/>
      <c r="G38" s="227"/>
      <c r="H38" s="227"/>
      <c r="I38" s="419">
        <f>SUM(I39:I41)</f>
        <v>3434</v>
      </c>
      <c r="J38" s="52"/>
      <c r="K38" s="52"/>
      <c r="L38" s="52"/>
      <c r="M38" s="52"/>
      <c r="N38" s="52"/>
      <c r="O38" s="52"/>
      <c r="P38" s="52"/>
      <c r="Q38" s="52"/>
    </row>
    <row r="39" spans="1:17" ht="14.25" x14ac:dyDescent="0.2">
      <c r="A39" s="314" t="s">
        <v>503</v>
      </c>
      <c r="B39" s="314" t="s">
        <v>94</v>
      </c>
      <c r="C39" s="314">
        <v>14250</v>
      </c>
      <c r="D39" s="256" t="s">
        <v>504</v>
      </c>
      <c r="E39" s="314" t="s">
        <v>505</v>
      </c>
      <c r="F39" s="227">
        <v>600</v>
      </c>
      <c r="G39" s="227">
        <v>0.48</v>
      </c>
      <c r="H39" s="227">
        <f>G39</f>
        <v>0.48</v>
      </c>
      <c r="I39" s="418">
        <f>ROUND(F39*H39,2)</f>
        <v>288</v>
      </c>
      <c r="J39" s="52"/>
      <c r="K39" s="52"/>
      <c r="L39" s="52"/>
      <c r="M39" s="52"/>
      <c r="N39" s="52"/>
      <c r="O39" s="52"/>
      <c r="P39" s="52"/>
      <c r="Q39" s="52"/>
    </row>
    <row r="40" spans="1:17" ht="14.25" x14ac:dyDescent="0.2">
      <c r="A40" s="314" t="s">
        <v>506</v>
      </c>
      <c r="B40" s="314" t="s">
        <v>94</v>
      </c>
      <c r="C40" s="314">
        <v>4221</v>
      </c>
      <c r="D40" s="256" t="s">
        <v>507</v>
      </c>
      <c r="E40" s="314" t="s">
        <v>508</v>
      </c>
      <c r="F40" s="227">
        <v>600</v>
      </c>
      <c r="G40" s="227">
        <v>2.91</v>
      </c>
      <c r="H40" s="227">
        <f>G40</f>
        <v>2.91</v>
      </c>
      <c r="I40" s="418">
        <f>ROUND(F40*H40,2)</f>
        <v>1746</v>
      </c>
      <c r="J40" s="52"/>
      <c r="K40" s="52"/>
      <c r="L40" s="52"/>
      <c r="M40" s="52"/>
      <c r="N40" s="52"/>
      <c r="O40" s="52"/>
      <c r="P40" s="52"/>
      <c r="Q40" s="52"/>
    </row>
    <row r="41" spans="1:17" ht="14.25" x14ac:dyDescent="0.2">
      <c r="A41" s="314" t="s">
        <v>509</v>
      </c>
      <c r="B41" s="314" t="s">
        <v>94</v>
      </c>
      <c r="C41" s="314">
        <v>4222</v>
      </c>
      <c r="D41" s="256" t="s">
        <v>510</v>
      </c>
      <c r="E41" s="314" t="s">
        <v>508</v>
      </c>
      <c r="F41" s="227">
        <v>400</v>
      </c>
      <c r="G41" s="227">
        <v>3.5</v>
      </c>
      <c r="H41" s="227">
        <f>G41</f>
        <v>3.5</v>
      </c>
      <c r="I41" s="418">
        <f>ROUND(F41*H41,2)</f>
        <v>1400</v>
      </c>
      <c r="J41" s="52"/>
      <c r="K41" s="52"/>
      <c r="L41" s="52"/>
      <c r="M41" s="52"/>
      <c r="N41" s="52"/>
      <c r="O41" s="52"/>
      <c r="P41" s="52"/>
      <c r="Q41" s="52"/>
    </row>
    <row r="42" spans="1:17" ht="14.25" x14ac:dyDescent="0.2">
      <c r="A42" s="314"/>
      <c r="B42" s="314"/>
      <c r="C42" s="314"/>
      <c r="D42" s="256"/>
      <c r="E42" s="314"/>
      <c r="F42" s="227"/>
      <c r="G42" s="227"/>
      <c r="H42" s="227"/>
      <c r="I42" s="418"/>
      <c r="J42" s="52"/>
      <c r="K42" s="52"/>
      <c r="L42" s="52"/>
      <c r="M42" s="52"/>
      <c r="N42" s="52"/>
      <c r="O42" s="52"/>
      <c r="P42" s="52"/>
      <c r="Q42" s="52"/>
    </row>
    <row r="43" spans="1:17" s="7" customFormat="1" ht="30" x14ac:dyDescent="0.2">
      <c r="A43" s="416" t="s">
        <v>584</v>
      </c>
      <c r="B43" s="552" t="s">
        <v>512</v>
      </c>
      <c r="C43" s="552"/>
      <c r="D43" s="255" t="str">
        <f>ORÇAMENTO!D153</f>
        <v>FORNECIMENTO DO MATERIAL HIDRÁULICO DA REDE INTERCEPTORA DE ESGOTOS</v>
      </c>
      <c r="E43" s="383"/>
      <c r="F43" s="352">
        <f>SUM(F44:F50)</f>
        <v>16900</v>
      </c>
      <c r="G43" s="273"/>
      <c r="H43" s="273"/>
      <c r="I43" s="417">
        <f>SUM(I44:I50)</f>
        <v>612264.84</v>
      </c>
      <c r="J43" s="6"/>
      <c r="K43" s="6"/>
      <c r="L43" s="6"/>
      <c r="M43" s="6"/>
      <c r="N43" s="6"/>
      <c r="O43" s="6"/>
      <c r="P43" s="6"/>
      <c r="Q43" s="6"/>
    </row>
    <row r="44" spans="1:17" s="7" customFormat="1" ht="14.25" x14ac:dyDescent="0.2">
      <c r="A44" s="314" t="s">
        <v>158</v>
      </c>
      <c r="B44" s="220" t="s">
        <v>94</v>
      </c>
      <c r="C44" s="223">
        <v>9818</v>
      </c>
      <c r="D44" s="219" t="s">
        <v>130</v>
      </c>
      <c r="E44" s="314" t="s">
        <v>63</v>
      </c>
      <c r="F44" s="275">
        <v>11804</v>
      </c>
      <c r="G44" s="215">
        <v>17.93</v>
      </c>
      <c r="H44" s="276">
        <f t="shared" ref="H44:H50" si="6">G44</f>
        <v>17.93</v>
      </c>
      <c r="I44" s="277">
        <f t="shared" ref="I44:I50" si="7">F44*H44</f>
        <v>211645.72</v>
      </c>
      <c r="J44" s="6"/>
      <c r="K44" s="6"/>
      <c r="L44" s="6"/>
      <c r="M44" s="6"/>
      <c r="N44" s="6"/>
      <c r="O44" s="6"/>
      <c r="P44" s="6"/>
      <c r="Q44" s="6"/>
    </row>
    <row r="45" spans="1:17" s="7" customFormat="1" ht="14.25" x14ac:dyDescent="0.2">
      <c r="A45" s="314" t="s">
        <v>385</v>
      </c>
      <c r="B45" s="313" t="s">
        <v>94</v>
      </c>
      <c r="C45" s="223">
        <v>9819</v>
      </c>
      <c r="D45" s="217" t="s">
        <v>1359</v>
      </c>
      <c r="E45" s="313" t="s">
        <v>63</v>
      </c>
      <c r="F45" s="275">
        <v>1537</v>
      </c>
      <c r="G45" s="215">
        <v>27.71</v>
      </c>
      <c r="H45" s="276">
        <f t="shared" si="6"/>
        <v>27.71</v>
      </c>
      <c r="I45" s="277">
        <f t="shared" si="7"/>
        <v>42590.270000000004</v>
      </c>
      <c r="J45" s="6"/>
      <c r="K45" s="6"/>
      <c r="L45" s="6"/>
      <c r="M45" s="6"/>
      <c r="N45" s="6"/>
      <c r="O45" s="6"/>
      <c r="P45" s="6"/>
      <c r="Q45" s="6"/>
    </row>
    <row r="46" spans="1:17" s="7" customFormat="1" ht="14.25" x14ac:dyDescent="0.2">
      <c r="A46" s="314" t="s">
        <v>376</v>
      </c>
      <c r="B46" s="220" t="s">
        <v>94</v>
      </c>
      <c r="C46" s="223">
        <v>9820</v>
      </c>
      <c r="D46" s="219" t="s">
        <v>163</v>
      </c>
      <c r="E46" s="314" t="s">
        <v>63</v>
      </c>
      <c r="F46" s="275">
        <v>664</v>
      </c>
      <c r="G46" s="215">
        <v>47.25</v>
      </c>
      <c r="H46" s="276">
        <f t="shared" si="6"/>
        <v>47.25</v>
      </c>
      <c r="I46" s="277">
        <f t="shared" si="7"/>
        <v>31374</v>
      </c>
      <c r="J46" s="6"/>
      <c r="K46" s="6"/>
      <c r="L46" s="6"/>
      <c r="M46" s="6"/>
      <c r="N46" s="6"/>
      <c r="O46" s="6"/>
      <c r="P46" s="6"/>
      <c r="Q46" s="6"/>
    </row>
    <row r="47" spans="1:17" s="7" customFormat="1" ht="14.25" x14ac:dyDescent="0.2">
      <c r="A47" s="314" t="s">
        <v>377</v>
      </c>
      <c r="B47" s="220" t="s">
        <v>94</v>
      </c>
      <c r="C47" s="223">
        <v>9821</v>
      </c>
      <c r="D47" s="219" t="s">
        <v>414</v>
      </c>
      <c r="E47" s="314" t="s">
        <v>63</v>
      </c>
      <c r="F47" s="275">
        <v>964</v>
      </c>
      <c r="G47" s="215">
        <v>74.09</v>
      </c>
      <c r="H47" s="276">
        <f t="shared" si="6"/>
        <v>74.09</v>
      </c>
      <c r="I47" s="277">
        <f t="shared" si="7"/>
        <v>71422.760000000009</v>
      </c>
      <c r="J47" s="6"/>
      <c r="K47" s="6"/>
      <c r="L47" s="6"/>
      <c r="M47" s="6"/>
      <c r="N47" s="6"/>
      <c r="O47" s="6"/>
      <c r="P47" s="6"/>
      <c r="Q47" s="6"/>
    </row>
    <row r="48" spans="1:17" s="7" customFormat="1" ht="14.25" x14ac:dyDescent="0.2">
      <c r="A48" s="314" t="s">
        <v>378</v>
      </c>
      <c r="B48" s="313" t="s">
        <v>101</v>
      </c>
      <c r="C48" s="223">
        <v>25004029</v>
      </c>
      <c r="D48" s="219" t="s">
        <v>912</v>
      </c>
      <c r="E48" s="314" t="s">
        <v>63</v>
      </c>
      <c r="F48" s="275">
        <v>1886</v>
      </c>
      <c r="G48" s="215">
        <v>130.36000000000001</v>
      </c>
      <c r="H48" s="276">
        <f t="shared" si="6"/>
        <v>130.36000000000001</v>
      </c>
      <c r="I48" s="277">
        <f t="shared" si="7"/>
        <v>245858.96000000002</v>
      </c>
      <c r="J48" s="6"/>
      <c r="K48" s="6"/>
      <c r="L48" s="6"/>
      <c r="M48" s="6"/>
      <c r="N48" s="6"/>
      <c r="O48" s="6"/>
      <c r="P48" s="6"/>
      <c r="Q48" s="6"/>
    </row>
    <row r="49" spans="1:17" s="7" customFormat="1" ht="14.25" x14ac:dyDescent="0.2">
      <c r="A49" s="314" t="s">
        <v>624</v>
      </c>
      <c r="B49" s="313" t="s">
        <v>101</v>
      </c>
      <c r="C49" s="223">
        <v>25004030</v>
      </c>
      <c r="D49" s="217" t="s">
        <v>918</v>
      </c>
      <c r="E49" s="313" t="s">
        <v>63</v>
      </c>
      <c r="F49" s="275">
        <v>23</v>
      </c>
      <c r="G49" s="215">
        <v>162.38999999999999</v>
      </c>
      <c r="H49" s="276">
        <f t="shared" si="6"/>
        <v>162.38999999999999</v>
      </c>
      <c r="I49" s="277">
        <f t="shared" si="7"/>
        <v>3734.97</v>
      </c>
      <c r="J49" s="6"/>
      <c r="K49" s="6"/>
      <c r="L49" s="6"/>
      <c r="M49" s="6"/>
      <c r="N49" s="6"/>
      <c r="O49" s="6"/>
      <c r="P49" s="6"/>
      <c r="Q49" s="6"/>
    </row>
    <row r="50" spans="1:17" s="7" customFormat="1" ht="14.25" x14ac:dyDescent="0.2">
      <c r="A50" s="314" t="s">
        <v>625</v>
      </c>
      <c r="B50" s="313" t="s">
        <v>101</v>
      </c>
      <c r="C50" s="223">
        <v>25004032</v>
      </c>
      <c r="D50" s="219" t="s">
        <v>900</v>
      </c>
      <c r="E50" s="314" t="s">
        <v>63</v>
      </c>
      <c r="F50" s="275">
        <v>22</v>
      </c>
      <c r="G50" s="215">
        <v>256.27999999999997</v>
      </c>
      <c r="H50" s="276">
        <f t="shared" si="6"/>
        <v>256.27999999999997</v>
      </c>
      <c r="I50" s="277">
        <f t="shared" si="7"/>
        <v>5638.16</v>
      </c>
      <c r="J50" s="6"/>
      <c r="K50" s="6"/>
      <c r="L50" s="6"/>
      <c r="M50" s="6"/>
      <c r="N50" s="6"/>
      <c r="O50" s="6"/>
      <c r="P50" s="6"/>
      <c r="Q50" s="6"/>
    </row>
    <row r="51" spans="1:17" s="7" customFormat="1" ht="14.25" x14ac:dyDescent="0.2">
      <c r="A51" s="314"/>
      <c r="B51" s="314"/>
      <c r="C51" s="314"/>
      <c r="D51" s="219"/>
      <c r="E51" s="314"/>
      <c r="F51" s="274"/>
      <c r="G51" s="274"/>
      <c r="H51" s="274"/>
      <c r="I51" s="274"/>
      <c r="J51" s="6"/>
      <c r="K51" s="6"/>
      <c r="L51" s="6"/>
      <c r="M51" s="6"/>
      <c r="N51" s="6"/>
      <c r="O51" s="6"/>
      <c r="P51" s="6"/>
      <c r="Q51" s="6"/>
    </row>
    <row r="52" spans="1:17" s="7" customFormat="1" ht="30" x14ac:dyDescent="0.2">
      <c r="A52" s="416" t="s">
        <v>589</v>
      </c>
      <c r="B52" s="552" t="s">
        <v>519</v>
      </c>
      <c r="C52" s="552"/>
      <c r="D52" s="255" t="s">
        <v>810</v>
      </c>
      <c r="E52" s="383" t="s">
        <v>63</v>
      </c>
      <c r="F52" s="272"/>
      <c r="G52" s="273"/>
      <c r="H52" s="273"/>
      <c r="I52" s="417">
        <f>SUM(I53:I56)</f>
        <v>32</v>
      </c>
      <c r="J52" s="6"/>
      <c r="K52" s="6"/>
      <c r="L52" s="6"/>
      <c r="M52" s="6"/>
      <c r="N52" s="6"/>
      <c r="O52" s="6"/>
      <c r="P52" s="6"/>
      <c r="Q52" s="6"/>
    </row>
    <row r="53" spans="1:17" s="7" customFormat="1" ht="14.25" x14ac:dyDescent="0.2">
      <c r="A53" s="314" t="s">
        <v>159</v>
      </c>
      <c r="B53" s="220" t="s">
        <v>94</v>
      </c>
      <c r="C53" s="220">
        <v>73710</v>
      </c>
      <c r="D53" s="267" t="s">
        <v>811</v>
      </c>
      <c r="E53" s="220" t="s">
        <v>62</v>
      </c>
      <c r="F53" s="221">
        <v>0.15</v>
      </c>
      <c r="G53" s="268">
        <v>106.99</v>
      </c>
      <c r="H53" s="215">
        <f>ROUND((1+K$3)*G53,2)</f>
        <v>106.99</v>
      </c>
      <c r="I53" s="221">
        <f t="shared" ref="I53:I56" si="8">ROUND(F53*H53,2)</f>
        <v>16.05</v>
      </c>
      <c r="J53" s="6"/>
      <c r="K53" s="6"/>
      <c r="L53" s="6"/>
      <c r="M53" s="6"/>
      <c r="N53" s="6"/>
      <c r="O53" s="6"/>
      <c r="P53" s="6"/>
      <c r="Q53" s="6"/>
    </row>
    <row r="54" spans="1:17" s="7" customFormat="1" ht="14.25" x14ac:dyDescent="0.2">
      <c r="A54" s="314" t="s">
        <v>161</v>
      </c>
      <c r="B54" s="220" t="s">
        <v>94</v>
      </c>
      <c r="C54" s="220">
        <v>72945</v>
      </c>
      <c r="D54" s="267" t="s">
        <v>986</v>
      </c>
      <c r="E54" s="220" t="s">
        <v>61</v>
      </c>
      <c r="F54" s="221">
        <v>1</v>
      </c>
      <c r="G54" s="268">
        <v>3.54</v>
      </c>
      <c r="H54" s="215">
        <f>ROUND((1+K$3)*G54,2)</f>
        <v>3.54</v>
      </c>
      <c r="I54" s="221">
        <f t="shared" si="8"/>
        <v>3.54</v>
      </c>
      <c r="J54" s="6"/>
      <c r="K54" s="6"/>
      <c r="L54" s="6"/>
      <c r="M54" s="6"/>
      <c r="N54" s="6"/>
      <c r="O54" s="6"/>
      <c r="P54" s="6"/>
      <c r="Q54" s="6"/>
    </row>
    <row r="55" spans="1:17" s="7" customFormat="1" ht="14.25" x14ac:dyDescent="0.2">
      <c r="A55" s="314" t="s">
        <v>523</v>
      </c>
      <c r="B55" s="220" t="s">
        <v>94</v>
      </c>
      <c r="C55" s="220">
        <v>72943</v>
      </c>
      <c r="D55" s="267" t="s">
        <v>812</v>
      </c>
      <c r="E55" s="220" t="s">
        <v>61</v>
      </c>
      <c r="F55" s="221">
        <f>F54</f>
        <v>1</v>
      </c>
      <c r="G55" s="268">
        <v>1.1599999999999999</v>
      </c>
      <c r="H55" s="215">
        <f>ROUND((1+K$3)*G55,2)</f>
        <v>1.1599999999999999</v>
      </c>
      <c r="I55" s="221">
        <f t="shared" si="8"/>
        <v>1.1599999999999999</v>
      </c>
      <c r="J55" s="6"/>
      <c r="K55" s="6"/>
      <c r="L55" s="6"/>
      <c r="M55" s="6"/>
      <c r="N55" s="6"/>
      <c r="O55" s="6"/>
      <c r="P55" s="6"/>
      <c r="Q55" s="6"/>
    </row>
    <row r="56" spans="1:17" s="7" customFormat="1" ht="28.5" x14ac:dyDescent="0.2">
      <c r="A56" s="314" t="s">
        <v>634</v>
      </c>
      <c r="B56" s="220" t="s">
        <v>94</v>
      </c>
      <c r="C56" s="220" t="s">
        <v>987</v>
      </c>
      <c r="D56" s="267" t="s">
        <v>988</v>
      </c>
      <c r="E56" s="220" t="s">
        <v>62</v>
      </c>
      <c r="F56" s="221">
        <v>3.5000000000000003E-2</v>
      </c>
      <c r="G56" s="268">
        <v>321.29000000000002</v>
      </c>
      <c r="H56" s="215">
        <f>ROUND((1+K$3)*G56,2)</f>
        <v>321.29000000000002</v>
      </c>
      <c r="I56" s="221">
        <f t="shared" si="8"/>
        <v>11.25</v>
      </c>
      <c r="J56" s="6"/>
      <c r="K56" s="6"/>
      <c r="L56" s="6"/>
      <c r="M56" s="6"/>
      <c r="N56" s="6"/>
      <c r="O56" s="6"/>
      <c r="P56" s="6"/>
      <c r="Q56" s="6"/>
    </row>
    <row r="57" spans="1:17" s="7" customFormat="1" ht="14.25" x14ac:dyDescent="0.2">
      <c r="A57" s="314"/>
      <c r="B57" s="314"/>
      <c r="C57" s="314"/>
      <c r="D57" s="219"/>
      <c r="E57" s="314"/>
      <c r="F57" s="274"/>
      <c r="G57" s="274"/>
      <c r="H57" s="274"/>
      <c r="I57" s="274"/>
      <c r="J57" s="6"/>
      <c r="K57" s="6"/>
      <c r="L57" s="6"/>
      <c r="M57" s="6"/>
      <c r="N57" s="6"/>
      <c r="O57" s="6"/>
      <c r="P57" s="6"/>
      <c r="Q57" s="6"/>
    </row>
    <row r="58" spans="1:17" s="7" customFormat="1" ht="30" x14ac:dyDescent="0.2">
      <c r="A58" s="416" t="s">
        <v>591</v>
      </c>
      <c r="B58" s="553" t="s">
        <v>525</v>
      </c>
      <c r="C58" s="553"/>
      <c r="D58" s="255" t="s">
        <v>232</v>
      </c>
      <c r="E58" s="383"/>
      <c r="F58" s="272"/>
      <c r="G58" s="273"/>
      <c r="H58" s="273"/>
      <c r="I58" s="417">
        <f>SUM(I59:I63)</f>
        <v>4714.6899999999996</v>
      </c>
      <c r="J58" s="6"/>
      <c r="K58" s="6"/>
      <c r="L58" s="6"/>
      <c r="M58" s="6"/>
      <c r="N58" s="6"/>
      <c r="O58" s="6"/>
      <c r="P58" s="6"/>
      <c r="Q58" s="6"/>
    </row>
    <row r="59" spans="1:17" s="7" customFormat="1" ht="14.25" x14ac:dyDescent="0.2">
      <c r="A59" s="314" t="s">
        <v>162</v>
      </c>
      <c r="B59" s="314" t="s">
        <v>94</v>
      </c>
      <c r="C59" s="314">
        <v>10962</v>
      </c>
      <c r="D59" s="256" t="s">
        <v>513</v>
      </c>
      <c r="E59" s="314" t="s">
        <v>384</v>
      </c>
      <c r="F59" s="274">
        <f>26.5*22.5</f>
        <v>596.25</v>
      </c>
      <c r="G59" s="274">
        <v>4.05</v>
      </c>
      <c r="H59" s="274">
        <f>G59</f>
        <v>4.05</v>
      </c>
      <c r="I59" s="274">
        <f>ROUND(F59*H59,2)</f>
        <v>2414.81</v>
      </c>
      <c r="J59" s="6"/>
      <c r="K59" s="6"/>
      <c r="L59" s="6"/>
      <c r="M59" s="6"/>
      <c r="N59" s="6"/>
      <c r="O59" s="6"/>
      <c r="P59" s="6"/>
      <c r="Q59" s="6"/>
    </row>
    <row r="60" spans="1:17" s="7" customFormat="1" ht="14.25" x14ac:dyDescent="0.2">
      <c r="A60" s="314" t="s">
        <v>251</v>
      </c>
      <c r="B60" s="314" t="s">
        <v>94</v>
      </c>
      <c r="C60" s="314">
        <v>6160</v>
      </c>
      <c r="D60" s="219" t="s">
        <v>514</v>
      </c>
      <c r="E60" s="314" t="s">
        <v>60</v>
      </c>
      <c r="F60" s="274">
        <v>44</v>
      </c>
      <c r="G60" s="274">
        <v>21.34</v>
      </c>
      <c r="H60" s="274">
        <f>G60</f>
        <v>21.34</v>
      </c>
      <c r="I60" s="274">
        <f>ROUND(F60*G60,2)</f>
        <v>938.96</v>
      </c>
      <c r="J60" s="6"/>
      <c r="K60" s="6"/>
      <c r="L60" s="6"/>
      <c r="M60" s="6"/>
      <c r="N60" s="6"/>
      <c r="O60" s="6"/>
      <c r="P60" s="6"/>
      <c r="Q60" s="6"/>
    </row>
    <row r="61" spans="1:17" s="7" customFormat="1" ht="14.25" x14ac:dyDescent="0.2">
      <c r="A61" s="314" t="s">
        <v>529</v>
      </c>
      <c r="B61" s="314" t="s">
        <v>94</v>
      </c>
      <c r="C61" s="314">
        <v>6121</v>
      </c>
      <c r="D61" s="219" t="s">
        <v>515</v>
      </c>
      <c r="E61" s="314" t="s">
        <v>60</v>
      </c>
      <c r="F61" s="274">
        <v>44</v>
      </c>
      <c r="G61" s="274">
        <v>9.5399999999999991</v>
      </c>
      <c r="H61" s="274">
        <f>G61</f>
        <v>9.5399999999999991</v>
      </c>
      <c r="I61" s="274">
        <f>ROUND(F61*G61,2)</f>
        <v>419.76</v>
      </c>
      <c r="J61" s="6"/>
      <c r="K61" s="6"/>
      <c r="L61" s="6"/>
      <c r="M61" s="6"/>
      <c r="N61" s="6"/>
      <c r="O61" s="6"/>
      <c r="P61" s="6"/>
      <c r="Q61" s="6"/>
    </row>
    <row r="62" spans="1:17" s="7" customFormat="1" ht="14.25" x14ac:dyDescent="0.2">
      <c r="A62" s="314" t="s">
        <v>530</v>
      </c>
      <c r="B62" s="314" t="s">
        <v>94</v>
      </c>
      <c r="C62" s="314">
        <v>6110</v>
      </c>
      <c r="D62" s="219" t="s">
        <v>516</v>
      </c>
      <c r="E62" s="314" t="s">
        <v>60</v>
      </c>
      <c r="F62" s="274">
        <v>44</v>
      </c>
      <c r="G62" s="274">
        <v>12.2</v>
      </c>
      <c r="H62" s="274">
        <f>G62</f>
        <v>12.2</v>
      </c>
      <c r="I62" s="274">
        <f>ROUND(F62*G62,2)</f>
        <v>536.79999999999995</v>
      </c>
      <c r="J62" s="6"/>
      <c r="K62" s="6"/>
      <c r="L62" s="6"/>
      <c r="M62" s="6"/>
      <c r="N62" s="6"/>
      <c r="O62" s="6"/>
      <c r="P62" s="6"/>
      <c r="Q62" s="6"/>
    </row>
    <row r="63" spans="1:17" s="7" customFormat="1" ht="14.25" x14ac:dyDescent="0.2">
      <c r="A63" s="314" t="s">
        <v>609</v>
      </c>
      <c r="B63" s="314" t="s">
        <v>94</v>
      </c>
      <c r="C63" s="314">
        <v>252</v>
      </c>
      <c r="D63" s="219" t="s">
        <v>517</v>
      </c>
      <c r="E63" s="314" t="s">
        <v>60</v>
      </c>
      <c r="F63" s="274">
        <v>44</v>
      </c>
      <c r="G63" s="274">
        <v>9.19</v>
      </c>
      <c r="H63" s="274">
        <f>G63</f>
        <v>9.19</v>
      </c>
      <c r="I63" s="274">
        <f>ROUND(F63*G63,2)</f>
        <v>404.36</v>
      </c>
      <c r="J63" s="6"/>
      <c r="K63" s="6"/>
      <c r="L63" s="6"/>
      <c r="M63" s="6"/>
      <c r="N63" s="6"/>
      <c r="O63" s="6"/>
      <c r="P63" s="6"/>
      <c r="Q63" s="6"/>
    </row>
    <row r="64" spans="1:17" s="7" customFormat="1" ht="14.25" x14ac:dyDescent="0.2">
      <c r="A64" s="314"/>
      <c r="B64" s="314"/>
      <c r="C64" s="314"/>
      <c r="D64" s="219"/>
      <c r="E64" s="314"/>
      <c r="F64" s="274"/>
      <c r="G64" s="274"/>
      <c r="H64" s="274"/>
      <c r="I64" s="274"/>
      <c r="J64" s="6"/>
      <c r="K64" s="6"/>
      <c r="L64" s="6"/>
      <c r="M64" s="6"/>
      <c r="N64" s="6"/>
      <c r="O64" s="6"/>
      <c r="P64" s="6"/>
      <c r="Q64" s="6"/>
    </row>
    <row r="65" spans="1:9" s="160" customFormat="1" ht="45" x14ac:dyDescent="0.2">
      <c r="A65" s="416" t="s">
        <v>597</v>
      </c>
      <c r="B65" s="553" t="s">
        <v>532</v>
      </c>
      <c r="C65" s="553"/>
      <c r="D65" s="255" t="s">
        <v>964</v>
      </c>
      <c r="E65" s="383" t="s">
        <v>64</v>
      </c>
      <c r="F65" s="272"/>
      <c r="G65" s="273"/>
      <c r="H65" s="273"/>
      <c r="I65" s="417">
        <f>SUM(I66:I75)</f>
        <v>860.94999999999982</v>
      </c>
    </row>
    <row r="66" spans="1:9" s="48" customFormat="1" ht="13.5" customHeight="1" x14ac:dyDescent="0.2">
      <c r="A66" s="327" t="s">
        <v>54</v>
      </c>
      <c r="B66" s="224" t="s">
        <v>94</v>
      </c>
      <c r="C66" s="223">
        <v>589</v>
      </c>
      <c r="D66" s="218" t="s">
        <v>958</v>
      </c>
      <c r="E66" s="224" t="s">
        <v>63</v>
      </c>
      <c r="F66" s="276">
        <v>6</v>
      </c>
      <c r="G66" s="277">
        <v>28.61</v>
      </c>
      <c r="H66" s="276">
        <v>27.53</v>
      </c>
      <c r="I66" s="277">
        <v>165.18</v>
      </c>
    </row>
    <row r="67" spans="1:9" s="48" customFormat="1" ht="14.25" x14ac:dyDescent="0.2">
      <c r="A67" s="327" t="s">
        <v>55</v>
      </c>
      <c r="B67" s="224" t="s">
        <v>94</v>
      </c>
      <c r="C67" s="223">
        <v>11125</v>
      </c>
      <c r="D67" s="218" t="s">
        <v>959</v>
      </c>
      <c r="E67" s="224" t="s">
        <v>384</v>
      </c>
      <c r="F67" s="276">
        <v>3</v>
      </c>
      <c r="G67" s="277">
        <v>14.02</v>
      </c>
      <c r="H67" s="276">
        <v>26.4</v>
      </c>
      <c r="I67" s="277">
        <v>79.2</v>
      </c>
    </row>
    <row r="68" spans="1:9" s="48" customFormat="1" ht="28.5" x14ac:dyDescent="0.2">
      <c r="A68" s="327" t="s">
        <v>56</v>
      </c>
      <c r="B68" s="224" t="s">
        <v>94</v>
      </c>
      <c r="C68" s="223">
        <v>7162</v>
      </c>
      <c r="D68" s="218" t="s">
        <v>960</v>
      </c>
      <c r="E68" s="224" t="s">
        <v>61</v>
      </c>
      <c r="F68" s="276">
        <v>2</v>
      </c>
      <c r="G68" s="277">
        <v>22.77</v>
      </c>
      <c r="H68" s="276">
        <v>20.36</v>
      </c>
      <c r="I68" s="277">
        <v>40.72</v>
      </c>
    </row>
    <row r="69" spans="1:9" s="48" customFormat="1" ht="28.5" x14ac:dyDescent="0.2">
      <c r="A69" s="327" t="s">
        <v>57</v>
      </c>
      <c r="B69" s="224" t="s">
        <v>94</v>
      </c>
      <c r="C69" s="223">
        <v>7696</v>
      </c>
      <c r="D69" s="218" t="s">
        <v>961</v>
      </c>
      <c r="E69" s="224" t="s">
        <v>63</v>
      </c>
      <c r="F69" s="276">
        <v>4</v>
      </c>
      <c r="G69" s="277">
        <v>34.93</v>
      </c>
      <c r="H69" s="276">
        <v>41.78</v>
      </c>
      <c r="I69" s="277">
        <v>167.12</v>
      </c>
    </row>
    <row r="70" spans="1:9" s="48" customFormat="1" ht="14.25" x14ac:dyDescent="0.2">
      <c r="A70" s="327" t="s">
        <v>664</v>
      </c>
      <c r="B70" s="224" t="s">
        <v>94</v>
      </c>
      <c r="C70" s="223">
        <v>11964</v>
      </c>
      <c r="D70" s="218" t="s">
        <v>962</v>
      </c>
      <c r="E70" s="224" t="s">
        <v>64</v>
      </c>
      <c r="F70" s="276">
        <v>4</v>
      </c>
      <c r="G70" s="277">
        <v>1.2</v>
      </c>
      <c r="H70" s="276">
        <v>1.92</v>
      </c>
      <c r="I70" s="277">
        <v>7.68</v>
      </c>
    </row>
    <row r="71" spans="1:9" s="48" customFormat="1" ht="14.25" x14ac:dyDescent="0.2">
      <c r="A71" s="327" t="s">
        <v>665</v>
      </c>
      <c r="B71" s="224" t="s">
        <v>94</v>
      </c>
      <c r="C71" s="223">
        <v>5104</v>
      </c>
      <c r="D71" s="218" t="s">
        <v>963</v>
      </c>
      <c r="E71" s="224" t="s">
        <v>384</v>
      </c>
      <c r="F71" s="276">
        <v>0.2</v>
      </c>
      <c r="G71" s="277">
        <v>34.61</v>
      </c>
      <c r="H71" s="276">
        <v>43.85</v>
      </c>
      <c r="I71" s="277">
        <v>8.77</v>
      </c>
    </row>
    <row r="72" spans="1:9" s="48" customFormat="1" ht="14.25" x14ac:dyDescent="0.2">
      <c r="A72" s="327" t="s">
        <v>666</v>
      </c>
      <c r="B72" s="224" t="s">
        <v>94</v>
      </c>
      <c r="C72" s="223">
        <v>252</v>
      </c>
      <c r="D72" s="218" t="s">
        <v>517</v>
      </c>
      <c r="E72" s="224" t="s">
        <v>60</v>
      </c>
      <c r="F72" s="276">
        <v>9</v>
      </c>
      <c r="G72" s="275">
        <v>9.19</v>
      </c>
      <c r="H72" s="276">
        <v>8.68</v>
      </c>
      <c r="I72" s="277">
        <v>78.12</v>
      </c>
    </row>
    <row r="73" spans="1:9" s="48" customFormat="1" ht="14.25" x14ac:dyDescent="0.2">
      <c r="A73" s="327" t="s">
        <v>667</v>
      </c>
      <c r="B73" s="224" t="s">
        <v>94</v>
      </c>
      <c r="C73" s="223">
        <v>6110</v>
      </c>
      <c r="D73" s="218" t="s">
        <v>516</v>
      </c>
      <c r="E73" s="224" t="s">
        <v>60</v>
      </c>
      <c r="F73" s="276">
        <v>12</v>
      </c>
      <c r="G73" s="274">
        <v>12.2</v>
      </c>
      <c r="H73" s="276">
        <v>9.86</v>
      </c>
      <c r="I73" s="277">
        <v>118.32</v>
      </c>
    </row>
    <row r="74" spans="1:9" s="48" customFormat="1" ht="14.25" x14ac:dyDescent="0.2">
      <c r="A74" s="327" t="s">
        <v>668</v>
      </c>
      <c r="B74" s="224" t="s">
        <v>94</v>
      </c>
      <c r="C74" s="223">
        <v>6111</v>
      </c>
      <c r="D74" s="218" t="s">
        <v>557</v>
      </c>
      <c r="E74" s="224" t="s">
        <v>60</v>
      </c>
      <c r="F74" s="276">
        <v>12</v>
      </c>
      <c r="G74" s="277">
        <v>10.62</v>
      </c>
      <c r="H74" s="276">
        <v>6.46</v>
      </c>
      <c r="I74" s="277">
        <v>77.52</v>
      </c>
    </row>
    <row r="75" spans="1:9" s="48" customFormat="1" ht="14.25" x14ac:dyDescent="0.2">
      <c r="A75" s="327" t="s">
        <v>669</v>
      </c>
      <c r="B75" s="224" t="s">
        <v>94</v>
      </c>
      <c r="C75" s="223">
        <v>4750</v>
      </c>
      <c r="D75" s="218" t="s">
        <v>556</v>
      </c>
      <c r="E75" s="224" t="s">
        <v>60</v>
      </c>
      <c r="F75" s="276">
        <v>12</v>
      </c>
      <c r="G75" s="277">
        <v>12.92</v>
      </c>
      <c r="H75" s="276">
        <v>9.86</v>
      </c>
      <c r="I75" s="277">
        <v>118.32</v>
      </c>
    </row>
    <row r="76" spans="1:9" s="48" customFormat="1" ht="14.25" x14ac:dyDescent="0.2">
      <c r="A76" s="327"/>
      <c r="B76" s="224"/>
      <c r="C76" s="223"/>
      <c r="D76" s="218"/>
      <c r="E76" s="224"/>
      <c r="F76" s="276"/>
      <c r="G76" s="277"/>
      <c r="H76" s="276"/>
      <c r="I76" s="277"/>
    </row>
    <row r="77" spans="1:9" s="48" customFormat="1" x14ac:dyDescent="0.2">
      <c r="A77" s="383" t="s">
        <v>599</v>
      </c>
      <c r="B77" s="553" t="s">
        <v>2186</v>
      </c>
      <c r="C77" s="553"/>
      <c r="D77" s="255" t="s">
        <v>2180</v>
      </c>
      <c r="E77" s="383"/>
      <c r="F77" s="272"/>
      <c r="G77" s="273"/>
      <c r="H77" s="273"/>
      <c r="I77" s="417">
        <f>SUM(I78:I102)</f>
        <v>19101.628299999993</v>
      </c>
    </row>
    <row r="78" spans="1:9" s="160" customFormat="1" ht="14.25" x14ac:dyDescent="0.2">
      <c r="A78" s="444" t="s">
        <v>535</v>
      </c>
      <c r="B78" s="428" t="s">
        <v>145</v>
      </c>
      <c r="C78" s="428"/>
      <c r="D78" s="434" t="s">
        <v>915</v>
      </c>
      <c r="E78" s="426" t="s">
        <v>64</v>
      </c>
      <c r="F78" s="445">
        <v>2</v>
      </c>
      <c r="G78" s="446">
        <v>242.82</v>
      </c>
      <c r="H78" s="429">
        <f t="shared" ref="H78" si="9">G78</f>
        <v>242.82</v>
      </c>
      <c r="I78" s="429">
        <f t="shared" ref="I78" si="10">F78*H78</f>
        <v>485.64</v>
      </c>
    </row>
    <row r="79" spans="1:9" s="160" customFormat="1" ht="14.25" x14ac:dyDescent="0.2">
      <c r="A79" s="444" t="s">
        <v>536</v>
      </c>
      <c r="B79" s="428" t="s">
        <v>101</v>
      </c>
      <c r="C79" s="428">
        <v>25000089</v>
      </c>
      <c r="D79" s="434" t="s">
        <v>916</v>
      </c>
      <c r="E79" s="426" t="s">
        <v>64</v>
      </c>
      <c r="F79" s="445">
        <v>2</v>
      </c>
      <c r="G79" s="446">
        <v>234.3</v>
      </c>
      <c r="H79" s="429">
        <f t="shared" ref="H79:H102" si="11">G79</f>
        <v>234.3</v>
      </c>
      <c r="I79" s="429">
        <f t="shared" ref="I79:I102" si="12">F79*H79</f>
        <v>468.6</v>
      </c>
    </row>
    <row r="80" spans="1:9" s="160" customFormat="1" ht="14.25" x14ac:dyDescent="0.2">
      <c r="A80" s="444" t="s">
        <v>537</v>
      </c>
      <c r="B80" s="428" t="s">
        <v>101</v>
      </c>
      <c r="C80" s="428">
        <v>25000143</v>
      </c>
      <c r="D80" s="434" t="s">
        <v>2224</v>
      </c>
      <c r="E80" s="426" t="s">
        <v>64</v>
      </c>
      <c r="F80" s="445">
        <v>1</v>
      </c>
      <c r="G80" s="446">
        <v>134.94999999999999</v>
      </c>
      <c r="H80" s="429">
        <f t="shared" si="11"/>
        <v>134.94999999999999</v>
      </c>
      <c r="I80" s="429">
        <f t="shared" si="12"/>
        <v>134.94999999999999</v>
      </c>
    </row>
    <row r="81" spans="1:9" s="160" customFormat="1" ht="14.25" x14ac:dyDescent="0.2">
      <c r="A81" s="444" t="s">
        <v>538</v>
      </c>
      <c r="B81" s="428" t="s">
        <v>101</v>
      </c>
      <c r="C81" s="428">
        <v>25000931</v>
      </c>
      <c r="D81" s="434" t="s">
        <v>2225</v>
      </c>
      <c r="E81" s="426" t="s">
        <v>64</v>
      </c>
      <c r="F81" s="445">
        <v>1</v>
      </c>
      <c r="G81" s="446">
        <v>239.3</v>
      </c>
      <c r="H81" s="429">
        <f t="shared" si="11"/>
        <v>239.3</v>
      </c>
      <c r="I81" s="429">
        <f t="shared" si="12"/>
        <v>239.3</v>
      </c>
    </row>
    <row r="82" spans="1:9" s="160" customFormat="1" ht="14.25" x14ac:dyDescent="0.2">
      <c r="A82" s="444" t="s">
        <v>2235</v>
      </c>
      <c r="B82" s="428" t="s">
        <v>101</v>
      </c>
      <c r="C82" s="428">
        <v>25038466</v>
      </c>
      <c r="D82" s="434" t="s">
        <v>2226</v>
      </c>
      <c r="E82" s="426" t="s">
        <v>64</v>
      </c>
      <c r="F82" s="445">
        <v>1</v>
      </c>
      <c r="G82" s="446">
        <v>518.74</v>
      </c>
      <c r="H82" s="429">
        <f t="shared" si="11"/>
        <v>518.74</v>
      </c>
      <c r="I82" s="429">
        <f t="shared" si="12"/>
        <v>518.74</v>
      </c>
    </row>
    <row r="83" spans="1:9" s="160" customFormat="1" ht="14.25" x14ac:dyDescent="0.2">
      <c r="A83" s="444" t="s">
        <v>2236</v>
      </c>
      <c r="B83" s="428" t="s">
        <v>101</v>
      </c>
      <c r="C83" s="428">
        <v>25004193</v>
      </c>
      <c r="D83" s="434" t="s">
        <v>2227</v>
      </c>
      <c r="E83" s="426" t="s">
        <v>64</v>
      </c>
      <c r="F83" s="445">
        <v>1</v>
      </c>
      <c r="G83" s="446">
        <v>274.76</v>
      </c>
      <c r="H83" s="429">
        <f t="shared" si="11"/>
        <v>274.76</v>
      </c>
      <c r="I83" s="429">
        <f t="shared" si="12"/>
        <v>274.76</v>
      </c>
    </row>
    <row r="84" spans="1:9" s="160" customFormat="1" ht="14.25" x14ac:dyDescent="0.2">
      <c r="A84" s="444" t="s">
        <v>2237</v>
      </c>
      <c r="B84" s="428" t="s">
        <v>101</v>
      </c>
      <c r="C84" s="428">
        <v>25000248</v>
      </c>
      <c r="D84" s="434" t="s">
        <v>917</v>
      </c>
      <c r="E84" s="426" t="s">
        <v>64</v>
      </c>
      <c r="F84" s="445">
        <f>4+2+1+4</f>
        <v>11</v>
      </c>
      <c r="G84" s="446">
        <v>150.56</v>
      </c>
      <c r="H84" s="429">
        <f t="shared" si="11"/>
        <v>150.56</v>
      </c>
      <c r="I84" s="429">
        <f t="shared" si="12"/>
        <v>1656.16</v>
      </c>
    </row>
    <row r="85" spans="1:9" s="160" customFormat="1" ht="14.25" x14ac:dyDescent="0.2">
      <c r="A85" s="444" t="s">
        <v>2238</v>
      </c>
      <c r="B85" s="428" t="s">
        <v>101</v>
      </c>
      <c r="C85" s="428">
        <v>25004030</v>
      </c>
      <c r="D85" s="434" t="s">
        <v>918</v>
      </c>
      <c r="E85" s="426" t="s">
        <v>63</v>
      </c>
      <c r="F85" s="445">
        <f>0.63+0.63+0.68+0.8+5.13</f>
        <v>7.87</v>
      </c>
      <c r="G85" s="446">
        <v>162.38999999999999</v>
      </c>
      <c r="H85" s="429">
        <f t="shared" si="11"/>
        <v>162.38999999999999</v>
      </c>
      <c r="I85" s="429">
        <f t="shared" si="12"/>
        <v>1278.0092999999999</v>
      </c>
    </row>
    <row r="86" spans="1:9" s="160" customFormat="1" ht="14.25" x14ac:dyDescent="0.2">
      <c r="A86" s="444" t="s">
        <v>2239</v>
      </c>
      <c r="B86" s="428" t="s">
        <v>101</v>
      </c>
      <c r="C86" s="428">
        <v>25003082</v>
      </c>
      <c r="D86" s="434" t="s">
        <v>919</v>
      </c>
      <c r="E86" s="426" t="s">
        <v>64</v>
      </c>
      <c r="F86" s="445">
        <v>2</v>
      </c>
      <c r="G86" s="446">
        <v>465.45</v>
      </c>
      <c r="H86" s="429">
        <f t="shared" si="11"/>
        <v>465.45</v>
      </c>
      <c r="I86" s="429">
        <f t="shared" si="12"/>
        <v>930.9</v>
      </c>
    </row>
    <row r="87" spans="1:9" s="48" customFormat="1" ht="14.25" x14ac:dyDescent="0.2">
      <c r="A87" s="327" t="s">
        <v>2240</v>
      </c>
      <c r="B87" s="313" t="s">
        <v>94</v>
      </c>
      <c r="C87" s="313">
        <v>3722</v>
      </c>
      <c r="D87" s="218" t="s">
        <v>920</v>
      </c>
      <c r="E87" s="224" t="s">
        <v>64</v>
      </c>
      <c r="F87" s="276">
        <v>3</v>
      </c>
      <c r="G87" s="277">
        <v>317.8</v>
      </c>
      <c r="H87" s="215">
        <f t="shared" si="11"/>
        <v>317.8</v>
      </c>
      <c r="I87" s="215">
        <f t="shared" si="12"/>
        <v>953.40000000000009</v>
      </c>
    </row>
    <row r="88" spans="1:9" s="160" customFormat="1" ht="14.25" x14ac:dyDescent="0.2">
      <c r="A88" s="444" t="s">
        <v>2241</v>
      </c>
      <c r="B88" s="428" t="s">
        <v>101</v>
      </c>
      <c r="C88" s="428">
        <v>25003293</v>
      </c>
      <c r="D88" s="434" t="s">
        <v>1023</v>
      </c>
      <c r="E88" s="426" t="s">
        <v>64</v>
      </c>
      <c r="F88" s="445">
        <v>2</v>
      </c>
      <c r="G88" s="446">
        <v>902.11</v>
      </c>
      <c r="H88" s="429">
        <f t="shared" si="11"/>
        <v>902.11</v>
      </c>
      <c r="I88" s="429">
        <f t="shared" si="12"/>
        <v>1804.22</v>
      </c>
    </row>
    <row r="89" spans="1:9" s="160" customFormat="1" ht="14.25" x14ac:dyDescent="0.2">
      <c r="A89" s="444" t="s">
        <v>2242</v>
      </c>
      <c r="B89" s="428" t="s">
        <v>101</v>
      </c>
      <c r="C89" s="428">
        <v>25000110</v>
      </c>
      <c r="D89" s="434" t="s">
        <v>921</v>
      </c>
      <c r="E89" s="426" t="s">
        <v>64</v>
      </c>
      <c r="F89" s="445">
        <v>1</v>
      </c>
      <c r="G89" s="446">
        <v>379.15</v>
      </c>
      <c r="H89" s="429">
        <f t="shared" si="11"/>
        <v>379.15</v>
      </c>
      <c r="I89" s="429">
        <f t="shared" si="12"/>
        <v>379.15</v>
      </c>
    </row>
    <row r="90" spans="1:9" s="48" customFormat="1" ht="14.25" x14ac:dyDescent="0.2">
      <c r="A90" s="327" t="s">
        <v>2243</v>
      </c>
      <c r="B90" s="313" t="s">
        <v>94</v>
      </c>
      <c r="C90" s="313">
        <v>3610</v>
      </c>
      <c r="D90" s="218" t="s">
        <v>922</v>
      </c>
      <c r="E90" s="224" t="s">
        <v>64</v>
      </c>
      <c r="F90" s="276">
        <v>1</v>
      </c>
      <c r="G90" s="277">
        <v>979.63</v>
      </c>
      <c r="H90" s="215">
        <f t="shared" si="11"/>
        <v>979.63</v>
      </c>
      <c r="I90" s="215">
        <f t="shared" si="12"/>
        <v>979.63</v>
      </c>
    </row>
    <row r="91" spans="1:9" s="160" customFormat="1" ht="14.25" x14ac:dyDescent="0.2">
      <c r="A91" s="444" t="s">
        <v>2244</v>
      </c>
      <c r="B91" s="428" t="s">
        <v>101</v>
      </c>
      <c r="C91" s="428">
        <v>25000393</v>
      </c>
      <c r="D91" s="434" t="s">
        <v>923</v>
      </c>
      <c r="E91" s="426" t="s">
        <v>64</v>
      </c>
      <c r="F91" s="445">
        <v>1</v>
      </c>
      <c r="G91" s="446">
        <v>302.93</v>
      </c>
      <c r="H91" s="429">
        <f t="shared" si="11"/>
        <v>302.93</v>
      </c>
      <c r="I91" s="429">
        <f t="shared" si="12"/>
        <v>302.93</v>
      </c>
    </row>
    <row r="92" spans="1:9" s="160" customFormat="1" ht="13.5" customHeight="1" x14ac:dyDescent="0.2">
      <c r="A92" s="444" t="s">
        <v>2245</v>
      </c>
      <c r="B92" s="428" t="s">
        <v>145</v>
      </c>
      <c r="C92" s="428"/>
      <c r="D92" s="434" t="s">
        <v>2228</v>
      </c>
      <c r="E92" s="426" t="s">
        <v>64</v>
      </c>
      <c r="F92" s="445">
        <v>1</v>
      </c>
      <c r="G92" s="446">
        <v>689.3</v>
      </c>
      <c r="H92" s="429">
        <f t="shared" si="11"/>
        <v>689.3</v>
      </c>
      <c r="I92" s="429">
        <f t="shared" si="12"/>
        <v>689.3</v>
      </c>
    </row>
    <row r="93" spans="1:9" s="160" customFormat="1" ht="13.5" customHeight="1" x14ac:dyDescent="0.2">
      <c r="A93" s="444" t="s">
        <v>2246</v>
      </c>
      <c r="B93" s="428" t="s">
        <v>145</v>
      </c>
      <c r="C93" s="428"/>
      <c r="D93" s="434" t="s">
        <v>2229</v>
      </c>
      <c r="E93" s="426" t="s">
        <v>64</v>
      </c>
      <c r="F93" s="445">
        <v>1</v>
      </c>
      <c r="G93" s="446">
        <v>7178.33</v>
      </c>
      <c r="H93" s="429">
        <f t="shared" si="11"/>
        <v>7178.33</v>
      </c>
      <c r="I93" s="429">
        <f t="shared" si="12"/>
        <v>7178.33</v>
      </c>
    </row>
    <row r="94" spans="1:9" s="160" customFormat="1" ht="14.25" x14ac:dyDescent="0.2">
      <c r="A94" s="444" t="s">
        <v>2247</v>
      </c>
      <c r="B94" s="428" t="s">
        <v>101</v>
      </c>
      <c r="C94" s="428">
        <v>25004032</v>
      </c>
      <c r="D94" s="434" t="s">
        <v>900</v>
      </c>
      <c r="E94" s="426" t="s">
        <v>63</v>
      </c>
      <c r="F94" s="445">
        <v>0.3</v>
      </c>
      <c r="G94" s="446">
        <v>256.27999999999997</v>
      </c>
      <c r="H94" s="429">
        <f t="shared" si="11"/>
        <v>256.27999999999997</v>
      </c>
      <c r="I94" s="429">
        <f t="shared" si="12"/>
        <v>76.883999999999986</v>
      </c>
    </row>
    <row r="95" spans="1:9" s="48" customFormat="1" ht="14.25" x14ac:dyDescent="0.2">
      <c r="A95" s="327" t="s">
        <v>2248</v>
      </c>
      <c r="B95" s="313" t="s">
        <v>94</v>
      </c>
      <c r="C95" s="313">
        <v>11714</v>
      </c>
      <c r="D95" s="218" t="s">
        <v>314</v>
      </c>
      <c r="E95" s="224" t="s">
        <v>64</v>
      </c>
      <c r="F95" s="276">
        <v>1</v>
      </c>
      <c r="G95" s="277">
        <v>31.01</v>
      </c>
      <c r="H95" s="215">
        <f t="shared" si="11"/>
        <v>31.01</v>
      </c>
      <c r="I95" s="215">
        <f t="shared" si="12"/>
        <v>31.01</v>
      </c>
    </row>
    <row r="96" spans="1:9" s="48" customFormat="1" ht="14.25" x14ac:dyDescent="0.2">
      <c r="A96" s="327" t="s">
        <v>2249</v>
      </c>
      <c r="B96" s="313" t="s">
        <v>94</v>
      </c>
      <c r="C96" s="313">
        <v>9839</v>
      </c>
      <c r="D96" s="218" t="s">
        <v>2230</v>
      </c>
      <c r="E96" s="224" t="s">
        <v>63</v>
      </c>
      <c r="F96" s="276">
        <v>1</v>
      </c>
      <c r="G96" s="277">
        <v>11.54</v>
      </c>
      <c r="H96" s="215">
        <f t="shared" si="11"/>
        <v>11.54</v>
      </c>
      <c r="I96" s="215">
        <f t="shared" si="12"/>
        <v>11.54</v>
      </c>
    </row>
    <row r="97" spans="1:9" s="48" customFormat="1" ht="14.25" x14ac:dyDescent="0.2">
      <c r="A97" s="327" t="s">
        <v>2250</v>
      </c>
      <c r="B97" s="313" t="s">
        <v>94</v>
      </c>
      <c r="C97" s="313">
        <v>20068</v>
      </c>
      <c r="D97" s="218" t="s">
        <v>2231</v>
      </c>
      <c r="E97" s="224" t="s">
        <v>63</v>
      </c>
      <c r="F97" s="276">
        <v>0.5</v>
      </c>
      <c r="G97" s="277">
        <v>9.07</v>
      </c>
      <c r="H97" s="215">
        <f t="shared" si="11"/>
        <v>9.07</v>
      </c>
      <c r="I97" s="215">
        <f t="shared" si="12"/>
        <v>4.5350000000000001</v>
      </c>
    </row>
    <row r="98" spans="1:9" s="160" customFormat="1" ht="14.25" x14ac:dyDescent="0.2">
      <c r="A98" s="444" t="s">
        <v>2251</v>
      </c>
      <c r="B98" s="428" t="s">
        <v>101</v>
      </c>
      <c r="C98" s="428">
        <v>25003566</v>
      </c>
      <c r="D98" s="434" t="s">
        <v>2232</v>
      </c>
      <c r="E98" s="426"/>
      <c r="F98" s="445">
        <v>4</v>
      </c>
      <c r="G98" s="446">
        <v>1.37</v>
      </c>
      <c r="H98" s="429">
        <f t="shared" si="11"/>
        <v>1.37</v>
      </c>
      <c r="I98" s="429">
        <f t="shared" si="12"/>
        <v>5.48</v>
      </c>
    </row>
    <row r="99" spans="1:9" s="160" customFormat="1" ht="14.25" x14ac:dyDescent="0.2">
      <c r="A99" s="444" t="s">
        <v>2252</v>
      </c>
      <c r="B99" s="428" t="s">
        <v>101</v>
      </c>
      <c r="C99" s="428">
        <v>25003568</v>
      </c>
      <c r="D99" s="434" t="s">
        <v>913</v>
      </c>
      <c r="E99" s="426" t="s">
        <v>64</v>
      </c>
      <c r="F99" s="445">
        <v>2</v>
      </c>
      <c r="G99" s="446">
        <v>1.79</v>
      </c>
      <c r="H99" s="429">
        <f t="shared" si="11"/>
        <v>1.79</v>
      </c>
      <c r="I99" s="429">
        <f t="shared" si="12"/>
        <v>3.58</v>
      </c>
    </row>
    <row r="100" spans="1:9" s="160" customFormat="1" ht="14.25" x14ac:dyDescent="0.2">
      <c r="A100" s="444" t="s">
        <v>2253</v>
      </c>
      <c r="B100" s="428" t="s">
        <v>101</v>
      </c>
      <c r="C100" s="428">
        <v>25003569</v>
      </c>
      <c r="D100" s="434" t="s">
        <v>924</v>
      </c>
      <c r="E100" s="426" t="s">
        <v>64</v>
      </c>
      <c r="F100" s="445">
        <v>19</v>
      </c>
      <c r="G100" s="446">
        <v>3.02</v>
      </c>
      <c r="H100" s="429">
        <f t="shared" si="11"/>
        <v>3.02</v>
      </c>
      <c r="I100" s="429">
        <f t="shared" si="12"/>
        <v>57.38</v>
      </c>
    </row>
    <row r="101" spans="1:9" s="160" customFormat="1" ht="14.25" x14ac:dyDescent="0.2">
      <c r="A101" s="444" t="s">
        <v>2254</v>
      </c>
      <c r="B101" s="428" t="s">
        <v>101</v>
      </c>
      <c r="C101" s="428">
        <v>25025390</v>
      </c>
      <c r="D101" s="434" t="s">
        <v>2233</v>
      </c>
      <c r="E101" s="426"/>
      <c r="F101" s="445">
        <v>32</v>
      </c>
      <c r="G101" s="446">
        <v>1.8</v>
      </c>
      <c r="H101" s="429">
        <f t="shared" si="11"/>
        <v>1.8</v>
      </c>
      <c r="I101" s="429">
        <f t="shared" si="12"/>
        <v>57.6</v>
      </c>
    </row>
    <row r="102" spans="1:9" s="160" customFormat="1" ht="14.25" x14ac:dyDescent="0.2">
      <c r="A102" s="444" t="s">
        <v>2255</v>
      </c>
      <c r="B102" s="428" t="s">
        <v>101</v>
      </c>
      <c r="C102" s="428">
        <v>25025256</v>
      </c>
      <c r="D102" s="434" t="s">
        <v>2234</v>
      </c>
      <c r="E102" s="426"/>
      <c r="F102" s="445">
        <v>168</v>
      </c>
      <c r="G102" s="446">
        <v>3.45</v>
      </c>
      <c r="H102" s="429">
        <f t="shared" si="11"/>
        <v>3.45</v>
      </c>
      <c r="I102" s="429">
        <f t="shared" si="12"/>
        <v>579.6</v>
      </c>
    </row>
    <row r="103" spans="1:9" s="48" customFormat="1" ht="14.25" x14ac:dyDescent="0.2">
      <c r="A103" s="327"/>
      <c r="B103" s="313"/>
      <c r="C103" s="313"/>
      <c r="D103" s="218"/>
      <c r="E103" s="224"/>
      <c r="F103" s="276"/>
      <c r="G103" s="277"/>
      <c r="H103" s="215"/>
      <c r="I103" s="215"/>
    </row>
    <row r="104" spans="1:9" s="48" customFormat="1" ht="30" customHeight="1" x14ac:dyDescent="0.2">
      <c r="A104" s="383" t="s">
        <v>601</v>
      </c>
      <c r="B104" s="553" t="s">
        <v>2188</v>
      </c>
      <c r="C104" s="553"/>
      <c r="D104" s="255" t="s">
        <v>2187</v>
      </c>
      <c r="E104" s="383"/>
      <c r="F104" s="272"/>
      <c r="G104" s="273"/>
      <c r="H104" s="273"/>
      <c r="I104" s="417">
        <f>SUM(I105:I106)</f>
        <v>7388</v>
      </c>
    </row>
    <row r="105" spans="1:9" s="48" customFormat="1" ht="14.25" x14ac:dyDescent="0.2">
      <c r="A105" s="327" t="s">
        <v>540</v>
      </c>
      <c r="B105" s="313" t="s">
        <v>94</v>
      </c>
      <c r="C105" s="313">
        <v>2696</v>
      </c>
      <c r="D105" s="218" t="s">
        <v>2694</v>
      </c>
      <c r="E105" s="224" t="s">
        <v>60</v>
      </c>
      <c r="F105" s="276">
        <v>200</v>
      </c>
      <c r="G105" s="277">
        <v>14.76</v>
      </c>
      <c r="H105" s="215">
        <f t="shared" ref="H105" si="13">G105</f>
        <v>14.76</v>
      </c>
      <c r="I105" s="215">
        <f t="shared" ref="I105" si="14">F105*H105</f>
        <v>2952</v>
      </c>
    </row>
    <row r="106" spans="1:9" s="48" customFormat="1" ht="14.25" x14ac:dyDescent="0.2">
      <c r="A106" s="327" t="s">
        <v>541</v>
      </c>
      <c r="B106" s="313" t="s">
        <v>94</v>
      </c>
      <c r="C106" s="313" t="s">
        <v>388</v>
      </c>
      <c r="D106" s="218" t="s">
        <v>35</v>
      </c>
      <c r="E106" s="224" t="s">
        <v>60</v>
      </c>
      <c r="F106" s="276">
        <v>400</v>
      </c>
      <c r="G106" s="277">
        <v>11.09</v>
      </c>
      <c r="H106" s="215">
        <f t="shared" ref="H106" si="15">G106</f>
        <v>11.09</v>
      </c>
      <c r="I106" s="215">
        <f t="shared" ref="I106" si="16">F106*H106</f>
        <v>4436</v>
      </c>
    </row>
    <row r="107" spans="1:9" s="48" customFormat="1" ht="14.25" x14ac:dyDescent="0.2">
      <c r="A107" s="327"/>
      <c r="B107" s="313"/>
      <c r="C107" s="313"/>
      <c r="D107" s="218"/>
      <c r="E107" s="224"/>
      <c r="F107" s="276"/>
      <c r="G107" s="277"/>
      <c r="H107" s="215"/>
      <c r="I107" s="215"/>
    </row>
    <row r="108" spans="1:9" s="48" customFormat="1" ht="45" x14ac:dyDescent="0.2">
      <c r="A108" s="383" t="s">
        <v>790</v>
      </c>
      <c r="B108" s="553" t="s">
        <v>545</v>
      </c>
      <c r="C108" s="553"/>
      <c r="D108" s="255" t="s">
        <v>551</v>
      </c>
      <c r="E108" s="383"/>
      <c r="F108" s="272"/>
      <c r="G108" s="273"/>
      <c r="H108" s="273"/>
      <c r="I108" s="417">
        <f>SUM(I109:I112)</f>
        <v>373.39</v>
      </c>
    </row>
    <row r="109" spans="1:9" s="48" customFormat="1" ht="14.25" x14ac:dyDescent="0.2">
      <c r="A109" s="327" t="s">
        <v>546</v>
      </c>
      <c r="B109" s="314" t="s">
        <v>94</v>
      </c>
      <c r="C109" s="314">
        <v>11125</v>
      </c>
      <c r="D109" s="219" t="s">
        <v>527</v>
      </c>
      <c r="E109" s="314" t="s">
        <v>384</v>
      </c>
      <c r="F109" s="274">
        <v>19</v>
      </c>
      <c r="G109" s="274">
        <v>14.02</v>
      </c>
      <c r="H109" s="274">
        <f>G109</f>
        <v>14.02</v>
      </c>
      <c r="I109" s="275">
        <f>ROUND(F109*H109,2)</f>
        <v>266.38</v>
      </c>
    </row>
    <row r="110" spans="1:9" s="48" customFormat="1" ht="14.25" x14ac:dyDescent="0.2">
      <c r="A110" s="327" t="s">
        <v>547</v>
      </c>
      <c r="B110" s="314" t="s">
        <v>94</v>
      </c>
      <c r="C110" s="314">
        <v>585</v>
      </c>
      <c r="D110" s="256" t="s">
        <v>528</v>
      </c>
      <c r="E110" s="314" t="s">
        <v>384</v>
      </c>
      <c r="F110" s="274">
        <v>1.8</v>
      </c>
      <c r="G110" s="274">
        <v>16.98</v>
      </c>
      <c r="H110" s="274">
        <f>G110</f>
        <v>16.98</v>
      </c>
      <c r="I110" s="275">
        <f>ROUND(F110*H110,2)</f>
        <v>30.56</v>
      </c>
    </row>
    <row r="111" spans="1:9" s="48" customFormat="1" ht="14.25" x14ac:dyDescent="0.2">
      <c r="A111" s="327" t="s">
        <v>548</v>
      </c>
      <c r="B111" s="314" t="s">
        <v>94</v>
      </c>
      <c r="C111" s="314">
        <v>252</v>
      </c>
      <c r="D111" s="256" t="s">
        <v>522</v>
      </c>
      <c r="E111" s="314" t="s">
        <v>60</v>
      </c>
      <c r="F111" s="274">
        <v>5</v>
      </c>
      <c r="G111" s="274">
        <v>9.19</v>
      </c>
      <c r="H111" s="274">
        <f>G111</f>
        <v>9.19</v>
      </c>
      <c r="I111" s="275">
        <f>ROUND(F111*H111,2)</f>
        <v>45.95</v>
      </c>
    </row>
    <row r="112" spans="1:9" s="48" customFormat="1" ht="14.25" x14ac:dyDescent="0.2">
      <c r="A112" s="327" t="s">
        <v>549</v>
      </c>
      <c r="B112" s="314" t="s">
        <v>94</v>
      </c>
      <c r="C112" s="314">
        <v>6110</v>
      </c>
      <c r="D112" s="256" t="s">
        <v>516</v>
      </c>
      <c r="E112" s="314" t="s">
        <v>60</v>
      </c>
      <c r="F112" s="274">
        <v>2.5</v>
      </c>
      <c r="G112" s="274">
        <v>12.2</v>
      </c>
      <c r="H112" s="274">
        <f>G112</f>
        <v>12.2</v>
      </c>
      <c r="I112" s="275">
        <f>ROUND(F112*H112,2)</f>
        <v>30.5</v>
      </c>
    </row>
    <row r="113" spans="1:9" s="48" customFormat="1" ht="14.25" x14ac:dyDescent="0.2">
      <c r="A113" s="327"/>
      <c r="B113" s="314"/>
      <c r="C113" s="314"/>
      <c r="D113" s="256"/>
      <c r="E113" s="314"/>
      <c r="F113" s="274"/>
      <c r="G113" s="274"/>
      <c r="H113" s="274"/>
      <c r="I113" s="275"/>
    </row>
    <row r="114" spans="1:9" s="48" customFormat="1" x14ac:dyDescent="0.2">
      <c r="A114" s="383" t="s">
        <v>2261</v>
      </c>
      <c r="B114" s="553" t="s">
        <v>2190</v>
      </c>
      <c r="C114" s="553"/>
      <c r="D114" s="255" t="str">
        <f>ORÇAMENTO!D256</f>
        <v>FORNECIMENTO DO MATERIAL HIDRÁULICO DO TRATAMENTO PRELIMINAR</v>
      </c>
      <c r="E114" s="383"/>
      <c r="F114" s="272"/>
      <c r="G114" s="273"/>
      <c r="H114" s="273"/>
      <c r="I114" s="417">
        <f>SUM(I115:I120)</f>
        <v>3439.4859999999999</v>
      </c>
    </row>
    <row r="115" spans="1:9" s="160" customFormat="1" ht="14.25" x14ac:dyDescent="0.2">
      <c r="A115" s="444" t="s">
        <v>2262</v>
      </c>
      <c r="B115" s="428" t="s">
        <v>101</v>
      </c>
      <c r="C115" s="447">
        <v>25004032</v>
      </c>
      <c r="D115" s="434" t="s">
        <v>900</v>
      </c>
      <c r="E115" s="426" t="s">
        <v>63</v>
      </c>
      <c r="F115" s="448">
        <f>0.35+0.85</f>
        <v>1.2</v>
      </c>
      <c r="G115" s="429">
        <v>256.27999999999997</v>
      </c>
      <c r="H115" s="445">
        <f>G115</f>
        <v>256.27999999999997</v>
      </c>
      <c r="I115" s="446">
        <f t="shared" ref="I115:I117" si="17">F115*H115</f>
        <v>307.53599999999994</v>
      </c>
    </row>
    <row r="116" spans="1:9" s="160" customFormat="1" ht="14.25" x14ac:dyDescent="0.2">
      <c r="A116" s="444" t="s">
        <v>2263</v>
      </c>
      <c r="B116" s="428" t="s">
        <v>101</v>
      </c>
      <c r="C116" s="428">
        <v>25000258</v>
      </c>
      <c r="D116" s="434" t="s">
        <v>1024</v>
      </c>
      <c r="E116" s="426" t="s">
        <v>64</v>
      </c>
      <c r="F116" s="445">
        <v>1</v>
      </c>
      <c r="G116" s="446">
        <v>190.24</v>
      </c>
      <c r="H116" s="445">
        <f>G116</f>
        <v>190.24</v>
      </c>
      <c r="I116" s="446">
        <f t="shared" si="17"/>
        <v>190.24</v>
      </c>
    </row>
    <row r="117" spans="1:9" s="160" customFormat="1" ht="14.25" x14ac:dyDescent="0.2">
      <c r="A117" s="444" t="s">
        <v>2264</v>
      </c>
      <c r="B117" s="428" t="s">
        <v>101</v>
      </c>
      <c r="C117" s="428">
        <v>25003301</v>
      </c>
      <c r="D117" s="434" t="s">
        <v>1025</v>
      </c>
      <c r="E117" s="426" t="s">
        <v>64</v>
      </c>
      <c r="F117" s="445">
        <v>1</v>
      </c>
      <c r="G117" s="446">
        <v>1838.19</v>
      </c>
      <c r="H117" s="445">
        <f t="shared" ref="H117" si="18">G117</f>
        <v>1838.19</v>
      </c>
      <c r="I117" s="446">
        <f t="shared" si="17"/>
        <v>1838.19</v>
      </c>
    </row>
    <row r="118" spans="1:9" s="160" customFormat="1" ht="14.25" x14ac:dyDescent="0.2">
      <c r="A118" s="444" t="s">
        <v>2265</v>
      </c>
      <c r="B118" s="428" t="s">
        <v>145</v>
      </c>
      <c r="C118" s="428"/>
      <c r="D118" s="434" t="s">
        <v>15</v>
      </c>
      <c r="E118" s="426" t="s">
        <v>64</v>
      </c>
      <c r="F118" s="448">
        <v>2</v>
      </c>
      <c r="G118" s="429">
        <v>5.6</v>
      </c>
      <c r="H118" s="445">
        <f t="shared" ref="H118:H119" si="19">G118</f>
        <v>5.6</v>
      </c>
      <c r="I118" s="446">
        <f t="shared" ref="I118:I119" si="20">F118*H118</f>
        <v>11.2</v>
      </c>
    </row>
    <row r="119" spans="1:9" s="160" customFormat="1" ht="14.25" x14ac:dyDescent="0.2">
      <c r="A119" s="444" t="s">
        <v>2266</v>
      </c>
      <c r="B119" s="428" t="s">
        <v>145</v>
      </c>
      <c r="C119" s="428"/>
      <c r="D119" s="434" t="s">
        <v>14</v>
      </c>
      <c r="E119" s="426" t="s">
        <v>64</v>
      </c>
      <c r="F119" s="448">
        <v>24</v>
      </c>
      <c r="G119" s="429">
        <v>4.68</v>
      </c>
      <c r="H119" s="445">
        <f t="shared" si="19"/>
        <v>4.68</v>
      </c>
      <c r="I119" s="446">
        <f t="shared" si="20"/>
        <v>112.32</v>
      </c>
    </row>
    <row r="120" spans="1:9" s="160" customFormat="1" ht="14.25" x14ac:dyDescent="0.2">
      <c r="A120" s="444" t="s">
        <v>2267</v>
      </c>
      <c r="B120" s="428" t="s">
        <v>145</v>
      </c>
      <c r="C120" s="428"/>
      <c r="D120" s="434" t="s">
        <v>825</v>
      </c>
      <c r="E120" s="426" t="s">
        <v>64</v>
      </c>
      <c r="F120" s="448">
        <v>1</v>
      </c>
      <c r="G120" s="429">
        <v>980</v>
      </c>
      <c r="H120" s="445">
        <f t="shared" ref="H120" si="21">G120</f>
        <v>980</v>
      </c>
      <c r="I120" s="446">
        <f t="shared" ref="I120" si="22">F120*H120</f>
        <v>980</v>
      </c>
    </row>
    <row r="121" spans="1:9" s="48" customFormat="1" ht="14.25" x14ac:dyDescent="0.2">
      <c r="A121" s="327"/>
      <c r="B121" s="314"/>
      <c r="C121" s="314"/>
      <c r="D121" s="256"/>
      <c r="E121" s="314"/>
      <c r="F121" s="274"/>
      <c r="G121" s="274"/>
      <c r="H121" s="274"/>
      <c r="I121" s="275"/>
    </row>
    <row r="122" spans="1:9" s="48" customFormat="1" x14ac:dyDescent="0.2">
      <c r="A122" s="383" t="s">
        <v>791</v>
      </c>
      <c r="B122" s="553" t="s">
        <v>550</v>
      </c>
      <c r="C122" s="553"/>
      <c r="D122" s="255" t="str">
        <f>ORÇAMENTO!D257</f>
        <v>MONTAGEM HIDRÁULICA DO TRATAMENTO PRELIMINAR</v>
      </c>
      <c r="E122" s="383" t="s">
        <v>64</v>
      </c>
      <c r="F122" s="272"/>
      <c r="G122" s="273"/>
      <c r="H122" s="273"/>
      <c r="I122" s="417">
        <f>SUM(I123:I124)</f>
        <v>1107.8000000000002</v>
      </c>
    </row>
    <row r="123" spans="1:9" s="48" customFormat="1" ht="14.25" x14ac:dyDescent="0.2">
      <c r="A123" s="327" t="s">
        <v>868</v>
      </c>
      <c r="B123" s="224" t="s">
        <v>94</v>
      </c>
      <c r="C123" s="313">
        <v>2696</v>
      </c>
      <c r="D123" s="218" t="s">
        <v>2694</v>
      </c>
      <c r="E123" s="224" t="s">
        <v>60</v>
      </c>
      <c r="F123" s="276">
        <v>45</v>
      </c>
      <c r="G123" s="277">
        <v>14.76</v>
      </c>
      <c r="H123" s="276">
        <f>G123</f>
        <v>14.76</v>
      </c>
      <c r="I123" s="277">
        <f>F123*H123</f>
        <v>664.2</v>
      </c>
    </row>
    <row r="124" spans="1:9" s="48" customFormat="1" ht="14.25" x14ac:dyDescent="0.2">
      <c r="A124" s="327" t="s">
        <v>869</v>
      </c>
      <c r="B124" s="224" t="s">
        <v>94</v>
      </c>
      <c r="C124" s="223" t="s">
        <v>388</v>
      </c>
      <c r="D124" s="218" t="s">
        <v>35</v>
      </c>
      <c r="E124" s="224" t="s">
        <v>60</v>
      </c>
      <c r="F124" s="276">
        <v>40</v>
      </c>
      <c r="G124" s="277">
        <v>11.09</v>
      </c>
      <c r="H124" s="276">
        <f>G124</f>
        <v>11.09</v>
      </c>
      <c r="I124" s="277">
        <f>F124*H124</f>
        <v>443.6</v>
      </c>
    </row>
    <row r="125" spans="1:9" s="48" customFormat="1" ht="14.25" x14ac:dyDescent="0.2">
      <c r="A125" s="327"/>
      <c r="B125" s="224"/>
      <c r="C125" s="223"/>
      <c r="D125" s="218"/>
      <c r="E125" s="224"/>
      <c r="F125" s="276"/>
      <c r="G125" s="277"/>
      <c r="H125" s="276"/>
      <c r="I125" s="277"/>
    </row>
    <row r="126" spans="1:9" s="48" customFormat="1" x14ac:dyDescent="0.2">
      <c r="A126" s="383" t="s">
        <v>2268</v>
      </c>
      <c r="B126" s="553" t="s">
        <v>2191</v>
      </c>
      <c r="C126" s="553"/>
      <c r="D126" s="255" t="s">
        <v>2192</v>
      </c>
      <c r="E126" s="383"/>
      <c r="F126" s="272"/>
      <c r="G126" s="273"/>
      <c r="H126" s="273"/>
      <c r="I126" s="417">
        <f>SUM(I127:I147)</f>
        <v>17679.719999999998</v>
      </c>
    </row>
    <row r="127" spans="1:9" s="48" customFormat="1" ht="28.5" x14ac:dyDescent="0.2">
      <c r="A127" s="327" t="s">
        <v>2269</v>
      </c>
      <c r="B127" s="224" t="s">
        <v>94</v>
      </c>
      <c r="C127" s="224" t="s">
        <v>105</v>
      </c>
      <c r="D127" s="217" t="s">
        <v>907</v>
      </c>
      <c r="E127" s="313" t="s">
        <v>62</v>
      </c>
      <c r="F127" s="215">
        <v>4.13</v>
      </c>
      <c r="G127" s="215">
        <v>49.27</v>
      </c>
      <c r="H127" s="227">
        <f>G127</f>
        <v>49.27</v>
      </c>
      <c r="I127" s="418">
        <f>ROUND(F127*H127,2)</f>
        <v>203.49</v>
      </c>
    </row>
    <row r="128" spans="1:9" s="48" customFormat="1" ht="14.25" x14ac:dyDescent="0.2">
      <c r="A128" s="327" t="s">
        <v>2270</v>
      </c>
      <c r="B128" s="224" t="s">
        <v>94</v>
      </c>
      <c r="C128" s="224" t="s">
        <v>82</v>
      </c>
      <c r="D128" s="217" t="s">
        <v>53</v>
      </c>
      <c r="E128" s="313" t="s">
        <v>62</v>
      </c>
      <c r="F128" s="215">
        <v>0.49</v>
      </c>
      <c r="G128" s="215">
        <v>344.14</v>
      </c>
      <c r="H128" s="227">
        <f t="shared" ref="H128:H147" si="23">G128</f>
        <v>344.14</v>
      </c>
      <c r="I128" s="418">
        <f t="shared" ref="I128:I147" si="24">ROUND(F128*H128,2)</f>
        <v>168.63</v>
      </c>
    </row>
    <row r="129" spans="1:9" s="160" customFormat="1" ht="28.5" x14ac:dyDescent="0.2">
      <c r="A129" s="444" t="s">
        <v>2271</v>
      </c>
      <c r="B129" s="426" t="s">
        <v>94</v>
      </c>
      <c r="C129" s="426" t="s">
        <v>845</v>
      </c>
      <c r="D129" s="427" t="s">
        <v>846</v>
      </c>
      <c r="E129" s="428" t="s">
        <v>61</v>
      </c>
      <c r="F129" s="429">
        <v>16.52</v>
      </c>
      <c r="G129" s="429">
        <v>52.56</v>
      </c>
      <c r="H129" s="429">
        <f t="shared" si="23"/>
        <v>52.56</v>
      </c>
      <c r="I129" s="441">
        <f t="shared" si="24"/>
        <v>868.29</v>
      </c>
    </row>
    <row r="130" spans="1:9" s="160" customFormat="1" ht="28.5" x14ac:dyDescent="0.2">
      <c r="A130" s="444" t="s">
        <v>2272</v>
      </c>
      <c r="B130" s="426" t="s">
        <v>94</v>
      </c>
      <c r="C130" s="426" t="s">
        <v>614</v>
      </c>
      <c r="D130" s="427" t="s">
        <v>615</v>
      </c>
      <c r="E130" s="428" t="s">
        <v>384</v>
      </c>
      <c r="F130" s="429">
        <v>157.6</v>
      </c>
      <c r="G130" s="429">
        <v>6.71</v>
      </c>
      <c r="H130" s="429">
        <f t="shared" si="23"/>
        <v>6.71</v>
      </c>
      <c r="I130" s="441">
        <f t="shared" si="24"/>
        <v>1057.5</v>
      </c>
    </row>
    <row r="131" spans="1:9" s="48" customFormat="1" ht="14.25" x14ac:dyDescent="0.2">
      <c r="A131" s="327" t="s">
        <v>2273</v>
      </c>
      <c r="B131" s="313" t="s">
        <v>94</v>
      </c>
      <c r="C131" s="313" t="s">
        <v>926</v>
      </c>
      <c r="D131" s="217" t="s">
        <v>927</v>
      </c>
      <c r="E131" s="313" t="s">
        <v>62</v>
      </c>
      <c r="F131" s="215">
        <v>3.94</v>
      </c>
      <c r="G131" s="215">
        <v>330.94</v>
      </c>
      <c r="H131" s="227">
        <f t="shared" si="23"/>
        <v>330.94</v>
      </c>
      <c r="I131" s="418">
        <f t="shared" si="24"/>
        <v>1303.9000000000001</v>
      </c>
    </row>
    <row r="132" spans="1:9" s="160" customFormat="1" ht="14.25" x14ac:dyDescent="0.2">
      <c r="A132" s="444" t="s">
        <v>2274</v>
      </c>
      <c r="B132" s="428" t="s">
        <v>94</v>
      </c>
      <c r="C132" s="428" t="s">
        <v>928</v>
      </c>
      <c r="D132" s="427" t="s">
        <v>929</v>
      </c>
      <c r="E132" s="428" t="s">
        <v>62</v>
      </c>
      <c r="F132" s="429">
        <v>3.94</v>
      </c>
      <c r="G132" s="429">
        <v>65.92</v>
      </c>
      <c r="H132" s="429">
        <f t="shared" si="23"/>
        <v>65.92</v>
      </c>
      <c r="I132" s="441">
        <f t="shared" si="24"/>
        <v>259.72000000000003</v>
      </c>
    </row>
    <row r="133" spans="1:9" s="48" customFormat="1" ht="57" x14ac:dyDescent="0.2">
      <c r="A133" s="327" t="s">
        <v>2275</v>
      </c>
      <c r="B133" s="313" t="s">
        <v>94</v>
      </c>
      <c r="C133" s="313">
        <v>87509</v>
      </c>
      <c r="D133" s="217" t="s">
        <v>930</v>
      </c>
      <c r="E133" s="313" t="s">
        <v>61</v>
      </c>
      <c r="F133" s="215">
        <v>52.34</v>
      </c>
      <c r="G133" s="215">
        <v>95.74</v>
      </c>
      <c r="H133" s="227">
        <f t="shared" si="23"/>
        <v>95.74</v>
      </c>
      <c r="I133" s="418">
        <f t="shared" si="24"/>
        <v>5011.03</v>
      </c>
    </row>
    <row r="134" spans="1:9" s="48" customFormat="1" ht="42.75" x14ac:dyDescent="0.2">
      <c r="A134" s="327" t="s">
        <v>2276</v>
      </c>
      <c r="B134" s="313" t="s">
        <v>94</v>
      </c>
      <c r="C134" s="313" t="s">
        <v>942</v>
      </c>
      <c r="D134" s="217" t="s">
        <v>943</v>
      </c>
      <c r="E134" s="313" t="s">
        <v>61</v>
      </c>
      <c r="F134" s="215">
        <v>17.16</v>
      </c>
      <c r="G134" s="215">
        <v>57.88</v>
      </c>
      <c r="H134" s="227">
        <f t="shared" si="23"/>
        <v>57.88</v>
      </c>
      <c r="I134" s="418">
        <f t="shared" si="24"/>
        <v>993.22</v>
      </c>
    </row>
    <row r="135" spans="1:9" s="160" customFormat="1" ht="28.5" x14ac:dyDescent="0.2">
      <c r="A135" s="444" t="s">
        <v>2277</v>
      </c>
      <c r="B135" s="426" t="s">
        <v>94</v>
      </c>
      <c r="C135" s="426" t="s">
        <v>931</v>
      </c>
      <c r="D135" s="434" t="s">
        <v>932</v>
      </c>
      <c r="E135" s="426" t="s">
        <v>61</v>
      </c>
      <c r="F135" s="429">
        <v>14</v>
      </c>
      <c r="G135" s="429">
        <v>38.049999999999997</v>
      </c>
      <c r="H135" s="429">
        <f t="shared" si="23"/>
        <v>38.049999999999997</v>
      </c>
      <c r="I135" s="441">
        <f t="shared" si="24"/>
        <v>532.70000000000005</v>
      </c>
    </row>
    <row r="136" spans="1:9" s="48" customFormat="1" ht="28.5" x14ac:dyDescent="0.2">
      <c r="A136" s="327" t="s">
        <v>2278</v>
      </c>
      <c r="B136" s="224" t="s">
        <v>94</v>
      </c>
      <c r="C136" s="224">
        <v>84035</v>
      </c>
      <c r="D136" s="218" t="s">
        <v>933</v>
      </c>
      <c r="E136" s="224" t="s">
        <v>61</v>
      </c>
      <c r="F136" s="215">
        <v>14</v>
      </c>
      <c r="G136" s="215">
        <v>51.92</v>
      </c>
      <c r="H136" s="227">
        <f t="shared" si="23"/>
        <v>51.92</v>
      </c>
      <c r="I136" s="418">
        <f t="shared" si="24"/>
        <v>726.88</v>
      </c>
    </row>
    <row r="137" spans="1:9" s="48" customFormat="1" ht="14.25" x14ac:dyDescent="0.2">
      <c r="A137" s="327" t="s">
        <v>2279</v>
      </c>
      <c r="B137" s="313" t="s">
        <v>94</v>
      </c>
      <c r="C137" s="313">
        <v>72106</v>
      </c>
      <c r="D137" s="217" t="s">
        <v>718</v>
      </c>
      <c r="E137" s="313" t="s">
        <v>63</v>
      </c>
      <c r="F137" s="215">
        <v>16.600000000000001</v>
      </c>
      <c r="G137" s="215">
        <v>19.739999999999998</v>
      </c>
      <c r="H137" s="227">
        <f t="shared" si="23"/>
        <v>19.739999999999998</v>
      </c>
      <c r="I137" s="418">
        <f t="shared" si="24"/>
        <v>327.68</v>
      </c>
    </row>
    <row r="138" spans="1:9" s="48" customFormat="1" ht="14.25" x14ac:dyDescent="0.2">
      <c r="A138" s="327" t="s">
        <v>2280</v>
      </c>
      <c r="B138" s="313" t="s">
        <v>94</v>
      </c>
      <c r="C138" s="313">
        <v>72104</v>
      </c>
      <c r="D138" s="217" t="s">
        <v>719</v>
      </c>
      <c r="E138" s="313" t="s">
        <v>63</v>
      </c>
      <c r="F138" s="215">
        <v>15</v>
      </c>
      <c r="G138" s="215">
        <v>28.82</v>
      </c>
      <c r="H138" s="227">
        <f t="shared" si="23"/>
        <v>28.82</v>
      </c>
      <c r="I138" s="418">
        <f t="shared" si="24"/>
        <v>432.3</v>
      </c>
    </row>
    <row r="139" spans="1:9" s="48" customFormat="1" ht="28.5" x14ac:dyDescent="0.2">
      <c r="A139" s="327" t="s">
        <v>2281</v>
      </c>
      <c r="B139" s="313" t="s">
        <v>94</v>
      </c>
      <c r="C139" s="313">
        <v>84045</v>
      </c>
      <c r="D139" s="217" t="s">
        <v>934</v>
      </c>
      <c r="E139" s="313" t="s">
        <v>63</v>
      </c>
      <c r="F139" s="215">
        <v>4.9000000000000004</v>
      </c>
      <c r="G139" s="215">
        <v>25.17</v>
      </c>
      <c r="H139" s="227">
        <f t="shared" si="23"/>
        <v>25.17</v>
      </c>
      <c r="I139" s="418">
        <f t="shared" si="24"/>
        <v>123.33</v>
      </c>
    </row>
    <row r="140" spans="1:9" s="160" customFormat="1" ht="42.75" x14ac:dyDescent="0.2">
      <c r="A140" s="444" t="s">
        <v>2282</v>
      </c>
      <c r="B140" s="428" t="s">
        <v>94</v>
      </c>
      <c r="C140" s="428">
        <v>87647</v>
      </c>
      <c r="D140" s="427" t="s">
        <v>908</v>
      </c>
      <c r="E140" s="428" t="s">
        <v>61</v>
      </c>
      <c r="F140" s="429">
        <v>7.5</v>
      </c>
      <c r="G140" s="429">
        <v>21.7</v>
      </c>
      <c r="H140" s="429">
        <f t="shared" si="23"/>
        <v>21.7</v>
      </c>
      <c r="I140" s="441">
        <f t="shared" si="24"/>
        <v>162.75</v>
      </c>
    </row>
    <row r="141" spans="1:9" s="160" customFormat="1" ht="42.75" x14ac:dyDescent="0.2">
      <c r="A141" s="444" t="s">
        <v>2283</v>
      </c>
      <c r="B141" s="426" t="s">
        <v>94</v>
      </c>
      <c r="C141" s="426">
        <v>87893</v>
      </c>
      <c r="D141" s="434" t="s">
        <v>935</v>
      </c>
      <c r="E141" s="426" t="s">
        <v>61</v>
      </c>
      <c r="F141" s="429">
        <v>104.68</v>
      </c>
      <c r="G141" s="429">
        <v>4.6100000000000003</v>
      </c>
      <c r="H141" s="429">
        <f t="shared" si="23"/>
        <v>4.6100000000000003</v>
      </c>
      <c r="I141" s="441">
        <f t="shared" si="24"/>
        <v>482.57</v>
      </c>
    </row>
    <row r="142" spans="1:9" s="48" customFormat="1" ht="28.5" x14ac:dyDescent="0.2">
      <c r="A142" s="327" t="s">
        <v>2284</v>
      </c>
      <c r="B142" s="224" t="s">
        <v>94</v>
      </c>
      <c r="C142" s="224" t="s">
        <v>151</v>
      </c>
      <c r="D142" s="218" t="s">
        <v>936</v>
      </c>
      <c r="E142" s="224" t="s">
        <v>61</v>
      </c>
      <c r="F142" s="215">
        <v>104.68</v>
      </c>
      <c r="G142" s="215">
        <v>17.88</v>
      </c>
      <c r="H142" s="227">
        <f t="shared" si="23"/>
        <v>17.88</v>
      </c>
      <c r="I142" s="418">
        <f t="shared" si="24"/>
        <v>1871.68</v>
      </c>
    </row>
    <row r="143" spans="1:9" s="48" customFormat="1" ht="28.5" x14ac:dyDescent="0.2">
      <c r="A143" s="327" t="s">
        <v>2285</v>
      </c>
      <c r="B143" s="224" t="s">
        <v>94</v>
      </c>
      <c r="C143" s="224" t="s">
        <v>704</v>
      </c>
      <c r="D143" s="218" t="s">
        <v>703</v>
      </c>
      <c r="E143" s="224" t="s">
        <v>61</v>
      </c>
      <c r="F143" s="215">
        <v>7.5</v>
      </c>
      <c r="G143" s="215">
        <v>49.24</v>
      </c>
      <c r="H143" s="227">
        <f t="shared" si="23"/>
        <v>49.24</v>
      </c>
      <c r="I143" s="418">
        <f t="shared" si="24"/>
        <v>369.3</v>
      </c>
    </row>
    <row r="144" spans="1:9" s="160" customFormat="1" ht="14.25" x14ac:dyDescent="0.2">
      <c r="A144" s="444" t="s">
        <v>2286</v>
      </c>
      <c r="B144" s="426" t="s">
        <v>94</v>
      </c>
      <c r="C144" s="426" t="s">
        <v>937</v>
      </c>
      <c r="D144" s="434" t="s">
        <v>938</v>
      </c>
      <c r="E144" s="426" t="s">
        <v>61</v>
      </c>
      <c r="F144" s="429">
        <v>1.47</v>
      </c>
      <c r="G144" s="429">
        <v>289.14999999999998</v>
      </c>
      <c r="H144" s="429">
        <f t="shared" si="23"/>
        <v>289.14999999999998</v>
      </c>
      <c r="I144" s="441">
        <f t="shared" si="24"/>
        <v>425.05</v>
      </c>
    </row>
    <row r="145" spans="1:9" s="48" customFormat="1" ht="14.25" x14ac:dyDescent="0.2">
      <c r="A145" s="327" t="s">
        <v>2287</v>
      </c>
      <c r="B145" s="313" t="s">
        <v>94</v>
      </c>
      <c r="C145" s="313">
        <v>68052</v>
      </c>
      <c r="D145" s="217" t="s">
        <v>939</v>
      </c>
      <c r="E145" s="313" t="s">
        <v>61</v>
      </c>
      <c r="F145" s="215">
        <v>2.25</v>
      </c>
      <c r="G145" s="215">
        <v>525.48</v>
      </c>
      <c r="H145" s="227">
        <f t="shared" si="23"/>
        <v>525.48</v>
      </c>
      <c r="I145" s="418">
        <f t="shared" si="24"/>
        <v>1182.33</v>
      </c>
    </row>
    <row r="146" spans="1:9" s="48" customFormat="1" ht="28.5" x14ac:dyDescent="0.2">
      <c r="A146" s="327" t="s">
        <v>2288</v>
      </c>
      <c r="B146" s="313" t="s">
        <v>94</v>
      </c>
      <c r="C146" s="313">
        <v>88489</v>
      </c>
      <c r="D146" s="217" t="s">
        <v>940</v>
      </c>
      <c r="E146" s="313" t="s">
        <v>61</v>
      </c>
      <c r="F146" s="215">
        <v>104.68</v>
      </c>
      <c r="G146" s="215">
        <v>9.6199999999999992</v>
      </c>
      <c r="H146" s="227">
        <f t="shared" si="23"/>
        <v>9.6199999999999992</v>
      </c>
      <c r="I146" s="418">
        <f t="shared" si="24"/>
        <v>1007.02</v>
      </c>
    </row>
    <row r="147" spans="1:9" s="48" customFormat="1" ht="14.25" x14ac:dyDescent="0.2">
      <c r="A147" s="327" t="s">
        <v>2289</v>
      </c>
      <c r="B147" s="313" t="s">
        <v>94</v>
      </c>
      <c r="C147" s="313">
        <v>72116</v>
      </c>
      <c r="D147" s="217" t="s">
        <v>941</v>
      </c>
      <c r="E147" s="313" t="s">
        <v>61</v>
      </c>
      <c r="F147" s="215">
        <v>2.25</v>
      </c>
      <c r="G147" s="215">
        <v>75.709999999999994</v>
      </c>
      <c r="H147" s="227">
        <f t="shared" si="23"/>
        <v>75.709999999999994</v>
      </c>
      <c r="I147" s="418">
        <f t="shared" si="24"/>
        <v>170.35</v>
      </c>
    </row>
    <row r="148" spans="1:9" s="48" customFormat="1" ht="14.25" x14ac:dyDescent="0.2">
      <c r="A148" s="327"/>
      <c r="B148" s="224"/>
      <c r="C148" s="223"/>
      <c r="D148" s="218"/>
      <c r="E148" s="224"/>
      <c r="F148" s="276"/>
      <c r="G148" s="277"/>
      <c r="H148" s="276"/>
      <c r="I148" s="277"/>
    </row>
    <row r="149" spans="1:9" s="48" customFormat="1" ht="30" x14ac:dyDescent="0.2">
      <c r="A149" s="383" t="s">
        <v>2290</v>
      </c>
      <c r="B149" s="552" t="s">
        <v>2193</v>
      </c>
      <c r="C149" s="552"/>
      <c r="D149" s="255" t="str">
        <f>ORÇAMENTO!D282</f>
        <v>FORNECIMENTO DO MATERIAL HIDRÁULICO DA ELEVATÓRIA PÓS TRATAMENTO PRELIMINAR</v>
      </c>
      <c r="E149" s="383"/>
      <c r="F149" s="272"/>
      <c r="G149" s="273"/>
      <c r="H149" s="273"/>
      <c r="I149" s="417">
        <f>SUM(I150:I170)</f>
        <v>12029.040599999998</v>
      </c>
    </row>
    <row r="150" spans="1:9" s="48" customFormat="1" ht="14.25" x14ac:dyDescent="0.2">
      <c r="A150" s="327" t="s">
        <v>2291</v>
      </c>
      <c r="B150" s="313" t="s">
        <v>145</v>
      </c>
      <c r="C150" s="313"/>
      <c r="D150" s="218" t="s">
        <v>915</v>
      </c>
      <c r="E150" s="224" t="s">
        <v>64</v>
      </c>
      <c r="F150" s="276">
        <v>2</v>
      </c>
      <c r="G150" s="277">
        <v>242.82</v>
      </c>
      <c r="H150" s="215">
        <f t="shared" ref="H150:H170" si="25">G150</f>
        <v>242.82</v>
      </c>
      <c r="I150" s="215">
        <f t="shared" ref="I150" si="26">F150*H150</f>
        <v>485.64</v>
      </c>
    </row>
    <row r="151" spans="1:9" s="48" customFormat="1" ht="14.25" x14ac:dyDescent="0.2">
      <c r="A151" s="327" t="s">
        <v>2292</v>
      </c>
      <c r="B151" s="313" t="s">
        <v>101</v>
      </c>
      <c r="C151" s="313">
        <v>25000833</v>
      </c>
      <c r="D151" s="218" t="s">
        <v>220</v>
      </c>
      <c r="E151" s="224" t="s">
        <v>64</v>
      </c>
      <c r="F151" s="276">
        <v>2</v>
      </c>
      <c r="G151" s="277">
        <v>288.08999999999997</v>
      </c>
      <c r="H151" s="215">
        <f t="shared" si="25"/>
        <v>288.08999999999997</v>
      </c>
      <c r="I151" s="215">
        <f t="shared" ref="I151:I170" si="27">F151*H151</f>
        <v>576.17999999999995</v>
      </c>
    </row>
    <row r="152" spans="1:9" s="48" customFormat="1" ht="14.25" x14ac:dyDescent="0.2">
      <c r="A152" s="327" t="s">
        <v>2293</v>
      </c>
      <c r="B152" s="313" t="s">
        <v>101</v>
      </c>
      <c r="C152" s="313">
        <v>25000126</v>
      </c>
      <c r="D152" s="218" t="s">
        <v>2256</v>
      </c>
      <c r="E152" s="224" t="s">
        <v>64</v>
      </c>
      <c r="F152" s="276">
        <v>2</v>
      </c>
      <c r="G152" s="277">
        <v>391.94</v>
      </c>
      <c r="H152" s="215">
        <f t="shared" si="25"/>
        <v>391.94</v>
      </c>
      <c r="I152" s="215">
        <f t="shared" si="27"/>
        <v>783.88</v>
      </c>
    </row>
    <row r="153" spans="1:9" s="48" customFormat="1" ht="14.25" x14ac:dyDescent="0.2">
      <c r="A153" s="327" t="s">
        <v>2294</v>
      </c>
      <c r="B153" s="313" t="s">
        <v>101</v>
      </c>
      <c r="C153" s="313">
        <v>25000568</v>
      </c>
      <c r="D153" s="218" t="s">
        <v>2257</v>
      </c>
      <c r="E153" s="224" t="s">
        <v>64</v>
      </c>
      <c r="F153" s="276">
        <v>1</v>
      </c>
      <c r="G153" s="277">
        <v>243.53</v>
      </c>
      <c r="H153" s="215">
        <f t="shared" si="25"/>
        <v>243.53</v>
      </c>
      <c r="I153" s="215">
        <f t="shared" si="27"/>
        <v>243.53</v>
      </c>
    </row>
    <row r="154" spans="1:9" s="48" customFormat="1" ht="14.25" x14ac:dyDescent="0.2">
      <c r="A154" s="327" t="s">
        <v>2295</v>
      </c>
      <c r="B154" s="313" t="s">
        <v>101</v>
      </c>
      <c r="C154" s="313">
        <v>25000143</v>
      </c>
      <c r="D154" s="218" t="s">
        <v>2224</v>
      </c>
      <c r="E154" s="224" t="s">
        <v>64</v>
      </c>
      <c r="F154" s="276">
        <v>1</v>
      </c>
      <c r="G154" s="277">
        <v>134.94999999999999</v>
      </c>
      <c r="H154" s="215">
        <f t="shared" si="25"/>
        <v>134.94999999999999</v>
      </c>
      <c r="I154" s="215">
        <f t="shared" si="27"/>
        <v>134.94999999999999</v>
      </c>
    </row>
    <row r="155" spans="1:9" s="48" customFormat="1" ht="14.25" x14ac:dyDescent="0.2">
      <c r="A155" s="327" t="s">
        <v>2296</v>
      </c>
      <c r="B155" s="313" t="s">
        <v>101</v>
      </c>
      <c r="C155" s="313">
        <v>25000931</v>
      </c>
      <c r="D155" s="218" t="s">
        <v>2225</v>
      </c>
      <c r="E155" s="224" t="s">
        <v>64</v>
      </c>
      <c r="F155" s="276">
        <v>1</v>
      </c>
      <c r="G155" s="277">
        <v>239.3</v>
      </c>
      <c r="H155" s="215">
        <f t="shared" si="25"/>
        <v>239.3</v>
      </c>
      <c r="I155" s="215">
        <f t="shared" si="27"/>
        <v>239.3</v>
      </c>
    </row>
    <row r="156" spans="1:9" s="48" customFormat="1" ht="14.25" x14ac:dyDescent="0.2">
      <c r="A156" s="327" t="s">
        <v>2297</v>
      </c>
      <c r="B156" s="313" t="s">
        <v>101</v>
      </c>
      <c r="C156" s="313">
        <v>25038466</v>
      </c>
      <c r="D156" s="218" t="s">
        <v>2226</v>
      </c>
      <c r="E156" s="224" t="s">
        <v>64</v>
      </c>
      <c r="F156" s="276">
        <v>1</v>
      </c>
      <c r="G156" s="277">
        <v>518.74</v>
      </c>
      <c r="H156" s="215">
        <f t="shared" si="25"/>
        <v>518.74</v>
      </c>
      <c r="I156" s="215">
        <f t="shared" si="27"/>
        <v>518.74</v>
      </c>
    </row>
    <row r="157" spans="1:9" s="48" customFormat="1" ht="14.25" x14ac:dyDescent="0.2">
      <c r="A157" s="327" t="s">
        <v>2298</v>
      </c>
      <c r="B157" s="313" t="s">
        <v>101</v>
      </c>
      <c r="C157" s="313">
        <v>25000248</v>
      </c>
      <c r="D157" s="218" t="s">
        <v>917</v>
      </c>
      <c r="E157" s="224" t="s">
        <v>64</v>
      </c>
      <c r="F157" s="276">
        <f>4+2+1+4</f>
        <v>11</v>
      </c>
      <c r="G157" s="277">
        <v>150.56</v>
      </c>
      <c r="H157" s="215">
        <f t="shared" si="25"/>
        <v>150.56</v>
      </c>
      <c r="I157" s="215">
        <f t="shared" si="27"/>
        <v>1656.16</v>
      </c>
    </row>
    <row r="158" spans="1:9" s="48" customFormat="1" ht="14.25" x14ac:dyDescent="0.2">
      <c r="A158" s="327" t="s">
        <v>2299</v>
      </c>
      <c r="B158" s="313" t="s">
        <v>101</v>
      </c>
      <c r="C158" s="313">
        <v>25004030</v>
      </c>
      <c r="D158" s="218" t="s">
        <v>918</v>
      </c>
      <c r="E158" s="224" t="s">
        <v>63</v>
      </c>
      <c r="F158" s="276">
        <f>0.63+0.63+0.68+0.8+1.9+1.9</f>
        <v>6.5400000000000009</v>
      </c>
      <c r="G158" s="277">
        <v>162.38999999999999</v>
      </c>
      <c r="H158" s="215">
        <f t="shared" si="25"/>
        <v>162.38999999999999</v>
      </c>
      <c r="I158" s="215">
        <f t="shared" si="27"/>
        <v>1062.0306</v>
      </c>
    </row>
    <row r="159" spans="1:9" s="48" customFormat="1" ht="14.25" x14ac:dyDescent="0.2">
      <c r="A159" s="327" t="s">
        <v>2300</v>
      </c>
      <c r="B159" s="313" t="s">
        <v>101</v>
      </c>
      <c r="C159" s="313">
        <v>25003082</v>
      </c>
      <c r="D159" s="218" t="s">
        <v>919</v>
      </c>
      <c r="E159" s="224" t="s">
        <v>64</v>
      </c>
      <c r="F159" s="276">
        <v>2</v>
      </c>
      <c r="G159" s="277">
        <v>465.45</v>
      </c>
      <c r="H159" s="215">
        <f t="shared" si="25"/>
        <v>465.45</v>
      </c>
      <c r="I159" s="215">
        <f t="shared" si="27"/>
        <v>930.9</v>
      </c>
    </row>
    <row r="160" spans="1:9" s="48" customFormat="1" ht="14.25" x14ac:dyDescent="0.2">
      <c r="A160" s="327" t="s">
        <v>2301</v>
      </c>
      <c r="B160" s="313" t="s">
        <v>94</v>
      </c>
      <c r="C160" s="223">
        <v>3722</v>
      </c>
      <c r="D160" s="218" t="s">
        <v>920</v>
      </c>
      <c r="E160" s="224" t="s">
        <v>64</v>
      </c>
      <c r="F160" s="276">
        <v>3</v>
      </c>
      <c r="G160" s="277">
        <v>317.8</v>
      </c>
      <c r="H160" s="215">
        <f t="shared" si="25"/>
        <v>317.8</v>
      </c>
      <c r="I160" s="215">
        <f t="shared" si="27"/>
        <v>953.40000000000009</v>
      </c>
    </row>
    <row r="161" spans="1:9" s="48" customFormat="1" ht="14.25" x14ac:dyDescent="0.2">
      <c r="A161" s="327" t="s">
        <v>2302</v>
      </c>
      <c r="B161" s="313" t="s">
        <v>101</v>
      </c>
      <c r="C161" s="313">
        <v>25003293</v>
      </c>
      <c r="D161" s="218" t="s">
        <v>1023</v>
      </c>
      <c r="E161" s="224" t="s">
        <v>64</v>
      </c>
      <c r="F161" s="276">
        <v>2</v>
      </c>
      <c r="G161" s="277">
        <v>902.11</v>
      </c>
      <c r="H161" s="215">
        <f t="shared" si="25"/>
        <v>902.11</v>
      </c>
      <c r="I161" s="215">
        <f t="shared" si="27"/>
        <v>1804.22</v>
      </c>
    </row>
    <row r="162" spans="1:9" s="48" customFormat="1" ht="14.25" x14ac:dyDescent="0.2">
      <c r="A162" s="327" t="s">
        <v>2303</v>
      </c>
      <c r="B162" s="313" t="s">
        <v>101</v>
      </c>
      <c r="C162" s="313">
        <v>25000110</v>
      </c>
      <c r="D162" s="218" t="s">
        <v>921</v>
      </c>
      <c r="E162" s="224" t="s">
        <v>64</v>
      </c>
      <c r="F162" s="276">
        <v>1</v>
      </c>
      <c r="G162" s="277">
        <v>379.15</v>
      </c>
      <c r="H162" s="215">
        <f t="shared" si="25"/>
        <v>379.15</v>
      </c>
      <c r="I162" s="215">
        <f t="shared" si="27"/>
        <v>379.15</v>
      </c>
    </row>
    <row r="163" spans="1:9" s="48" customFormat="1" ht="14.25" x14ac:dyDescent="0.2">
      <c r="A163" s="327" t="s">
        <v>2304</v>
      </c>
      <c r="B163" s="313" t="s">
        <v>94</v>
      </c>
      <c r="C163" s="313">
        <v>3610</v>
      </c>
      <c r="D163" s="218" t="s">
        <v>922</v>
      </c>
      <c r="E163" s="224" t="s">
        <v>64</v>
      </c>
      <c r="F163" s="276">
        <v>1</v>
      </c>
      <c r="G163" s="277">
        <v>979.63</v>
      </c>
      <c r="H163" s="215">
        <f t="shared" si="25"/>
        <v>979.63</v>
      </c>
      <c r="I163" s="215">
        <f t="shared" si="27"/>
        <v>979.63</v>
      </c>
    </row>
    <row r="164" spans="1:9" s="48" customFormat="1" ht="14.25" x14ac:dyDescent="0.2">
      <c r="A164" s="327" t="s">
        <v>2305</v>
      </c>
      <c r="B164" s="313" t="s">
        <v>101</v>
      </c>
      <c r="C164" s="313">
        <v>25000393</v>
      </c>
      <c r="D164" s="218" t="s">
        <v>923</v>
      </c>
      <c r="E164" s="224" t="s">
        <v>64</v>
      </c>
      <c r="F164" s="276">
        <v>1</v>
      </c>
      <c r="G164" s="277">
        <v>302.93</v>
      </c>
      <c r="H164" s="215">
        <f t="shared" si="25"/>
        <v>302.93</v>
      </c>
      <c r="I164" s="215">
        <f t="shared" si="27"/>
        <v>302.93</v>
      </c>
    </row>
    <row r="165" spans="1:9" s="48" customFormat="1" ht="14.25" x14ac:dyDescent="0.2">
      <c r="A165" s="327" t="s">
        <v>2306</v>
      </c>
      <c r="B165" s="313" t="s">
        <v>101</v>
      </c>
      <c r="C165" s="313">
        <v>25004193</v>
      </c>
      <c r="D165" s="218" t="s">
        <v>2227</v>
      </c>
      <c r="E165" s="224" t="s">
        <v>64</v>
      </c>
      <c r="F165" s="276">
        <v>1</v>
      </c>
      <c r="G165" s="277">
        <v>274.76</v>
      </c>
      <c r="H165" s="215">
        <f t="shared" si="25"/>
        <v>274.76</v>
      </c>
      <c r="I165" s="215">
        <f t="shared" si="27"/>
        <v>274.76</v>
      </c>
    </row>
    <row r="166" spans="1:9" s="48" customFormat="1" ht="14.25" x14ac:dyDescent="0.2">
      <c r="A166" s="327" t="s">
        <v>2307</v>
      </c>
      <c r="B166" s="313" t="s">
        <v>101</v>
      </c>
      <c r="C166" s="313">
        <v>25003566</v>
      </c>
      <c r="D166" s="218" t="s">
        <v>2232</v>
      </c>
      <c r="E166" s="224" t="s">
        <v>64</v>
      </c>
      <c r="F166" s="276">
        <v>4</v>
      </c>
      <c r="G166" s="277">
        <v>1.37</v>
      </c>
      <c r="H166" s="215">
        <f t="shared" si="25"/>
        <v>1.37</v>
      </c>
      <c r="I166" s="215">
        <f t="shared" si="27"/>
        <v>5.48</v>
      </c>
    </row>
    <row r="167" spans="1:9" s="48" customFormat="1" ht="14.25" x14ac:dyDescent="0.2">
      <c r="A167" s="327" t="s">
        <v>2308</v>
      </c>
      <c r="B167" s="313" t="s">
        <v>101</v>
      </c>
      <c r="C167" s="313">
        <v>25003568</v>
      </c>
      <c r="D167" s="218" t="s">
        <v>913</v>
      </c>
      <c r="E167" s="224" t="s">
        <v>64</v>
      </c>
      <c r="F167" s="276">
        <v>2</v>
      </c>
      <c r="G167" s="277">
        <v>1.79</v>
      </c>
      <c r="H167" s="215">
        <f t="shared" si="25"/>
        <v>1.79</v>
      </c>
      <c r="I167" s="215">
        <f t="shared" si="27"/>
        <v>3.58</v>
      </c>
    </row>
    <row r="168" spans="1:9" s="48" customFormat="1" ht="14.25" x14ac:dyDescent="0.2">
      <c r="A168" s="327" t="s">
        <v>2309</v>
      </c>
      <c r="B168" s="313" t="s">
        <v>101</v>
      </c>
      <c r="C168" s="313">
        <v>25003569</v>
      </c>
      <c r="D168" s="218" t="s">
        <v>924</v>
      </c>
      <c r="E168" s="224" t="s">
        <v>64</v>
      </c>
      <c r="F168" s="276">
        <v>19</v>
      </c>
      <c r="G168" s="277">
        <v>3.02</v>
      </c>
      <c r="H168" s="215">
        <f t="shared" si="25"/>
        <v>3.02</v>
      </c>
      <c r="I168" s="215">
        <f t="shared" si="27"/>
        <v>57.38</v>
      </c>
    </row>
    <row r="169" spans="1:9" s="48" customFormat="1" ht="14.25" x14ac:dyDescent="0.2">
      <c r="A169" s="327" t="s">
        <v>2310</v>
      </c>
      <c r="B169" s="313" t="s">
        <v>101</v>
      </c>
      <c r="C169" s="313">
        <v>25025390</v>
      </c>
      <c r="D169" s="218" t="s">
        <v>2233</v>
      </c>
      <c r="E169" s="224" t="s">
        <v>64</v>
      </c>
      <c r="F169" s="276">
        <v>32</v>
      </c>
      <c r="G169" s="277">
        <v>1.8</v>
      </c>
      <c r="H169" s="215">
        <f t="shared" si="25"/>
        <v>1.8</v>
      </c>
      <c r="I169" s="215">
        <f t="shared" si="27"/>
        <v>57.6</v>
      </c>
    </row>
    <row r="170" spans="1:9" s="48" customFormat="1" ht="14.25" x14ac:dyDescent="0.2">
      <c r="A170" s="327" t="s">
        <v>2311</v>
      </c>
      <c r="B170" s="313" t="s">
        <v>101</v>
      </c>
      <c r="C170" s="313">
        <v>25025256</v>
      </c>
      <c r="D170" s="218" t="s">
        <v>2234</v>
      </c>
      <c r="E170" s="224" t="s">
        <v>64</v>
      </c>
      <c r="F170" s="276">
        <v>168</v>
      </c>
      <c r="G170" s="277">
        <v>3.45</v>
      </c>
      <c r="H170" s="215">
        <f t="shared" si="25"/>
        <v>3.45</v>
      </c>
      <c r="I170" s="215">
        <f t="shared" si="27"/>
        <v>579.6</v>
      </c>
    </row>
    <row r="171" spans="1:9" s="48" customFormat="1" ht="14.25" x14ac:dyDescent="0.2">
      <c r="A171" s="327"/>
      <c r="B171" s="224"/>
      <c r="C171" s="420"/>
      <c r="D171" s="421"/>
      <c r="E171" s="224"/>
      <c r="F171" s="276"/>
      <c r="G171" s="277"/>
      <c r="H171" s="276"/>
      <c r="I171" s="277"/>
    </row>
    <row r="172" spans="1:9" s="48" customFormat="1" ht="30" customHeight="1" x14ac:dyDescent="0.2">
      <c r="A172" s="383" t="s">
        <v>2312</v>
      </c>
      <c r="B172" s="552" t="s">
        <v>2194</v>
      </c>
      <c r="C172" s="552"/>
      <c r="D172" s="255" t="s">
        <v>2187</v>
      </c>
      <c r="E172" s="383"/>
      <c r="F172" s="272"/>
      <c r="G172" s="273"/>
      <c r="H172" s="273"/>
      <c r="I172" s="417">
        <f>SUM(I173:I174)</f>
        <v>3694</v>
      </c>
    </row>
    <row r="173" spans="1:9" s="48" customFormat="1" ht="14.25" x14ac:dyDescent="0.2">
      <c r="A173" s="327" t="s">
        <v>2313</v>
      </c>
      <c r="B173" s="313" t="s">
        <v>94</v>
      </c>
      <c r="C173" s="313">
        <v>2696</v>
      </c>
      <c r="D173" s="218" t="s">
        <v>2694</v>
      </c>
      <c r="E173" s="224" t="s">
        <v>60</v>
      </c>
      <c r="F173" s="276">
        <v>100</v>
      </c>
      <c r="G173" s="277">
        <v>14.76</v>
      </c>
      <c r="H173" s="215">
        <f t="shared" ref="H173:H174" si="28">G173</f>
        <v>14.76</v>
      </c>
      <c r="I173" s="215">
        <f t="shared" ref="I173:I174" si="29">F173*H173</f>
        <v>1476</v>
      </c>
    </row>
    <row r="174" spans="1:9" s="48" customFormat="1" ht="14.25" x14ac:dyDescent="0.2">
      <c r="A174" s="327" t="s">
        <v>2314</v>
      </c>
      <c r="B174" s="313" t="s">
        <v>94</v>
      </c>
      <c r="C174" s="313" t="s">
        <v>388</v>
      </c>
      <c r="D174" s="218" t="s">
        <v>35</v>
      </c>
      <c r="E174" s="224" t="s">
        <v>60</v>
      </c>
      <c r="F174" s="276">
        <v>200</v>
      </c>
      <c r="G174" s="277">
        <v>11.09</v>
      </c>
      <c r="H174" s="215">
        <f t="shared" si="28"/>
        <v>11.09</v>
      </c>
      <c r="I174" s="215">
        <f t="shared" si="29"/>
        <v>2218</v>
      </c>
    </row>
    <row r="175" spans="1:9" s="48" customFormat="1" ht="14.25" x14ac:dyDescent="0.2">
      <c r="A175" s="327"/>
      <c r="B175" s="313"/>
      <c r="C175" s="313"/>
      <c r="D175" s="218"/>
      <c r="E175" s="224"/>
      <c r="F175" s="276"/>
      <c r="G175" s="277"/>
      <c r="H175" s="215"/>
      <c r="I175" s="215"/>
    </row>
    <row r="176" spans="1:9" s="48" customFormat="1" ht="45" x14ac:dyDescent="0.2">
      <c r="A176" s="383" t="s">
        <v>2315</v>
      </c>
      <c r="B176" s="552" t="s">
        <v>2195</v>
      </c>
      <c r="C176" s="552"/>
      <c r="D176" s="255" t="s">
        <v>520</v>
      </c>
      <c r="E176" s="383"/>
      <c r="F176" s="272"/>
      <c r="G176" s="273"/>
      <c r="H176" s="273"/>
      <c r="I176" s="417">
        <f>SUM(I177:I179)</f>
        <v>125.83</v>
      </c>
    </row>
    <row r="177" spans="1:9" s="48" customFormat="1" ht="14.25" x14ac:dyDescent="0.2">
      <c r="A177" s="327" t="s">
        <v>2316</v>
      </c>
      <c r="B177" s="314" t="s">
        <v>94</v>
      </c>
      <c r="C177" s="314">
        <v>12759</v>
      </c>
      <c r="D177" s="256" t="s">
        <v>521</v>
      </c>
      <c r="E177" s="314" t="s">
        <v>61</v>
      </c>
      <c r="F177" s="274">
        <v>0.2</v>
      </c>
      <c r="G177" s="274">
        <v>522.21</v>
      </c>
      <c r="H177" s="274">
        <f>G177</f>
        <v>522.21</v>
      </c>
      <c r="I177" s="275">
        <f>ROUND(F177*H177,2)</f>
        <v>104.44</v>
      </c>
    </row>
    <row r="178" spans="1:9" s="48" customFormat="1" ht="14.25" x14ac:dyDescent="0.2">
      <c r="A178" s="327" t="s">
        <v>2317</v>
      </c>
      <c r="B178" s="314" t="s">
        <v>94</v>
      </c>
      <c r="C178" s="314">
        <v>252</v>
      </c>
      <c r="D178" s="256" t="s">
        <v>522</v>
      </c>
      <c r="E178" s="314" t="s">
        <v>60</v>
      </c>
      <c r="F178" s="274">
        <v>1</v>
      </c>
      <c r="G178" s="274">
        <v>9.19</v>
      </c>
      <c r="H178" s="274">
        <f>G178</f>
        <v>9.19</v>
      </c>
      <c r="I178" s="275">
        <f>ROUND(F178*H178,2)</f>
        <v>9.19</v>
      </c>
    </row>
    <row r="179" spans="1:9" s="48" customFormat="1" ht="14.25" x14ac:dyDescent="0.2">
      <c r="A179" s="327" t="s">
        <v>2318</v>
      </c>
      <c r="B179" s="314" t="s">
        <v>94</v>
      </c>
      <c r="C179" s="314">
        <v>6110</v>
      </c>
      <c r="D179" s="256" t="s">
        <v>516</v>
      </c>
      <c r="E179" s="314" t="s">
        <v>60</v>
      </c>
      <c r="F179" s="274">
        <v>1</v>
      </c>
      <c r="G179" s="274">
        <v>12.2</v>
      </c>
      <c r="H179" s="274">
        <f>G179</f>
        <v>12.2</v>
      </c>
      <c r="I179" s="275">
        <f>ROUND(F179*H179,2)</f>
        <v>12.2</v>
      </c>
    </row>
    <row r="180" spans="1:9" s="48" customFormat="1" ht="14.25" x14ac:dyDescent="0.2">
      <c r="A180" s="327"/>
      <c r="B180" s="224"/>
      <c r="C180" s="223"/>
      <c r="D180" s="218"/>
      <c r="E180" s="224"/>
      <c r="F180" s="276"/>
      <c r="G180" s="277"/>
      <c r="H180" s="276"/>
      <c r="I180" s="277"/>
    </row>
    <row r="181" spans="1:9" s="48" customFormat="1" ht="45" x14ac:dyDescent="0.2">
      <c r="A181" s="416" t="s">
        <v>2319</v>
      </c>
      <c r="B181" s="552" t="s">
        <v>2196</v>
      </c>
      <c r="C181" s="552"/>
      <c r="D181" s="255" t="s">
        <v>526</v>
      </c>
      <c r="E181" s="383"/>
      <c r="F181" s="272"/>
      <c r="G181" s="273"/>
      <c r="H181" s="273"/>
      <c r="I181" s="417">
        <f>SUM(I182:I185)</f>
        <v>268.82</v>
      </c>
    </row>
    <row r="182" spans="1:9" s="48" customFormat="1" ht="14.25" x14ac:dyDescent="0.2">
      <c r="A182" s="327" t="s">
        <v>2320</v>
      </c>
      <c r="B182" s="314" t="s">
        <v>94</v>
      </c>
      <c r="C182" s="314">
        <v>11125</v>
      </c>
      <c r="D182" s="256" t="s">
        <v>527</v>
      </c>
      <c r="E182" s="314" t="s">
        <v>384</v>
      </c>
      <c r="F182" s="274">
        <f>48*0.38*0.65</f>
        <v>11.856000000000002</v>
      </c>
      <c r="G182" s="274">
        <v>14.02</v>
      </c>
      <c r="H182" s="274">
        <f>G182</f>
        <v>14.02</v>
      </c>
      <c r="I182" s="275">
        <f>ROUND(F182*H182,2)</f>
        <v>166.22</v>
      </c>
    </row>
    <row r="183" spans="1:9" s="48" customFormat="1" ht="14.25" x14ac:dyDescent="0.2">
      <c r="A183" s="327" t="s">
        <v>2321</v>
      </c>
      <c r="B183" s="314" t="s">
        <v>94</v>
      </c>
      <c r="C183" s="314">
        <v>585</v>
      </c>
      <c r="D183" s="256" t="s">
        <v>528</v>
      </c>
      <c r="E183" s="314" t="s">
        <v>384</v>
      </c>
      <c r="F183" s="274">
        <v>1.54</v>
      </c>
      <c r="G183" s="274">
        <v>16.98</v>
      </c>
      <c r="H183" s="274">
        <f>G183</f>
        <v>16.98</v>
      </c>
      <c r="I183" s="275">
        <f>ROUND(F183*H183,2)</f>
        <v>26.15</v>
      </c>
    </row>
    <row r="184" spans="1:9" s="48" customFormat="1" ht="14.25" x14ac:dyDescent="0.2">
      <c r="A184" s="327" t="s">
        <v>2322</v>
      </c>
      <c r="B184" s="314" t="s">
        <v>94</v>
      </c>
      <c r="C184" s="314">
        <v>252</v>
      </c>
      <c r="D184" s="256" t="s">
        <v>522</v>
      </c>
      <c r="E184" s="314" t="s">
        <v>60</v>
      </c>
      <c r="F184" s="274">
        <v>5</v>
      </c>
      <c r="G184" s="274">
        <v>9.19</v>
      </c>
      <c r="H184" s="274">
        <f>G184</f>
        <v>9.19</v>
      </c>
      <c r="I184" s="275">
        <f>ROUND(F184*H184,2)</f>
        <v>45.95</v>
      </c>
    </row>
    <row r="185" spans="1:9" s="48" customFormat="1" ht="14.25" x14ac:dyDescent="0.2">
      <c r="A185" s="327" t="s">
        <v>2323</v>
      </c>
      <c r="B185" s="314" t="s">
        <v>94</v>
      </c>
      <c r="C185" s="314">
        <v>6110</v>
      </c>
      <c r="D185" s="256" t="s">
        <v>516</v>
      </c>
      <c r="E185" s="314" t="s">
        <v>60</v>
      </c>
      <c r="F185" s="274">
        <v>2.5</v>
      </c>
      <c r="G185" s="274">
        <v>12.2</v>
      </c>
      <c r="H185" s="274">
        <f>G185</f>
        <v>12.2</v>
      </c>
      <c r="I185" s="275">
        <f>ROUND(F185*H185,2)</f>
        <v>30.5</v>
      </c>
    </row>
    <row r="186" spans="1:9" s="48" customFormat="1" ht="14.25" x14ac:dyDescent="0.2">
      <c r="A186" s="327"/>
      <c r="B186" s="224"/>
      <c r="C186" s="223"/>
      <c r="D186" s="218"/>
      <c r="E186" s="224"/>
      <c r="F186" s="276"/>
      <c r="G186" s="277"/>
      <c r="H186" s="276"/>
      <c r="I186" s="277"/>
    </row>
    <row r="187" spans="1:9" s="48" customFormat="1" ht="45" x14ac:dyDescent="0.2">
      <c r="A187" s="416" t="s">
        <v>2324</v>
      </c>
      <c r="B187" s="552" t="s">
        <v>2197</v>
      </c>
      <c r="C187" s="552"/>
      <c r="D187" s="255" t="s">
        <v>533</v>
      </c>
      <c r="E187" s="383"/>
      <c r="F187" s="272"/>
      <c r="G187" s="273"/>
      <c r="H187" s="273"/>
      <c r="I187" s="417">
        <f>SUM(I188:I191)</f>
        <v>242.24</v>
      </c>
    </row>
    <row r="188" spans="1:9" s="48" customFormat="1" ht="14.25" x14ac:dyDescent="0.2">
      <c r="A188" s="327" t="s">
        <v>2325</v>
      </c>
      <c r="B188" s="314" t="s">
        <v>94</v>
      </c>
      <c r="C188" s="314">
        <v>11125</v>
      </c>
      <c r="D188" s="256" t="s">
        <v>527</v>
      </c>
      <c r="E188" s="314" t="s">
        <v>384</v>
      </c>
      <c r="F188" s="274">
        <f>48*0.46*0.45</f>
        <v>9.9360000000000017</v>
      </c>
      <c r="G188" s="274">
        <v>14.02</v>
      </c>
      <c r="H188" s="274">
        <f>G188</f>
        <v>14.02</v>
      </c>
      <c r="I188" s="275">
        <f>ROUND(F188*H188,2)</f>
        <v>139.30000000000001</v>
      </c>
    </row>
    <row r="189" spans="1:9" s="48" customFormat="1" ht="14.25" x14ac:dyDescent="0.2">
      <c r="A189" s="327" t="s">
        <v>2326</v>
      </c>
      <c r="B189" s="314" t="s">
        <v>94</v>
      </c>
      <c r="C189" s="314">
        <v>585</v>
      </c>
      <c r="D189" s="256" t="s">
        <v>528</v>
      </c>
      <c r="E189" s="314" t="s">
        <v>384</v>
      </c>
      <c r="F189" s="274">
        <v>1.56</v>
      </c>
      <c r="G189" s="274">
        <v>16.98</v>
      </c>
      <c r="H189" s="274">
        <f>G189</f>
        <v>16.98</v>
      </c>
      <c r="I189" s="275">
        <f>ROUND(F189*H189,2)</f>
        <v>26.49</v>
      </c>
    </row>
    <row r="190" spans="1:9" s="48" customFormat="1" ht="14.25" x14ac:dyDescent="0.2">
      <c r="A190" s="327" t="s">
        <v>2327</v>
      </c>
      <c r="B190" s="314" t="s">
        <v>94</v>
      </c>
      <c r="C190" s="314">
        <v>252</v>
      </c>
      <c r="D190" s="256" t="s">
        <v>522</v>
      </c>
      <c r="E190" s="314" t="s">
        <v>60</v>
      </c>
      <c r="F190" s="274">
        <v>5</v>
      </c>
      <c r="G190" s="274">
        <v>9.19</v>
      </c>
      <c r="H190" s="274">
        <f>G190</f>
        <v>9.19</v>
      </c>
      <c r="I190" s="275">
        <f>ROUND(F190*H190,2)</f>
        <v>45.95</v>
      </c>
    </row>
    <row r="191" spans="1:9" s="48" customFormat="1" ht="14.25" x14ac:dyDescent="0.2">
      <c r="A191" s="327" t="s">
        <v>2328</v>
      </c>
      <c r="B191" s="314" t="s">
        <v>94</v>
      </c>
      <c r="C191" s="314">
        <v>6110</v>
      </c>
      <c r="D191" s="256" t="s">
        <v>516</v>
      </c>
      <c r="E191" s="314" t="s">
        <v>60</v>
      </c>
      <c r="F191" s="274">
        <v>2.5</v>
      </c>
      <c r="G191" s="274">
        <v>12.2</v>
      </c>
      <c r="H191" s="274">
        <f>G191</f>
        <v>12.2</v>
      </c>
      <c r="I191" s="275">
        <f>ROUND(F191*H191,2)</f>
        <v>30.5</v>
      </c>
    </row>
    <row r="192" spans="1:9" s="48" customFormat="1" ht="14.25" x14ac:dyDescent="0.2">
      <c r="A192" s="327"/>
      <c r="B192" s="224"/>
      <c r="C192" s="223"/>
      <c r="D192" s="218"/>
      <c r="E192" s="224"/>
      <c r="F192" s="276"/>
      <c r="G192" s="277"/>
      <c r="H192" s="276"/>
      <c r="I192" s="277"/>
    </row>
    <row r="193" spans="1:9" s="48" customFormat="1" x14ac:dyDescent="0.2">
      <c r="A193" s="416" t="s">
        <v>2329</v>
      </c>
      <c r="B193" s="552" t="s">
        <v>2198</v>
      </c>
      <c r="C193" s="552"/>
      <c r="D193" s="255" t="s">
        <v>867</v>
      </c>
      <c r="E193" s="383" t="s">
        <v>64</v>
      </c>
      <c r="F193" s="272"/>
      <c r="G193" s="273"/>
      <c r="H193" s="273"/>
      <c r="I193" s="417">
        <f>SUM(I194:I205)</f>
        <v>31270.491600000001</v>
      </c>
    </row>
    <row r="194" spans="1:9" s="48" customFormat="1" ht="14.25" x14ac:dyDescent="0.2">
      <c r="A194" s="327" t="s">
        <v>2330</v>
      </c>
      <c r="B194" s="224" t="s">
        <v>94</v>
      </c>
      <c r="C194" s="223">
        <v>7184</v>
      </c>
      <c r="D194" s="218" t="s">
        <v>875</v>
      </c>
      <c r="E194" s="224" t="s">
        <v>64</v>
      </c>
      <c r="F194" s="276">
        <v>330</v>
      </c>
      <c r="G194" s="277">
        <v>31.3</v>
      </c>
      <c r="H194" s="276">
        <f t="shared" ref="H194" si="30">G194</f>
        <v>31.3</v>
      </c>
      <c r="I194" s="277">
        <f t="shared" ref="I194" si="31">F194*H194</f>
        <v>10329</v>
      </c>
    </row>
    <row r="195" spans="1:9" s="48" customFormat="1" ht="14.25" x14ac:dyDescent="0.2">
      <c r="A195" s="327" t="s">
        <v>2331</v>
      </c>
      <c r="B195" s="224" t="s">
        <v>94</v>
      </c>
      <c r="C195" s="223">
        <v>11976</v>
      </c>
      <c r="D195" s="218" t="s">
        <v>876</v>
      </c>
      <c r="E195" s="224" t="s">
        <v>64</v>
      </c>
      <c r="F195" s="276">
        <v>856</v>
      </c>
      <c r="G195" s="277">
        <v>3.98</v>
      </c>
      <c r="H195" s="276">
        <f t="shared" ref="H195:H203" si="32">G195</f>
        <v>3.98</v>
      </c>
      <c r="I195" s="277">
        <f t="shared" ref="I195:I205" si="33">F195*H195</f>
        <v>3406.88</v>
      </c>
    </row>
    <row r="196" spans="1:9" s="48" customFormat="1" ht="14.25" x14ac:dyDescent="0.2">
      <c r="A196" s="327" t="s">
        <v>2332</v>
      </c>
      <c r="B196" s="224" t="s">
        <v>94</v>
      </c>
      <c r="C196" s="223">
        <v>11975</v>
      </c>
      <c r="D196" s="218" t="s">
        <v>877</v>
      </c>
      <c r="E196" s="224" t="s">
        <v>64</v>
      </c>
      <c r="F196" s="276">
        <v>328</v>
      </c>
      <c r="G196" s="277">
        <v>11.83</v>
      </c>
      <c r="H196" s="276">
        <f t="shared" ref="H196" si="34">G196</f>
        <v>11.83</v>
      </c>
      <c r="I196" s="277">
        <f t="shared" ref="I196" si="35">F196*H196</f>
        <v>3880.2400000000002</v>
      </c>
    </row>
    <row r="197" spans="1:9" s="48" customFormat="1" ht="14.25" x14ac:dyDescent="0.2">
      <c r="A197" s="327" t="s">
        <v>2333</v>
      </c>
      <c r="B197" s="224" t="s">
        <v>94</v>
      </c>
      <c r="C197" s="223">
        <v>5104</v>
      </c>
      <c r="D197" s="218" t="s">
        <v>874</v>
      </c>
      <c r="E197" s="224" t="s">
        <v>384</v>
      </c>
      <c r="F197" s="276">
        <v>1</v>
      </c>
      <c r="G197" s="277">
        <v>34.61</v>
      </c>
      <c r="H197" s="276">
        <f t="shared" si="32"/>
        <v>34.61</v>
      </c>
      <c r="I197" s="277">
        <f t="shared" si="33"/>
        <v>34.61</v>
      </c>
    </row>
    <row r="198" spans="1:9" s="48" customFormat="1" ht="14.25" x14ac:dyDescent="0.2">
      <c r="A198" s="327" t="s">
        <v>2334</v>
      </c>
      <c r="B198" s="224" t="s">
        <v>94</v>
      </c>
      <c r="C198" s="223">
        <v>589</v>
      </c>
      <c r="D198" s="218" t="s">
        <v>870</v>
      </c>
      <c r="E198" s="224" t="s">
        <v>63</v>
      </c>
      <c r="F198" s="276">
        <v>154</v>
      </c>
      <c r="G198" s="277">
        <v>28.61</v>
      </c>
      <c r="H198" s="276">
        <f t="shared" si="32"/>
        <v>28.61</v>
      </c>
      <c r="I198" s="277">
        <f t="shared" si="33"/>
        <v>4405.9399999999996</v>
      </c>
    </row>
    <row r="199" spans="1:9" s="48" customFormat="1" ht="14.25" x14ac:dyDescent="0.2">
      <c r="A199" s="327" t="s">
        <v>2335</v>
      </c>
      <c r="B199" s="224" t="s">
        <v>94</v>
      </c>
      <c r="C199" s="223">
        <v>584</v>
      </c>
      <c r="D199" s="218" t="s">
        <v>871</v>
      </c>
      <c r="E199" s="224" t="s">
        <v>63</v>
      </c>
      <c r="F199" s="276">
        <v>154</v>
      </c>
      <c r="G199" s="277">
        <v>18.07</v>
      </c>
      <c r="H199" s="276">
        <f t="shared" si="32"/>
        <v>18.07</v>
      </c>
      <c r="I199" s="277">
        <f t="shared" si="33"/>
        <v>2782.78</v>
      </c>
    </row>
    <row r="200" spans="1:9" s="48" customFormat="1" ht="14.25" x14ac:dyDescent="0.2">
      <c r="A200" s="327" t="s">
        <v>2336</v>
      </c>
      <c r="B200" s="224" t="s">
        <v>94</v>
      </c>
      <c r="C200" s="223">
        <v>11122</v>
      </c>
      <c r="D200" s="218" t="s">
        <v>872</v>
      </c>
      <c r="E200" s="224" t="s">
        <v>61</v>
      </c>
      <c r="F200" s="276">
        <v>46.08</v>
      </c>
      <c r="G200" s="277">
        <v>14.02</v>
      </c>
      <c r="H200" s="276">
        <f t="shared" si="32"/>
        <v>14.02</v>
      </c>
      <c r="I200" s="277">
        <f t="shared" si="33"/>
        <v>646.0415999999999</v>
      </c>
    </row>
    <row r="201" spans="1:9" s="48" customFormat="1" ht="14.25" x14ac:dyDescent="0.2">
      <c r="A201" s="327" t="s">
        <v>2337</v>
      </c>
      <c r="B201" s="224" t="s">
        <v>94</v>
      </c>
      <c r="C201" s="223">
        <v>6110</v>
      </c>
      <c r="D201" s="218" t="s">
        <v>516</v>
      </c>
      <c r="E201" s="224" t="s">
        <v>60</v>
      </c>
      <c r="F201" s="276">
        <v>100</v>
      </c>
      <c r="G201" s="277">
        <v>12.2</v>
      </c>
      <c r="H201" s="276">
        <f t="shared" si="32"/>
        <v>12.2</v>
      </c>
      <c r="I201" s="277">
        <f t="shared" si="33"/>
        <v>1220</v>
      </c>
    </row>
    <row r="202" spans="1:9" s="48" customFormat="1" ht="14.25" x14ac:dyDescent="0.2">
      <c r="A202" s="327" t="s">
        <v>2338</v>
      </c>
      <c r="B202" s="224" t="s">
        <v>94</v>
      </c>
      <c r="C202" s="223">
        <v>252</v>
      </c>
      <c r="D202" s="218" t="s">
        <v>517</v>
      </c>
      <c r="E202" s="224" t="s">
        <v>60</v>
      </c>
      <c r="F202" s="276">
        <f>F201</f>
        <v>100</v>
      </c>
      <c r="G202" s="274">
        <v>9.19</v>
      </c>
      <c r="H202" s="276">
        <f t="shared" si="32"/>
        <v>9.19</v>
      </c>
      <c r="I202" s="277">
        <f t="shared" si="33"/>
        <v>919</v>
      </c>
    </row>
    <row r="203" spans="1:9" s="48" customFormat="1" ht="14.25" x14ac:dyDescent="0.2">
      <c r="A203" s="327" t="s">
        <v>2339</v>
      </c>
      <c r="B203" s="224" t="s">
        <v>94</v>
      </c>
      <c r="C203" s="223">
        <v>6111</v>
      </c>
      <c r="D203" s="218" t="s">
        <v>557</v>
      </c>
      <c r="E203" s="224" t="s">
        <v>60</v>
      </c>
      <c r="F203" s="276">
        <f>F201</f>
        <v>100</v>
      </c>
      <c r="G203" s="277">
        <v>10.62</v>
      </c>
      <c r="H203" s="276">
        <f t="shared" si="32"/>
        <v>10.62</v>
      </c>
      <c r="I203" s="277">
        <f t="shared" si="33"/>
        <v>1062</v>
      </c>
    </row>
    <row r="204" spans="1:9" s="48" customFormat="1" ht="14.25" x14ac:dyDescent="0.2">
      <c r="A204" s="327" t="s">
        <v>2340</v>
      </c>
      <c r="B204" s="224" t="s">
        <v>94</v>
      </c>
      <c r="C204" s="223">
        <v>4750</v>
      </c>
      <c r="D204" s="218" t="s">
        <v>556</v>
      </c>
      <c r="E204" s="224" t="s">
        <v>60</v>
      </c>
      <c r="F204" s="276">
        <f>F201</f>
        <v>100</v>
      </c>
      <c r="G204" s="277">
        <v>12.92</v>
      </c>
      <c r="H204" s="276">
        <f>G204</f>
        <v>12.92</v>
      </c>
      <c r="I204" s="277">
        <f t="shared" si="33"/>
        <v>1292</v>
      </c>
    </row>
    <row r="205" spans="1:9" s="48" customFormat="1" ht="14.25" x14ac:dyDescent="0.2">
      <c r="A205" s="327" t="s">
        <v>2341</v>
      </c>
      <c r="B205" s="224" t="s">
        <v>94</v>
      </c>
      <c r="C205" s="223">
        <v>1213</v>
      </c>
      <c r="D205" s="218" t="s">
        <v>873</v>
      </c>
      <c r="E205" s="224" t="s">
        <v>60</v>
      </c>
      <c r="F205" s="276">
        <f>F201</f>
        <v>100</v>
      </c>
      <c r="G205" s="277">
        <v>12.92</v>
      </c>
      <c r="H205" s="276">
        <f>G205</f>
        <v>12.92</v>
      </c>
      <c r="I205" s="277">
        <f t="shared" si="33"/>
        <v>1292</v>
      </c>
    </row>
    <row r="206" spans="1:9" s="48" customFormat="1" ht="14.25" x14ac:dyDescent="0.2">
      <c r="A206" s="327"/>
      <c r="B206" s="224"/>
      <c r="C206" s="223"/>
      <c r="D206" s="218"/>
      <c r="E206" s="224"/>
      <c r="F206" s="276"/>
      <c r="G206" s="277"/>
      <c r="H206" s="276"/>
      <c r="I206" s="277"/>
    </row>
    <row r="207" spans="1:9" s="48" customFormat="1" ht="30" x14ac:dyDescent="0.2">
      <c r="A207" s="416" t="s">
        <v>787</v>
      </c>
      <c r="B207" s="552" t="s">
        <v>562</v>
      </c>
      <c r="C207" s="552"/>
      <c r="D207" s="255" t="s">
        <v>429</v>
      </c>
      <c r="E207" s="383"/>
      <c r="F207" s="272"/>
      <c r="G207" s="273"/>
      <c r="H207" s="273"/>
      <c r="I207" s="417">
        <f>SUM(I208:I211)</f>
        <v>658.32</v>
      </c>
    </row>
    <row r="208" spans="1:9" s="48" customFormat="1" ht="14.25" x14ac:dyDescent="0.2">
      <c r="A208" s="327" t="s">
        <v>894</v>
      </c>
      <c r="B208" s="313" t="s">
        <v>94</v>
      </c>
      <c r="C208" s="313">
        <v>11125</v>
      </c>
      <c r="D208" s="217" t="s">
        <v>527</v>
      </c>
      <c r="E208" s="313" t="s">
        <v>384</v>
      </c>
      <c r="F208" s="275">
        <f>48*0.8*0.8</f>
        <v>30.720000000000006</v>
      </c>
      <c r="G208" s="274">
        <v>14.02</v>
      </c>
      <c r="H208" s="275">
        <f>G208</f>
        <v>14.02</v>
      </c>
      <c r="I208" s="275">
        <f>ROUND(F208*H208,2)</f>
        <v>430.69</v>
      </c>
    </row>
    <row r="209" spans="1:9" s="48" customFormat="1" ht="14.25" x14ac:dyDescent="0.2">
      <c r="A209" s="327" t="s">
        <v>895</v>
      </c>
      <c r="B209" s="313" t="s">
        <v>94</v>
      </c>
      <c r="C209" s="313">
        <v>585</v>
      </c>
      <c r="D209" s="217" t="s">
        <v>528</v>
      </c>
      <c r="E209" s="313" t="s">
        <v>384</v>
      </c>
      <c r="F209" s="275">
        <v>2.6</v>
      </c>
      <c r="G209" s="274">
        <v>16.98</v>
      </c>
      <c r="H209" s="275">
        <f>G209</f>
        <v>16.98</v>
      </c>
      <c r="I209" s="275">
        <f>ROUND(F209*H209,2)</f>
        <v>44.15</v>
      </c>
    </row>
    <row r="210" spans="1:9" s="48" customFormat="1" ht="14.25" x14ac:dyDescent="0.2">
      <c r="A210" s="327" t="s">
        <v>896</v>
      </c>
      <c r="B210" s="313" t="s">
        <v>94</v>
      </c>
      <c r="C210" s="313">
        <v>252</v>
      </c>
      <c r="D210" s="217" t="s">
        <v>522</v>
      </c>
      <c r="E210" s="313" t="s">
        <v>60</v>
      </c>
      <c r="F210" s="275">
        <v>12</v>
      </c>
      <c r="G210" s="274">
        <v>9.19</v>
      </c>
      <c r="H210" s="275">
        <f>G210</f>
        <v>9.19</v>
      </c>
      <c r="I210" s="275">
        <f>ROUND(F210*H210,2)</f>
        <v>110.28</v>
      </c>
    </row>
    <row r="211" spans="1:9" s="48" customFormat="1" ht="14.25" x14ac:dyDescent="0.2">
      <c r="A211" s="327" t="s">
        <v>897</v>
      </c>
      <c r="B211" s="313" t="s">
        <v>94</v>
      </c>
      <c r="C211" s="313">
        <v>6110</v>
      </c>
      <c r="D211" s="217" t="s">
        <v>516</v>
      </c>
      <c r="E211" s="313" t="s">
        <v>60</v>
      </c>
      <c r="F211" s="275">
        <v>6</v>
      </c>
      <c r="G211" s="274">
        <v>12.2</v>
      </c>
      <c r="H211" s="275">
        <f>G211</f>
        <v>12.2</v>
      </c>
      <c r="I211" s="275">
        <f>ROUND(F211*H211,2)</f>
        <v>73.2</v>
      </c>
    </row>
    <row r="212" spans="1:9" s="48" customFormat="1" ht="14.25" x14ac:dyDescent="0.2">
      <c r="A212" s="327"/>
      <c r="B212" s="314"/>
      <c r="C212" s="314"/>
      <c r="D212" s="256"/>
      <c r="E212" s="314"/>
      <c r="F212" s="274"/>
      <c r="G212" s="274"/>
      <c r="H212" s="274"/>
      <c r="I212" s="275"/>
    </row>
    <row r="213" spans="1:9" s="48" customFormat="1" ht="30" x14ac:dyDescent="0.2">
      <c r="A213" s="416" t="s">
        <v>2342</v>
      </c>
      <c r="B213" s="552" t="s">
        <v>2199</v>
      </c>
      <c r="C213" s="552"/>
      <c r="D213" s="255" t="s">
        <v>881</v>
      </c>
      <c r="E213" s="383"/>
      <c r="F213" s="272"/>
      <c r="G213" s="273"/>
      <c r="H213" s="273"/>
      <c r="I213" s="417">
        <f>SUM(I214:I217)</f>
        <v>355.55</v>
      </c>
    </row>
    <row r="214" spans="1:9" s="48" customFormat="1" ht="14.25" x14ac:dyDescent="0.2">
      <c r="A214" s="327" t="s">
        <v>2343</v>
      </c>
      <c r="B214" s="314" t="s">
        <v>94</v>
      </c>
      <c r="C214" s="314">
        <v>11125</v>
      </c>
      <c r="D214" s="217" t="s">
        <v>527</v>
      </c>
      <c r="E214" s="314" t="s">
        <v>384</v>
      </c>
      <c r="F214" s="274">
        <v>17</v>
      </c>
      <c r="G214" s="274">
        <v>14.02</v>
      </c>
      <c r="H214" s="274">
        <f>G214</f>
        <v>14.02</v>
      </c>
      <c r="I214" s="275">
        <f>ROUND(F214*H214,2)</f>
        <v>238.34</v>
      </c>
    </row>
    <row r="215" spans="1:9" s="48" customFormat="1" ht="14.25" x14ac:dyDescent="0.2">
      <c r="A215" s="327" t="s">
        <v>2344</v>
      </c>
      <c r="B215" s="314" t="s">
        <v>94</v>
      </c>
      <c r="C215" s="314">
        <v>585</v>
      </c>
      <c r="D215" s="217" t="s">
        <v>528</v>
      </c>
      <c r="E215" s="314" t="s">
        <v>384</v>
      </c>
      <c r="F215" s="274">
        <v>1.5</v>
      </c>
      <c r="G215" s="274">
        <v>16.98</v>
      </c>
      <c r="H215" s="274">
        <f>G215</f>
        <v>16.98</v>
      </c>
      <c r="I215" s="275">
        <f>ROUND(F215*H215,2)</f>
        <v>25.47</v>
      </c>
    </row>
    <row r="216" spans="1:9" s="48" customFormat="1" ht="14.25" x14ac:dyDescent="0.2">
      <c r="A216" s="327" t="s">
        <v>2345</v>
      </c>
      <c r="B216" s="314" t="s">
        <v>94</v>
      </c>
      <c r="C216" s="314">
        <v>252</v>
      </c>
      <c r="D216" s="217" t="s">
        <v>522</v>
      </c>
      <c r="E216" s="314" t="s">
        <v>60</v>
      </c>
      <c r="F216" s="274">
        <v>6</v>
      </c>
      <c r="G216" s="274">
        <v>9.19</v>
      </c>
      <c r="H216" s="274">
        <f>G216</f>
        <v>9.19</v>
      </c>
      <c r="I216" s="275">
        <f>ROUND(F216*H216,2)</f>
        <v>55.14</v>
      </c>
    </row>
    <row r="217" spans="1:9" s="48" customFormat="1" ht="14.25" x14ac:dyDescent="0.2">
      <c r="A217" s="327" t="s">
        <v>2346</v>
      </c>
      <c r="B217" s="314" t="s">
        <v>94</v>
      </c>
      <c r="C217" s="314">
        <v>6110</v>
      </c>
      <c r="D217" s="217" t="s">
        <v>516</v>
      </c>
      <c r="E217" s="314" t="s">
        <v>60</v>
      </c>
      <c r="F217" s="274">
        <v>3</v>
      </c>
      <c r="G217" s="274">
        <v>12.2</v>
      </c>
      <c r="H217" s="274">
        <f>G217</f>
        <v>12.2</v>
      </c>
      <c r="I217" s="275">
        <f>ROUND(F217*H217,2)</f>
        <v>36.6</v>
      </c>
    </row>
    <row r="218" spans="1:9" s="48" customFormat="1" ht="14.25" x14ac:dyDescent="0.2">
      <c r="A218" s="327"/>
      <c r="B218" s="71"/>
      <c r="C218" s="71"/>
      <c r="D218" s="71"/>
      <c r="E218" s="282"/>
      <c r="F218" s="283"/>
      <c r="G218" s="283"/>
      <c r="H218" s="283"/>
      <c r="I218" s="283"/>
    </row>
    <row r="219" spans="1:9" s="48" customFormat="1" x14ac:dyDescent="0.2">
      <c r="A219" s="416" t="s">
        <v>2347</v>
      </c>
      <c r="B219" s="552" t="s">
        <v>563</v>
      </c>
      <c r="C219" s="552"/>
      <c r="D219" s="255" t="str">
        <f>ORÇAMENTO!D311</f>
        <v>FORNECIMENTO DO MATERIAL HIDRÁULICO DO REATOR UASB</v>
      </c>
      <c r="E219" s="383"/>
      <c r="F219" s="272"/>
      <c r="G219" s="273"/>
      <c r="H219" s="273"/>
      <c r="I219" s="417">
        <f>SUM(I220:I260)</f>
        <v>96741.756000000008</v>
      </c>
    </row>
    <row r="220" spans="1:9" s="48" customFormat="1" ht="14.25" x14ac:dyDescent="0.2">
      <c r="A220" s="327" t="s">
        <v>2348</v>
      </c>
      <c r="B220" s="313" t="s">
        <v>145</v>
      </c>
      <c r="C220" s="313"/>
      <c r="D220" s="218" t="s">
        <v>1</v>
      </c>
      <c r="E220" s="224" t="s">
        <v>64</v>
      </c>
      <c r="F220" s="276">
        <v>12</v>
      </c>
      <c r="G220" s="277">
        <v>54.04</v>
      </c>
      <c r="H220" s="276">
        <f t="shared" ref="H220:H260" si="36">G220</f>
        <v>54.04</v>
      </c>
      <c r="I220" s="277">
        <f t="shared" ref="I220:I260" si="37">F220*H220</f>
        <v>648.48</v>
      </c>
    </row>
    <row r="221" spans="1:9" s="48" customFormat="1" ht="14.25" x14ac:dyDescent="0.2">
      <c r="A221" s="327" t="s">
        <v>2349</v>
      </c>
      <c r="B221" s="313" t="s">
        <v>145</v>
      </c>
      <c r="C221" s="313"/>
      <c r="D221" s="218" t="s">
        <v>2</v>
      </c>
      <c r="E221" s="224" t="s">
        <v>64</v>
      </c>
      <c r="F221" s="276">
        <v>2</v>
      </c>
      <c r="G221" s="277">
        <v>1114.6600000000001</v>
      </c>
      <c r="H221" s="276">
        <f t="shared" si="36"/>
        <v>1114.6600000000001</v>
      </c>
      <c r="I221" s="277">
        <f t="shared" si="37"/>
        <v>2229.3200000000002</v>
      </c>
    </row>
    <row r="222" spans="1:9" s="48" customFormat="1" ht="14.25" x14ac:dyDescent="0.2">
      <c r="A222" s="327" t="s">
        <v>2350</v>
      </c>
      <c r="B222" s="313" t="s">
        <v>145</v>
      </c>
      <c r="C222" s="313"/>
      <c r="D222" s="218" t="s">
        <v>3</v>
      </c>
      <c r="E222" s="224" t="s">
        <v>64</v>
      </c>
      <c r="F222" s="276">
        <v>2</v>
      </c>
      <c r="G222" s="277">
        <v>2531.3000000000002</v>
      </c>
      <c r="H222" s="276">
        <f t="shared" si="36"/>
        <v>2531.3000000000002</v>
      </c>
      <c r="I222" s="277">
        <f t="shared" si="37"/>
        <v>5062.6000000000004</v>
      </c>
    </row>
    <row r="223" spans="1:9" s="48" customFormat="1" ht="14.25" x14ac:dyDescent="0.2">
      <c r="A223" s="327" t="s">
        <v>2351</v>
      </c>
      <c r="B223" s="313" t="s">
        <v>145</v>
      </c>
      <c r="C223" s="313"/>
      <c r="D223" s="218" t="s">
        <v>236</v>
      </c>
      <c r="E223" s="224" t="s">
        <v>64</v>
      </c>
      <c r="F223" s="276">
        <v>12</v>
      </c>
      <c r="G223" s="277">
        <v>209</v>
      </c>
      <c r="H223" s="276">
        <f t="shared" si="36"/>
        <v>209</v>
      </c>
      <c r="I223" s="277">
        <f t="shared" si="37"/>
        <v>2508</v>
      </c>
    </row>
    <row r="224" spans="1:9" s="48" customFormat="1" ht="14.25" x14ac:dyDescent="0.2">
      <c r="A224" s="327" t="s">
        <v>2352</v>
      </c>
      <c r="B224" s="313" t="s">
        <v>101</v>
      </c>
      <c r="C224" s="313">
        <v>25004017</v>
      </c>
      <c r="D224" s="218" t="s">
        <v>886</v>
      </c>
      <c r="E224" s="224" t="s">
        <v>63</v>
      </c>
      <c r="F224" s="276">
        <v>198</v>
      </c>
      <c r="G224" s="277">
        <v>111.57</v>
      </c>
      <c r="H224" s="276">
        <f t="shared" si="36"/>
        <v>111.57</v>
      </c>
      <c r="I224" s="277">
        <f t="shared" si="37"/>
        <v>22090.859999999997</v>
      </c>
    </row>
    <row r="225" spans="1:9" s="48" customFormat="1" ht="14.25" x14ac:dyDescent="0.2">
      <c r="A225" s="327" t="s">
        <v>2353</v>
      </c>
      <c r="B225" s="313" t="s">
        <v>101</v>
      </c>
      <c r="C225" s="313">
        <v>25000246</v>
      </c>
      <c r="D225" s="218" t="s">
        <v>887</v>
      </c>
      <c r="E225" s="224" t="s">
        <v>64</v>
      </c>
      <c r="F225" s="276">
        <v>24</v>
      </c>
      <c r="G225" s="277">
        <v>54.02</v>
      </c>
      <c r="H225" s="276">
        <f t="shared" si="36"/>
        <v>54.02</v>
      </c>
      <c r="I225" s="277">
        <f t="shared" si="37"/>
        <v>1296.48</v>
      </c>
    </row>
    <row r="226" spans="1:9" s="48" customFormat="1" ht="14.25" x14ac:dyDescent="0.2">
      <c r="A226" s="327" t="s">
        <v>2354</v>
      </c>
      <c r="B226" s="313" t="s">
        <v>101</v>
      </c>
      <c r="C226" s="313">
        <v>25004018</v>
      </c>
      <c r="D226" s="218" t="s">
        <v>888</v>
      </c>
      <c r="E226" s="224" t="s">
        <v>63</v>
      </c>
      <c r="F226" s="276">
        <v>30</v>
      </c>
      <c r="G226" s="277">
        <v>140.30000000000001</v>
      </c>
      <c r="H226" s="276">
        <f t="shared" ref="H226:H230" si="38">G226</f>
        <v>140.30000000000001</v>
      </c>
      <c r="I226" s="277">
        <f t="shared" ref="I226:I230" si="39">F226*H226</f>
        <v>4209</v>
      </c>
    </row>
    <row r="227" spans="1:9" s="48" customFormat="1" ht="14.25" x14ac:dyDescent="0.2">
      <c r="A227" s="327" t="s">
        <v>2355</v>
      </c>
      <c r="B227" s="313" t="s">
        <v>101</v>
      </c>
      <c r="C227" s="313">
        <v>25000247</v>
      </c>
      <c r="D227" s="218" t="s">
        <v>889</v>
      </c>
      <c r="E227" s="224" t="s">
        <v>64</v>
      </c>
      <c r="F227" s="276">
        <v>22</v>
      </c>
      <c r="G227" s="277">
        <v>75.239999999999995</v>
      </c>
      <c r="H227" s="276">
        <f t="shared" si="38"/>
        <v>75.239999999999995</v>
      </c>
      <c r="I227" s="277">
        <f t="shared" si="39"/>
        <v>1655.28</v>
      </c>
    </row>
    <row r="228" spans="1:9" s="48" customFormat="1" ht="14.25" x14ac:dyDescent="0.2">
      <c r="A228" s="327" t="s">
        <v>2356</v>
      </c>
      <c r="B228" s="313" t="s">
        <v>101</v>
      </c>
      <c r="C228" s="313">
        <v>25004307</v>
      </c>
      <c r="D228" s="218" t="s">
        <v>890</v>
      </c>
      <c r="E228" s="224" t="s">
        <v>63</v>
      </c>
      <c r="F228" s="276">
        <v>24</v>
      </c>
      <c r="G228" s="277">
        <v>129.19999999999999</v>
      </c>
      <c r="H228" s="276">
        <f t="shared" si="38"/>
        <v>129.19999999999999</v>
      </c>
      <c r="I228" s="277">
        <f t="shared" si="39"/>
        <v>3100.7999999999997</v>
      </c>
    </row>
    <row r="229" spans="1:9" s="48" customFormat="1" ht="14.25" x14ac:dyDescent="0.2">
      <c r="A229" s="327" t="s">
        <v>2357</v>
      </c>
      <c r="B229" s="313" t="s">
        <v>101</v>
      </c>
      <c r="C229" s="313">
        <v>25004220</v>
      </c>
      <c r="D229" s="218" t="s">
        <v>891</v>
      </c>
      <c r="E229" s="224" t="s">
        <v>63</v>
      </c>
      <c r="F229" s="276">
        <v>6</v>
      </c>
      <c r="G229" s="277">
        <v>235.19</v>
      </c>
      <c r="H229" s="276">
        <f t="shared" si="38"/>
        <v>235.19</v>
      </c>
      <c r="I229" s="277">
        <f t="shared" si="39"/>
        <v>1411.1399999999999</v>
      </c>
    </row>
    <row r="230" spans="1:9" s="48" customFormat="1" ht="14.25" x14ac:dyDescent="0.2">
      <c r="A230" s="327" t="s">
        <v>2358</v>
      </c>
      <c r="B230" s="313" t="s">
        <v>101</v>
      </c>
      <c r="C230" s="313">
        <v>25000248</v>
      </c>
      <c r="D230" s="218" t="s">
        <v>892</v>
      </c>
      <c r="E230" s="224" t="s">
        <v>64</v>
      </c>
      <c r="F230" s="276">
        <v>2</v>
      </c>
      <c r="G230" s="277">
        <v>225.24</v>
      </c>
      <c r="H230" s="276">
        <f t="shared" si="38"/>
        <v>225.24</v>
      </c>
      <c r="I230" s="277">
        <f t="shared" si="39"/>
        <v>450.48</v>
      </c>
    </row>
    <row r="231" spans="1:9" s="48" customFormat="1" ht="14.25" x14ac:dyDescent="0.2">
      <c r="A231" s="327" t="s">
        <v>2359</v>
      </c>
      <c r="B231" s="313" t="s">
        <v>145</v>
      </c>
      <c r="C231" s="313"/>
      <c r="D231" s="218" t="s">
        <v>188</v>
      </c>
      <c r="E231" s="224" t="s">
        <v>64</v>
      </c>
      <c r="F231" s="276">
        <v>2</v>
      </c>
      <c r="G231" s="277">
        <v>159.02000000000001</v>
      </c>
      <c r="H231" s="276">
        <f t="shared" si="36"/>
        <v>159.02000000000001</v>
      </c>
      <c r="I231" s="277">
        <f t="shared" si="37"/>
        <v>318.04000000000002</v>
      </c>
    </row>
    <row r="232" spans="1:9" s="48" customFormat="1" ht="14.25" x14ac:dyDescent="0.2">
      <c r="A232" s="327" t="s">
        <v>2360</v>
      </c>
      <c r="B232" s="313" t="s">
        <v>145</v>
      </c>
      <c r="C232" s="313"/>
      <c r="D232" s="259" t="s">
        <v>435</v>
      </c>
      <c r="E232" s="224" t="s">
        <v>64</v>
      </c>
      <c r="F232" s="276">
        <v>6</v>
      </c>
      <c r="G232" s="277">
        <v>16.899999999999999</v>
      </c>
      <c r="H232" s="276">
        <f t="shared" si="36"/>
        <v>16.899999999999999</v>
      </c>
      <c r="I232" s="277">
        <f t="shared" si="37"/>
        <v>101.39999999999999</v>
      </c>
    </row>
    <row r="233" spans="1:9" s="48" customFormat="1" ht="28.5" x14ac:dyDescent="0.2">
      <c r="A233" s="327" t="s">
        <v>2361</v>
      </c>
      <c r="B233" s="313" t="s">
        <v>145</v>
      </c>
      <c r="C233" s="313"/>
      <c r="D233" s="218" t="s">
        <v>239</v>
      </c>
      <c r="E233" s="224" t="s">
        <v>64</v>
      </c>
      <c r="F233" s="276">
        <v>2</v>
      </c>
      <c r="G233" s="277">
        <v>31</v>
      </c>
      <c r="H233" s="276">
        <f t="shared" si="36"/>
        <v>31</v>
      </c>
      <c r="I233" s="277">
        <f t="shared" si="37"/>
        <v>62</v>
      </c>
    </row>
    <row r="234" spans="1:9" s="48" customFormat="1" ht="14.25" x14ac:dyDescent="0.2">
      <c r="A234" s="327" t="s">
        <v>2362</v>
      </c>
      <c r="B234" s="313" t="s">
        <v>145</v>
      </c>
      <c r="C234" s="313"/>
      <c r="D234" s="218" t="s">
        <v>240</v>
      </c>
      <c r="E234" s="224" t="s">
        <v>64</v>
      </c>
      <c r="F234" s="276">
        <v>2</v>
      </c>
      <c r="G234" s="277">
        <v>3671</v>
      </c>
      <c r="H234" s="276">
        <f t="shared" si="36"/>
        <v>3671</v>
      </c>
      <c r="I234" s="277">
        <f t="shared" si="37"/>
        <v>7342</v>
      </c>
    </row>
    <row r="235" spans="1:9" s="48" customFormat="1" ht="28.5" x14ac:dyDescent="0.2">
      <c r="A235" s="327" t="s">
        <v>2363</v>
      </c>
      <c r="B235" s="224" t="s">
        <v>94</v>
      </c>
      <c r="C235" s="327">
        <v>21148</v>
      </c>
      <c r="D235" s="218" t="s">
        <v>764</v>
      </c>
      <c r="E235" s="224" t="s">
        <v>63</v>
      </c>
      <c r="F235" s="276">
        <v>43</v>
      </c>
      <c r="G235" s="277">
        <v>37.47</v>
      </c>
      <c r="H235" s="276">
        <f t="shared" ref="H235" si="40">G235</f>
        <v>37.47</v>
      </c>
      <c r="I235" s="277">
        <f t="shared" ref="I235" si="41">F235*H235</f>
        <v>1611.21</v>
      </c>
    </row>
    <row r="236" spans="1:9" s="48" customFormat="1" ht="14.25" x14ac:dyDescent="0.2">
      <c r="A236" s="327" t="s">
        <v>2364</v>
      </c>
      <c r="B236" s="313" t="s">
        <v>94</v>
      </c>
      <c r="C236" s="313">
        <v>6298</v>
      </c>
      <c r="D236" s="218" t="s">
        <v>893</v>
      </c>
      <c r="E236" s="224" t="s">
        <v>64</v>
      </c>
      <c r="F236" s="276">
        <v>10</v>
      </c>
      <c r="G236" s="277">
        <v>39.57</v>
      </c>
      <c r="H236" s="276">
        <f t="shared" si="36"/>
        <v>39.57</v>
      </c>
      <c r="I236" s="277">
        <f t="shared" si="37"/>
        <v>395.7</v>
      </c>
    </row>
    <row r="237" spans="1:9" s="48" customFormat="1" ht="14.25" x14ac:dyDescent="0.2">
      <c r="A237" s="327" t="s">
        <v>2365</v>
      </c>
      <c r="B237" s="313" t="s">
        <v>94</v>
      </c>
      <c r="C237" s="313">
        <v>6314</v>
      </c>
      <c r="D237" s="218" t="s">
        <v>766</v>
      </c>
      <c r="E237" s="224" t="s">
        <v>64</v>
      </c>
      <c r="F237" s="276">
        <v>2</v>
      </c>
      <c r="G237" s="277">
        <v>91.14</v>
      </c>
      <c r="H237" s="276">
        <f t="shared" si="36"/>
        <v>91.14</v>
      </c>
      <c r="I237" s="277">
        <f t="shared" si="37"/>
        <v>182.28</v>
      </c>
    </row>
    <row r="238" spans="1:9" s="160" customFormat="1" ht="14.25" x14ac:dyDescent="0.2">
      <c r="A238" s="444" t="s">
        <v>2366</v>
      </c>
      <c r="B238" s="426" t="s">
        <v>94</v>
      </c>
      <c r="C238" s="447">
        <v>20113</v>
      </c>
      <c r="D238" s="434" t="s">
        <v>241</v>
      </c>
      <c r="E238" s="426" t="s">
        <v>64</v>
      </c>
      <c r="F238" s="445">
        <v>2</v>
      </c>
      <c r="G238" s="446">
        <v>204.14</v>
      </c>
      <c r="H238" s="445">
        <f t="shared" si="36"/>
        <v>204.14</v>
      </c>
      <c r="I238" s="446">
        <f t="shared" si="37"/>
        <v>408.28</v>
      </c>
    </row>
    <row r="239" spans="1:9" s="48" customFormat="1" ht="14.25" x14ac:dyDescent="0.2">
      <c r="A239" s="327" t="s">
        <v>2367</v>
      </c>
      <c r="B239" s="313" t="s">
        <v>145</v>
      </c>
      <c r="C239" s="313"/>
      <c r="D239" s="218" t="s">
        <v>425</v>
      </c>
      <c r="E239" s="224" t="s">
        <v>64</v>
      </c>
      <c r="F239" s="276">
        <v>2</v>
      </c>
      <c r="G239" s="277">
        <v>1265</v>
      </c>
      <c r="H239" s="276">
        <f t="shared" si="36"/>
        <v>1265</v>
      </c>
      <c r="I239" s="277">
        <f t="shared" si="37"/>
        <v>2530</v>
      </c>
    </row>
    <row r="240" spans="1:9" s="48" customFormat="1" ht="14.25" x14ac:dyDescent="0.2">
      <c r="A240" s="327" t="s">
        <v>2368</v>
      </c>
      <c r="B240" s="313" t="s">
        <v>145</v>
      </c>
      <c r="C240" s="313"/>
      <c r="D240" s="218" t="s">
        <v>5</v>
      </c>
      <c r="E240" s="224" t="s">
        <v>64</v>
      </c>
      <c r="F240" s="276">
        <v>24</v>
      </c>
      <c r="G240" s="277">
        <v>199.99</v>
      </c>
      <c r="H240" s="276">
        <f t="shared" si="36"/>
        <v>199.99</v>
      </c>
      <c r="I240" s="277">
        <f t="shared" si="37"/>
        <v>4799.76</v>
      </c>
    </row>
    <row r="241" spans="1:9" s="48" customFormat="1" ht="28.5" x14ac:dyDescent="0.2">
      <c r="A241" s="327" t="s">
        <v>2369</v>
      </c>
      <c r="B241" s="224" t="s">
        <v>94</v>
      </c>
      <c r="C241" s="223" t="s">
        <v>189</v>
      </c>
      <c r="D241" s="218" t="s">
        <v>6</v>
      </c>
      <c r="E241" s="224" t="s">
        <v>63</v>
      </c>
      <c r="F241" s="276">
        <v>420</v>
      </c>
      <c r="G241" s="277">
        <v>30.63</v>
      </c>
      <c r="H241" s="276">
        <f t="shared" si="36"/>
        <v>30.63</v>
      </c>
      <c r="I241" s="277">
        <f t="shared" si="37"/>
        <v>12864.6</v>
      </c>
    </row>
    <row r="242" spans="1:9" s="48" customFormat="1" ht="14.25" x14ac:dyDescent="0.2">
      <c r="A242" s="327" t="s">
        <v>2370</v>
      </c>
      <c r="B242" s="224" t="s">
        <v>94</v>
      </c>
      <c r="C242" s="223" t="s">
        <v>190</v>
      </c>
      <c r="D242" s="218" t="s">
        <v>7</v>
      </c>
      <c r="E242" s="224" t="s">
        <v>64</v>
      </c>
      <c r="F242" s="276">
        <v>24</v>
      </c>
      <c r="G242" s="277">
        <v>18.18</v>
      </c>
      <c r="H242" s="276">
        <f t="shared" si="36"/>
        <v>18.18</v>
      </c>
      <c r="I242" s="277">
        <f t="shared" si="37"/>
        <v>436.32</v>
      </c>
    </row>
    <row r="243" spans="1:9" s="48" customFormat="1" ht="14.25" x14ac:dyDescent="0.2">
      <c r="A243" s="327" t="s">
        <v>2371</v>
      </c>
      <c r="B243" s="224" t="s">
        <v>94</v>
      </c>
      <c r="C243" s="328">
        <v>9860</v>
      </c>
      <c r="D243" s="218" t="s">
        <v>765</v>
      </c>
      <c r="E243" s="224" t="s">
        <v>63</v>
      </c>
      <c r="F243" s="276">
        <v>8.8000000000000007</v>
      </c>
      <c r="G243" s="277">
        <v>29.47</v>
      </c>
      <c r="H243" s="276">
        <f t="shared" si="36"/>
        <v>29.47</v>
      </c>
      <c r="I243" s="277">
        <f t="shared" si="37"/>
        <v>259.33600000000001</v>
      </c>
    </row>
    <row r="244" spans="1:9" s="48" customFormat="1" ht="14.25" x14ac:dyDescent="0.2">
      <c r="A244" s="327" t="s">
        <v>2372</v>
      </c>
      <c r="B244" s="313" t="s">
        <v>145</v>
      </c>
      <c r="C244" s="313"/>
      <c r="D244" s="218" t="s">
        <v>237</v>
      </c>
      <c r="E244" s="224" t="s">
        <v>64</v>
      </c>
      <c r="F244" s="276">
        <v>2</v>
      </c>
      <c r="G244" s="277">
        <v>70</v>
      </c>
      <c r="H244" s="276">
        <f t="shared" si="36"/>
        <v>70</v>
      </c>
      <c r="I244" s="277">
        <f t="shared" si="37"/>
        <v>140</v>
      </c>
    </row>
    <row r="245" spans="1:9" s="48" customFormat="1" ht="14.25" x14ac:dyDescent="0.2">
      <c r="A245" s="327" t="s">
        <v>2373</v>
      </c>
      <c r="B245" s="313" t="s">
        <v>145</v>
      </c>
      <c r="C245" s="313"/>
      <c r="D245" s="260" t="s">
        <v>442</v>
      </c>
      <c r="E245" s="224" t="s">
        <v>64</v>
      </c>
      <c r="F245" s="276">
        <v>12</v>
      </c>
      <c r="G245" s="277">
        <v>250</v>
      </c>
      <c r="H245" s="276">
        <f t="shared" si="36"/>
        <v>250</v>
      </c>
      <c r="I245" s="277">
        <f t="shared" si="37"/>
        <v>3000</v>
      </c>
    </row>
    <row r="246" spans="1:9" s="48" customFormat="1" ht="14.25" x14ac:dyDescent="0.2">
      <c r="A246" s="327" t="s">
        <v>2374</v>
      </c>
      <c r="B246" s="224" t="s">
        <v>94</v>
      </c>
      <c r="C246" s="262" t="s">
        <v>193</v>
      </c>
      <c r="D246" s="218" t="s">
        <v>8</v>
      </c>
      <c r="E246" s="224" t="s">
        <v>64</v>
      </c>
      <c r="F246" s="276">
        <v>12</v>
      </c>
      <c r="G246" s="277">
        <v>53.13</v>
      </c>
      <c r="H246" s="276">
        <f t="shared" si="36"/>
        <v>53.13</v>
      </c>
      <c r="I246" s="277">
        <f t="shared" si="37"/>
        <v>637.56000000000006</v>
      </c>
    </row>
    <row r="247" spans="1:9" s="48" customFormat="1" ht="14.25" x14ac:dyDescent="0.2">
      <c r="A247" s="327" t="s">
        <v>2375</v>
      </c>
      <c r="B247" s="313" t="s">
        <v>145</v>
      </c>
      <c r="C247" s="313"/>
      <c r="D247" s="218" t="s">
        <v>9</v>
      </c>
      <c r="E247" s="224" t="s">
        <v>64</v>
      </c>
      <c r="F247" s="276">
        <v>4</v>
      </c>
      <c r="G247" s="277">
        <v>153</v>
      </c>
      <c r="H247" s="276">
        <f t="shared" si="36"/>
        <v>153</v>
      </c>
      <c r="I247" s="277">
        <f t="shared" si="37"/>
        <v>612</v>
      </c>
    </row>
    <row r="248" spans="1:9" s="48" customFormat="1" ht="14.25" x14ac:dyDescent="0.2">
      <c r="A248" s="327" t="s">
        <v>2376</v>
      </c>
      <c r="B248" s="313"/>
      <c r="C248" s="313">
        <v>25000087</v>
      </c>
      <c r="D248" s="218" t="s">
        <v>884</v>
      </c>
      <c r="E248" s="224" t="s">
        <v>64</v>
      </c>
      <c r="F248" s="276">
        <v>24</v>
      </c>
      <c r="G248" s="277">
        <v>70.12</v>
      </c>
      <c r="H248" s="276">
        <f t="shared" ref="H248:H253" si="42">G248</f>
        <v>70.12</v>
      </c>
      <c r="I248" s="277">
        <f t="shared" ref="I248:I253" si="43">F248*H248</f>
        <v>1682.88</v>
      </c>
    </row>
    <row r="249" spans="1:9" s="48" customFormat="1" ht="14.25" x14ac:dyDescent="0.2">
      <c r="A249" s="327" t="s">
        <v>2377</v>
      </c>
      <c r="B249" s="313"/>
      <c r="C249" s="313">
        <v>25000076</v>
      </c>
      <c r="D249" s="218" t="s">
        <v>885</v>
      </c>
      <c r="E249" s="224" t="s">
        <v>64</v>
      </c>
      <c r="F249" s="276">
        <v>12</v>
      </c>
      <c r="G249" s="277">
        <v>56.78</v>
      </c>
      <c r="H249" s="276">
        <f t="shared" si="42"/>
        <v>56.78</v>
      </c>
      <c r="I249" s="277">
        <f t="shared" si="43"/>
        <v>681.36</v>
      </c>
    </row>
    <row r="250" spans="1:9" s="48" customFormat="1" ht="14.25" x14ac:dyDescent="0.2">
      <c r="A250" s="327" t="s">
        <v>2378</v>
      </c>
      <c r="B250" s="313" t="s">
        <v>145</v>
      </c>
      <c r="C250" s="313"/>
      <c r="D250" s="218" t="s">
        <v>214</v>
      </c>
      <c r="E250" s="224" t="s">
        <v>64</v>
      </c>
      <c r="F250" s="276">
        <v>2</v>
      </c>
      <c r="G250" s="277">
        <v>378</v>
      </c>
      <c r="H250" s="276">
        <f t="shared" si="42"/>
        <v>378</v>
      </c>
      <c r="I250" s="277">
        <f t="shared" si="43"/>
        <v>756</v>
      </c>
    </row>
    <row r="251" spans="1:9" s="48" customFormat="1" ht="14.25" x14ac:dyDescent="0.2">
      <c r="A251" s="327" t="s">
        <v>2379</v>
      </c>
      <c r="B251" s="313" t="s">
        <v>145</v>
      </c>
      <c r="C251" s="313"/>
      <c r="D251" s="259" t="s">
        <v>573</v>
      </c>
      <c r="E251" s="224" t="s">
        <v>64</v>
      </c>
      <c r="F251" s="276">
        <v>12</v>
      </c>
      <c r="G251" s="277">
        <v>420</v>
      </c>
      <c r="H251" s="276">
        <f t="shared" si="42"/>
        <v>420</v>
      </c>
      <c r="I251" s="277">
        <f t="shared" si="43"/>
        <v>5040</v>
      </c>
    </row>
    <row r="252" spans="1:9" s="48" customFormat="1" ht="14.25" x14ac:dyDescent="0.2">
      <c r="A252" s="327" t="s">
        <v>2380</v>
      </c>
      <c r="B252" s="313" t="s">
        <v>145</v>
      </c>
      <c r="C252" s="313"/>
      <c r="D252" s="218" t="s">
        <v>233</v>
      </c>
      <c r="E252" s="224" t="s">
        <v>64</v>
      </c>
      <c r="F252" s="276">
        <v>1</v>
      </c>
      <c r="G252" s="277">
        <v>902</v>
      </c>
      <c r="H252" s="276">
        <f t="shared" si="42"/>
        <v>902</v>
      </c>
      <c r="I252" s="277">
        <f t="shared" si="43"/>
        <v>902</v>
      </c>
    </row>
    <row r="253" spans="1:9" s="48" customFormat="1" ht="14.25" x14ac:dyDescent="0.2">
      <c r="A253" s="327" t="s">
        <v>2381</v>
      </c>
      <c r="B253" s="224" t="s">
        <v>94</v>
      </c>
      <c r="C253" s="223" t="s">
        <v>170</v>
      </c>
      <c r="D253" s="218" t="s">
        <v>130</v>
      </c>
      <c r="E253" s="224" t="s">
        <v>63</v>
      </c>
      <c r="F253" s="276">
        <v>156</v>
      </c>
      <c r="G253" s="277">
        <v>27.53</v>
      </c>
      <c r="H253" s="276">
        <f t="shared" si="42"/>
        <v>27.53</v>
      </c>
      <c r="I253" s="277">
        <f t="shared" si="43"/>
        <v>4294.68</v>
      </c>
    </row>
    <row r="254" spans="1:9" s="48" customFormat="1" ht="14.25" x14ac:dyDescent="0.2">
      <c r="A254" s="327" t="s">
        <v>2382</v>
      </c>
      <c r="B254" s="313" t="s">
        <v>145</v>
      </c>
      <c r="C254" s="313"/>
      <c r="D254" s="218" t="s">
        <v>10</v>
      </c>
      <c r="E254" s="224" t="s">
        <v>64</v>
      </c>
      <c r="F254" s="276">
        <v>2</v>
      </c>
      <c r="G254" s="277">
        <v>50</v>
      </c>
      <c r="H254" s="276">
        <f t="shared" si="36"/>
        <v>50</v>
      </c>
      <c r="I254" s="277">
        <f t="shared" si="37"/>
        <v>100</v>
      </c>
    </row>
    <row r="255" spans="1:9" s="48" customFormat="1" ht="14.25" x14ac:dyDescent="0.2">
      <c r="A255" s="327" t="s">
        <v>2383</v>
      </c>
      <c r="B255" s="313" t="s">
        <v>101</v>
      </c>
      <c r="C255" s="313">
        <v>25003570</v>
      </c>
      <c r="D255" s="218" t="s">
        <v>883</v>
      </c>
      <c r="E255" s="224" t="s">
        <v>64</v>
      </c>
      <c r="F255" s="276">
        <v>3</v>
      </c>
      <c r="G255" s="277">
        <v>3.49</v>
      </c>
      <c r="H255" s="276">
        <f t="shared" si="36"/>
        <v>3.49</v>
      </c>
      <c r="I255" s="277">
        <f t="shared" si="37"/>
        <v>10.47</v>
      </c>
    </row>
    <row r="256" spans="1:9" s="48" customFormat="1" ht="14.25" x14ac:dyDescent="0.2">
      <c r="A256" s="327" t="s">
        <v>2384</v>
      </c>
      <c r="B256" s="313" t="s">
        <v>145</v>
      </c>
      <c r="C256" s="313"/>
      <c r="D256" s="218" t="s">
        <v>11</v>
      </c>
      <c r="E256" s="224" t="s">
        <v>64</v>
      </c>
      <c r="F256" s="276">
        <v>24</v>
      </c>
      <c r="G256" s="277">
        <v>2.1</v>
      </c>
      <c r="H256" s="276">
        <f t="shared" si="36"/>
        <v>2.1</v>
      </c>
      <c r="I256" s="277">
        <f t="shared" si="37"/>
        <v>50.400000000000006</v>
      </c>
    </row>
    <row r="257" spans="1:9" s="48" customFormat="1" ht="14.25" x14ac:dyDescent="0.2">
      <c r="A257" s="327" t="s">
        <v>2385</v>
      </c>
      <c r="B257" s="313" t="s">
        <v>145</v>
      </c>
      <c r="C257" s="313"/>
      <c r="D257" s="218" t="s">
        <v>12</v>
      </c>
      <c r="E257" s="224" t="s">
        <v>64</v>
      </c>
      <c r="F257" s="276">
        <v>60</v>
      </c>
      <c r="G257" s="277">
        <v>1.5</v>
      </c>
      <c r="H257" s="276">
        <f t="shared" si="36"/>
        <v>1.5</v>
      </c>
      <c r="I257" s="277">
        <f t="shared" si="37"/>
        <v>90</v>
      </c>
    </row>
    <row r="258" spans="1:9" s="48" customFormat="1" ht="14.25" x14ac:dyDescent="0.2">
      <c r="A258" s="327" t="s">
        <v>2386</v>
      </c>
      <c r="B258" s="313" t="s">
        <v>145</v>
      </c>
      <c r="C258" s="313"/>
      <c r="D258" s="218" t="s">
        <v>13</v>
      </c>
      <c r="E258" s="224" t="s">
        <v>64</v>
      </c>
      <c r="F258" s="276">
        <v>480</v>
      </c>
      <c r="G258" s="277">
        <v>2.5499999999999998</v>
      </c>
      <c r="H258" s="276">
        <f t="shared" si="36"/>
        <v>2.5499999999999998</v>
      </c>
      <c r="I258" s="277">
        <f t="shared" si="37"/>
        <v>1224</v>
      </c>
    </row>
    <row r="259" spans="1:9" s="48" customFormat="1" ht="14.25" x14ac:dyDescent="0.2">
      <c r="A259" s="327" t="s">
        <v>2387</v>
      </c>
      <c r="B259" s="313" t="s">
        <v>145</v>
      </c>
      <c r="C259" s="313"/>
      <c r="D259" s="218" t="s">
        <v>14</v>
      </c>
      <c r="E259" s="224" t="s">
        <v>64</v>
      </c>
      <c r="F259" s="276">
        <v>228</v>
      </c>
      <c r="G259" s="277">
        <v>4.68</v>
      </c>
      <c r="H259" s="276">
        <f t="shared" si="36"/>
        <v>4.68</v>
      </c>
      <c r="I259" s="277">
        <f t="shared" si="37"/>
        <v>1067.04</v>
      </c>
    </row>
    <row r="260" spans="1:9" s="48" customFormat="1" ht="14.25" x14ac:dyDescent="0.2">
      <c r="A260" s="327" t="s">
        <v>2388</v>
      </c>
      <c r="B260" s="313" t="s">
        <v>145</v>
      </c>
      <c r="C260" s="313"/>
      <c r="D260" s="260" t="s">
        <v>443</v>
      </c>
      <c r="E260" s="224" t="s">
        <v>64</v>
      </c>
      <c r="F260" s="276">
        <v>40</v>
      </c>
      <c r="G260" s="277">
        <v>12</v>
      </c>
      <c r="H260" s="276">
        <f t="shared" si="36"/>
        <v>12</v>
      </c>
      <c r="I260" s="277">
        <f t="shared" si="37"/>
        <v>480</v>
      </c>
    </row>
    <row r="261" spans="1:9" s="48" customFormat="1" ht="14.25" x14ac:dyDescent="0.2">
      <c r="A261" s="327"/>
      <c r="B261" s="224"/>
      <c r="C261" s="223"/>
      <c r="D261" s="218"/>
      <c r="E261" s="224"/>
      <c r="F261" s="276"/>
      <c r="G261" s="277"/>
      <c r="H261" s="276"/>
      <c r="I261" s="277"/>
    </row>
    <row r="262" spans="1:9" s="48" customFormat="1" x14ac:dyDescent="0.2">
      <c r="A262" s="416" t="s">
        <v>2389</v>
      </c>
      <c r="B262" s="552" t="s">
        <v>564</v>
      </c>
      <c r="C262" s="552"/>
      <c r="D262" s="255" t="str">
        <f>ORÇAMENTO!D312</f>
        <v>APLICAÇÃO DO MATERIAL HIDRÁULICO DO REATOR UASB</v>
      </c>
      <c r="E262" s="383"/>
      <c r="F262" s="272"/>
      <c r="G262" s="273"/>
      <c r="H262" s="273"/>
      <c r="I262" s="417">
        <f>SUM(I263:I264)</f>
        <v>9606</v>
      </c>
    </row>
    <row r="263" spans="1:9" s="48" customFormat="1" ht="14.25" x14ac:dyDescent="0.2">
      <c r="A263" s="327" t="s">
        <v>2390</v>
      </c>
      <c r="B263" s="224" t="s">
        <v>94</v>
      </c>
      <c r="C263" s="223" t="s">
        <v>2695</v>
      </c>
      <c r="D263" s="218" t="s">
        <v>2694</v>
      </c>
      <c r="E263" s="224" t="s">
        <v>60</v>
      </c>
      <c r="F263" s="276">
        <v>200</v>
      </c>
      <c r="G263" s="277">
        <v>14.76</v>
      </c>
      <c r="H263" s="276">
        <f>G263</f>
        <v>14.76</v>
      </c>
      <c r="I263" s="277">
        <f>F263*H263</f>
        <v>2952</v>
      </c>
    </row>
    <row r="264" spans="1:9" s="48" customFormat="1" ht="14.25" x14ac:dyDescent="0.2">
      <c r="A264" s="327" t="s">
        <v>2391</v>
      </c>
      <c r="B264" s="224" t="s">
        <v>94</v>
      </c>
      <c r="C264" s="223" t="s">
        <v>388</v>
      </c>
      <c r="D264" s="218" t="s">
        <v>35</v>
      </c>
      <c r="E264" s="224" t="s">
        <v>60</v>
      </c>
      <c r="F264" s="276">
        <v>600</v>
      </c>
      <c r="G264" s="277">
        <v>11.09</v>
      </c>
      <c r="H264" s="276">
        <f>G264</f>
        <v>11.09</v>
      </c>
      <c r="I264" s="277">
        <f>F264*H264</f>
        <v>6654</v>
      </c>
    </row>
    <row r="265" spans="1:9" s="48" customFormat="1" ht="14.25" x14ac:dyDescent="0.2">
      <c r="A265" s="327"/>
      <c r="B265" s="224"/>
      <c r="C265" s="223"/>
      <c r="D265" s="218"/>
      <c r="E265" s="224"/>
      <c r="F265" s="276"/>
      <c r="G265" s="277"/>
      <c r="H265" s="276"/>
      <c r="I265" s="277"/>
    </row>
    <row r="266" spans="1:9" s="48" customFormat="1" ht="14.25" x14ac:dyDescent="0.2">
      <c r="A266" s="327"/>
      <c r="B266" s="314"/>
      <c r="C266" s="314"/>
      <c r="D266" s="256"/>
      <c r="E266" s="314"/>
      <c r="F266" s="274"/>
      <c r="G266" s="274"/>
      <c r="H266" s="274"/>
      <c r="I266" s="275"/>
    </row>
    <row r="267" spans="1:9" s="48" customFormat="1" ht="30" x14ac:dyDescent="0.2">
      <c r="A267" s="416" t="s">
        <v>2392</v>
      </c>
      <c r="B267" s="552" t="s">
        <v>565</v>
      </c>
      <c r="C267" s="552"/>
      <c r="D267" s="255" t="s">
        <v>534</v>
      </c>
      <c r="E267" s="383"/>
      <c r="F267" s="272"/>
      <c r="G267" s="273"/>
      <c r="H267" s="273"/>
      <c r="I267" s="417">
        <f>SUM(I268:I271)</f>
        <v>1727.0700000000002</v>
      </c>
    </row>
    <row r="268" spans="1:9" s="48" customFormat="1" ht="14.25" x14ac:dyDescent="0.2">
      <c r="A268" s="327" t="s">
        <v>2393</v>
      </c>
      <c r="B268" s="314" t="s">
        <v>94</v>
      </c>
      <c r="C268" s="314">
        <v>11125</v>
      </c>
      <c r="D268" s="256" t="s">
        <v>527</v>
      </c>
      <c r="E268" s="314" t="s">
        <v>384</v>
      </c>
      <c r="F268" s="274">
        <f>48*1.6*1.6*0.8</f>
        <v>98.30400000000003</v>
      </c>
      <c r="G268" s="274">
        <v>14.02</v>
      </c>
      <c r="H268" s="274">
        <f>G268</f>
        <v>14.02</v>
      </c>
      <c r="I268" s="275">
        <f>ROUND(F268*H268,2)</f>
        <v>1378.22</v>
      </c>
    </row>
    <row r="269" spans="1:9" s="48" customFormat="1" ht="14.25" x14ac:dyDescent="0.2">
      <c r="A269" s="327" t="s">
        <v>2394</v>
      </c>
      <c r="B269" s="314" t="s">
        <v>94</v>
      </c>
      <c r="C269" s="314">
        <v>585</v>
      </c>
      <c r="D269" s="256" t="s">
        <v>528</v>
      </c>
      <c r="E269" s="314" t="s">
        <v>384</v>
      </c>
      <c r="F269" s="274">
        <v>11.54</v>
      </c>
      <c r="G269" s="274">
        <v>16.98</v>
      </c>
      <c r="H269" s="274">
        <f>G269</f>
        <v>16.98</v>
      </c>
      <c r="I269" s="275">
        <f>ROUND(F269*H269,2)</f>
        <v>195.95</v>
      </c>
    </row>
    <row r="270" spans="1:9" s="48" customFormat="1" ht="14.25" x14ac:dyDescent="0.2">
      <c r="A270" s="327" t="s">
        <v>2395</v>
      </c>
      <c r="B270" s="314" t="s">
        <v>94</v>
      </c>
      <c r="C270" s="314">
        <v>252</v>
      </c>
      <c r="D270" s="256" t="s">
        <v>522</v>
      </c>
      <c r="E270" s="314" t="s">
        <v>60</v>
      </c>
      <c r="F270" s="274">
        <v>10</v>
      </c>
      <c r="G270" s="274">
        <v>9.19</v>
      </c>
      <c r="H270" s="274">
        <f>G270</f>
        <v>9.19</v>
      </c>
      <c r="I270" s="275">
        <f>ROUND(F270*H270,2)</f>
        <v>91.9</v>
      </c>
    </row>
    <row r="271" spans="1:9" s="48" customFormat="1" ht="14.25" x14ac:dyDescent="0.2">
      <c r="A271" s="327" t="s">
        <v>2396</v>
      </c>
      <c r="B271" s="314" t="s">
        <v>94</v>
      </c>
      <c r="C271" s="314">
        <v>6110</v>
      </c>
      <c r="D271" s="217" t="s">
        <v>516</v>
      </c>
      <c r="E271" s="314" t="s">
        <v>60</v>
      </c>
      <c r="F271" s="274">
        <v>5</v>
      </c>
      <c r="G271" s="274">
        <v>12.2</v>
      </c>
      <c r="H271" s="274">
        <f>G271</f>
        <v>12.2</v>
      </c>
      <c r="I271" s="275">
        <f>ROUND(F271*H271,2)</f>
        <v>61</v>
      </c>
    </row>
    <row r="272" spans="1:9" s="48" customFormat="1" ht="14.25" x14ac:dyDescent="0.2">
      <c r="A272" s="327"/>
      <c r="B272" s="314"/>
      <c r="C272" s="314"/>
      <c r="D272" s="256"/>
      <c r="E272" s="314"/>
      <c r="F272" s="274"/>
      <c r="G272" s="274"/>
      <c r="H272" s="274"/>
      <c r="I272" s="274"/>
    </row>
    <row r="273" spans="1:9" s="48" customFormat="1" ht="30" x14ac:dyDescent="0.2">
      <c r="A273" s="416" t="s">
        <v>788</v>
      </c>
      <c r="B273" s="552" t="s">
        <v>566</v>
      </c>
      <c r="C273" s="552"/>
      <c r="D273" s="255" t="s">
        <v>427</v>
      </c>
      <c r="E273" s="383"/>
      <c r="F273" s="272"/>
      <c r="G273" s="273"/>
      <c r="H273" s="273"/>
      <c r="I273" s="417">
        <f>SUM(I274:I277)</f>
        <v>657.87</v>
      </c>
    </row>
    <row r="274" spans="1:9" s="48" customFormat="1" ht="14.25" x14ac:dyDescent="0.2">
      <c r="A274" s="327" t="s">
        <v>991</v>
      </c>
      <c r="B274" s="314" t="s">
        <v>94</v>
      </c>
      <c r="C274" s="314">
        <v>11125</v>
      </c>
      <c r="D274" s="256" t="s">
        <v>527</v>
      </c>
      <c r="E274" s="314" t="s">
        <v>384</v>
      </c>
      <c r="F274" s="274">
        <f>48*1.1*0.85*0.7</f>
        <v>31.416</v>
      </c>
      <c r="G274" s="274">
        <v>14.02</v>
      </c>
      <c r="H274" s="274">
        <f>G274</f>
        <v>14.02</v>
      </c>
      <c r="I274" s="275">
        <f>ROUND(F274*H274,2)</f>
        <v>440.45</v>
      </c>
    </row>
    <row r="275" spans="1:9" s="48" customFormat="1" ht="14.25" x14ac:dyDescent="0.2">
      <c r="A275" s="327" t="s">
        <v>992</v>
      </c>
      <c r="B275" s="314" t="s">
        <v>94</v>
      </c>
      <c r="C275" s="314">
        <v>585</v>
      </c>
      <c r="D275" s="256" t="s">
        <v>528</v>
      </c>
      <c r="E275" s="314" t="s">
        <v>384</v>
      </c>
      <c r="F275" s="274">
        <v>3.8</v>
      </c>
      <c r="G275" s="274">
        <v>16.98</v>
      </c>
      <c r="H275" s="274">
        <f>G275</f>
        <v>16.98</v>
      </c>
      <c r="I275" s="275">
        <f>ROUND(F275*H275,2)</f>
        <v>64.52</v>
      </c>
    </row>
    <row r="276" spans="1:9" s="48" customFormat="1" ht="14.25" x14ac:dyDescent="0.2">
      <c r="A276" s="327" t="s">
        <v>993</v>
      </c>
      <c r="B276" s="314" t="s">
        <v>94</v>
      </c>
      <c r="C276" s="314">
        <v>252</v>
      </c>
      <c r="D276" s="256" t="s">
        <v>522</v>
      </c>
      <c r="E276" s="314" t="s">
        <v>60</v>
      </c>
      <c r="F276" s="274">
        <v>10</v>
      </c>
      <c r="G276" s="274">
        <v>9.19</v>
      </c>
      <c r="H276" s="274">
        <f>G276</f>
        <v>9.19</v>
      </c>
      <c r="I276" s="275">
        <f>ROUND(F276*H276,2)</f>
        <v>91.9</v>
      </c>
    </row>
    <row r="277" spans="1:9" s="48" customFormat="1" ht="14.25" x14ac:dyDescent="0.2">
      <c r="A277" s="327" t="s">
        <v>994</v>
      </c>
      <c r="B277" s="314" t="s">
        <v>94</v>
      </c>
      <c r="C277" s="314">
        <v>6110</v>
      </c>
      <c r="D277" s="256" t="s">
        <v>516</v>
      </c>
      <c r="E277" s="314" t="s">
        <v>60</v>
      </c>
      <c r="F277" s="274">
        <v>5</v>
      </c>
      <c r="G277" s="274">
        <v>12.2</v>
      </c>
      <c r="H277" s="274">
        <f>G277</f>
        <v>12.2</v>
      </c>
      <c r="I277" s="275">
        <f>ROUND(F277*H277,2)</f>
        <v>61</v>
      </c>
    </row>
    <row r="278" spans="1:9" s="48" customFormat="1" ht="14.25" x14ac:dyDescent="0.2">
      <c r="A278" s="327"/>
      <c r="B278" s="71"/>
      <c r="C278" s="71"/>
      <c r="D278" s="71"/>
      <c r="E278" s="282"/>
      <c r="F278" s="283"/>
      <c r="G278" s="283"/>
      <c r="H278" s="283"/>
      <c r="I278" s="283"/>
    </row>
    <row r="279" spans="1:9" s="48" customFormat="1" x14ac:dyDescent="0.2">
      <c r="A279" s="416" t="s">
        <v>789</v>
      </c>
      <c r="B279" s="552" t="s">
        <v>567</v>
      </c>
      <c r="C279" s="552"/>
      <c r="D279" s="255" t="str">
        <f>ORÇAMENTO!D332</f>
        <v xml:space="preserve">FORNECIMENTO  DO MATERIAL HIDRÁULICO DO FILTRO PERCOLADOR </v>
      </c>
      <c r="E279" s="383"/>
      <c r="F279" s="272"/>
      <c r="G279" s="273"/>
      <c r="H279" s="273"/>
      <c r="I279" s="417">
        <f>SUM(I280:I291)</f>
        <v>17050.054799999998</v>
      </c>
    </row>
    <row r="280" spans="1:9" s="48" customFormat="1" ht="14.25" x14ac:dyDescent="0.2">
      <c r="A280" s="327" t="s">
        <v>995</v>
      </c>
      <c r="B280" s="313" t="s">
        <v>101</v>
      </c>
      <c r="C280" s="223">
        <v>25004032</v>
      </c>
      <c r="D280" s="218" t="s">
        <v>900</v>
      </c>
      <c r="E280" s="224" t="s">
        <v>63</v>
      </c>
      <c r="F280" s="276">
        <v>11.41</v>
      </c>
      <c r="G280" s="277">
        <v>256.27999999999997</v>
      </c>
      <c r="H280" s="276">
        <f>G280</f>
        <v>256.27999999999997</v>
      </c>
      <c r="I280" s="277">
        <f t="shared" ref="I280:I287" si="44">F280*H280</f>
        <v>2924.1547999999998</v>
      </c>
    </row>
    <row r="281" spans="1:9" s="48" customFormat="1" ht="14.25" x14ac:dyDescent="0.2">
      <c r="A281" s="327" t="s">
        <v>996</v>
      </c>
      <c r="B281" s="313" t="s">
        <v>101</v>
      </c>
      <c r="C281" s="313">
        <v>25000258</v>
      </c>
      <c r="D281" s="218" t="s">
        <v>1024</v>
      </c>
      <c r="E281" s="224" t="s">
        <v>64</v>
      </c>
      <c r="F281" s="276">
        <v>4</v>
      </c>
      <c r="G281" s="277">
        <v>190.24</v>
      </c>
      <c r="H281" s="276">
        <f>G281</f>
        <v>190.24</v>
      </c>
      <c r="I281" s="277">
        <f t="shared" si="44"/>
        <v>760.96</v>
      </c>
    </row>
    <row r="282" spans="1:9" s="48" customFormat="1" ht="14.25" x14ac:dyDescent="0.2">
      <c r="A282" s="327" t="s">
        <v>2397</v>
      </c>
      <c r="B282" s="313" t="s">
        <v>101</v>
      </c>
      <c r="C282" s="223">
        <v>25000462</v>
      </c>
      <c r="D282" s="218" t="s">
        <v>901</v>
      </c>
      <c r="E282" s="224" t="s">
        <v>64</v>
      </c>
      <c r="F282" s="276">
        <v>1</v>
      </c>
      <c r="G282" s="277">
        <v>637.41999999999996</v>
      </c>
      <c r="H282" s="276">
        <f t="shared" ref="H282:H287" si="45">G282</f>
        <v>637.41999999999996</v>
      </c>
      <c r="I282" s="277">
        <f t="shared" si="44"/>
        <v>637.41999999999996</v>
      </c>
    </row>
    <row r="283" spans="1:9" s="48" customFormat="1" ht="14.25" x14ac:dyDescent="0.2">
      <c r="A283" s="327" t="s">
        <v>2398</v>
      </c>
      <c r="B283" s="313" t="s">
        <v>101</v>
      </c>
      <c r="C283" s="313">
        <v>25003301</v>
      </c>
      <c r="D283" s="218" t="s">
        <v>1025</v>
      </c>
      <c r="E283" s="224" t="s">
        <v>64</v>
      </c>
      <c r="F283" s="276">
        <v>2</v>
      </c>
      <c r="G283" s="277">
        <v>1838.19</v>
      </c>
      <c r="H283" s="276">
        <f t="shared" si="45"/>
        <v>1838.19</v>
      </c>
      <c r="I283" s="277">
        <f t="shared" si="44"/>
        <v>3676.38</v>
      </c>
    </row>
    <row r="284" spans="1:9" s="48" customFormat="1" ht="14.25" x14ac:dyDescent="0.2">
      <c r="A284" s="327" t="s">
        <v>2399</v>
      </c>
      <c r="B284" s="313" t="s">
        <v>101</v>
      </c>
      <c r="C284" s="223">
        <v>25000471</v>
      </c>
      <c r="D284" s="218" t="s">
        <v>903</v>
      </c>
      <c r="E284" s="224" t="s">
        <v>64</v>
      </c>
      <c r="F284" s="276">
        <v>1</v>
      </c>
      <c r="G284" s="277">
        <v>1072.8800000000001</v>
      </c>
      <c r="H284" s="276">
        <f t="shared" ref="H284" si="46">G284</f>
        <v>1072.8800000000001</v>
      </c>
      <c r="I284" s="277">
        <f t="shared" ref="I284" si="47">F284*H284</f>
        <v>1072.8800000000001</v>
      </c>
    </row>
    <row r="285" spans="1:9" s="48" customFormat="1" ht="14.25" x14ac:dyDescent="0.2">
      <c r="A285" s="327" t="s">
        <v>2400</v>
      </c>
      <c r="B285" s="224" t="s">
        <v>94</v>
      </c>
      <c r="C285" s="223">
        <v>9821</v>
      </c>
      <c r="D285" s="218" t="s">
        <v>414</v>
      </c>
      <c r="E285" s="224" t="s">
        <v>63</v>
      </c>
      <c r="F285" s="276">
        <v>15</v>
      </c>
      <c r="G285" s="277">
        <v>113.78</v>
      </c>
      <c r="H285" s="276">
        <f t="shared" si="45"/>
        <v>113.78</v>
      </c>
      <c r="I285" s="277">
        <f t="shared" si="44"/>
        <v>1706.7</v>
      </c>
    </row>
    <row r="286" spans="1:9" s="48" customFormat="1" ht="14.25" x14ac:dyDescent="0.2">
      <c r="A286" s="327" t="s">
        <v>2401</v>
      </c>
      <c r="B286" s="313" t="s">
        <v>101</v>
      </c>
      <c r="C286" s="223">
        <v>25000139</v>
      </c>
      <c r="D286" s="218" t="s">
        <v>902</v>
      </c>
      <c r="E286" s="224" t="s">
        <v>64</v>
      </c>
      <c r="F286" s="276">
        <v>1</v>
      </c>
      <c r="G286" s="422">
        <v>677.5</v>
      </c>
      <c r="H286" s="276">
        <f t="shared" si="45"/>
        <v>677.5</v>
      </c>
      <c r="I286" s="277">
        <f t="shared" si="44"/>
        <v>677.5</v>
      </c>
    </row>
    <row r="287" spans="1:9" s="48" customFormat="1" ht="14.25" x14ac:dyDescent="0.2">
      <c r="A287" s="327" t="s">
        <v>2402</v>
      </c>
      <c r="B287" s="313" t="s">
        <v>101</v>
      </c>
      <c r="C287" s="313">
        <v>25025849</v>
      </c>
      <c r="D287" s="217" t="s">
        <v>1027</v>
      </c>
      <c r="E287" s="313" t="s">
        <v>64</v>
      </c>
      <c r="F287" s="275">
        <v>1</v>
      </c>
      <c r="G287" s="277">
        <v>3663.73</v>
      </c>
      <c r="H287" s="215">
        <f t="shared" si="45"/>
        <v>3663.73</v>
      </c>
      <c r="I287" s="215">
        <f t="shared" si="44"/>
        <v>3663.73</v>
      </c>
    </row>
    <row r="288" spans="1:9" s="48" customFormat="1" ht="14.25" x14ac:dyDescent="0.2">
      <c r="A288" s="327" t="s">
        <v>2403</v>
      </c>
      <c r="B288" s="313" t="s">
        <v>101</v>
      </c>
      <c r="C288" s="313">
        <v>25025848</v>
      </c>
      <c r="D288" s="226" t="s">
        <v>1021</v>
      </c>
      <c r="E288" s="313" t="s">
        <v>64</v>
      </c>
      <c r="F288" s="215">
        <v>1</v>
      </c>
      <c r="G288" s="277">
        <v>355.63</v>
      </c>
      <c r="H288" s="215">
        <f t="shared" ref="H288:H291" si="48">G288</f>
        <v>355.63</v>
      </c>
      <c r="I288" s="215">
        <f t="shared" ref="I288:I291" si="49">F288*H288</f>
        <v>355.63</v>
      </c>
    </row>
    <row r="289" spans="1:9" s="48" customFormat="1" ht="14.25" x14ac:dyDescent="0.2">
      <c r="A289" s="327" t="s">
        <v>2404</v>
      </c>
      <c r="B289" s="313" t="s">
        <v>101</v>
      </c>
      <c r="C289" s="313">
        <v>25003486</v>
      </c>
      <c r="D289" s="218" t="s">
        <v>1026</v>
      </c>
      <c r="E289" s="224" t="s">
        <v>64</v>
      </c>
      <c r="F289" s="276">
        <v>1</v>
      </c>
      <c r="G289" s="277">
        <v>169.41</v>
      </c>
      <c r="H289" s="276">
        <f t="shared" si="48"/>
        <v>169.41</v>
      </c>
      <c r="I289" s="277">
        <f t="shared" si="49"/>
        <v>169.41</v>
      </c>
    </row>
    <row r="290" spans="1:9" s="48" customFormat="1" ht="14.25" x14ac:dyDescent="0.2">
      <c r="A290" s="327" t="s">
        <v>2405</v>
      </c>
      <c r="B290" s="313" t="s">
        <v>101</v>
      </c>
      <c r="C290" s="313">
        <v>25018262</v>
      </c>
      <c r="D290" s="218" t="s">
        <v>1022</v>
      </c>
      <c r="E290" s="224" t="s">
        <v>64</v>
      </c>
      <c r="F290" s="276">
        <v>1</v>
      </c>
      <c r="G290" s="277">
        <v>1092.04</v>
      </c>
      <c r="H290" s="276">
        <f t="shared" si="48"/>
        <v>1092.04</v>
      </c>
      <c r="I290" s="277">
        <f t="shared" si="49"/>
        <v>1092.04</v>
      </c>
    </row>
    <row r="291" spans="1:9" s="48" customFormat="1" ht="14.25" x14ac:dyDescent="0.2">
      <c r="A291" s="327" t="s">
        <v>2406</v>
      </c>
      <c r="B291" s="224" t="s">
        <v>94</v>
      </c>
      <c r="C291" s="313">
        <v>9833</v>
      </c>
      <c r="D291" s="218" t="s">
        <v>904</v>
      </c>
      <c r="E291" s="224" t="s">
        <v>63</v>
      </c>
      <c r="F291" s="276">
        <v>35</v>
      </c>
      <c r="G291" s="277">
        <v>8.9499999999999993</v>
      </c>
      <c r="H291" s="276">
        <f t="shared" si="48"/>
        <v>8.9499999999999993</v>
      </c>
      <c r="I291" s="277">
        <f t="shared" si="49"/>
        <v>313.25</v>
      </c>
    </row>
    <row r="292" spans="1:9" s="48" customFormat="1" ht="14.25" x14ac:dyDescent="0.2">
      <c r="A292" s="327"/>
      <c r="B292" s="224"/>
      <c r="C292" s="313"/>
      <c r="D292" s="218"/>
      <c r="E292" s="224"/>
      <c r="F292" s="276"/>
      <c r="G292" s="277"/>
      <c r="H292" s="276"/>
      <c r="I292" s="277"/>
    </row>
    <row r="293" spans="1:9" s="48" customFormat="1" x14ac:dyDescent="0.2">
      <c r="A293" s="416" t="s">
        <v>2407</v>
      </c>
      <c r="B293" s="552" t="s">
        <v>568</v>
      </c>
      <c r="C293" s="552"/>
      <c r="D293" s="255" t="str">
        <f>ORÇAMENTO!D333</f>
        <v xml:space="preserve">APLICAÇÃO DO MATERIAL HIDRÁULICO DO FILTRO PERCOLADOR </v>
      </c>
      <c r="E293" s="383"/>
      <c r="F293" s="272"/>
      <c r="G293" s="273"/>
      <c r="H293" s="273"/>
      <c r="I293" s="417">
        <f>SUM(I294:I295)</f>
        <v>2585</v>
      </c>
    </row>
    <row r="294" spans="1:9" s="48" customFormat="1" ht="14.25" x14ac:dyDescent="0.2">
      <c r="A294" s="327" t="s">
        <v>2408</v>
      </c>
      <c r="B294" s="224" t="s">
        <v>94</v>
      </c>
      <c r="C294" s="223" t="s">
        <v>2695</v>
      </c>
      <c r="D294" s="218" t="s">
        <v>2694</v>
      </c>
      <c r="E294" s="224" t="s">
        <v>60</v>
      </c>
      <c r="F294" s="276">
        <v>100</v>
      </c>
      <c r="G294" s="277">
        <v>14.76</v>
      </c>
      <c r="H294" s="276">
        <f>G294</f>
        <v>14.76</v>
      </c>
      <c r="I294" s="277">
        <f>F294*H294</f>
        <v>1476</v>
      </c>
    </row>
    <row r="295" spans="1:9" s="48" customFormat="1" ht="14.25" x14ac:dyDescent="0.2">
      <c r="A295" s="327" t="s">
        <v>2409</v>
      </c>
      <c r="B295" s="224" t="s">
        <v>94</v>
      </c>
      <c r="C295" s="223" t="s">
        <v>388</v>
      </c>
      <c r="D295" s="218" t="s">
        <v>35</v>
      </c>
      <c r="E295" s="224" t="s">
        <v>60</v>
      </c>
      <c r="F295" s="276">
        <v>100</v>
      </c>
      <c r="G295" s="277">
        <v>11.09</v>
      </c>
      <c r="H295" s="276">
        <f>G295</f>
        <v>11.09</v>
      </c>
      <c r="I295" s="277">
        <f>F295*H295</f>
        <v>1109</v>
      </c>
    </row>
    <row r="296" spans="1:9" s="48" customFormat="1" ht="14.25" x14ac:dyDescent="0.2">
      <c r="A296" s="327"/>
      <c r="B296" s="314"/>
      <c r="C296" s="314"/>
      <c r="D296" s="256"/>
      <c r="E296" s="314"/>
      <c r="F296" s="274"/>
      <c r="G296" s="274"/>
      <c r="H296" s="274"/>
      <c r="I296" s="275"/>
    </row>
    <row r="297" spans="1:9" s="48" customFormat="1" ht="30" x14ac:dyDescent="0.2">
      <c r="A297" s="416" t="s">
        <v>2410</v>
      </c>
      <c r="B297" s="552" t="s">
        <v>776</v>
      </c>
      <c r="C297" s="552"/>
      <c r="D297" s="255" t="s">
        <v>428</v>
      </c>
      <c r="E297" s="383"/>
      <c r="F297" s="272"/>
      <c r="G297" s="273"/>
      <c r="H297" s="273"/>
      <c r="I297" s="417">
        <f>SUM(I298:I301)</f>
        <v>2513.87</v>
      </c>
    </row>
    <row r="298" spans="1:9" s="48" customFormat="1" ht="14.25" x14ac:dyDescent="0.2">
      <c r="A298" s="327" t="s">
        <v>2411</v>
      </c>
      <c r="B298" s="314" t="s">
        <v>94</v>
      </c>
      <c r="C298" s="314">
        <v>11125</v>
      </c>
      <c r="D298" s="256" t="s">
        <v>527</v>
      </c>
      <c r="E298" s="314" t="s">
        <v>384</v>
      </c>
      <c r="F298" s="274">
        <f>48*1.7*1.7</f>
        <v>138.72</v>
      </c>
      <c r="G298" s="274">
        <v>14.02</v>
      </c>
      <c r="H298" s="274">
        <f>G298</f>
        <v>14.02</v>
      </c>
      <c r="I298" s="275">
        <f>ROUND(F298*H298,2)</f>
        <v>1944.85</v>
      </c>
    </row>
    <row r="299" spans="1:9" s="48" customFormat="1" ht="14.25" x14ac:dyDescent="0.2">
      <c r="A299" s="327" t="s">
        <v>2412</v>
      </c>
      <c r="B299" s="314" t="s">
        <v>94</v>
      </c>
      <c r="C299" s="314">
        <v>585</v>
      </c>
      <c r="D299" s="256" t="s">
        <v>528</v>
      </c>
      <c r="E299" s="314" t="s">
        <v>384</v>
      </c>
      <c r="F299" s="274">
        <v>11.9</v>
      </c>
      <c r="G299" s="274">
        <v>16.98</v>
      </c>
      <c r="H299" s="274">
        <f>G299</f>
        <v>16.98</v>
      </c>
      <c r="I299" s="275">
        <f>ROUND(F299*H299,2)</f>
        <v>202.06</v>
      </c>
    </row>
    <row r="300" spans="1:9" s="48" customFormat="1" ht="14.25" x14ac:dyDescent="0.2">
      <c r="A300" s="327" t="s">
        <v>2413</v>
      </c>
      <c r="B300" s="314" t="s">
        <v>94</v>
      </c>
      <c r="C300" s="314">
        <v>252</v>
      </c>
      <c r="D300" s="256" t="s">
        <v>522</v>
      </c>
      <c r="E300" s="314" t="s">
        <v>60</v>
      </c>
      <c r="F300" s="274">
        <v>24</v>
      </c>
      <c r="G300" s="274">
        <v>9.19</v>
      </c>
      <c r="H300" s="274">
        <f>G300</f>
        <v>9.19</v>
      </c>
      <c r="I300" s="275">
        <f>ROUND(F300*H300,2)</f>
        <v>220.56</v>
      </c>
    </row>
    <row r="301" spans="1:9" s="48" customFormat="1" ht="14.25" x14ac:dyDescent="0.2">
      <c r="A301" s="327" t="s">
        <v>2414</v>
      </c>
      <c r="B301" s="314" t="s">
        <v>94</v>
      </c>
      <c r="C301" s="314">
        <v>6110</v>
      </c>
      <c r="D301" s="256" t="s">
        <v>516</v>
      </c>
      <c r="E301" s="314" t="s">
        <v>60</v>
      </c>
      <c r="F301" s="274">
        <v>12</v>
      </c>
      <c r="G301" s="274">
        <v>12.2</v>
      </c>
      <c r="H301" s="274">
        <f>G301</f>
        <v>12.2</v>
      </c>
      <c r="I301" s="275">
        <f>ROUND(F301*H301,2)</f>
        <v>146.4</v>
      </c>
    </row>
    <row r="302" spans="1:9" s="48" customFormat="1" ht="14.25" x14ac:dyDescent="0.2">
      <c r="A302" s="327"/>
      <c r="B302" s="314"/>
      <c r="C302" s="314"/>
      <c r="D302" s="256"/>
      <c r="E302" s="314"/>
      <c r="F302" s="274"/>
      <c r="G302" s="274"/>
      <c r="H302" s="274"/>
      <c r="I302" s="275"/>
    </row>
    <row r="303" spans="1:9" s="48" customFormat="1" ht="30" x14ac:dyDescent="0.2">
      <c r="A303" s="416" t="s">
        <v>2415</v>
      </c>
      <c r="B303" s="552" t="s">
        <v>821</v>
      </c>
      <c r="C303" s="552"/>
      <c r="D303" s="255" t="s">
        <v>430</v>
      </c>
      <c r="E303" s="383"/>
      <c r="F303" s="272"/>
      <c r="G303" s="273"/>
      <c r="H303" s="273"/>
      <c r="I303" s="417">
        <f>SUM(I304:I307)</f>
        <v>717.93</v>
      </c>
    </row>
    <row r="304" spans="1:9" s="48" customFormat="1" ht="14.25" x14ac:dyDescent="0.2">
      <c r="A304" s="327" t="s">
        <v>2416</v>
      </c>
      <c r="B304" s="314" t="s">
        <v>94</v>
      </c>
      <c r="C304" s="314">
        <v>11125</v>
      </c>
      <c r="D304" s="256" t="s">
        <v>527</v>
      </c>
      <c r="E304" s="314" t="s">
        <v>384</v>
      </c>
      <c r="F304" s="274">
        <f>48*0.9*0.8</f>
        <v>34.56</v>
      </c>
      <c r="G304" s="274">
        <v>14.02</v>
      </c>
      <c r="H304" s="274">
        <f>G304</f>
        <v>14.02</v>
      </c>
      <c r="I304" s="275">
        <f>ROUND(F304*H304,2)</f>
        <v>484.53</v>
      </c>
    </row>
    <row r="305" spans="1:9" s="48" customFormat="1" ht="14.25" x14ac:dyDescent="0.2">
      <c r="A305" s="327" t="s">
        <v>2417</v>
      </c>
      <c r="B305" s="314" t="s">
        <v>94</v>
      </c>
      <c r="C305" s="314">
        <v>585</v>
      </c>
      <c r="D305" s="256" t="s">
        <v>528</v>
      </c>
      <c r="E305" s="314" t="s">
        <v>384</v>
      </c>
      <c r="F305" s="274">
        <v>2.94</v>
      </c>
      <c r="G305" s="274">
        <v>16.98</v>
      </c>
      <c r="H305" s="274">
        <f>G305</f>
        <v>16.98</v>
      </c>
      <c r="I305" s="275">
        <f>ROUND(F305*H305,2)</f>
        <v>49.92</v>
      </c>
    </row>
    <row r="306" spans="1:9" s="48" customFormat="1" ht="14.25" x14ac:dyDescent="0.2">
      <c r="A306" s="327" t="s">
        <v>2418</v>
      </c>
      <c r="B306" s="314" t="s">
        <v>94</v>
      </c>
      <c r="C306" s="314">
        <v>252</v>
      </c>
      <c r="D306" s="256" t="s">
        <v>522</v>
      </c>
      <c r="E306" s="314" t="s">
        <v>60</v>
      </c>
      <c r="F306" s="274">
        <v>12</v>
      </c>
      <c r="G306" s="274">
        <v>9.19</v>
      </c>
      <c r="H306" s="274">
        <f>G306</f>
        <v>9.19</v>
      </c>
      <c r="I306" s="275">
        <f>ROUND(F306*H306,2)</f>
        <v>110.28</v>
      </c>
    </row>
    <row r="307" spans="1:9" s="48" customFormat="1" ht="14.25" x14ac:dyDescent="0.2">
      <c r="A307" s="327" t="s">
        <v>2419</v>
      </c>
      <c r="B307" s="314" t="s">
        <v>94</v>
      </c>
      <c r="C307" s="314">
        <v>6110</v>
      </c>
      <c r="D307" s="256" t="s">
        <v>516</v>
      </c>
      <c r="E307" s="314" t="s">
        <v>60</v>
      </c>
      <c r="F307" s="274">
        <v>6</v>
      </c>
      <c r="G307" s="274">
        <v>12.2</v>
      </c>
      <c r="H307" s="274">
        <f>G307</f>
        <v>12.2</v>
      </c>
      <c r="I307" s="275">
        <f>ROUND(F307*H307,2)</f>
        <v>73.2</v>
      </c>
    </row>
    <row r="308" spans="1:9" s="48" customFormat="1" ht="14.25" x14ac:dyDescent="0.2">
      <c r="A308" s="327"/>
      <c r="B308" s="314"/>
      <c r="C308" s="314"/>
      <c r="D308" s="256"/>
      <c r="E308" s="314"/>
      <c r="F308" s="274"/>
      <c r="G308" s="274"/>
      <c r="H308" s="274"/>
      <c r="I308" s="275"/>
    </row>
    <row r="309" spans="1:9" s="48" customFormat="1" ht="45" x14ac:dyDescent="0.2">
      <c r="A309" s="416" t="s">
        <v>2420</v>
      </c>
      <c r="B309" s="552" t="s">
        <v>803</v>
      </c>
      <c r="C309" s="552"/>
      <c r="D309" s="255" t="s">
        <v>431</v>
      </c>
      <c r="E309" s="383"/>
      <c r="F309" s="272"/>
      <c r="G309" s="273"/>
      <c r="H309" s="273"/>
      <c r="I309" s="417">
        <f>SUM(I310:I313)</f>
        <v>310.14</v>
      </c>
    </row>
    <row r="310" spans="1:9" s="48" customFormat="1" ht="14.25" x14ac:dyDescent="0.2">
      <c r="A310" s="327" t="s">
        <v>2421</v>
      </c>
      <c r="B310" s="314" t="s">
        <v>94</v>
      </c>
      <c r="C310" s="314">
        <v>11125</v>
      </c>
      <c r="D310" s="256" t="s">
        <v>527</v>
      </c>
      <c r="E310" s="314" t="s">
        <v>384</v>
      </c>
      <c r="F310" s="274">
        <f>48*0.54*0.58</f>
        <v>15.0336</v>
      </c>
      <c r="G310" s="274">
        <v>14.02</v>
      </c>
      <c r="H310" s="274">
        <f>G310</f>
        <v>14.02</v>
      </c>
      <c r="I310" s="275">
        <f>ROUND(F310*H310,2)</f>
        <v>210.77</v>
      </c>
    </row>
    <row r="311" spans="1:9" s="48" customFormat="1" ht="14.25" x14ac:dyDescent="0.2">
      <c r="A311" s="327" t="s">
        <v>2422</v>
      </c>
      <c r="B311" s="314" t="s">
        <v>94</v>
      </c>
      <c r="C311" s="314">
        <v>585</v>
      </c>
      <c r="D311" s="256" t="s">
        <v>528</v>
      </c>
      <c r="E311" s="314" t="s">
        <v>384</v>
      </c>
      <c r="F311" s="274">
        <v>1.35</v>
      </c>
      <c r="G311" s="274">
        <v>16.98</v>
      </c>
      <c r="H311" s="274">
        <f>G311</f>
        <v>16.98</v>
      </c>
      <c r="I311" s="275">
        <f>ROUND(F311*H311,2)</f>
        <v>22.92</v>
      </c>
    </row>
    <row r="312" spans="1:9" s="48" customFormat="1" ht="14.25" x14ac:dyDescent="0.2">
      <c r="A312" s="327" t="s">
        <v>2423</v>
      </c>
      <c r="B312" s="314" t="s">
        <v>94</v>
      </c>
      <c r="C312" s="314">
        <v>252</v>
      </c>
      <c r="D312" s="256" t="s">
        <v>522</v>
      </c>
      <c r="E312" s="314" t="s">
        <v>60</v>
      </c>
      <c r="F312" s="274">
        <v>5</v>
      </c>
      <c r="G312" s="274">
        <v>9.19</v>
      </c>
      <c r="H312" s="274">
        <f>G312</f>
        <v>9.19</v>
      </c>
      <c r="I312" s="275">
        <f>ROUND(F312*H312,2)</f>
        <v>45.95</v>
      </c>
    </row>
    <row r="313" spans="1:9" s="48" customFormat="1" ht="14.25" x14ac:dyDescent="0.2">
      <c r="A313" s="327" t="s">
        <v>2424</v>
      </c>
      <c r="B313" s="314" t="s">
        <v>94</v>
      </c>
      <c r="C313" s="314">
        <v>6110</v>
      </c>
      <c r="D313" s="256" t="s">
        <v>516</v>
      </c>
      <c r="E313" s="314" t="s">
        <v>60</v>
      </c>
      <c r="F313" s="274">
        <v>2.5</v>
      </c>
      <c r="G313" s="274">
        <v>12.2</v>
      </c>
      <c r="H313" s="274">
        <f>G313</f>
        <v>12.2</v>
      </c>
      <c r="I313" s="275">
        <f>ROUND(F313*H313,2)</f>
        <v>30.5</v>
      </c>
    </row>
    <row r="314" spans="1:9" s="48" customFormat="1" ht="14.25" x14ac:dyDescent="0.2">
      <c r="A314" s="327"/>
      <c r="B314" s="313"/>
      <c r="C314" s="313"/>
      <c r="D314" s="218"/>
      <c r="E314" s="224"/>
      <c r="F314" s="276"/>
      <c r="G314" s="277"/>
      <c r="H314" s="276"/>
      <c r="I314" s="277"/>
    </row>
    <row r="315" spans="1:9" s="48" customFormat="1" x14ac:dyDescent="0.2">
      <c r="A315" s="416" t="s">
        <v>802</v>
      </c>
      <c r="B315" s="552" t="s">
        <v>804</v>
      </c>
      <c r="C315" s="552"/>
      <c r="D315" s="255" t="str">
        <f>ORÇAMENTO!D353</f>
        <v>FORNECIMENTO DO MATERIAL HIDRÁULICO DO DECANTADOR</v>
      </c>
      <c r="E315" s="383"/>
      <c r="F315" s="272"/>
      <c r="G315" s="273"/>
      <c r="H315" s="273"/>
      <c r="I315" s="417">
        <f>SUM(I316:I329)</f>
        <v>12787.79</v>
      </c>
    </row>
    <row r="316" spans="1:9" s="48" customFormat="1" ht="14.25" x14ac:dyDescent="0.2">
      <c r="A316" s="327" t="s">
        <v>997</v>
      </c>
      <c r="B316" s="313" t="s">
        <v>101</v>
      </c>
      <c r="C316" s="223">
        <v>25004032</v>
      </c>
      <c r="D316" s="218" t="s">
        <v>900</v>
      </c>
      <c r="E316" s="224" t="s">
        <v>63</v>
      </c>
      <c r="F316" s="276">
        <v>2.5</v>
      </c>
      <c r="G316" s="277">
        <v>256.27999999999997</v>
      </c>
      <c r="H316" s="276">
        <f>G316</f>
        <v>256.27999999999997</v>
      </c>
      <c r="I316" s="277">
        <f t="shared" ref="I316:I318" si="50">F316*H316</f>
        <v>640.69999999999993</v>
      </c>
    </row>
    <row r="317" spans="1:9" s="48" customFormat="1" ht="14.25" x14ac:dyDescent="0.2">
      <c r="A317" s="327" t="s">
        <v>998</v>
      </c>
      <c r="B317" s="313" t="s">
        <v>101</v>
      </c>
      <c r="C317" s="223">
        <v>25000471</v>
      </c>
      <c r="D317" s="218" t="s">
        <v>903</v>
      </c>
      <c r="E317" s="224" t="s">
        <v>64</v>
      </c>
      <c r="F317" s="276">
        <v>1</v>
      </c>
      <c r="G317" s="277">
        <v>1072.8800000000001</v>
      </c>
      <c r="H317" s="276">
        <f t="shared" ref="H317:H318" si="51">G317</f>
        <v>1072.8800000000001</v>
      </c>
      <c r="I317" s="277">
        <f t="shared" si="50"/>
        <v>1072.8800000000001</v>
      </c>
    </row>
    <row r="318" spans="1:9" s="48" customFormat="1" ht="14.25" x14ac:dyDescent="0.2">
      <c r="A318" s="327" t="s">
        <v>999</v>
      </c>
      <c r="B318" s="313" t="s">
        <v>101</v>
      </c>
      <c r="C318" s="313">
        <v>25003301</v>
      </c>
      <c r="D318" s="218" t="s">
        <v>1025</v>
      </c>
      <c r="E318" s="224" t="s">
        <v>64</v>
      </c>
      <c r="F318" s="276">
        <v>2</v>
      </c>
      <c r="G318" s="277">
        <v>1838.19</v>
      </c>
      <c r="H318" s="276">
        <f t="shared" si="51"/>
        <v>1838.19</v>
      </c>
      <c r="I318" s="277">
        <f t="shared" si="50"/>
        <v>3676.38</v>
      </c>
    </row>
    <row r="319" spans="1:9" s="48" customFormat="1" ht="14.25" x14ac:dyDescent="0.2">
      <c r="A319" s="327" t="s">
        <v>1000</v>
      </c>
      <c r="B319" s="313" t="s">
        <v>145</v>
      </c>
      <c r="C319" s="313"/>
      <c r="D319" s="218" t="s">
        <v>16</v>
      </c>
      <c r="E319" s="224" t="s">
        <v>64</v>
      </c>
      <c r="F319" s="276">
        <v>1</v>
      </c>
      <c r="G319" s="277">
        <v>690.67</v>
      </c>
      <c r="H319" s="276">
        <f t="shared" ref="H319:H329" si="52">G319</f>
        <v>690.67</v>
      </c>
      <c r="I319" s="277">
        <f t="shared" ref="I319:I329" si="53">F319*H319</f>
        <v>690.67</v>
      </c>
    </row>
    <row r="320" spans="1:9" s="48" customFormat="1" ht="14.25" x14ac:dyDescent="0.2">
      <c r="A320" s="327" t="s">
        <v>2425</v>
      </c>
      <c r="B320" s="313" t="s">
        <v>101</v>
      </c>
      <c r="C320" s="313">
        <v>25000091</v>
      </c>
      <c r="D320" s="218" t="s">
        <v>905</v>
      </c>
      <c r="E320" s="224" t="s">
        <v>64</v>
      </c>
      <c r="F320" s="276">
        <v>3</v>
      </c>
      <c r="G320" s="277">
        <v>349.35</v>
      </c>
      <c r="H320" s="276">
        <f t="shared" si="52"/>
        <v>349.35</v>
      </c>
      <c r="I320" s="277">
        <f t="shared" si="53"/>
        <v>1048.0500000000002</v>
      </c>
    </row>
    <row r="321" spans="1:9" s="48" customFormat="1" ht="14.25" x14ac:dyDescent="0.2">
      <c r="A321" s="327" t="s">
        <v>2426</v>
      </c>
      <c r="B321" s="224" t="s">
        <v>94</v>
      </c>
      <c r="C321" s="223">
        <v>9827</v>
      </c>
      <c r="D321" s="218" t="s">
        <v>906</v>
      </c>
      <c r="E321" s="224" t="s">
        <v>63</v>
      </c>
      <c r="F321" s="276">
        <v>15</v>
      </c>
      <c r="G321" s="277">
        <v>225.63</v>
      </c>
      <c r="H321" s="276">
        <f t="shared" si="52"/>
        <v>225.63</v>
      </c>
      <c r="I321" s="277">
        <f t="shared" si="53"/>
        <v>3384.45</v>
      </c>
    </row>
    <row r="322" spans="1:9" s="48" customFormat="1" ht="14.25" x14ac:dyDescent="0.2">
      <c r="A322" s="327" t="s">
        <v>2427</v>
      </c>
      <c r="B322" s="224" t="s">
        <v>94</v>
      </c>
      <c r="C322" s="224">
        <v>9828</v>
      </c>
      <c r="D322" s="218" t="s">
        <v>192</v>
      </c>
      <c r="E322" s="224" t="s">
        <v>63</v>
      </c>
      <c r="F322" s="276">
        <v>14</v>
      </c>
      <c r="G322" s="277">
        <v>58.78</v>
      </c>
      <c r="H322" s="276">
        <f t="shared" si="52"/>
        <v>58.78</v>
      </c>
      <c r="I322" s="277">
        <f t="shared" si="53"/>
        <v>822.92000000000007</v>
      </c>
    </row>
    <row r="323" spans="1:9" s="48" customFormat="1" ht="14.25" x14ac:dyDescent="0.2">
      <c r="A323" s="327" t="s">
        <v>2428</v>
      </c>
      <c r="B323" s="313" t="s">
        <v>145</v>
      </c>
      <c r="C323" s="313"/>
      <c r="D323" s="218" t="s">
        <v>196</v>
      </c>
      <c r="E323" s="224" t="s">
        <v>64</v>
      </c>
      <c r="F323" s="276">
        <v>2</v>
      </c>
      <c r="G323" s="277">
        <v>153</v>
      </c>
      <c r="H323" s="276">
        <f t="shared" si="52"/>
        <v>153</v>
      </c>
      <c r="I323" s="277">
        <f t="shared" si="53"/>
        <v>306</v>
      </c>
    </row>
    <row r="324" spans="1:9" s="48" customFormat="1" ht="14.25" x14ac:dyDescent="0.2">
      <c r="A324" s="327" t="s">
        <v>2429</v>
      </c>
      <c r="B324" s="313" t="s">
        <v>145</v>
      </c>
      <c r="C324" s="313"/>
      <c r="D324" s="218" t="s">
        <v>197</v>
      </c>
      <c r="E324" s="224" t="s">
        <v>64</v>
      </c>
      <c r="F324" s="276">
        <v>2</v>
      </c>
      <c r="G324" s="277">
        <v>200</v>
      </c>
      <c r="H324" s="276">
        <f t="shared" si="52"/>
        <v>200</v>
      </c>
      <c r="I324" s="277">
        <f t="shared" si="53"/>
        <v>400</v>
      </c>
    </row>
    <row r="325" spans="1:9" s="48" customFormat="1" ht="14.25" x14ac:dyDescent="0.2">
      <c r="A325" s="327" t="s">
        <v>2430</v>
      </c>
      <c r="B325" s="313" t="s">
        <v>145</v>
      </c>
      <c r="C325" s="313"/>
      <c r="D325" s="218" t="s">
        <v>15</v>
      </c>
      <c r="E325" s="224" t="s">
        <v>64</v>
      </c>
      <c r="F325" s="276">
        <v>5</v>
      </c>
      <c r="G325" s="277">
        <v>5.6</v>
      </c>
      <c r="H325" s="276">
        <f t="shared" si="52"/>
        <v>5.6</v>
      </c>
      <c r="I325" s="277">
        <f t="shared" si="53"/>
        <v>28</v>
      </c>
    </row>
    <row r="326" spans="1:9" s="48" customFormat="1" ht="14.25" x14ac:dyDescent="0.2">
      <c r="A326" s="327" t="s">
        <v>2431</v>
      </c>
      <c r="B326" s="313" t="s">
        <v>145</v>
      </c>
      <c r="C326" s="313"/>
      <c r="D326" s="218" t="s">
        <v>11</v>
      </c>
      <c r="E326" s="224" t="s">
        <v>64</v>
      </c>
      <c r="F326" s="276">
        <v>1</v>
      </c>
      <c r="G326" s="277">
        <v>1.5</v>
      </c>
      <c r="H326" s="276">
        <f t="shared" si="52"/>
        <v>1.5</v>
      </c>
      <c r="I326" s="277">
        <f t="shared" si="53"/>
        <v>1.5</v>
      </c>
    </row>
    <row r="327" spans="1:9" s="48" customFormat="1" ht="14.25" x14ac:dyDescent="0.2">
      <c r="A327" s="327" t="s">
        <v>2432</v>
      </c>
      <c r="B327" s="313" t="s">
        <v>145</v>
      </c>
      <c r="C327" s="313"/>
      <c r="D327" s="218" t="s">
        <v>14</v>
      </c>
      <c r="E327" s="224" t="s">
        <v>64</v>
      </c>
      <c r="F327" s="276">
        <v>68</v>
      </c>
      <c r="G327" s="277">
        <v>4.68</v>
      </c>
      <c r="H327" s="276">
        <f t="shared" si="52"/>
        <v>4.68</v>
      </c>
      <c r="I327" s="277">
        <f t="shared" si="53"/>
        <v>318.24</v>
      </c>
    </row>
    <row r="328" spans="1:9" s="48" customFormat="1" ht="14.25" x14ac:dyDescent="0.2">
      <c r="A328" s="327" t="s">
        <v>2433</v>
      </c>
      <c r="B328" s="313" t="s">
        <v>145</v>
      </c>
      <c r="C328" s="313"/>
      <c r="D328" s="218" t="s">
        <v>250</v>
      </c>
      <c r="E328" s="224" t="s">
        <v>64</v>
      </c>
      <c r="F328" s="276">
        <v>1</v>
      </c>
      <c r="G328" s="277">
        <v>198</v>
      </c>
      <c r="H328" s="276">
        <f t="shared" si="52"/>
        <v>198</v>
      </c>
      <c r="I328" s="277">
        <f t="shared" si="53"/>
        <v>198</v>
      </c>
    </row>
    <row r="329" spans="1:9" s="48" customFormat="1" ht="14.25" x14ac:dyDescent="0.2">
      <c r="A329" s="327" t="s">
        <v>2434</v>
      </c>
      <c r="B329" s="313" t="s">
        <v>145</v>
      </c>
      <c r="C329" s="313"/>
      <c r="D329" s="218" t="s">
        <v>198</v>
      </c>
      <c r="E329" s="224" t="s">
        <v>64</v>
      </c>
      <c r="F329" s="276">
        <v>1</v>
      </c>
      <c r="G329" s="277">
        <v>200</v>
      </c>
      <c r="H329" s="276">
        <f t="shared" si="52"/>
        <v>200</v>
      </c>
      <c r="I329" s="277">
        <f t="shared" si="53"/>
        <v>200</v>
      </c>
    </row>
    <row r="330" spans="1:9" s="48" customFormat="1" ht="14.25" x14ac:dyDescent="0.2">
      <c r="A330" s="327"/>
      <c r="B330" s="314"/>
      <c r="C330" s="314"/>
      <c r="D330" s="256"/>
      <c r="E330" s="314"/>
      <c r="F330" s="274"/>
      <c r="G330" s="274"/>
      <c r="H330" s="274"/>
      <c r="I330" s="275"/>
    </row>
    <row r="331" spans="1:9" s="48" customFormat="1" x14ac:dyDescent="0.2">
      <c r="A331" s="416" t="s">
        <v>2435</v>
      </c>
      <c r="B331" s="552" t="s">
        <v>829</v>
      </c>
      <c r="C331" s="552"/>
      <c r="D331" s="255" t="str">
        <f>ORÇAMENTO!D354</f>
        <v>APLICAÇÃO DO MATERIAL HIDRÁULICO DO DECANTADOR</v>
      </c>
      <c r="E331" s="383"/>
      <c r="F331" s="272"/>
      <c r="G331" s="273"/>
      <c r="H331" s="273"/>
      <c r="I331" s="417">
        <f>SUM(I332:I333)</f>
        <v>2068</v>
      </c>
    </row>
    <row r="332" spans="1:9" s="48" customFormat="1" ht="14.25" x14ac:dyDescent="0.2">
      <c r="A332" s="327" t="s">
        <v>2436</v>
      </c>
      <c r="B332" s="224" t="s">
        <v>94</v>
      </c>
      <c r="C332" s="223" t="s">
        <v>2695</v>
      </c>
      <c r="D332" s="218" t="s">
        <v>2694</v>
      </c>
      <c r="E332" s="224" t="s">
        <v>60</v>
      </c>
      <c r="F332" s="276">
        <v>80</v>
      </c>
      <c r="G332" s="277">
        <v>14.76</v>
      </c>
      <c r="H332" s="276">
        <f>G332</f>
        <v>14.76</v>
      </c>
      <c r="I332" s="277">
        <f>F332*H332</f>
        <v>1180.8</v>
      </c>
    </row>
    <row r="333" spans="1:9" s="48" customFormat="1" ht="14.25" x14ac:dyDescent="0.2">
      <c r="A333" s="327" t="s">
        <v>2437</v>
      </c>
      <c r="B333" s="224" t="s">
        <v>94</v>
      </c>
      <c r="C333" s="223" t="s">
        <v>388</v>
      </c>
      <c r="D333" s="218" t="s">
        <v>35</v>
      </c>
      <c r="E333" s="224" t="s">
        <v>60</v>
      </c>
      <c r="F333" s="276">
        <v>80</v>
      </c>
      <c r="G333" s="277">
        <v>11.09</v>
      </c>
      <c r="H333" s="276">
        <f>G333</f>
        <v>11.09</v>
      </c>
      <c r="I333" s="277">
        <f>F333*H333</f>
        <v>887.2</v>
      </c>
    </row>
    <row r="334" spans="1:9" s="48" customFormat="1" ht="14.25" x14ac:dyDescent="0.2">
      <c r="A334" s="327"/>
      <c r="B334" s="263"/>
      <c r="C334" s="263"/>
      <c r="D334" s="264"/>
      <c r="E334" s="263"/>
      <c r="F334" s="278"/>
      <c r="G334" s="279"/>
      <c r="H334" s="279"/>
      <c r="I334" s="283"/>
    </row>
    <row r="335" spans="1:9" s="48" customFormat="1" ht="45" x14ac:dyDescent="0.2">
      <c r="A335" s="416" t="s">
        <v>2438</v>
      </c>
      <c r="B335" s="552" t="s">
        <v>830</v>
      </c>
      <c r="C335" s="552"/>
      <c r="D335" s="255" t="s">
        <v>551</v>
      </c>
      <c r="E335" s="383"/>
      <c r="F335" s="272"/>
      <c r="G335" s="273"/>
      <c r="H335" s="273"/>
      <c r="I335" s="417">
        <f>SUM(I336:I339)</f>
        <v>237.94</v>
      </c>
    </row>
    <row r="336" spans="1:9" s="48" customFormat="1" ht="14.25" x14ac:dyDescent="0.2">
      <c r="A336" s="327" t="s">
        <v>2439</v>
      </c>
      <c r="B336" s="314" t="s">
        <v>94</v>
      </c>
      <c r="C336" s="314">
        <v>11125</v>
      </c>
      <c r="D336" s="219" t="s">
        <v>527</v>
      </c>
      <c r="E336" s="314" t="s">
        <v>384</v>
      </c>
      <c r="F336" s="274">
        <f>48*0.27*0.8</f>
        <v>10.368000000000002</v>
      </c>
      <c r="G336" s="274">
        <v>14.02</v>
      </c>
      <c r="H336" s="274">
        <f>G336</f>
        <v>14.02</v>
      </c>
      <c r="I336" s="275">
        <f>ROUND(F336*H336,2)</f>
        <v>145.36000000000001</v>
      </c>
    </row>
    <row r="337" spans="1:9" s="48" customFormat="1" ht="14.25" x14ac:dyDescent="0.2">
      <c r="A337" s="327" t="s">
        <v>2440</v>
      </c>
      <c r="B337" s="314" t="s">
        <v>94</v>
      </c>
      <c r="C337" s="314">
        <v>585</v>
      </c>
      <c r="D337" s="256" t="s">
        <v>528</v>
      </c>
      <c r="E337" s="314" t="s">
        <v>384</v>
      </c>
      <c r="F337" s="274">
        <v>0.95</v>
      </c>
      <c r="G337" s="274">
        <v>16.98</v>
      </c>
      <c r="H337" s="274">
        <f>G337</f>
        <v>16.98</v>
      </c>
      <c r="I337" s="275">
        <f>ROUND(F337*H337,2)</f>
        <v>16.13</v>
      </c>
    </row>
    <row r="338" spans="1:9" s="48" customFormat="1" ht="14.25" x14ac:dyDescent="0.2">
      <c r="A338" s="327" t="s">
        <v>2441</v>
      </c>
      <c r="B338" s="314" t="s">
        <v>94</v>
      </c>
      <c r="C338" s="314">
        <v>252</v>
      </c>
      <c r="D338" s="256" t="s">
        <v>522</v>
      </c>
      <c r="E338" s="314" t="s">
        <v>60</v>
      </c>
      <c r="F338" s="274">
        <v>5</v>
      </c>
      <c r="G338" s="274">
        <v>9.19</v>
      </c>
      <c r="H338" s="274">
        <f>G338</f>
        <v>9.19</v>
      </c>
      <c r="I338" s="275">
        <f>ROUND(F338*H338,2)</f>
        <v>45.95</v>
      </c>
    </row>
    <row r="339" spans="1:9" s="48" customFormat="1" ht="14.25" x14ac:dyDescent="0.2">
      <c r="A339" s="327" t="s">
        <v>2442</v>
      </c>
      <c r="B339" s="314" t="s">
        <v>94</v>
      </c>
      <c r="C339" s="314">
        <v>6110</v>
      </c>
      <c r="D339" s="256" t="s">
        <v>516</v>
      </c>
      <c r="E339" s="314" t="s">
        <v>60</v>
      </c>
      <c r="F339" s="274">
        <v>2.5</v>
      </c>
      <c r="G339" s="274">
        <v>12.2</v>
      </c>
      <c r="H339" s="274">
        <f>G339</f>
        <v>12.2</v>
      </c>
      <c r="I339" s="275">
        <f>ROUND(F339*H339,2)</f>
        <v>30.5</v>
      </c>
    </row>
    <row r="340" spans="1:9" s="48" customFormat="1" ht="14.25" x14ac:dyDescent="0.2">
      <c r="A340" s="327"/>
      <c r="B340" s="224"/>
      <c r="C340" s="223"/>
      <c r="D340" s="218"/>
      <c r="E340" s="224"/>
      <c r="F340" s="276"/>
      <c r="G340" s="277"/>
      <c r="H340" s="276"/>
      <c r="I340" s="277"/>
    </row>
    <row r="341" spans="1:9" s="48" customFormat="1" x14ac:dyDescent="0.2">
      <c r="A341" s="416" t="s">
        <v>2443</v>
      </c>
      <c r="B341" s="552" t="s">
        <v>831</v>
      </c>
      <c r="C341" s="552"/>
      <c r="D341" s="255" t="str">
        <f>ORÇAMENTO!D375</f>
        <v>FORNECIMENTO MATERIAL HIDRÁULICO DOS LEITOS DE SECAGEM</v>
      </c>
      <c r="E341" s="383"/>
      <c r="F341" s="272"/>
      <c r="G341" s="273"/>
      <c r="H341" s="273"/>
      <c r="I341" s="417">
        <f>SUM(I342:I348)</f>
        <v>22929.03</v>
      </c>
    </row>
    <row r="342" spans="1:9" s="48" customFormat="1" ht="14.25" x14ac:dyDescent="0.2">
      <c r="A342" s="327" t="s">
        <v>2444</v>
      </c>
      <c r="B342" s="224" t="s">
        <v>94</v>
      </c>
      <c r="C342" s="223" t="s">
        <v>206</v>
      </c>
      <c r="D342" s="218" t="s">
        <v>20</v>
      </c>
      <c r="E342" s="224" t="s">
        <v>63</v>
      </c>
      <c r="F342" s="276">
        <v>1460</v>
      </c>
      <c r="G342" s="277">
        <v>13.13</v>
      </c>
      <c r="H342" s="276">
        <f t="shared" ref="H342:H348" si="54">G342</f>
        <v>13.13</v>
      </c>
      <c r="I342" s="277">
        <f t="shared" ref="I342:I348" si="55">F342*H342</f>
        <v>19169.800000000003</v>
      </c>
    </row>
    <row r="343" spans="1:9" s="48" customFormat="1" ht="14.25" x14ac:dyDescent="0.2">
      <c r="A343" s="327" t="s">
        <v>2445</v>
      </c>
      <c r="B343" s="313" t="s">
        <v>145</v>
      </c>
      <c r="C343" s="313"/>
      <c r="D343" s="218" t="s">
        <v>21</v>
      </c>
      <c r="E343" s="224" t="s">
        <v>64</v>
      </c>
      <c r="F343" s="276">
        <v>3</v>
      </c>
      <c r="G343" s="277">
        <v>640.54</v>
      </c>
      <c r="H343" s="276">
        <f t="shared" si="54"/>
        <v>640.54</v>
      </c>
      <c r="I343" s="277">
        <f t="shared" si="55"/>
        <v>1921.62</v>
      </c>
    </row>
    <row r="344" spans="1:9" s="48" customFormat="1" ht="14.25" x14ac:dyDescent="0.2">
      <c r="A344" s="327" t="s">
        <v>2446</v>
      </c>
      <c r="B344" s="261" t="s">
        <v>94</v>
      </c>
      <c r="C344" s="223">
        <v>3653</v>
      </c>
      <c r="D344" s="218" t="s">
        <v>767</v>
      </c>
      <c r="E344" s="224" t="s">
        <v>64</v>
      </c>
      <c r="F344" s="276">
        <v>36</v>
      </c>
      <c r="G344" s="277">
        <v>25.05</v>
      </c>
      <c r="H344" s="276">
        <f t="shared" si="54"/>
        <v>25.05</v>
      </c>
      <c r="I344" s="277">
        <f t="shared" si="55"/>
        <v>901.80000000000007</v>
      </c>
    </row>
    <row r="345" spans="1:9" s="48" customFormat="1" ht="14.25" x14ac:dyDescent="0.2">
      <c r="A345" s="327" t="s">
        <v>2447</v>
      </c>
      <c r="B345" s="313" t="s">
        <v>145</v>
      </c>
      <c r="C345" s="313"/>
      <c r="D345" s="346" t="s">
        <v>225</v>
      </c>
      <c r="E345" s="224" t="s">
        <v>64</v>
      </c>
      <c r="F345" s="276">
        <v>3</v>
      </c>
      <c r="G345" s="277">
        <v>258.64999999999998</v>
      </c>
      <c r="H345" s="276">
        <f t="shared" si="54"/>
        <v>258.64999999999998</v>
      </c>
      <c r="I345" s="277">
        <f t="shared" si="55"/>
        <v>775.94999999999993</v>
      </c>
    </row>
    <row r="346" spans="1:9" s="48" customFormat="1" ht="14.25" x14ac:dyDescent="0.2">
      <c r="A346" s="327" t="s">
        <v>2448</v>
      </c>
      <c r="B346" s="313" t="s">
        <v>145</v>
      </c>
      <c r="C346" s="313"/>
      <c r="D346" s="218" t="s">
        <v>11</v>
      </c>
      <c r="E346" s="224" t="s">
        <v>64</v>
      </c>
      <c r="F346" s="276">
        <v>1</v>
      </c>
      <c r="G346" s="277">
        <v>1.5</v>
      </c>
      <c r="H346" s="276">
        <f t="shared" si="54"/>
        <v>1.5</v>
      </c>
      <c r="I346" s="277">
        <f t="shared" si="55"/>
        <v>1.5</v>
      </c>
    </row>
    <row r="347" spans="1:9" s="48" customFormat="1" ht="14.25" x14ac:dyDescent="0.2">
      <c r="A347" s="327" t="s">
        <v>2449</v>
      </c>
      <c r="B347" s="313" t="s">
        <v>145</v>
      </c>
      <c r="C347" s="313"/>
      <c r="D347" s="218" t="s">
        <v>14</v>
      </c>
      <c r="E347" s="224" t="s">
        <v>64</v>
      </c>
      <c r="F347" s="276">
        <v>8</v>
      </c>
      <c r="G347" s="277">
        <v>4.68</v>
      </c>
      <c r="H347" s="276">
        <f t="shared" si="54"/>
        <v>4.68</v>
      </c>
      <c r="I347" s="277">
        <f t="shared" si="55"/>
        <v>37.44</v>
      </c>
    </row>
    <row r="348" spans="1:9" s="48" customFormat="1" ht="14.25" x14ac:dyDescent="0.2">
      <c r="A348" s="327" t="s">
        <v>2450</v>
      </c>
      <c r="B348" s="224" t="s">
        <v>94</v>
      </c>
      <c r="C348" s="223" t="s">
        <v>356</v>
      </c>
      <c r="D348" s="218" t="s">
        <v>357</v>
      </c>
      <c r="E348" s="224" t="s">
        <v>63</v>
      </c>
      <c r="F348" s="276">
        <v>4</v>
      </c>
      <c r="G348" s="277">
        <v>30.23</v>
      </c>
      <c r="H348" s="276">
        <f t="shared" si="54"/>
        <v>30.23</v>
      </c>
      <c r="I348" s="277">
        <f t="shared" si="55"/>
        <v>120.92</v>
      </c>
    </row>
    <row r="349" spans="1:9" s="48" customFormat="1" ht="14.25" x14ac:dyDescent="0.2">
      <c r="A349" s="327"/>
      <c r="B349" s="313"/>
      <c r="C349" s="313"/>
      <c r="D349" s="217"/>
      <c r="E349" s="313"/>
      <c r="F349" s="275"/>
      <c r="G349" s="274"/>
      <c r="H349" s="275"/>
      <c r="I349" s="275"/>
    </row>
    <row r="350" spans="1:9" s="48" customFormat="1" x14ac:dyDescent="0.2">
      <c r="A350" s="416" t="s">
        <v>2451</v>
      </c>
      <c r="B350" s="552" t="s">
        <v>832</v>
      </c>
      <c r="C350" s="552"/>
      <c r="D350" s="255" t="str">
        <f>ORÇAMENTO!D376</f>
        <v>APLICAÇÃO DO MATERIAL HIDRÁULICO DOS LEITOS DE SECAGEM</v>
      </c>
      <c r="E350" s="383"/>
      <c r="F350" s="272"/>
      <c r="G350" s="273"/>
      <c r="H350" s="273"/>
      <c r="I350" s="417">
        <f>SUM(I351:I352)</f>
        <v>1569.75</v>
      </c>
    </row>
    <row r="351" spans="1:9" s="48" customFormat="1" ht="14.25" x14ac:dyDescent="0.2">
      <c r="A351" s="327" t="s">
        <v>2452</v>
      </c>
      <c r="B351" s="224" t="s">
        <v>94</v>
      </c>
      <c r="C351" s="223" t="s">
        <v>2695</v>
      </c>
      <c r="D351" s="218" t="s">
        <v>2694</v>
      </c>
      <c r="E351" s="224" t="s">
        <v>60</v>
      </c>
      <c r="F351" s="276">
        <v>50</v>
      </c>
      <c r="G351" s="277">
        <v>14.76</v>
      </c>
      <c r="H351" s="276">
        <f>G351</f>
        <v>14.76</v>
      </c>
      <c r="I351" s="277">
        <f>F351*H351</f>
        <v>738</v>
      </c>
    </row>
    <row r="352" spans="1:9" s="48" customFormat="1" ht="14.25" x14ac:dyDescent="0.2">
      <c r="A352" s="327" t="s">
        <v>2453</v>
      </c>
      <c r="B352" s="224" t="s">
        <v>94</v>
      </c>
      <c r="C352" s="223" t="s">
        <v>388</v>
      </c>
      <c r="D352" s="218" t="s">
        <v>35</v>
      </c>
      <c r="E352" s="224" t="s">
        <v>60</v>
      </c>
      <c r="F352" s="276">
        <v>75</v>
      </c>
      <c r="G352" s="277">
        <v>11.09</v>
      </c>
      <c r="H352" s="276">
        <f>G352</f>
        <v>11.09</v>
      </c>
      <c r="I352" s="277">
        <f>F352*H352</f>
        <v>831.75</v>
      </c>
    </row>
    <row r="353" spans="1:9" s="48" customFormat="1" ht="14.25" x14ac:dyDescent="0.2">
      <c r="A353" s="327"/>
      <c r="B353" s="71"/>
      <c r="C353" s="71"/>
      <c r="D353" s="71"/>
      <c r="E353" s="282"/>
      <c r="F353" s="283"/>
      <c r="G353" s="283"/>
      <c r="H353" s="283"/>
      <c r="I353" s="283"/>
    </row>
    <row r="354" spans="1:9" s="48" customFormat="1" x14ac:dyDescent="0.2">
      <c r="A354" s="416" t="s">
        <v>2454</v>
      </c>
      <c r="B354" s="552" t="s">
        <v>833</v>
      </c>
      <c r="C354" s="552"/>
      <c r="D354" s="255" t="str">
        <f>ORÇAMENTO!D399</f>
        <v>FORNECIMENTO DO MATERIAL HIDRÁULICO DA ELEVATÓRIA DE RECIRCULAÇÃO</v>
      </c>
      <c r="E354" s="383"/>
      <c r="F354" s="272"/>
      <c r="G354" s="273"/>
      <c r="H354" s="273"/>
      <c r="I354" s="417">
        <f>SUM(I355:I374)</f>
        <v>14871.26</v>
      </c>
    </row>
    <row r="355" spans="1:9" s="48" customFormat="1" ht="14.25" x14ac:dyDescent="0.2">
      <c r="A355" s="327" t="s">
        <v>2455</v>
      </c>
      <c r="B355" s="313" t="s">
        <v>145</v>
      </c>
      <c r="C355" s="313"/>
      <c r="D355" s="218" t="s">
        <v>24</v>
      </c>
      <c r="E355" s="224" t="s">
        <v>64</v>
      </c>
      <c r="F355" s="276">
        <v>1</v>
      </c>
      <c r="G355" s="277">
        <v>158.69999999999999</v>
      </c>
      <c r="H355" s="276">
        <f>G355</f>
        <v>158.69999999999999</v>
      </c>
      <c r="I355" s="277">
        <f t="shared" ref="I355" si="56">F355*H355</f>
        <v>158.69999999999999</v>
      </c>
    </row>
    <row r="356" spans="1:9" s="48" customFormat="1" ht="14.25" x14ac:dyDescent="0.2">
      <c r="A356" s="327" t="s">
        <v>2456</v>
      </c>
      <c r="B356" s="313" t="s">
        <v>145</v>
      </c>
      <c r="C356" s="313"/>
      <c r="D356" s="218" t="s">
        <v>25</v>
      </c>
      <c r="E356" s="224" t="s">
        <v>64</v>
      </c>
      <c r="F356" s="276">
        <v>3</v>
      </c>
      <c r="G356" s="277">
        <v>138</v>
      </c>
      <c r="H356" s="276">
        <f t="shared" ref="H356:H374" si="57">G356</f>
        <v>138</v>
      </c>
      <c r="I356" s="277">
        <f t="shared" ref="I356:I373" si="58">F356*H356</f>
        <v>414</v>
      </c>
    </row>
    <row r="357" spans="1:9" s="48" customFormat="1" ht="14.25" x14ac:dyDescent="0.2">
      <c r="A357" s="327" t="s">
        <v>2457</v>
      </c>
      <c r="B357" s="313" t="s">
        <v>145</v>
      </c>
      <c r="C357" s="313"/>
      <c r="D357" s="218" t="s">
        <v>26</v>
      </c>
      <c r="E357" s="224" t="s">
        <v>64</v>
      </c>
      <c r="F357" s="276">
        <v>2</v>
      </c>
      <c r="G357" s="277">
        <v>135</v>
      </c>
      <c r="H357" s="276">
        <f t="shared" si="57"/>
        <v>135</v>
      </c>
      <c r="I357" s="277">
        <f t="shared" si="58"/>
        <v>270</v>
      </c>
    </row>
    <row r="358" spans="1:9" s="48" customFormat="1" ht="14.25" x14ac:dyDescent="0.2">
      <c r="A358" s="327" t="s">
        <v>2458</v>
      </c>
      <c r="B358" s="313" t="s">
        <v>145</v>
      </c>
      <c r="C358" s="313"/>
      <c r="D358" s="218" t="s">
        <v>27</v>
      </c>
      <c r="E358" s="224" t="s">
        <v>64</v>
      </c>
      <c r="F358" s="276">
        <v>2</v>
      </c>
      <c r="G358" s="277">
        <v>477.71</v>
      </c>
      <c r="H358" s="276">
        <f t="shared" si="57"/>
        <v>477.71</v>
      </c>
      <c r="I358" s="277">
        <f t="shared" si="58"/>
        <v>955.42</v>
      </c>
    </row>
    <row r="359" spans="1:9" s="48" customFormat="1" ht="14.25" x14ac:dyDescent="0.2">
      <c r="A359" s="327" t="s">
        <v>2459</v>
      </c>
      <c r="B359" s="313" t="s">
        <v>101</v>
      </c>
      <c r="C359" s="313">
        <v>25003011</v>
      </c>
      <c r="D359" s="218" t="s">
        <v>925</v>
      </c>
      <c r="E359" s="224" t="s">
        <v>64</v>
      </c>
      <c r="F359" s="276">
        <v>3</v>
      </c>
      <c r="G359" s="277">
        <v>359.55</v>
      </c>
      <c r="H359" s="276">
        <f t="shared" si="57"/>
        <v>359.55</v>
      </c>
      <c r="I359" s="277">
        <f t="shared" si="58"/>
        <v>1078.6500000000001</v>
      </c>
    </row>
    <row r="360" spans="1:9" s="48" customFormat="1" ht="14.25" x14ac:dyDescent="0.2">
      <c r="A360" s="327" t="s">
        <v>2460</v>
      </c>
      <c r="B360" s="313" t="s">
        <v>145</v>
      </c>
      <c r="C360" s="313"/>
      <c r="D360" s="218" t="s">
        <v>4</v>
      </c>
      <c r="E360" s="224" t="s">
        <v>64</v>
      </c>
      <c r="F360" s="276">
        <v>1</v>
      </c>
      <c r="G360" s="277">
        <v>209</v>
      </c>
      <c r="H360" s="276">
        <f t="shared" si="57"/>
        <v>209</v>
      </c>
      <c r="I360" s="277">
        <f t="shared" si="58"/>
        <v>209</v>
      </c>
    </row>
    <row r="361" spans="1:9" s="48" customFormat="1" ht="14.25" x14ac:dyDescent="0.2">
      <c r="A361" s="327" t="s">
        <v>2461</v>
      </c>
      <c r="B361" s="313" t="s">
        <v>145</v>
      </c>
      <c r="C361" s="313"/>
      <c r="D361" s="218" t="s">
        <v>29</v>
      </c>
      <c r="E361" s="224" t="s">
        <v>64</v>
      </c>
      <c r="F361" s="276">
        <v>3</v>
      </c>
      <c r="G361" s="277">
        <v>430</v>
      </c>
      <c r="H361" s="276">
        <f t="shared" si="57"/>
        <v>430</v>
      </c>
      <c r="I361" s="277">
        <f t="shared" si="58"/>
        <v>1290</v>
      </c>
    </row>
    <row r="362" spans="1:9" s="48" customFormat="1" ht="14.25" x14ac:dyDescent="0.2">
      <c r="A362" s="327" t="s">
        <v>2462</v>
      </c>
      <c r="B362" s="313" t="s">
        <v>94</v>
      </c>
      <c r="C362" s="313" t="s">
        <v>379</v>
      </c>
      <c r="D362" s="218" t="s">
        <v>30</v>
      </c>
      <c r="E362" s="224" t="s">
        <v>64</v>
      </c>
      <c r="F362" s="276">
        <v>2</v>
      </c>
      <c r="G362" s="277">
        <v>335.5</v>
      </c>
      <c r="H362" s="276">
        <f t="shared" si="57"/>
        <v>335.5</v>
      </c>
      <c r="I362" s="277">
        <f t="shared" si="58"/>
        <v>671</v>
      </c>
    </row>
    <row r="363" spans="1:9" s="48" customFormat="1" ht="14.25" x14ac:dyDescent="0.2">
      <c r="A363" s="327" t="s">
        <v>2463</v>
      </c>
      <c r="B363" s="313" t="s">
        <v>145</v>
      </c>
      <c r="C363" s="313"/>
      <c r="D363" s="218" t="s">
        <v>31</v>
      </c>
      <c r="E363" s="224" t="s">
        <v>64</v>
      </c>
      <c r="F363" s="276">
        <v>1</v>
      </c>
      <c r="G363" s="277">
        <v>46</v>
      </c>
      <c r="H363" s="276">
        <f t="shared" si="57"/>
        <v>46</v>
      </c>
      <c r="I363" s="277">
        <f t="shared" si="58"/>
        <v>46</v>
      </c>
    </row>
    <row r="364" spans="1:9" s="48" customFormat="1" ht="14.25" x14ac:dyDescent="0.2">
      <c r="A364" s="327" t="s">
        <v>2464</v>
      </c>
      <c r="B364" s="313" t="s">
        <v>145</v>
      </c>
      <c r="C364" s="313"/>
      <c r="D364" s="218" t="s">
        <v>32</v>
      </c>
      <c r="E364" s="224" t="s">
        <v>64</v>
      </c>
      <c r="F364" s="276">
        <v>1</v>
      </c>
      <c r="G364" s="277">
        <v>187</v>
      </c>
      <c r="H364" s="276">
        <f t="shared" si="57"/>
        <v>187</v>
      </c>
      <c r="I364" s="277">
        <f t="shared" si="58"/>
        <v>187</v>
      </c>
    </row>
    <row r="365" spans="1:9" s="48" customFormat="1" ht="14.25" x14ac:dyDescent="0.2">
      <c r="A365" s="327" t="s">
        <v>2465</v>
      </c>
      <c r="B365" s="313" t="s">
        <v>145</v>
      </c>
      <c r="C365" s="313"/>
      <c r="D365" s="218" t="s">
        <v>12</v>
      </c>
      <c r="E365" s="224" t="s">
        <v>64</v>
      </c>
      <c r="F365" s="276">
        <v>29</v>
      </c>
      <c r="G365" s="277">
        <v>187</v>
      </c>
      <c r="H365" s="276">
        <f t="shared" si="57"/>
        <v>187</v>
      </c>
      <c r="I365" s="277">
        <f t="shared" si="58"/>
        <v>5423</v>
      </c>
    </row>
    <row r="366" spans="1:9" s="48" customFormat="1" ht="14.25" x14ac:dyDescent="0.2">
      <c r="A366" s="327" t="s">
        <v>2466</v>
      </c>
      <c r="B366" s="313" t="s">
        <v>145</v>
      </c>
      <c r="C366" s="313"/>
      <c r="D366" s="218" t="s">
        <v>13</v>
      </c>
      <c r="E366" s="224" t="s">
        <v>64</v>
      </c>
      <c r="F366" s="276">
        <v>232</v>
      </c>
      <c r="G366" s="277">
        <v>2.56</v>
      </c>
      <c r="H366" s="276">
        <f t="shared" si="57"/>
        <v>2.56</v>
      </c>
      <c r="I366" s="277">
        <f t="shared" si="58"/>
        <v>593.91999999999996</v>
      </c>
    </row>
    <row r="367" spans="1:9" s="48" customFormat="1" ht="13.5" customHeight="1" x14ac:dyDescent="0.2">
      <c r="A367" s="327" t="s">
        <v>2467</v>
      </c>
      <c r="B367" s="313" t="s">
        <v>145</v>
      </c>
      <c r="C367" s="313"/>
      <c r="D367" s="218" t="s">
        <v>380</v>
      </c>
      <c r="E367" s="224" t="s">
        <v>65</v>
      </c>
      <c r="F367" s="276">
        <v>1</v>
      </c>
      <c r="G367" s="277">
        <v>187.2</v>
      </c>
      <c r="H367" s="276">
        <f t="shared" si="57"/>
        <v>187.2</v>
      </c>
      <c r="I367" s="277">
        <f t="shared" si="58"/>
        <v>187.2</v>
      </c>
    </row>
    <row r="368" spans="1:9" s="48" customFormat="1" ht="14.25" x14ac:dyDescent="0.2">
      <c r="A368" s="327" t="s">
        <v>2468</v>
      </c>
      <c r="B368" s="313" t="s">
        <v>145</v>
      </c>
      <c r="C368" s="313"/>
      <c r="D368" s="218" t="s">
        <v>2259</v>
      </c>
      <c r="E368" s="224" t="s">
        <v>65</v>
      </c>
      <c r="F368" s="276">
        <v>2</v>
      </c>
      <c r="G368" s="277">
        <v>335</v>
      </c>
      <c r="H368" s="276">
        <f t="shared" si="57"/>
        <v>335</v>
      </c>
      <c r="I368" s="277">
        <f t="shared" si="58"/>
        <v>670</v>
      </c>
    </row>
    <row r="369" spans="1:22" s="48" customFormat="1" ht="14.25" x14ac:dyDescent="0.2">
      <c r="A369" s="327" t="s">
        <v>2469</v>
      </c>
      <c r="B369" s="313" t="s">
        <v>145</v>
      </c>
      <c r="C369" s="313"/>
      <c r="D369" s="218" t="s">
        <v>382</v>
      </c>
      <c r="E369" s="224" t="s">
        <v>65</v>
      </c>
      <c r="F369" s="276">
        <v>2</v>
      </c>
      <c r="G369" s="277">
        <v>235</v>
      </c>
      <c r="H369" s="276">
        <f t="shared" si="57"/>
        <v>235</v>
      </c>
      <c r="I369" s="277">
        <f t="shared" si="58"/>
        <v>470</v>
      </c>
    </row>
    <row r="370" spans="1:22" s="48" customFormat="1" ht="14.25" x14ac:dyDescent="0.2">
      <c r="A370" s="327" t="s">
        <v>2470</v>
      </c>
      <c r="B370" s="313" t="s">
        <v>145</v>
      </c>
      <c r="C370" s="313"/>
      <c r="D370" s="218" t="s">
        <v>383</v>
      </c>
      <c r="E370" s="224" t="s">
        <v>65</v>
      </c>
      <c r="F370" s="276">
        <v>1</v>
      </c>
      <c r="G370" s="277">
        <v>151</v>
      </c>
      <c r="H370" s="276">
        <f t="shared" si="57"/>
        <v>151</v>
      </c>
      <c r="I370" s="277">
        <f t="shared" si="58"/>
        <v>151</v>
      </c>
    </row>
    <row r="371" spans="1:22" s="48" customFormat="1" ht="14.25" x14ac:dyDescent="0.2">
      <c r="A371" s="327" t="s">
        <v>2471</v>
      </c>
      <c r="B371" s="313" t="s">
        <v>145</v>
      </c>
      <c r="C371" s="313"/>
      <c r="D371" s="218" t="s">
        <v>386</v>
      </c>
      <c r="E371" s="224" t="s">
        <v>65</v>
      </c>
      <c r="F371" s="276">
        <v>1</v>
      </c>
      <c r="G371" s="277">
        <v>156.72999999999999</v>
      </c>
      <c r="H371" s="276">
        <f t="shared" si="57"/>
        <v>156.72999999999999</v>
      </c>
      <c r="I371" s="277">
        <f t="shared" si="58"/>
        <v>156.72999999999999</v>
      </c>
    </row>
    <row r="372" spans="1:22" s="48" customFormat="1" ht="14.25" x14ac:dyDescent="0.2">
      <c r="A372" s="327" t="s">
        <v>2472</v>
      </c>
      <c r="B372" s="313" t="s">
        <v>145</v>
      </c>
      <c r="C372" s="313"/>
      <c r="D372" s="218" t="s">
        <v>387</v>
      </c>
      <c r="E372" s="224" t="s">
        <v>65</v>
      </c>
      <c r="F372" s="276">
        <v>2</v>
      </c>
      <c r="G372" s="277">
        <v>299.7</v>
      </c>
      <c r="H372" s="276">
        <f t="shared" si="57"/>
        <v>299.7</v>
      </c>
      <c r="I372" s="277">
        <f t="shared" si="58"/>
        <v>599.4</v>
      </c>
    </row>
    <row r="373" spans="1:22" s="48" customFormat="1" ht="14.25" x14ac:dyDescent="0.2">
      <c r="A373" s="327" t="s">
        <v>2473</v>
      </c>
      <c r="B373" s="313" t="s">
        <v>101</v>
      </c>
      <c r="C373" s="313">
        <v>25036959</v>
      </c>
      <c r="D373" s="218" t="s">
        <v>2260</v>
      </c>
      <c r="E373" s="224" t="s">
        <v>65</v>
      </c>
      <c r="F373" s="276">
        <v>2</v>
      </c>
      <c r="G373" s="277">
        <v>180.12</v>
      </c>
      <c r="H373" s="276">
        <f t="shared" si="57"/>
        <v>180.12</v>
      </c>
      <c r="I373" s="277">
        <f t="shared" si="58"/>
        <v>360.24</v>
      </c>
    </row>
    <row r="374" spans="1:22" s="162" customFormat="1" ht="14.25" x14ac:dyDescent="0.2">
      <c r="A374" s="327" t="s">
        <v>2688</v>
      </c>
      <c r="B374" s="313" t="s">
        <v>145</v>
      </c>
      <c r="C374" s="313"/>
      <c r="D374" s="217" t="s">
        <v>825</v>
      </c>
      <c r="E374" s="313" t="s">
        <v>64</v>
      </c>
      <c r="F374" s="215">
        <v>1</v>
      </c>
      <c r="G374" s="215">
        <v>980</v>
      </c>
      <c r="H374" s="276">
        <f t="shared" si="57"/>
        <v>980</v>
      </c>
      <c r="I374" s="277">
        <f t="shared" ref="I374" si="59">F374*H374</f>
        <v>980</v>
      </c>
      <c r="J374" s="366"/>
      <c r="K374" s="186"/>
      <c r="L374" s="186"/>
      <c r="M374" s="186"/>
      <c r="N374" s="47"/>
      <c r="O374" s="47"/>
      <c r="P374" s="47"/>
      <c r="Q374" s="48"/>
      <c r="R374" s="47"/>
      <c r="S374" s="48"/>
      <c r="T374" s="48"/>
      <c r="U374" s="48"/>
      <c r="V374" s="48"/>
    </row>
    <row r="375" spans="1:22" s="48" customFormat="1" ht="14.25" x14ac:dyDescent="0.2">
      <c r="A375" s="327"/>
      <c r="B375" s="261"/>
      <c r="C375" s="259"/>
      <c r="D375" s="218"/>
      <c r="E375" s="224"/>
      <c r="F375" s="276"/>
      <c r="G375" s="277"/>
      <c r="H375" s="276"/>
      <c r="I375" s="277"/>
    </row>
    <row r="376" spans="1:22" s="48" customFormat="1" x14ac:dyDescent="0.2">
      <c r="A376" s="416" t="s">
        <v>2474</v>
      </c>
      <c r="B376" s="552" t="s">
        <v>834</v>
      </c>
      <c r="C376" s="552"/>
      <c r="D376" s="255" t="str">
        <f>ORÇAMENTO!D400</f>
        <v>APLICAÇÃO DO MATERIAL HIDRÁULICO DA ELEVATÓRIA DE RECIRCULAÇÃO</v>
      </c>
      <c r="E376" s="383"/>
      <c r="F376" s="272"/>
      <c r="G376" s="273"/>
      <c r="H376" s="273"/>
      <c r="I376" s="417">
        <f>SUM(I377:I378)</f>
        <v>4432.8</v>
      </c>
    </row>
    <row r="377" spans="1:22" s="48" customFormat="1" ht="14.25" x14ac:dyDescent="0.2">
      <c r="A377" s="327" t="s">
        <v>2475</v>
      </c>
      <c r="B377" s="224" t="s">
        <v>94</v>
      </c>
      <c r="C377" s="223" t="s">
        <v>2695</v>
      </c>
      <c r="D377" s="218" t="s">
        <v>2694</v>
      </c>
      <c r="E377" s="224" t="s">
        <v>60</v>
      </c>
      <c r="F377" s="276">
        <v>120</v>
      </c>
      <c r="G377" s="277">
        <v>14.76</v>
      </c>
      <c r="H377" s="276">
        <f>G377</f>
        <v>14.76</v>
      </c>
      <c r="I377" s="277">
        <f>F377*H377</f>
        <v>1771.2</v>
      </c>
    </row>
    <row r="378" spans="1:22" s="48" customFormat="1" ht="14.25" x14ac:dyDescent="0.2">
      <c r="A378" s="327" t="s">
        <v>2476</v>
      </c>
      <c r="B378" s="224" t="s">
        <v>94</v>
      </c>
      <c r="C378" s="223" t="s">
        <v>388</v>
      </c>
      <c r="D378" s="218" t="s">
        <v>35</v>
      </c>
      <c r="E378" s="224" t="s">
        <v>60</v>
      </c>
      <c r="F378" s="276">
        <v>240</v>
      </c>
      <c r="G378" s="277">
        <v>11.09</v>
      </c>
      <c r="H378" s="276">
        <f>G378</f>
        <v>11.09</v>
      </c>
      <c r="I378" s="277">
        <f>F378*H378</f>
        <v>2661.6</v>
      </c>
    </row>
    <row r="379" spans="1:22" s="48" customFormat="1" ht="14.25" x14ac:dyDescent="0.2">
      <c r="A379" s="327"/>
      <c r="B379" s="314"/>
      <c r="C379" s="314"/>
      <c r="D379" s="256"/>
      <c r="E379" s="314"/>
      <c r="F379" s="274"/>
      <c r="G379" s="274"/>
      <c r="H379" s="274"/>
      <c r="I379" s="275"/>
    </row>
    <row r="380" spans="1:22" s="48" customFormat="1" ht="30" x14ac:dyDescent="0.2">
      <c r="A380" s="416" t="s">
        <v>2477</v>
      </c>
      <c r="B380" s="552" t="s">
        <v>835</v>
      </c>
      <c r="C380" s="552"/>
      <c r="D380" s="255" t="s">
        <v>347</v>
      </c>
      <c r="E380" s="383"/>
      <c r="F380" s="272"/>
      <c r="G380" s="273"/>
      <c r="H380" s="273"/>
      <c r="I380" s="417">
        <f>SUM(I381:I390)</f>
        <v>973.13000000000011</v>
      </c>
    </row>
    <row r="381" spans="1:22" s="48" customFormat="1" ht="14.25" x14ac:dyDescent="0.2">
      <c r="A381" s="327" t="s">
        <v>2478</v>
      </c>
      <c r="B381" s="314" t="s">
        <v>94</v>
      </c>
      <c r="C381" s="314">
        <v>1340</v>
      </c>
      <c r="D381" s="219" t="s">
        <v>552</v>
      </c>
      <c r="E381" s="314" t="s">
        <v>61</v>
      </c>
      <c r="F381" s="274">
        <f>1.2*1.83</f>
        <v>2.1960000000000002</v>
      </c>
      <c r="G381" s="274">
        <v>19.809999999999999</v>
      </c>
      <c r="H381" s="274">
        <f t="shared" ref="H381:H390" si="60">G381</f>
        <v>19.809999999999999</v>
      </c>
      <c r="I381" s="275">
        <f t="shared" ref="I381:I390" si="61">ROUND(F381*H381,2)</f>
        <v>43.5</v>
      </c>
    </row>
    <row r="382" spans="1:22" s="48" customFormat="1" ht="42.75" x14ac:dyDescent="0.2">
      <c r="A382" s="327" t="s">
        <v>2479</v>
      </c>
      <c r="B382" s="313" t="s">
        <v>94</v>
      </c>
      <c r="C382" s="313" t="s">
        <v>1028</v>
      </c>
      <c r="D382" s="217" t="s">
        <v>1029</v>
      </c>
      <c r="E382" s="313" t="s">
        <v>61</v>
      </c>
      <c r="F382" s="275">
        <f>1.2*0.765</f>
        <v>0.91799999999999993</v>
      </c>
      <c r="G382" s="275">
        <v>60.33</v>
      </c>
      <c r="H382" s="275">
        <f t="shared" si="60"/>
        <v>60.33</v>
      </c>
      <c r="I382" s="275">
        <f t="shared" si="61"/>
        <v>55.38</v>
      </c>
    </row>
    <row r="383" spans="1:22" s="48" customFormat="1" ht="57" x14ac:dyDescent="0.2">
      <c r="A383" s="327" t="s">
        <v>2480</v>
      </c>
      <c r="B383" s="313" t="s">
        <v>94</v>
      </c>
      <c r="C383" s="313">
        <v>73346</v>
      </c>
      <c r="D383" s="217" t="s">
        <v>849</v>
      </c>
      <c r="E383" s="313" t="s">
        <v>62</v>
      </c>
      <c r="F383" s="275">
        <v>0.13</v>
      </c>
      <c r="G383" s="275">
        <v>1726.37</v>
      </c>
      <c r="H383" s="275">
        <f t="shared" si="60"/>
        <v>1726.37</v>
      </c>
      <c r="I383" s="275">
        <f t="shared" si="61"/>
        <v>224.43</v>
      </c>
    </row>
    <row r="384" spans="1:22" s="48" customFormat="1" ht="14.25" x14ac:dyDescent="0.2">
      <c r="A384" s="327" t="s">
        <v>2481</v>
      </c>
      <c r="B384" s="314" t="s">
        <v>94</v>
      </c>
      <c r="C384" s="314">
        <v>13983</v>
      </c>
      <c r="D384" s="219" t="s">
        <v>553</v>
      </c>
      <c r="E384" s="314" t="s">
        <v>64</v>
      </c>
      <c r="F384" s="274">
        <v>1</v>
      </c>
      <c r="G384" s="274">
        <v>33.29</v>
      </c>
      <c r="H384" s="274">
        <f t="shared" si="60"/>
        <v>33.29</v>
      </c>
      <c r="I384" s="275">
        <f t="shared" si="61"/>
        <v>33.29</v>
      </c>
    </row>
    <row r="385" spans="1:9" s="48" customFormat="1" ht="14.25" x14ac:dyDescent="0.2">
      <c r="A385" s="327" t="s">
        <v>2482</v>
      </c>
      <c r="B385" s="314" t="s">
        <v>94</v>
      </c>
      <c r="C385" s="314">
        <v>1744</v>
      </c>
      <c r="D385" s="219" t="s">
        <v>554</v>
      </c>
      <c r="E385" s="314" t="s">
        <v>64</v>
      </c>
      <c r="F385" s="274">
        <v>1</v>
      </c>
      <c r="G385" s="274">
        <v>74.430000000000007</v>
      </c>
      <c r="H385" s="274">
        <f t="shared" si="60"/>
        <v>74.430000000000007</v>
      </c>
      <c r="I385" s="275">
        <f t="shared" si="61"/>
        <v>74.430000000000007</v>
      </c>
    </row>
    <row r="386" spans="1:9" s="48" customFormat="1" ht="14.25" x14ac:dyDescent="0.2">
      <c r="A386" s="327" t="s">
        <v>2483</v>
      </c>
      <c r="B386" s="314" t="s">
        <v>94</v>
      </c>
      <c r="C386" s="314">
        <v>6157</v>
      </c>
      <c r="D386" s="219" t="s">
        <v>555</v>
      </c>
      <c r="E386" s="314" t="s">
        <v>64</v>
      </c>
      <c r="F386" s="274">
        <v>1</v>
      </c>
      <c r="G386" s="274">
        <v>26.94</v>
      </c>
      <c r="H386" s="274">
        <f t="shared" si="60"/>
        <v>26.94</v>
      </c>
      <c r="I386" s="275">
        <f t="shared" si="61"/>
        <v>26.94</v>
      </c>
    </row>
    <row r="387" spans="1:9" s="48" customFormat="1" ht="14.25" x14ac:dyDescent="0.2">
      <c r="A387" s="327" t="s">
        <v>2484</v>
      </c>
      <c r="B387" s="314" t="s">
        <v>94</v>
      </c>
      <c r="C387" s="314">
        <v>4750</v>
      </c>
      <c r="D387" s="219" t="s">
        <v>556</v>
      </c>
      <c r="E387" s="314" t="s">
        <v>60</v>
      </c>
      <c r="F387" s="274">
        <v>6</v>
      </c>
      <c r="G387" s="274">
        <v>12.92</v>
      </c>
      <c r="H387" s="274">
        <f t="shared" si="60"/>
        <v>12.92</v>
      </c>
      <c r="I387" s="275">
        <f t="shared" si="61"/>
        <v>77.52</v>
      </c>
    </row>
    <row r="388" spans="1:9" s="48" customFormat="1" ht="14.25" x14ac:dyDescent="0.2">
      <c r="A388" s="327" t="s">
        <v>2485</v>
      </c>
      <c r="B388" s="314" t="s">
        <v>94</v>
      </c>
      <c r="C388" s="314">
        <v>6111</v>
      </c>
      <c r="D388" s="219" t="s">
        <v>557</v>
      </c>
      <c r="E388" s="314" t="s">
        <v>60</v>
      </c>
      <c r="F388" s="274">
        <v>12</v>
      </c>
      <c r="G388" s="274">
        <v>10.62</v>
      </c>
      <c r="H388" s="274">
        <f t="shared" si="60"/>
        <v>10.62</v>
      </c>
      <c r="I388" s="275">
        <f t="shared" si="61"/>
        <v>127.44</v>
      </c>
    </row>
    <row r="389" spans="1:9" s="48" customFormat="1" ht="14.25" x14ac:dyDescent="0.2">
      <c r="A389" s="327" t="s">
        <v>2486</v>
      </c>
      <c r="B389" s="314" t="s">
        <v>94</v>
      </c>
      <c r="C389" s="314">
        <v>2696</v>
      </c>
      <c r="D389" s="219" t="s">
        <v>558</v>
      </c>
      <c r="E389" s="314" t="s">
        <v>60</v>
      </c>
      <c r="F389" s="274">
        <v>12</v>
      </c>
      <c r="G389" s="274">
        <v>14.76</v>
      </c>
      <c r="H389" s="274">
        <f t="shared" si="60"/>
        <v>14.76</v>
      </c>
      <c r="I389" s="275">
        <f t="shared" si="61"/>
        <v>177.12</v>
      </c>
    </row>
    <row r="390" spans="1:9" s="48" customFormat="1" ht="14.25" x14ac:dyDescent="0.2">
      <c r="A390" s="327" t="s">
        <v>2487</v>
      </c>
      <c r="B390" s="314" t="s">
        <v>94</v>
      </c>
      <c r="C390" s="314">
        <v>246</v>
      </c>
      <c r="D390" s="219" t="s">
        <v>559</v>
      </c>
      <c r="E390" s="314" t="s">
        <v>60</v>
      </c>
      <c r="F390" s="274">
        <v>12</v>
      </c>
      <c r="G390" s="274">
        <v>11.09</v>
      </c>
      <c r="H390" s="274">
        <f t="shared" si="60"/>
        <v>11.09</v>
      </c>
      <c r="I390" s="275">
        <f t="shared" si="61"/>
        <v>133.08000000000001</v>
      </c>
    </row>
    <row r="391" spans="1:9" s="48" customFormat="1" ht="14.25" x14ac:dyDescent="0.2">
      <c r="A391" s="327"/>
      <c r="B391" s="314"/>
      <c r="C391" s="314"/>
      <c r="D391" s="256"/>
      <c r="E391" s="314"/>
      <c r="F391" s="274"/>
      <c r="G391" s="274"/>
      <c r="H391" s="274"/>
      <c r="I391" s="275"/>
    </row>
    <row r="392" spans="1:9" s="48" customFormat="1" ht="30" x14ac:dyDescent="0.2">
      <c r="A392" s="416" t="s">
        <v>2488</v>
      </c>
      <c r="B392" s="552" t="s">
        <v>836</v>
      </c>
      <c r="C392" s="552"/>
      <c r="D392" s="255" t="s">
        <v>433</v>
      </c>
      <c r="E392" s="383"/>
      <c r="F392" s="272"/>
      <c r="G392" s="273"/>
      <c r="H392" s="273"/>
      <c r="I392" s="417">
        <f>SUM(I393:I401)</f>
        <v>1094.8</v>
      </c>
    </row>
    <row r="393" spans="1:9" s="48" customFormat="1" ht="14.25" x14ac:dyDescent="0.2">
      <c r="A393" s="327" t="s">
        <v>2489</v>
      </c>
      <c r="B393" s="313" t="s">
        <v>94</v>
      </c>
      <c r="C393" s="313">
        <v>545</v>
      </c>
      <c r="D393" s="217" t="s">
        <v>560</v>
      </c>
      <c r="E393" s="313" t="s">
        <v>61</v>
      </c>
      <c r="F393" s="275">
        <v>1.31</v>
      </c>
      <c r="G393" s="275">
        <v>554.88</v>
      </c>
      <c r="H393" s="275">
        <f t="shared" ref="H393:H401" si="62">G393</f>
        <v>554.88</v>
      </c>
      <c r="I393" s="275">
        <f t="shared" ref="I393:I401" si="63">ROUND(F393*H393,2)</f>
        <v>726.89</v>
      </c>
    </row>
    <row r="394" spans="1:9" s="48" customFormat="1" ht="42.75" x14ac:dyDescent="0.2">
      <c r="A394" s="327" t="s">
        <v>2490</v>
      </c>
      <c r="B394" s="314" t="s">
        <v>94</v>
      </c>
      <c r="C394" s="313" t="s">
        <v>1028</v>
      </c>
      <c r="D394" s="217" t="s">
        <v>1029</v>
      </c>
      <c r="E394" s="314" t="s">
        <v>61</v>
      </c>
      <c r="F394" s="274">
        <v>1.02</v>
      </c>
      <c r="G394" s="275">
        <v>60.33</v>
      </c>
      <c r="H394" s="274">
        <f t="shared" si="62"/>
        <v>60.33</v>
      </c>
      <c r="I394" s="274">
        <f t="shared" si="63"/>
        <v>61.54</v>
      </c>
    </row>
    <row r="395" spans="1:9" s="48" customFormat="1" ht="14.25" x14ac:dyDescent="0.2">
      <c r="A395" s="327" t="s">
        <v>2491</v>
      </c>
      <c r="B395" s="314" t="s">
        <v>94</v>
      </c>
      <c r="C395" s="314">
        <v>1744</v>
      </c>
      <c r="D395" s="219" t="s">
        <v>554</v>
      </c>
      <c r="E395" s="314" t="s">
        <v>64</v>
      </c>
      <c r="F395" s="274">
        <v>1</v>
      </c>
      <c r="G395" s="274">
        <v>74.430000000000007</v>
      </c>
      <c r="H395" s="274">
        <f t="shared" si="62"/>
        <v>74.430000000000007</v>
      </c>
      <c r="I395" s="274">
        <f t="shared" si="63"/>
        <v>74.430000000000007</v>
      </c>
    </row>
    <row r="396" spans="1:9" s="48" customFormat="1" ht="14.25" x14ac:dyDescent="0.2">
      <c r="A396" s="327" t="s">
        <v>2492</v>
      </c>
      <c r="B396" s="314" t="s">
        <v>94</v>
      </c>
      <c r="C396" s="314">
        <v>6157</v>
      </c>
      <c r="D396" s="219" t="s">
        <v>555</v>
      </c>
      <c r="E396" s="314" t="s">
        <v>64</v>
      </c>
      <c r="F396" s="274">
        <v>1</v>
      </c>
      <c r="G396" s="274">
        <v>26.94</v>
      </c>
      <c r="H396" s="274">
        <f t="shared" si="62"/>
        <v>26.94</v>
      </c>
      <c r="I396" s="274">
        <f t="shared" si="63"/>
        <v>26.94</v>
      </c>
    </row>
    <row r="397" spans="1:9" s="48" customFormat="1" ht="14.25" x14ac:dyDescent="0.2">
      <c r="A397" s="327" t="s">
        <v>2493</v>
      </c>
      <c r="B397" s="314" t="s">
        <v>94</v>
      </c>
      <c r="C397" s="314">
        <v>13983</v>
      </c>
      <c r="D397" s="219" t="s">
        <v>553</v>
      </c>
      <c r="E397" s="314" t="s">
        <v>64</v>
      </c>
      <c r="F397" s="274">
        <v>1</v>
      </c>
      <c r="G397" s="274">
        <v>33.29</v>
      </c>
      <c r="H397" s="274">
        <f t="shared" si="62"/>
        <v>33.29</v>
      </c>
      <c r="I397" s="274">
        <f t="shared" si="63"/>
        <v>33.29</v>
      </c>
    </row>
    <row r="398" spans="1:9" s="48" customFormat="1" ht="14.25" x14ac:dyDescent="0.2">
      <c r="A398" s="327" t="s">
        <v>2494</v>
      </c>
      <c r="B398" s="314" t="s">
        <v>94</v>
      </c>
      <c r="C398" s="314">
        <v>4750</v>
      </c>
      <c r="D398" s="219" t="s">
        <v>556</v>
      </c>
      <c r="E398" s="314" t="s">
        <v>60</v>
      </c>
      <c r="F398" s="274">
        <v>4</v>
      </c>
      <c r="G398" s="274">
        <v>12.92</v>
      </c>
      <c r="H398" s="274">
        <f t="shared" si="62"/>
        <v>12.92</v>
      </c>
      <c r="I398" s="274">
        <f t="shared" si="63"/>
        <v>51.68</v>
      </c>
    </row>
    <row r="399" spans="1:9" s="48" customFormat="1" ht="14.25" x14ac:dyDescent="0.2">
      <c r="A399" s="327" t="s">
        <v>2495</v>
      </c>
      <c r="B399" s="314" t="s">
        <v>94</v>
      </c>
      <c r="C399" s="314">
        <v>6111</v>
      </c>
      <c r="D399" s="219" t="s">
        <v>557</v>
      </c>
      <c r="E399" s="314" t="s">
        <v>60</v>
      </c>
      <c r="F399" s="274">
        <v>4</v>
      </c>
      <c r="G399" s="274">
        <v>10.62</v>
      </c>
      <c r="H399" s="274">
        <f t="shared" si="62"/>
        <v>10.62</v>
      </c>
      <c r="I399" s="274">
        <f t="shared" si="63"/>
        <v>42.48</v>
      </c>
    </row>
    <row r="400" spans="1:9" s="48" customFormat="1" ht="14.25" x14ac:dyDescent="0.2">
      <c r="A400" s="327" t="s">
        <v>2496</v>
      </c>
      <c r="B400" s="314" t="s">
        <v>94</v>
      </c>
      <c r="C400" s="314">
        <v>2696</v>
      </c>
      <c r="D400" s="219" t="s">
        <v>558</v>
      </c>
      <c r="E400" s="314" t="s">
        <v>60</v>
      </c>
      <c r="F400" s="274">
        <v>3</v>
      </c>
      <c r="G400" s="274">
        <v>14.76</v>
      </c>
      <c r="H400" s="274">
        <f t="shared" si="62"/>
        <v>14.76</v>
      </c>
      <c r="I400" s="274">
        <f t="shared" si="63"/>
        <v>44.28</v>
      </c>
    </row>
    <row r="401" spans="1:9" s="48" customFormat="1" ht="14.25" x14ac:dyDescent="0.2">
      <c r="A401" s="327" t="s">
        <v>2497</v>
      </c>
      <c r="B401" s="314" t="s">
        <v>94</v>
      </c>
      <c r="C401" s="314">
        <v>246</v>
      </c>
      <c r="D401" s="219" t="s">
        <v>559</v>
      </c>
      <c r="E401" s="314" t="s">
        <v>60</v>
      </c>
      <c r="F401" s="274">
        <v>3</v>
      </c>
      <c r="G401" s="274">
        <v>11.09</v>
      </c>
      <c r="H401" s="274">
        <f t="shared" si="62"/>
        <v>11.09</v>
      </c>
      <c r="I401" s="274">
        <f t="shared" si="63"/>
        <v>33.270000000000003</v>
      </c>
    </row>
    <row r="402" spans="1:9" s="48" customFormat="1" ht="14.25" x14ac:dyDescent="0.2">
      <c r="A402" s="327"/>
      <c r="B402" s="263"/>
      <c r="C402" s="263"/>
      <c r="D402" s="264"/>
      <c r="E402" s="263"/>
      <c r="F402" s="278"/>
      <c r="G402" s="279"/>
      <c r="H402" s="279"/>
      <c r="I402" s="283"/>
    </row>
    <row r="403" spans="1:9" s="48" customFormat="1" x14ac:dyDescent="0.2">
      <c r="A403" s="416" t="s">
        <v>2498</v>
      </c>
      <c r="B403" s="552" t="s">
        <v>855</v>
      </c>
      <c r="C403" s="552"/>
      <c r="D403" s="255" t="str">
        <f>ORÇAMENTO!D433</f>
        <v>FORNECIMENTO DO MATERIAL HIDRÁULICO DA UNIDADE DE APOIO</v>
      </c>
      <c r="E403" s="383"/>
      <c r="F403" s="272"/>
      <c r="G403" s="273"/>
      <c r="H403" s="273"/>
      <c r="I403" s="417">
        <f>SUM(I404:I478)</f>
        <v>3574.9539999999997</v>
      </c>
    </row>
    <row r="404" spans="1:9" s="48" customFormat="1" ht="14.25" x14ac:dyDescent="0.2">
      <c r="A404" s="327" t="s">
        <v>2499</v>
      </c>
      <c r="B404" s="224" t="s">
        <v>94</v>
      </c>
      <c r="C404" s="223" t="s">
        <v>409</v>
      </c>
      <c r="D404" s="218" t="s">
        <v>318</v>
      </c>
      <c r="E404" s="224" t="s">
        <v>64</v>
      </c>
      <c r="F404" s="276">
        <v>19</v>
      </c>
      <c r="G404" s="277">
        <v>1.36</v>
      </c>
      <c r="H404" s="276">
        <f>G404</f>
        <v>1.36</v>
      </c>
      <c r="I404" s="277">
        <f t="shared" ref="I404:I434" si="64">F404*H404</f>
        <v>25.840000000000003</v>
      </c>
    </row>
    <row r="405" spans="1:9" s="48" customFormat="1" ht="14.25" x14ac:dyDescent="0.2">
      <c r="A405" s="327" t="s">
        <v>2500</v>
      </c>
      <c r="B405" s="224" t="s">
        <v>94</v>
      </c>
      <c r="C405" s="223" t="s">
        <v>311</v>
      </c>
      <c r="D405" s="218" t="s">
        <v>310</v>
      </c>
      <c r="E405" s="224" t="s">
        <v>64</v>
      </c>
      <c r="F405" s="276">
        <v>1</v>
      </c>
      <c r="G405" s="277">
        <v>7.1</v>
      </c>
      <c r="H405" s="276">
        <f t="shared" ref="H405:H467" si="65">G405</f>
        <v>7.1</v>
      </c>
      <c r="I405" s="277">
        <f t="shared" si="64"/>
        <v>7.1</v>
      </c>
    </row>
    <row r="406" spans="1:9" s="48" customFormat="1" ht="14.25" x14ac:dyDescent="0.2">
      <c r="A406" s="327" t="s">
        <v>2501</v>
      </c>
      <c r="B406" s="225" t="s">
        <v>94</v>
      </c>
      <c r="C406" s="223" t="s">
        <v>391</v>
      </c>
      <c r="D406" s="218" t="s">
        <v>38</v>
      </c>
      <c r="E406" s="224" t="s">
        <v>64</v>
      </c>
      <c r="F406" s="276">
        <v>2</v>
      </c>
      <c r="G406" s="277">
        <v>114.83</v>
      </c>
      <c r="H406" s="276">
        <f t="shared" si="65"/>
        <v>114.83</v>
      </c>
      <c r="I406" s="277">
        <f t="shared" si="64"/>
        <v>229.66</v>
      </c>
    </row>
    <row r="407" spans="1:9" s="48" customFormat="1" ht="14.25" x14ac:dyDescent="0.2">
      <c r="A407" s="327" t="s">
        <v>2502</v>
      </c>
      <c r="B407" s="225" t="s">
        <v>94</v>
      </c>
      <c r="C407" s="223" t="s">
        <v>392</v>
      </c>
      <c r="D407" s="218" t="s">
        <v>39</v>
      </c>
      <c r="E407" s="224" t="s">
        <v>64</v>
      </c>
      <c r="F407" s="276">
        <v>4</v>
      </c>
      <c r="G407" s="277">
        <v>89.37</v>
      </c>
      <c r="H407" s="276">
        <f t="shared" si="65"/>
        <v>89.37</v>
      </c>
      <c r="I407" s="277">
        <f t="shared" si="64"/>
        <v>357.48</v>
      </c>
    </row>
    <row r="408" spans="1:9" s="48" customFormat="1" ht="28.5" x14ac:dyDescent="0.2">
      <c r="A408" s="327" t="s">
        <v>2503</v>
      </c>
      <c r="B408" s="225" t="s">
        <v>94</v>
      </c>
      <c r="C408" s="223" t="s">
        <v>393</v>
      </c>
      <c r="D408" s="218" t="s">
        <v>40</v>
      </c>
      <c r="E408" s="224" t="s">
        <v>64</v>
      </c>
      <c r="F408" s="276">
        <v>8</v>
      </c>
      <c r="G408" s="277">
        <v>2.23</v>
      </c>
      <c r="H408" s="276">
        <f t="shared" si="65"/>
        <v>2.23</v>
      </c>
      <c r="I408" s="277">
        <f t="shared" si="64"/>
        <v>17.84</v>
      </c>
    </row>
    <row r="409" spans="1:9" s="48" customFormat="1" ht="14.25" x14ac:dyDescent="0.2">
      <c r="A409" s="327" t="s">
        <v>2504</v>
      </c>
      <c r="B409" s="224" t="s">
        <v>94</v>
      </c>
      <c r="C409" s="223" t="s">
        <v>394</v>
      </c>
      <c r="D409" s="218" t="s">
        <v>41</v>
      </c>
      <c r="E409" s="224" t="s">
        <v>64</v>
      </c>
      <c r="F409" s="276">
        <v>1</v>
      </c>
      <c r="G409" s="277">
        <v>314.73</v>
      </c>
      <c r="H409" s="276">
        <f t="shared" si="65"/>
        <v>314.73</v>
      </c>
      <c r="I409" s="277">
        <f t="shared" si="64"/>
        <v>314.73</v>
      </c>
    </row>
    <row r="410" spans="1:9" s="48" customFormat="1" ht="28.5" x14ac:dyDescent="0.2">
      <c r="A410" s="327" t="s">
        <v>2505</v>
      </c>
      <c r="B410" s="224" t="s">
        <v>94</v>
      </c>
      <c r="C410" s="223" t="s">
        <v>395</v>
      </c>
      <c r="D410" s="218" t="s">
        <v>42</v>
      </c>
      <c r="E410" s="224" t="s">
        <v>64</v>
      </c>
      <c r="F410" s="276">
        <v>3</v>
      </c>
      <c r="G410" s="277">
        <v>14.03</v>
      </c>
      <c r="H410" s="276">
        <f t="shared" si="65"/>
        <v>14.03</v>
      </c>
      <c r="I410" s="277">
        <f t="shared" si="64"/>
        <v>42.089999999999996</v>
      </c>
    </row>
    <row r="411" spans="1:9" s="48" customFormat="1" ht="14.25" x14ac:dyDescent="0.2">
      <c r="A411" s="327" t="s">
        <v>2506</v>
      </c>
      <c r="B411" s="224" t="s">
        <v>94</v>
      </c>
      <c r="C411" s="224" t="s">
        <v>396</v>
      </c>
      <c r="D411" s="218" t="s">
        <v>43</v>
      </c>
      <c r="E411" s="224" t="s">
        <v>63</v>
      </c>
      <c r="F411" s="276">
        <v>60</v>
      </c>
      <c r="G411" s="277">
        <v>2.83</v>
      </c>
      <c r="H411" s="276">
        <f t="shared" si="65"/>
        <v>2.83</v>
      </c>
      <c r="I411" s="277">
        <f t="shared" si="64"/>
        <v>169.8</v>
      </c>
    </row>
    <row r="412" spans="1:9" s="48" customFormat="1" ht="14.25" x14ac:dyDescent="0.2">
      <c r="A412" s="327" t="s">
        <v>2507</v>
      </c>
      <c r="B412" s="224" t="s">
        <v>94</v>
      </c>
      <c r="C412" s="224" t="s">
        <v>397</v>
      </c>
      <c r="D412" s="218" t="s">
        <v>44</v>
      </c>
      <c r="E412" s="224" t="s">
        <v>47</v>
      </c>
      <c r="F412" s="276">
        <v>2</v>
      </c>
      <c r="G412" s="277">
        <v>36.450000000000003</v>
      </c>
      <c r="H412" s="276">
        <f t="shared" si="65"/>
        <v>36.450000000000003</v>
      </c>
      <c r="I412" s="277">
        <f t="shared" si="64"/>
        <v>72.900000000000006</v>
      </c>
    </row>
    <row r="413" spans="1:9" s="48" customFormat="1" ht="14.25" x14ac:dyDescent="0.2">
      <c r="A413" s="327" t="s">
        <v>2508</v>
      </c>
      <c r="B413" s="224" t="s">
        <v>94</v>
      </c>
      <c r="C413" s="223" t="s">
        <v>398</v>
      </c>
      <c r="D413" s="218" t="s">
        <v>45</v>
      </c>
      <c r="E413" s="224" t="s">
        <v>47</v>
      </c>
      <c r="F413" s="276">
        <v>1</v>
      </c>
      <c r="G413" s="277">
        <v>27.87</v>
      </c>
      <c r="H413" s="276">
        <f t="shared" si="65"/>
        <v>27.87</v>
      </c>
      <c r="I413" s="277">
        <f t="shared" si="64"/>
        <v>27.87</v>
      </c>
    </row>
    <row r="414" spans="1:9" s="48" customFormat="1" ht="14.25" x14ac:dyDescent="0.2">
      <c r="A414" s="327" t="s">
        <v>2509</v>
      </c>
      <c r="B414" s="224" t="s">
        <v>94</v>
      </c>
      <c r="C414" s="223" t="s">
        <v>401</v>
      </c>
      <c r="D414" s="218" t="s">
        <v>402</v>
      </c>
      <c r="E414" s="224" t="s">
        <v>64</v>
      </c>
      <c r="F414" s="276">
        <v>1</v>
      </c>
      <c r="G414" s="277">
        <v>29.78</v>
      </c>
      <c r="H414" s="276">
        <f t="shared" si="65"/>
        <v>29.78</v>
      </c>
      <c r="I414" s="277">
        <f t="shared" si="64"/>
        <v>29.78</v>
      </c>
    </row>
    <row r="415" spans="1:9" s="48" customFormat="1" ht="14.25" x14ac:dyDescent="0.2">
      <c r="A415" s="327" t="s">
        <v>2510</v>
      </c>
      <c r="B415" s="224" t="s">
        <v>94</v>
      </c>
      <c r="C415" s="223" t="s">
        <v>403</v>
      </c>
      <c r="D415" s="218" t="s">
        <v>404</v>
      </c>
      <c r="E415" s="224" t="s">
        <v>63</v>
      </c>
      <c r="F415" s="276">
        <v>18</v>
      </c>
      <c r="G415" s="277">
        <v>8.75</v>
      </c>
      <c r="H415" s="276">
        <f t="shared" si="65"/>
        <v>8.75</v>
      </c>
      <c r="I415" s="277">
        <f t="shared" si="64"/>
        <v>157.5</v>
      </c>
    </row>
    <row r="416" spans="1:9" s="48" customFormat="1" ht="14.25" x14ac:dyDescent="0.2">
      <c r="A416" s="327" t="s">
        <v>2511</v>
      </c>
      <c r="B416" s="224" t="s">
        <v>94</v>
      </c>
      <c r="C416" s="223" t="s">
        <v>305</v>
      </c>
      <c r="D416" s="218" t="s">
        <v>304</v>
      </c>
      <c r="E416" s="224" t="s">
        <v>63</v>
      </c>
      <c r="F416" s="276">
        <v>6</v>
      </c>
      <c r="G416" s="277">
        <v>7.23</v>
      </c>
      <c r="H416" s="276">
        <f t="shared" si="65"/>
        <v>7.23</v>
      </c>
      <c r="I416" s="277">
        <f t="shared" si="64"/>
        <v>43.38</v>
      </c>
    </row>
    <row r="417" spans="1:9" s="48" customFormat="1" ht="14.25" x14ac:dyDescent="0.2">
      <c r="A417" s="327" t="s">
        <v>2512</v>
      </c>
      <c r="B417" s="224" t="s">
        <v>94</v>
      </c>
      <c r="C417" s="223" t="s">
        <v>405</v>
      </c>
      <c r="D417" s="218" t="s">
        <v>406</v>
      </c>
      <c r="E417" s="224" t="s">
        <v>63</v>
      </c>
      <c r="F417" s="276">
        <v>24</v>
      </c>
      <c r="G417" s="277">
        <v>5.72</v>
      </c>
      <c r="H417" s="276">
        <f t="shared" si="65"/>
        <v>5.72</v>
      </c>
      <c r="I417" s="277">
        <f t="shared" si="64"/>
        <v>137.28</v>
      </c>
    </row>
    <row r="418" spans="1:9" s="48" customFormat="1" ht="14.25" x14ac:dyDescent="0.2">
      <c r="A418" s="327" t="s">
        <v>2513</v>
      </c>
      <c r="B418" s="224" t="s">
        <v>94</v>
      </c>
      <c r="C418" s="223" t="s">
        <v>407</v>
      </c>
      <c r="D418" s="218" t="s">
        <v>408</v>
      </c>
      <c r="E418" s="224" t="s">
        <v>63</v>
      </c>
      <c r="F418" s="276">
        <v>24</v>
      </c>
      <c r="G418" s="277">
        <v>3.02</v>
      </c>
      <c r="H418" s="276">
        <f t="shared" si="65"/>
        <v>3.02</v>
      </c>
      <c r="I418" s="277">
        <f t="shared" si="64"/>
        <v>72.48</v>
      </c>
    </row>
    <row r="419" spans="1:9" s="48" customFormat="1" ht="14.25" x14ac:dyDescent="0.2">
      <c r="A419" s="327" t="s">
        <v>2514</v>
      </c>
      <c r="B419" s="224" t="s">
        <v>94</v>
      </c>
      <c r="C419" s="223" t="s">
        <v>438</v>
      </c>
      <c r="D419" s="218" t="s">
        <v>410</v>
      </c>
      <c r="E419" s="224" t="s">
        <v>64</v>
      </c>
      <c r="F419" s="276">
        <v>6</v>
      </c>
      <c r="G419" s="277">
        <v>1.28</v>
      </c>
      <c r="H419" s="276">
        <f t="shared" si="65"/>
        <v>1.28</v>
      </c>
      <c r="I419" s="277">
        <f t="shared" si="64"/>
        <v>7.68</v>
      </c>
    </row>
    <row r="420" spans="1:9" s="48" customFormat="1" ht="14.25" x14ac:dyDescent="0.2">
      <c r="A420" s="327" t="s">
        <v>2515</v>
      </c>
      <c r="B420" s="224" t="s">
        <v>94</v>
      </c>
      <c r="C420" s="223" t="s">
        <v>330</v>
      </c>
      <c r="D420" s="218" t="s">
        <v>329</v>
      </c>
      <c r="E420" s="224" t="s">
        <v>64</v>
      </c>
      <c r="F420" s="276">
        <v>2</v>
      </c>
      <c r="G420" s="277">
        <v>5.12</v>
      </c>
      <c r="H420" s="276">
        <f t="shared" si="65"/>
        <v>5.12</v>
      </c>
      <c r="I420" s="277">
        <f t="shared" si="64"/>
        <v>10.24</v>
      </c>
    </row>
    <row r="421" spans="1:9" s="48" customFormat="1" ht="14.25" x14ac:dyDescent="0.2">
      <c r="A421" s="327" t="s">
        <v>2516</v>
      </c>
      <c r="B421" s="224" t="s">
        <v>94</v>
      </c>
      <c r="C421" s="223" t="s">
        <v>332</v>
      </c>
      <c r="D421" s="218" t="s">
        <v>331</v>
      </c>
      <c r="E421" s="224" t="s">
        <v>64</v>
      </c>
      <c r="F421" s="276">
        <v>2</v>
      </c>
      <c r="G421" s="277">
        <v>10.18</v>
      </c>
      <c r="H421" s="276">
        <f t="shared" si="65"/>
        <v>10.18</v>
      </c>
      <c r="I421" s="277">
        <f t="shared" si="64"/>
        <v>20.36</v>
      </c>
    </row>
    <row r="422" spans="1:9" s="48" customFormat="1" ht="14.25" x14ac:dyDescent="0.2">
      <c r="A422" s="327" t="s">
        <v>2517</v>
      </c>
      <c r="B422" s="224" t="s">
        <v>94</v>
      </c>
      <c r="C422" s="223" t="s">
        <v>309</v>
      </c>
      <c r="D422" s="218" t="s">
        <v>308</v>
      </c>
      <c r="E422" s="224" t="s">
        <v>64</v>
      </c>
      <c r="F422" s="276">
        <v>1</v>
      </c>
      <c r="G422" s="277">
        <v>5.0199999999999996</v>
      </c>
      <c r="H422" s="276">
        <f t="shared" si="65"/>
        <v>5.0199999999999996</v>
      </c>
      <c r="I422" s="277">
        <f t="shared" si="64"/>
        <v>5.0199999999999996</v>
      </c>
    </row>
    <row r="423" spans="1:9" s="48" customFormat="1" ht="14.25" x14ac:dyDescent="0.2">
      <c r="A423" s="327" t="s">
        <v>2518</v>
      </c>
      <c r="B423" s="213" t="s">
        <v>94</v>
      </c>
      <c r="C423" s="213" t="s">
        <v>315</v>
      </c>
      <c r="D423" s="214" t="s">
        <v>314</v>
      </c>
      <c r="E423" s="213" t="s">
        <v>64</v>
      </c>
      <c r="F423" s="280">
        <v>2</v>
      </c>
      <c r="G423" s="281">
        <v>24.1</v>
      </c>
      <c r="H423" s="276">
        <f t="shared" si="65"/>
        <v>24.1</v>
      </c>
      <c r="I423" s="277">
        <f t="shared" si="64"/>
        <v>48.2</v>
      </c>
    </row>
    <row r="424" spans="1:9" s="48" customFormat="1" ht="14.25" x14ac:dyDescent="0.2">
      <c r="A424" s="327" t="s">
        <v>2519</v>
      </c>
      <c r="B424" s="224" t="s">
        <v>94</v>
      </c>
      <c r="C424" s="223" t="s">
        <v>317</v>
      </c>
      <c r="D424" s="218" t="s">
        <v>316</v>
      </c>
      <c r="E424" s="224" t="s">
        <v>64</v>
      </c>
      <c r="F424" s="276">
        <v>1</v>
      </c>
      <c r="G424" s="277">
        <v>26.2</v>
      </c>
      <c r="H424" s="276">
        <f t="shared" si="65"/>
        <v>26.2</v>
      </c>
      <c r="I424" s="277">
        <f t="shared" si="64"/>
        <v>26.2</v>
      </c>
    </row>
    <row r="425" spans="1:9" s="48" customFormat="1" ht="14.25" x14ac:dyDescent="0.2">
      <c r="A425" s="327" t="s">
        <v>2520</v>
      </c>
      <c r="B425" s="224" t="s">
        <v>94</v>
      </c>
      <c r="C425" s="223" t="s">
        <v>320</v>
      </c>
      <c r="D425" s="218" t="s">
        <v>319</v>
      </c>
      <c r="E425" s="224" t="s">
        <v>64</v>
      </c>
      <c r="F425" s="276">
        <v>3</v>
      </c>
      <c r="G425" s="277">
        <v>10.52</v>
      </c>
      <c r="H425" s="276">
        <f t="shared" si="65"/>
        <v>10.52</v>
      </c>
      <c r="I425" s="277">
        <f t="shared" si="64"/>
        <v>31.56</v>
      </c>
    </row>
    <row r="426" spans="1:9" s="48" customFormat="1" ht="14.25" x14ac:dyDescent="0.2">
      <c r="A426" s="327" t="s">
        <v>2521</v>
      </c>
      <c r="B426" s="224" t="s">
        <v>94</v>
      </c>
      <c r="C426" s="223" t="s">
        <v>405</v>
      </c>
      <c r="D426" s="218" t="s">
        <v>406</v>
      </c>
      <c r="E426" s="224" t="s">
        <v>63</v>
      </c>
      <c r="F426" s="276">
        <v>15</v>
      </c>
      <c r="G426" s="277">
        <v>5.72</v>
      </c>
      <c r="H426" s="276">
        <f t="shared" si="65"/>
        <v>5.72</v>
      </c>
      <c r="I426" s="277">
        <f t="shared" si="64"/>
        <v>85.8</v>
      </c>
    </row>
    <row r="427" spans="1:9" s="48" customFormat="1" ht="14.25" x14ac:dyDescent="0.2">
      <c r="A427" s="327" t="s">
        <v>2522</v>
      </c>
      <c r="B427" s="224" t="s">
        <v>94</v>
      </c>
      <c r="C427" s="223" t="s">
        <v>253</v>
      </c>
      <c r="D427" s="218" t="s">
        <v>252</v>
      </c>
      <c r="E427" s="224" t="s">
        <v>63</v>
      </c>
      <c r="F427" s="276">
        <v>15</v>
      </c>
      <c r="G427" s="277">
        <v>5.7</v>
      </c>
      <c r="H427" s="276">
        <f t="shared" si="65"/>
        <v>5.7</v>
      </c>
      <c r="I427" s="277">
        <f t="shared" si="64"/>
        <v>85.5</v>
      </c>
    </row>
    <row r="428" spans="1:9" s="48" customFormat="1" ht="14.25" x14ac:dyDescent="0.2">
      <c r="A428" s="327" t="s">
        <v>2523</v>
      </c>
      <c r="B428" s="224" t="s">
        <v>94</v>
      </c>
      <c r="C428" s="223" t="s">
        <v>255</v>
      </c>
      <c r="D428" s="218" t="s">
        <v>254</v>
      </c>
      <c r="E428" s="224" t="s">
        <v>63</v>
      </c>
      <c r="F428" s="276">
        <v>33</v>
      </c>
      <c r="G428" s="277">
        <v>2.5</v>
      </c>
      <c r="H428" s="276">
        <f t="shared" si="65"/>
        <v>2.5</v>
      </c>
      <c r="I428" s="277">
        <f t="shared" si="64"/>
        <v>82.5</v>
      </c>
    </row>
    <row r="429" spans="1:9" s="48" customFormat="1" ht="14.25" x14ac:dyDescent="0.2">
      <c r="A429" s="327" t="s">
        <v>2524</v>
      </c>
      <c r="B429" s="224" t="s">
        <v>94</v>
      </c>
      <c r="C429" s="223" t="s">
        <v>257</v>
      </c>
      <c r="D429" s="218" t="s">
        <v>256</v>
      </c>
      <c r="E429" s="224" t="s">
        <v>63</v>
      </c>
      <c r="F429" s="276">
        <v>4</v>
      </c>
      <c r="G429" s="277">
        <v>1.84</v>
      </c>
      <c r="H429" s="276">
        <f t="shared" si="65"/>
        <v>1.84</v>
      </c>
      <c r="I429" s="277">
        <f t="shared" si="64"/>
        <v>7.36</v>
      </c>
    </row>
    <row r="430" spans="1:9" s="48" customFormat="1" ht="14.25" x14ac:dyDescent="0.2">
      <c r="A430" s="327" t="s">
        <v>2525</v>
      </c>
      <c r="B430" s="224" t="s">
        <v>94</v>
      </c>
      <c r="C430" s="223">
        <v>3535</v>
      </c>
      <c r="D430" s="218" t="s">
        <v>258</v>
      </c>
      <c r="E430" s="224" t="s">
        <v>64</v>
      </c>
      <c r="F430" s="276">
        <v>1</v>
      </c>
      <c r="G430" s="277">
        <v>2.84</v>
      </c>
      <c r="H430" s="276">
        <f t="shared" si="65"/>
        <v>2.84</v>
      </c>
      <c r="I430" s="277">
        <f t="shared" si="64"/>
        <v>2.84</v>
      </c>
    </row>
    <row r="431" spans="1:9" s="48" customFormat="1" ht="14.25" x14ac:dyDescent="0.2">
      <c r="A431" s="327" t="s">
        <v>2526</v>
      </c>
      <c r="B431" s="224" t="s">
        <v>94</v>
      </c>
      <c r="C431" s="223" t="s">
        <v>260</v>
      </c>
      <c r="D431" s="218" t="s">
        <v>259</v>
      </c>
      <c r="E431" s="224" t="s">
        <v>64</v>
      </c>
      <c r="F431" s="276">
        <v>2</v>
      </c>
      <c r="G431" s="277">
        <v>2.6</v>
      </c>
      <c r="H431" s="276">
        <f t="shared" si="65"/>
        <v>2.6</v>
      </c>
      <c r="I431" s="277">
        <f t="shared" si="64"/>
        <v>5.2</v>
      </c>
    </row>
    <row r="432" spans="1:9" s="48" customFormat="1" ht="14.25" x14ac:dyDescent="0.2">
      <c r="A432" s="327" t="s">
        <v>2527</v>
      </c>
      <c r="B432" s="224" t="s">
        <v>94</v>
      </c>
      <c r="C432" s="223" t="s">
        <v>262</v>
      </c>
      <c r="D432" s="218" t="s">
        <v>261</v>
      </c>
      <c r="E432" s="224" t="s">
        <v>64</v>
      </c>
      <c r="F432" s="276">
        <v>7</v>
      </c>
      <c r="G432" s="277">
        <v>0.47</v>
      </c>
      <c r="H432" s="276">
        <f t="shared" si="65"/>
        <v>0.47</v>
      </c>
      <c r="I432" s="277">
        <f t="shared" si="64"/>
        <v>3.29</v>
      </c>
    </row>
    <row r="433" spans="1:9" s="48" customFormat="1" ht="14.25" x14ac:dyDescent="0.2">
      <c r="A433" s="327" t="s">
        <v>2528</v>
      </c>
      <c r="B433" s="224" t="s">
        <v>94</v>
      </c>
      <c r="C433" s="223" t="s">
        <v>264</v>
      </c>
      <c r="D433" s="218" t="s">
        <v>263</v>
      </c>
      <c r="E433" s="224" t="s">
        <v>64</v>
      </c>
      <c r="F433" s="276">
        <v>2</v>
      </c>
      <c r="G433" s="277">
        <v>0.28000000000000003</v>
      </c>
      <c r="H433" s="276">
        <f t="shared" si="65"/>
        <v>0.28000000000000003</v>
      </c>
      <c r="I433" s="277">
        <f t="shared" si="64"/>
        <v>0.56000000000000005</v>
      </c>
    </row>
    <row r="434" spans="1:9" s="48" customFormat="1" ht="14.25" x14ac:dyDescent="0.2">
      <c r="A434" s="327" t="s">
        <v>2529</v>
      </c>
      <c r="B434" s="224" t="s">
        <v>94</v>
      </c>
      <c r="C434" s="223" t="s">
        <v>266</v>
      </c>
      <c r="D434" s="218" t="s">
        <v>265</v>
      </c>
      <c r="E434" s="224" t="s">
        <v>64</v>
      </c>
      <c r="F434" s="276">
        <v>4</v>
      </c>
      <c r="G434" s="277">
        <v>2.31</v>
      </c>
      <c r="H434" s="276">
        <f t="shared" si="65"/>
        <v>2.31</v>
      </c>
      <c r="I434" s="277">
        <f t="shared" si="64"/>
        <v>9.24</v>
      </c>
    </row>
    <row r="435" spans="1:9" s="48" customFormat="1" ht="14.25" x14ac:dyDescent="0.2">
      <c r="A435" s="327" t="s">
        <v>2530</v>
      </c>
      <c r="B435" s="224" t="s">
        <v>94</v>
      </c>
      <c r="C435" s="223" t="s">
        <v>268</v>
      </c>
      <c r="D435" s="218" t="s">
        <v>267</v>
      </c>
      <c r="E435" s="224" t="s">
        <v>64</v>
      </c>
      <c r="F435" s="276">
        <v>5</v>
      </c>
      <c r="G435" s="277">
        <v>1.23</v>
      </c>
      <c r="H435" s="276">
        <f t="shared" si="65"/>
        <v>1.23</v>
      </c>
      <c r="I435" s="277">
        <f t="shared" ref="I435:I466" si="66">F435*H435</f>
        <v>6.15</v>
      </c>
    </row>
    <row r="436" spans="1:9" s="48" customFormat="1" ht="14.25" x14ac:dyDescent="0.2">
      <c r="A436" s="327" t="s">
        <v>2531</v>
      </c>
      <c r="B436" s="224" t="s">
        <v>94</v>
      </c>
      <c r="C436" s="223" t="s">
        <v>270</v>
      </c>
      <c r="D436" s="218" t="s">
        <v>269</v>
      </c>
      <c r="E436" s="224" t="s">
        <v>64</v>
      </c>
      <c r="F436" s="276">
        <v>15</v>
      </c>
      <c r="G436" s="277">
        <v>0.38</v>
      </c>
      <c r="H436" s="276">
        <f t="shared" si="65"/>
        <v>0.38</v>
      </c>
      <c r="I436" s="277">
        <f t="shared" si="66"/>
        <v>5.7</v>
      </c>
    </row>
    <row r="437" spans="1:9" s="48" customFormat="1" ht="14.25" x14ac:dyDescent="0.2">
      <c r="A437" s="327" t="s">
        <v>2532</v>
      </c>
      <c r="B437" s="224" t="s">
        <v>94</v>
      </c>
      <c r="C437" s="223" t="s">
        <v>272</v>
      </c>
      <c r="D437" s="218" t="s">
        <v>271</v>
      </c>
      <c r="E437" s="224" t="s">
        <v>64</v>
      </c>
      <c r="F437" s="276">
        <v>5</v>
      </c>
      <c r="G437" s="277">
        <v>9.14</v>
      </c>
      <c r="H437" s="276">
        <f t="shared" si="65"/>
        <v>9.14</v>
      </c>
      <c r="I437" s="277">
        <f t="shared" si="66"/>
        <v>45.7</v>
      </c>
    </row>
    <row r="438" spans="1:9" s="48" customFormat="1" ht="14.25" x14ac:dyDescent="0.2">
      <c r="A438" s="327" t="s">
        <v>2533</v>
      </c>
      <c r="B438" s="224" t="s">
        <v>94</v>
      </c>
      <c r="C438" s="223">
        <v>3515</v>
      </c>
      <c r="D438" s="218" t="s">
        <v>273</v>
      </c>
      <c r="E438" s="224" t="s">
        <v>64</v>
      </c>
      <c r="F438" s="276">
        <v>7</v>
      </c>
      <c r="G438" s="277">
        <v>3.74</v>
      </c>
      <c r="H438" s="276">
        <f t="shared" si="65"/>
        <v>3.74</v>
      </c>
      <c r="I438" s="277">
        <f t="shared" si="66"/>
        <v>26.18</v>
      </c>
    </row>
    <row r="439" spans="1:9" s="48" customFormat="1" ht="14.25" x14ac:dyDescent="0.2">
      <c r="A439" s="327" t="s">
        <v>2534</v>
      </c>
      <c r="B439" s="224" t="s">
        <v>94</v>
      </c>
      <c r="C439" s="223">
        <v>3524</v>
      </c>
      <c r="D439" s="218" t="s">
        <v>416</v>
      </c>
      <c r="E439" s="224" t="s">
        <v>64</v>
      </c>
      <c r="F439" s="276">
        <v>5</v>
      </c>
      <c r="G439" s="277">
        <v>4.83</v>
      </c>
      <c r="H439" s="276">
        <f t="shared" si="65"/>
        <v>4.83</v>
      </c>
      <c r="I439" s="277">
        <f t="shared" si="66"/>
        <v>24.15</v>
      </c>
    </row>
    <row r="440" spans="1:9" s="48" customFormat="1" ht="14.25" x14ac:dyDescent="0.2">
      <c r="A440" s="327" t="s">
        <v>2535</v>
      </c>
      <c r="B440" s="213" t="s">
        <v>94</v>
      </c>
      <c r="C440" s="265" t="s">
        <v>275</v>
      </c>
      <c r="D440" s="214" t="s">
        <v>274</v>
      </c>
      <c r="E440" s="213" t="s">
        <v>64</v>
      </c>
      <c r="F440" s="280">
        <v>4</v>
      </c>
      <c r="G440" s="281">
        <v>1.41</v>
      </c>
      <c r="H440" s="276">
        <f t="shared" si="65"/>
        <v>1.41</v>
      </c>
      <c r="I440" s="277">
        <f t="shared" si="66"/>
        <v>5.64</v>
      </c>
    </row>
    <row r="441" spans="1:9" s="48" customFormat="1" ht="14.25" x14ac:dyDescent="0.2">
      <c r="A441" s="327" t="s">
        <v>2536</v>
      </c>
      <c r="B441" s="266" t="s">
        <v>94</v>
      </c>
      <c r="C441" s="265" t="s">
        <v>277</v>
      </c>
      <c r="D441" s="214" t="s">
        <v>276</v>
      </c>
      <c r="E441" s="213" t="s">
        <v>64</v>
      </c>
      <c r="F441" s="280">
        <v>8</v>
      </c>
      <c r="G441" s="281">
        <v>0.67</v>
      </c>
      <c r="H441" s="276">
        <f t="shared" si="65"/>
        <v>0.67</v>
      </c>
      <c r="I441" s="277">
        <f t="shared" si="66"/>
        <v>5.36</v>
      </c>
    </row>
    <row r="442" spans="1:9" s="48" customFormat="1" ht="14.25" x14ac:dyDescent="0.2">
      <c r="A442" s="327" t="s">
        <v>2537</v>
      </c>
      <c r="B442" s="213" t="s">
        <v>94</v>
      </c>
      <c r="C442" s="265">
        <v>6021</v>
      </c>
      <c r="D442" s="214" t="s">
        <v>278</v>
      </c>
      <c r="E442" s="213" t="s">
        <v>64</v>
      </c>
      <c r="F442" s="280">
        <v>2</v>
      </c>
      <c r="G442" s="281">
        <v>55.27</v>
      </c>
      <c r="H442" s="276">
        <f t="shared" si="65"/>
        <v>55.27</v>
      </c>
      <c r="I442" s="277">
        <f t="shared" si="66"/>
        <v>110.54</v>
      </c>
    </row>
    <row r="443" spans="1:9" s="48" customFormat="1" ht="14.25" x14ac:dyDescent="0.2">
      <c r="A443" s="327" t="s">
        <v>2538</v>
      </c>
      <c r="B443" s="213" t="s">
        <v>94</v>
      </c>
      <c r="C443" s="265" t="s">
        <v>413</v>
      </c>
      <c r="D443" s="214" t="s">
        <v>153</v>
      </c>
      <c r="E443" s="213" t="s">
        <v>64</v>
      </c>
      <c r="F443" s="280">
        <v>2</v>
      </c>
      <c r="G443" s="281">
        <v>61.22</v>
      </c>
      <c r="H443" s="276">
        <f t="shared" si="65"/>
        <v>61.22</v>
      </c>
      <c r="I443" s="277">
        <f t="shared" si="66"/>
        <v>122.44</v>
      </c>
    </row>
    <row r="444" spans="1:9" s="48" customFormat="1" ht="14.25" x14ac:dyDescent="0.2">
      <c r="A444" s="327" t="s">
        <v>2539</v>
      </c>
      <c r="B444" s="224" t="s">
        <v>94</v>
      </c>
      <c r="C444" s="223">
        <v>3874</v>
      </c>
      <c r="D444" s="218" t="s">
        <v>421</v>
      </c>
      <c r="E444" s="224" t="s">
        <v>64</v>
      </c>
      <c r="F444" s="276">
        <v>2</v>
      </c>
      <c r="G444" s="277">
        <v>4.21</v>
      </c>
      <c r="H444" s="276">
        <f t="shared" si="65"/>
        <v>4.21</v>
      </c>
      <c r="I444" s="277">
        <f t="shared" si="66"/>
        <v>8.42</v>
      </c>
    </row>
    <row r="445" spans="1:9" s="48" customFormat="1" ht="28.5" x14ac:dyDescent="0.2">
      <c r="A445" s="327" t="s">
        <v>2540</v>
      </c>
      <c r="B445" s="224" t="s">
        <v>94</v>
      </c>
      <c r="C445" s="223" t="s">
        <v>280</v>
      </c>
      <c r="D445" s="218" t="s">
        <v>279</v>
      </c>
      <c r="E445" s="224" t="s">
        <v>64</v>
      </c>
      <c r="F445" s="276">
        <v>1</v>
      </c>
      <c r="G445" s="277">
        <v>22.34</v>
      </c>
      <c r="H445" s="276">
        <f t="shared" si="65"/>
        <v>22.34</v>
      </c>
      <c r="I445" s="277">
        <f t="shared" si="66"/>
        <v>22.34</v>
      </c>
    </row>
    <row r="446" spans="1:9" s="48" customFormat="1" ht="28.5" x14ac:dyDescent="0.2">
      <c r="A446" s="327" t="s">
        <v>2541</v>
      </c>
      <c r="B446" s="224" t="s">
        <v>94</v>
      </c>
      <c r="C446" s="223" t="s">
        <v>281</v>
      </c>
      <c r="D446" s="218" t="s">
        <v>283</v>
      </c>
      <c r="E446" s="224" t="s">
        <v>64</v>
      </c>
      <c r="F446" s="276">
        <v>1</v>
      </c>
      <c r="G446" s="277">
        <v>13.77</v>
      </c>
      <c r="H446" s="276">
        <f t="shared" si="65"/>
        <v>13.77</v>
      </c>
      <c r="I446" s="277">
        <f t="shared" si="66"/>
        <v>13.77</v>
      </c>
    </row>
    <row r="447" spans="1:9" s="48" customFormat="1" ht="28.5" x14ac:dyDescent="0.2">
      <c r="A447" s="327" t="s">
        <v>2542</v>
      </c>
      <c r="B447" s="224" t="s">
        <v>94</v>
      </c>
      <c r="C447" s="223" t="s">
        <v>284</v>
      </c>
      <c r="D447" s="218" t="s">
        <v>282</v>
      </c>
      <c r="E447" s="224" t="s">
        <v>64</v>
      </c>
      <c r="F447" s="276">
        <v>2</v>
      </c>
      <c r="G447" s="277">
        <v>9.85</v>
      </c>
      <c r="H447" s="276">
        <f t="shared" si="65"/>
        <v>9.85</v>
      </c>
      <c r="I447" s="277">
        <f t="shared" si="66"/>
        <v>19.7</v>
      </c>
    </row>
    <row r="448" spans="1:9" s="48" customFormat="1" ht="14.25" x14ac:dyDescent="0.2">
      <c r="A448" s="327" t="s">
        <v>2543</v>
      </c>
      <c r="B448" s="213" t="s">
        <v>94</v>
      </c>
      <c r="C448" s="265" t="s">
        <v>286</v>
      </c>
      <c r="D448" s="214" t="s">
        <v>285</v>
      </c>
      <c r="E448" s="213" t="s">
        <v>64</v>
      </c>
      <c r="F448" s="280">
        <v>2</v>
      </c>
      <c r="G448" s="281">
        <v>0.99</v>
      </c>
      <c r="H448" s="276">
        <f t="shared" si="65"/>
        <v>0.99</v>
      </c>
      <c r="I448" s="277">
        <f t="shared" si="66"/>
        <v>1.98</v>
      </c>
    </row>
    <row r="449" spans="1:9" s="48" customFormat="1" ht="14.25" x14ac:dyDescent="0.2">
      <c r="A449" s="327" t="s">
        <v>2544</v>
      </c>
      <c r="B449" s="213" t="s">
        <v>94</v>
      </c>
      <c r="C449" s="265" t="s">
        <v>288</v>
      </c>
      <c r="D449" s="214" t="s">
        <v>287</v>
      </c>
      <c r="E449" s="213" t="s">
        <v>64</v>
      </c>
      <c r="F449" s="280">
        <v>1</v>
      </c>
      <c r="G449" s="281">
        <v>6.63</v>
      </c>
      <c r="H449" s="276">
        <f t="shared" si="65"/>
        <v>6.63</v>
      </c>
      <c r="I449" s="277">
        <f t="shared" si="66"/>
        <v>6.63</v>
      </c>
    </row>
    <row r="450" spans="1:9" s="48" customFormat="1" ht="14.25" x14ac:dyDescent="0.2">
      <c r="A450" s="327" t="s">
        <v>2545</v>
      </c>
      <c r="B450" s="213" t="s">
        <v>94</v>
      </c>
      <c r="C450" s="265" t="s">
        <v>290</v>
      </c>
      <c r="D450" s="214" t="s">
        <v>289</v>
      </c>
      <c r="E450" s="213" t="s">
        <v>64</v>
      </c>
      <c r="F450" s="280">
        <v>4</v>
      </c>
      <c r="G450" s="281">
        <v>60.58</v>
      </c>
      <c r="H450" s="276">
        <f t="shared" si="65"/>
        <v>60.58</v>
      </c>
      <c r="I450" s="277">
        <f t="shared" si="66"/>
        <v>242.32</v>
      </c>
    </row>
    <row r="451" spans="1:9" s="48" customFormat="1" ht="14.25" x14ac:dyDescent="0.2">
      <c r="A451" s="327" t="s">
        <v>2546</v>
      </c>
      <c r="B451" s="213" t="s">
        <v>94</v>
      </c>
      <c r="C451" s="265" t="s">
        <v>291</v>
      </c>
      <c r="D451" s="214" t="s">
        <v>289</v>
      </c>
      <c r="E451" s="213" t="s">
        <v>64</v>
      </c>
      <c r="F451" s="280">
        <v>1</v>
      </c>
      <c r="G451" s="281">
        <v>103.1</v>
      </c>
      <c r="H451" s="276">
        <f t="shared" si="65"/>
        <v>103.1</v>
      </c>
      <c r="I451" s="277">
        <f t="shared" si="66"/>
        <v>103.1</v>
      </c>
    </row>
    <row r="452" spans="1:9" s="48" customFormat="1" ht="14.25" x14ac:dyDescent="0.2">
      <c r="A452" s="327" t="s">
        <v>2547</v>
      </c>
      <c r="B452" s="213" t="s">
        <v>94</v>
      </c>
      <c r="C452" s="265" t="s">
        <v>293</v>
      </c>
      <c r="D452" s="214" t="s">
        <v>292</v>
      </c>
      <c r="E452" s="213" t="s">
        <v>64</v>
      </c>
      <c r="F452" s="280">
        <v>2</v>
      </c>
      <c r="G452" s="281">
        <v>3.02</v>
      </c>
      <c r="H452" s="276">
        <f t="shared" si="65"/>
        <v>3.02</v>
      </c>
      <c r="I452" s="277">
        <f t="shared" si="66"/>
        <v>6.04</v>
      </c>
    </row>
    <row r="453" spans="1:9" s="48" customFormat="1" ht="14.25" x14ac:dyDescent="0.2">
      <c r="A453" s="327" t="s">
        <v>2548</v>
      </c>
      <c r="B453" s="224" t="s">
        <v>94</v>
      </c>
      <c r="C453" s="223" t="s">
        <v>295</v>
      </c>
      <c r="D453" s="218" t="s">
        <v>294</v>
      </c>
      <c r="E453" s="224" t="s">
        <v>64</v>
      </c>
      <c r="F453" s="276">
        <v>1</v>
      </c>
      <c r="G453" s="277">
        <v>3.89</v>
      </c>
      <c r="H453" s="276">
        <f t="shared" si="65"/>
        <v>3.89</v>
      </c>
      <c r="I453" s="277">
        <f t="shared" si="66"/>
        <v>3.89</v>
      </c>
    </row>
    <row r="454" spans="1:9" s="48" customFormat="1" ht="14.25" x14ac:dyDescent="0.2">
      <c r="A454" s="327" t="s">
        <v>2549</v>
      </c>
      <c r="B454" s="224" t="s">
        <v>94</v>
      </c>
      <c r="C454" s="223" t="s">
        <v>297</v>
      </c>
      <c r="D454" s="218" t="s">
        <v>296</v>
      </c>
      <c r="E454" s="224" t="s">
        <v>64</v>
      </c>
      <c r="F454" s="276">
        <v>1</v>
      </c>
      <c r="G454" s="277">
        <v>0.87</v>
      </c>
      <c r="H454" s="276">
        <f t="shared" si="65"/>
        <v>0.87</v>
      </c>
      <c r="I454" s="277">
        <f t="shared" si="66"/>
        <v>0.87</v>
      </c>
    </row>
    <row r="455" spans="1:9" s="48" customFormat="1" ht="14.25" x14ac:dyDescent="0.2">
      <c r="A455" s="327" t="s">
        <v>2550</v>
      </c>
      <c r="B455" s="224" t="s">
        <v>94</v>
      </c>
      <c r="C455" s="223" t="s">
        <v>401</v>
      </c>
      <c r="D455" s="218" t="s">
        <v>402</v>
      </c>
      <c r="E455" s="224" t="s">
        <v>64</v>
      </c>
      <c r="F455" s="276">
        <v>1</v>
      </c>
      <c r="G455" s="277">
        <v>29.78</v>
      </c>
      <c r="H455" s="276">
        <f t="shared" si="65"/>
        <v>29.78</v>
      </c>
      <c r="I455" s="277">
        <f t="shared" si="66"/>
        <v>29.78</v>
      </c>
    </row>
    <row r="456" spans="1:9" s="48" customFormat="1" ht="14.25" x14ac:dyDescent="0.2">
      <c r="A456" s="327" t="s">
        <v>2551</v>
      </c>
      <c r="B456" s="224" t="s">
        <v>94</v>
      </c>
      <c r="C456" s="223">
        <v>3499</v>
      </c>
      <c r="D456" s="218" t="s">
        <v>422</v>
      </c>
      <c r="E456" s="224" t="s">
        <v>64</v>
      </c>
      <c r="F456" s="276">
        <v>2</v>
      </c>
      <c r="G456" s="277">
        <v>0.52</v>
      </c>
      <c r="H456" s="276">
        <f t="shared" si="65"/>
        <v>0.52</v>
      </c>
      <c r="I456" s="277">
        <f t="shared" si="66"/>
        <v>1.04</v>
      </c>
    </row>
    <row r="457" spans="1:9" s="48" customFormat="1" ht="14.25" x14ac:dyDescent="0.2">
      <c r="A457" s="327" t="s">
        <v>2552</v>
      </c>
      <c r="B457" s="224" t="s">
        <v>94</v>
      </c>
      <c r="C457" s="223" t="s">
        <v>399</v>
      </c>
      <c r="D457" s="218" t="s">
        <v>400</v>
      </c>
      <c r="E457" s="224" t="s">
        <v>64</v>
      </c>
      <c r="F457" s="276">
        <v>1</v>
      </c>
      <c r="G457" s="277">
        <v>46.23</v>
      </c>
      <c r="H457" s="276">
        <f t="shared" si="65"/>
        <v>46.23</v>
      </c>
      <c r="I457" s="277">
        <f t="shared" si="66"/>
        <v>46.23</v>
      </c>
    </row>
    <row r="458" spans="1:9" s="48" customFormat="1" ht="14.25" x14ac:dyDescent="0.2">
      <c r="A458" s="327" t="s">
        <v>2553</v>
      </c>
      <c r="B458" s="224" t="s">
        <v>94</v>
      </c>
      <c r="C458" s="223" t="s">
        <v>299</v>
      </c>
      <c r="D458" s="218" t="s">
        <v>298</v>
      </c>
      <c r="E458" s="224" t="s">
        <v>64</v>
      </c>
      <c r="F458" s="276">
        <v>1</v>
      </c>
      <c r="G458" s="277">
        <v>0.54</v>
      </c>
      <c r="H458" s="276">
        <f t="shared" si="65"/>
        <v>0.54</v>
      </c>
      <c r="I458" s="277">
        <f t="shared" si="66"/>
        <v>0.54</v>
      </c>
    </row>
    <row r="459" spans="1:9" s="48" customFormat="1" ht="14.25" x14ac:dyDescent="0.2">
      <c r="A459" s="327" t="s">
        <v>2554</v>
      </c>
      <c r="B459" s="224" t="s">
        <v>94</v>
      </c>
      <c r="C459" s="223">
        <v>3861</v>
      </c>
      <c r="D459" s="218" t="s">
        <v>417</v>
      </c>
      <c r="E459" s="224" t="s">
        <v>64</v>
      </c>
      <c r="F459" s="276">
        <v>3</v>
      </c>
      <c r="G459" s="277">
        <v>0.49</v>
      </c>
      <c r="H459" s="276">
        <f t="shared" si="65"/>
        <v>0.49</v>
      </c>
      <c r="I459" s="277">
        <f t="shared" si="66"/>
        <v>1.47</v>
      </c>
    </row>
    <row r="460" spans="1:9" s="48" customFormat="1" ht="14.25" x14ac:dyDescent="0.2">
      <c r="A460" s="327" t="s">
        <v>2555</v>
      </c>
      <c r="B460" s="213" t="s">
        <v>94</v>
      </c>
      <c r="C460" s="213" t="s">
        <v>301</v>
      </c>
      <c r="D460" s="214" t="s">
        <v>300</v>
      </c>
      <c r="E460" s="213" t="s">
        <v>64</v>
      </c>
      <c r="F460" s="280">
        <v>1</v>
      </c>
      <c r="G460" s="281">
        <v>4.41</v>
      </c>
      <c r="H460" s="276">
        <f t="shared" si="65"/>
        <v>4.41</v>
      </c>
      <c r="I460" s="277">
        <f t="shared" si="66"/>
        <v>4.41</v>
      </c>
    </row>
    <row r="461" spans="1:9" s="48" customFormat="1" ht="14.25" x14ac:dyDescent="0.2">
      <c r="A461" s="327" t="s">
        <v>2556</v>
      </c>
      <c r="B461" s="224" t="s">
        <v>94</v>
      </c>
      <c r="C461" s="223" t="s">
        <v>303</v>
      </c>
      <c r="D461" s="218" t="s">
        <v>302</v>
      </c>
      <c r="E461" s="224" t="s">
        <v>64</v>
      </c>
      <c r="F461" s="276">
        <v>1</v>
      </c>
      <c r="G461" s="277">
        <v>4.3099999999999996</v>
      </c>
      <c r="H461" s="276">
        <f t="shared" si="65"/>
        <v>4.3099999999999996</v>
      </c>
      <c r="I461" s="277">
        <f t="shared" si="66"/>
        <v>4.3099999999999996</v>
      </c>
    </row>
    <row r="462" spans="1:9" s="48" customFormat="1" ht="14.25" x14ac:dyDescent="0.2">
      <c r="A462" s="327" t="s">
        <v>2557</v>
      </c>
      <c r="B462" s="224" t="s">
        <v>94</v>
      </c>
      <c r="C462" s="223">
        <v>7122</v>
      </c>
      <c r="D462" s="218" t="s">
        <v>423</v>
      </c>
      <c r="E462" s="224" t="s">
        <v>64</v>
      </c>
      <c r="F462" s="276">
        <v>1</v>
      </c>
      <c r="G462" s="277">
        <v>8.42</v>
      </c>
      <c r="H462" s="276">
        <f t="shared" si="65"/>
        <v>8.42</v>
      </c>
      <c r="I462" s="277">
        <f t="shared" si="66"/>
        <v>8.42</v>
      </c>
    </row>
    <row r="463" spans="1:9" s="48" customFormat="1" ht="14.25" x14ac:dyDescent="0.2">
      <c r="A463" s="327" t="s">
        <v>2558</v>
      </c>
      <c r="B463" s="224" t="s">
        <v>94</v>
      </c>
      <c r="C463" s="223" t="s">
        <v>307</v>
      </c>
      <c r="D463" s="218" t="s">
        <v>306</v>
      </c>
      <c r="E463" s="224" t="s">
        <v>64</v>
      </c>
      <c r="F463" s="276">
        <v>2</v>
      </c>
      <c r="G463" s="277">
        <v>15.7</v>
      </c>
      <c r="H463" s="276">
        <f t="shared" si="65"/>
        <v>15.7</v>
      </c>
      <c r="I463" s="277">
        <f t="shared" si="66"/>
        <v>31.4</v>
      </c>
    </row>
    <row r="464" spans="1:9" s="48" customFormat="1" ht="14.25" x14ac:dyDescent="0.2">
      <c r="A464" s="327" t="s">
        <v>2559</v>
      </c>
      <c r="B464" s="224" t="s">
        <v>94</v>
      </c>
      <c r="C464" s="223" t="s">
        <v>389</v>
      </c>
      <c r="D464" s="218" t="s">
        <v>36</v>
      </c>
      <c r="E464" s="224" t="s">
        <v>64</v>
      </c>
      <c r="F464" s="276">
        <v>2</v>
      </c>
      <c r="G464" s="277">
        <v>3.13</v>
      </c>
      <c r="H464" s="276">
        <f t="shared" si="65"/>
        <v>3.13</v>
      </c>
      <c r="I464" s="277">
        <f t="shared" si="66"/>
        <v>6.26</v>
      </c>
    </row>
    <row r="465" spans="1:9" s="48" customFormat="1" ht="14.25" x14ac:dyDescent="0.2">
      <c r="A465" s="327" t="s">
        <v>2560</v>
      </c>
      <c r="B465" s="224" t="s">
        <v>145</v>
      </c>
      <c r="C465" s="223"/>
      <c r="D465" s="218" t="s">
        <v>436</v>
      </c>
      <c r="E465" s="224" t="s">
        <v>64</v>
      </c>
      <c r="F465" s="276">
        <v>1</v>
      </c>
      <c r="G465" s="277">
        <f>3.2*1.02</f>
        <v>3.2640000000000002</v>
      </c>
      <c r="H465" s="276">
        <f t="shared" si="65"/>
        <v>3.2640000000000002</v>
      </c>
      <c r="I465" s="277">
        <f t="shared" si="66"/>
        <v>3.2640000000000002</v>
      </c>
    </row>
    <row r="466" spans="1:9" s="48" customFormat="1" ht="14.25" x14ac:dyDescent="0.2">
      <c r="A466" s="327" t="s">
        <v>2561</v>
      </c>
      <c r="B466" s="224" t="s">
        <v>94</v>
      </c>
      <c r="C466" s="223" t="s">
        <v>313</v>
      </c>
      <c r="D466" s="218" t="s">
        <v>312</v>
      </c>
      <c r="E466" s="224" t="s">
        <v>64</v>
      </c>
      <c r="F466" s="276">
        <v>4</v>
      </c>
      <c r="G466" s="277">
        <v>5.4</v>
      </c>
      <c r="H466" s="276">
        <f t="shared" si="65"/>
        <v>5.4</v>
      </c>
      <c r="I466" s="277">
        <f t="shared" si="66"/>
        <v>21.6</v>
      </c>
    </row>
    <row r="467" spans="1:9" s="48" customFormat="1" ht="14.25" x14ac:dyDescent="0.2">
      <c r="A467" s="327" t="s">
        <v>2562</v>
      </c>
      <c r="B467" s="224" t="s">
        <v>94</v>
      </c>
      <c r="C467" s="223" t="s">
        <v>390</v>
      </c>
      <c r="D467" s="218" t="s">
        <v>37</v>
      </c>
      <c r="E467" s="224" t="s">
        <v>64</v>
      </c>
      <c r="F467" s="276">
        <v>2</v>
      </c>
      <c r="G467" s="277">
        <v>7.82</v>
      </c>
      <c r="H467" s="276">
        <f t="shared" si="65"/>
        <v>7.82</v>
      </c>
      <c r="I467" s="277">
        <f t="shared" ref="I467:I478" si="67">F467*H467</f>
        <v>15.64</v>
      </c>
    </row>
    <row r="468" spans="1:9" s="48" customFormat="1" ht="14.25" x14ac:dyDescent="0.2">
      <c r="A468" s="327" t="s">
        <v>2563</v>
      </c>
      <c r="B468" s="224" t="s">
        <v>94</v>
      </c>
      <c r="C468" s="223" t="s">
        <v>321</v>
      </c>
      <c r="D468" s="218" t="s">
        <v>322</v>
      </c>
      <c r="E468" s="224" t="s">
        <v>64</v>
      </c>
      <c r="F468" s="276">
        <v>2</v>
      </c>
      <c r="G468" s="277">
        <v>8.26</v>
      </c>
      <c r="H468" s="276">
        <f t="shared" ref="H468:H478" si="68">G468</f>
        <v>8.26</v>
      </c>
      <c r="I468" s="277">
        <f t="shared" si="67"/>
        <v>16.52</v>
      </c>
    </row>
    <row r="469" spans="1:9" s="48" customFormat="1" ht="14.25" x14ac:dyDescent="0.2">
      <c r="A469" s="327" t="s">
        <v>2564</v>
      </c>
      <c r="B469" s="224" t="s">
        <v>94</v>
      </c>
      <c r="C469" s="223" t="s">
        <v>324</v>
      </c>
      <c r="D469" s="218" t="s">
        <v>323</v>
      </c>
      <c r="E469" s="224" t="s">
        <v>64</v>
      </c>
      <c r="F469" s="276">
        <v>2</v>
      </c>
      <c r="G469" s="277">
        <v>17.27</v>
      </c>
      <c r="H469" s="276">
        <f t="shared" si="68"/>
        <v>17.27</v>
      </c>
      <c r="I469" s="277">
        <f t="shared" si="67"/>
        <v>34.54</v>
      </c>
    </row>
    <row r="470" spans="1:9" s="48" customFormat="1" ht="14.25" x14ac:dyDescent="0.2">
      <c r="A470" s="327" t="s">
        <v>2565</v>
      </c>
      <c r="B470" s="224" t="s">
        <v>94</v>
      </c>
      <c r="C470" s="223" t="s">
        <v>326</v>
      </c>
      <c r="D470" s="218" t="s">
        <v>325</v>
      </c>
      <c r="E470" s="224" t="s">
        <v>64</v>
      </c>
      <c r="F470" s="276">
        <v>6</v>
      </c>
      <c r="G470" s="277">
        <v>7.56</v>
      </c>
      <c r="H470" s="276">
        <f t="shared" si="68"/>
        <v>7.56</v>
      </c>
      <c r="I470" s="277">
        <f t="shared" si="67"/>
        <v>45.36</v>
      </c>
    </row>
    <row r="471" spans="1:9" s="48" customFormat="1" ht="14.25" x14ac:dyDescent="0.2">
      <c r="A471" s="327" t="s">
        <v>2566</v>
      </c>
      <c r="B471" s="266" t="s">
        <v>94</v>
      </c>
      <c r="C471" s="265" t="s">
        <v>328</v>
      </c>
      <c r="D471" s="214" t="s">
        <v>327</v>
      </c>
      <c r="E471" s="213" t="s">
        <v>64</v>
      </c>
      <c r="F471" s="280">
        <v>2</v>
      </c>
      <c r="G471" s="281">
        <v>1.78</v>
      </c>
      <c r="H471" s="276">
        <f t="shared" si="68"/>
        <v>1.78</v>
      </c>
      <c r="I471" s="277">
        <f t="shared" si="67"/>
        <v>3.56</v>
      </c>
    </row>
    <row r="472" spans="1:9" s="48" customFormat="1" ht="14.25" x14ac:dyDescent="0.2">
      <c r="A472" s="327" t="s">
        <v>2567</v>
      </c>
      <c r="B472" s="224" t="s">
        <v>94</v>
      </c>
      <c r="C472" s="223">
        <v>6138</v>
      </c>
      <c r="D472" s="218" t="s">
        <v>424</v>
      </c>
      <c r="E472" s="224" t="s">
        <v>64</v>
      </c>
      <c r="F472" s="276">
        <v>2</v>
      </c>
      <c r="G472" s="277">
        <v>3.13</v>
      </c>
      <c r="H472" s="276">
        <f t="shared" si="68"/>
        <v>3.13</v>
      </c>
      <c r="I472" s="277">
        <f t="shared" si="67"/>
        <v>6.26</v>
      </c>
    </row>
    <row r="473" spans="1:9" s="48" customFormat="1" ht="14.25" x14ac:dyDescent="0.2">
      <c r="A473" s="327" t="s">
        <v>2568</v>
      </c>
      <c r="B473" s="225" t="s">
        <v>94</v>
      </c>
      <c r="C473" s="223" t="s">
        <v>334</v>
      </c>
      <c r="D473" s="218" t="s">
        <v>333</v>
      </c>
      <c r="E473" s="224" t="s">
        <v>64</v>
      </c>
      <c r="F473" s="276">
        <v>1</v>
      </c>
      <c r="G473" s="277">
        <v>12.75</v>
      </c>
      <c r="H473" s="276">
        <f t="shared" si="68"/>
        <v>12.75</v>
      </c>
      <c r="I473" s="277">
        <f t="shared" si="67"/>
        <v>12.75</v>
      </c>
    </row>
    <row r="474" spans="1:9" s="48" customFormat="1" ht="14.25" x14ac:dyDescent="0.2">
      <c r="A474" s="327" t="s">
        <v>2569</v>
      </c>
      <c r="B474" s="225" t="s">
        <v>94</v>
      </c>
      <c r="C474" s="223" t="s">
        <v>336</v>
      </c>
      <c r="D474" s="214" t="s">
        <v>335</v>
      </c>
      <c r="E474" s="224" t="s">
        <v>64</v>
      </c>
      <c r="F474" s="276">
        <v>1</v>
      </c>
      <c r="G474" s="277">
        <v>4.34</v>
      </c>
      <c r="H474" s="276">
        <f t="shared" si="68"/>
        <v>4.34</v>
      </c>
      <c r="I474" s="277">
        <f t="shared" si="67"/>
        <v>4.34</v>
      </c>
    </row>
    <row r="475" spans="1:9" s="48" customFormat="1" ht="14.25" x14ac:dyDescent="0.2">
      <c r="A475" s="327" t="s">
        <v>2570</v>
      </c>
      <c r="B475" s="225" t="s">
        <v>94</v>
      </c>
      <c r="C475" s="223" t="s">
        <v>338</v>
      </c>
      <c r="D475" s="214" t="s">
        <v>337</v>
      </c>
      <c r="E475" s="224" t="s">
        <v>64</v>
      </c>
      <c r="F475" s="276">
        <v>1</v>
      </c>
      <c r="G475" s="277">
        <v>29.93</v>
      </c>
      <c r="H475" s="276">
        <f t="shared" si="68"/>
        <v>29.93</v>
      </c>
      <c r="I475" s="277">
        <f t="shared" si="67"/>
        <v>29.93</v>
      </c>
    </row>
    <row r="476" spans="1:9" s="48" customFormat="1" ht="14.25" x14ac:dyDescent="0.2">
      <c r="A476" s="327" t="s">
        <v>2571</v>
      </c>
      <c r="B476" s="225" t="s">
        <v>94</v>
      </c>
      <c r="C476" s="223" t="s">
        <v>340</v>
      </c>
      <c r="D476" s="214" t="s">
        <v>339</v>
      </c>
      <c r="E476" s="224" t="s">
        <v>64</v>
      </c>
      <c r="F476" s="276">
        <v>2</v>
      </c>
      <c r="G476" s="277">
        <v>5.32</v>
      </c>
      <c r="H476" s="276">
        <f t="shared" si="68"/>
        <v>5.32</v>
      </c>
      <c r="I476" s="277">
        <f t="shared" si="67"/>
        <v>10.64</v>
      </c>
    </row>
    <row r="477" spans="1:9" s="48" customFormat="1" ht="14.25" x14ac:dyDescent="0.2">
      <c r="A477" s="327" t="s">
        <v>2572</v>
      </c>
      <c r="B477" s="225" t="s">
        <v>94</v>
      </c>
      <c r="C477" s="223" t="s">
        <v>342</v>
      </c>
      <c r="D477" s="214" t="s">
        <v>341</v>
      </c>
      <c r="E477" s="224" t="s">
        <v>64</v>
      </c>
      <c r="F477" s="276">
        <v>2</v>
      </c>
      <c r="G477" s="277">
        <v>28.72</v>
      </c>
      <c r="H477" s="276">
        <f t="shared" si="68"/>
        <v>28.72</v>
      </c>
      <c r="I477" s="277">
        <f t="shared" si="67"/>
        <v>57.44</v>
      </c>
    </row>
    <row r="478" spans="1:9" s="48" customFormat="1" ht="14.25" x14ac:dyDescent="0.2">
      <c r="A478" s="327" t="s">
        <v>2573</v>
      </c>
      <c r="B478" s="224" t="s">
        <v>94</v>
      </c>
      <c r="C478" s="223" t="s">
        <v>344</v>
      </c>
      <c r="D478" s="218" t="s">
        <v>343</v>
      </c>
      <c r="E478" s="224" t="s">
        <v>64</v>
      </c>
      <c r="F478" s="276">
        <v>1</v>
      </c>
      <c r="G478" s="277">
        <v>261.05</v>
      </c>
      <c r="H478" s="276">
        <f t="shared" si="68"/>
        <v>261.05</v>
      </c>
      <c r="I478" s="277">
        <f t="shared" si="67"/>
        <v>261.05</v>
      </c>
    </row>
    <row r="479" spans="1:9" s="48" customFormat="1" ht="14.25" x14ac:dyDescent="0.2">
      <c r="A479" s="327"/>
      <c r="B479" s="314"/>
      <c r="C479" s="314"/>
      <c r="D479" s="219"/>
      <c r="E479" s="314"/>
      <c r="F479" s="274"/>
      <c r="G479" s="274"/>
      <c r="H479" s="274"/>
      <c r="I479" s="274"/>
    </row>
    <row r="480" spans="1:9" s="48" customFormat="1" x14ac:dyDescent="0.2">
      <c r="A480" s="416" t="s">
        <v>2574</v>
      </c>
      <c r="B480" s="552" t="s">
        <v>1001</v>
      </c>
      <c r="C480" s="552"/>
      <c r="D480" s="255" t="str">
        <f>ORÇAMENTO!D434</f>
        <v>APLICAÇÃO DO MATERIAL HIDRÁULICO DA UNIDADE DE APOIO</v>
      </c>
      <c r="E480" s="383"/>
      <c r="F480" s="272"/>
      <c r="G480" s="273"/>
      <c r="H480" s="273"/>
      <c r="I480" s="417">
        <f>SUM(I481:I482)</f>
        <v>554.1</v>
      </c>
    </row>
    <row r="481" spans="1:17" s="48" customFormat="1" ht="14.25" x14ac:dyDescent="0.2">
      <c r="A481" s="327" t="s">
        <v>2575</v>
      </c>
      <c r="B481" s="224" t="s">
        <v>94</v>
      </c>
      <c r="C481" s="223" t="s">
        <v>2695</v>
      </c>
      <c r="D481" s="218" t="s">
        <v>34</v>
      </c>
      <c r="E481" s="224" t="s">
        <v>60</v>
      </c>
      <c r="F481" s="276">
        <v>15</v>
      </c>
      <c r="G481" s="277">
        <v>14.76</v>
      </c>
      <c r="H481" s="276">
        <f>G481</f>
        <v>14.76</v>
      </c>
      <c r="I481" s="277">
        <f>F481*H481</f>
        <v>221.4</v>
      </c>
    </row>
    <row r="482" spans="1:17" s="48" customFormat="1" ht="14.25" x14ac:dyDescent="0.2">
      <c r="A482" s="327" t="s">
        <v>2576</v>
      </c>
      <c r="B482" s="224" t="s">
        <v>94</v>
      </c>
      <c r="C482" s="223" t="s">
        <v>388</v>
      </c>
      <c r="D482" s="218" t="s">
        <v>35</v>
      </c>
      <c r="E482" s="224" t="s">
        <v>60</v>
      </c>
      <c r="F482" s="276">
        <v>30</v>
      </c>
      <c r="G482" s="277">
        <v>11.09</v>
      </c>
      <c r="H482" s="276">
        <f>G482</f>
        <v>11.09</v>
      </c>
      <c r="I482" s="277">
        <f>F482*H482</f>
        <v>332.7</v>
      </c>
    </row>
    <row r="483" spans="1:17" s="48" customFormat="1" ht="14.25" x14ac:dyDescent="0.2">
      <c r="A483" s="327"/>
      <c r="B483" s="263"/>
      <c r="C483" s="263"/>
      <c r="D483" s="264"/>
      <c r="E483" s="263"/>
      <c r="F483" s="278"/>
      <c r="G483" s="279"/>
      <c r="H483" s="279"/>
      <c r="I483" s="283"/>
    </row>
    <row r="484" spans="1:17" s="160" customFormat="1" ht="14.25" x14ac:dyDescent="0.2">
      <c r="A484" s="327"/>
      <c r="B484" s="224"/>
      <c r="C484" s="223"/>
      <c r="D484" s="218"/>
      <c r="E484" s="224"/>
      <c r="F484" s="276"/>
      <c r="G484" s="277"/>
      <c r="H484" s="276"/>
      <c r="I484" s="277"/>
    </row>
    <row r="485" spans="1:17" s="48" customFormat="1" ht="15" customHeight="1" x14ac:dyDescent="0.2">
      <c r="A485" s="416" t="s">
        <v>2577</v>
      </c>
      <c r="B485" s="552" t="s">
        <v>1002</v>
      </c>
      <c r="C485" s="552"/>
      <c r="D485" s="255" t="s">
        <v>965</v>
      </c>
      <c r="E485" s="383" t="s">
        <v>64</v>
      </c>
      <c r="F485" s="272"/>
      <c r="G485" s="273"/>
      <c r="H485" s="273"/>
      <c r="I485" s="417">
        <f>SUM(I486:I489)</f>
        <v>697.51</v>
      </c>
      <c r="J485" s="47"/>
      <c r="K485" s="47"/>
      <c r="L485" s="47"/>
      <c r="M485" s="47"/>
      <c r="N485" s="47"/>
      <c r="O485" s="47"/>
      <c r="Q485" s="47"/>
    </row>
    <row r="486" spans="1:17" s="48" customFormat="1" ht="14.25" x14ac:dyDescent="0.2">
      <c r="A486" s="327" t="s">
        <v>2578</v>
      </c>
      <c r="B486" s="224" t="s">
        <v>94</v>
      </c>
      <c r="C486" s="223" t="s">
        <v>974</v>
      </c>
      <c r="D486" s="218" t="s">
        <v>975</v>
      </c>
      <c r="E486" s="224" t="s">
        <v>64</v>
      </c>
      <c r="F486" s="276">
        <v>1</v>
      </c>
      <c r="G486" s="277">
        <v>48.41</v>
      </c>
      <c r="H486" s="276">
        <f t="shared" ref="H486:H489" si="69">G486</f>
        <v>48.41</v>
      </c>
      <c r="I486" s="277">
        <f t="shared" ref="I486:I489" si="70">F486*H486</f>
        <v>48.41</v>
      </c>
      <c r="J486" s="47"/>
      <c r="K486" s="47"/>
      <c r="L486" s="47"/>
      <c r="M486" s="47"/>
      <c r="N486" s="47"/>
      <c r="O486" s="47"/>
      <c r="Q486" s="47"/>
    </row>
    <row r="487" spans="1:17" s="48" customFormat="1" ht="14.25" x14ac:dyDescent="0.2">
      <c r="A487" s="327" t="s">
        <v>2579</v>
      </c>
      <c r="B487" s="224" t="s">
        <v>94</v>
      </c>
      <c r="C487" s="223" t="s">
        <v>976</v>
      </c>
      <c r="D487" s="218" t="s">
        <v>977</v>
      </c>
      <c r="E487" s="224" t="s">
        <v>64</v>
      </c>
      <c r="F487" s="276">
        <v>1</v>
      </c>
      <c r="G487" s="277">
        <v>103.52</v>
      </c>
      <c r="H487" s="276">
        <f t="shared" si="69"/>
        <v>103.52</v>
      </c>
      <c r="I487" s="277">
        <f t="shared" si="70"/>
        <v>103.52</v>
      </c>
      <c r="J487" s="47"/>
      <c r="K487" s="47"/>
      <c r="L487" s="47"/>
      <c r="M487" s="47"/>
      <c r="N487" s="47"/>
      <c r="O487" s="47"/>
      <c r="Q487" s="47"/>
    </row>
    <row r="488" spans="1:17" s="48" customFormat="1" ht="14.25" x14ac:dyDescent="0.2">
      <c r="A488" s="327" t="s">
        <v>2580</v>
      </c>
      <c r="B488" s="224" t="s">
        <v>94</v>
      </c>
      <c r="C488" s="223">
        <v>83878</v>
      </c>
      <c r="D488" s="218" t="s">
        <v>980</v>
      </c>
      <c r="E488" s="224" t="s">
        <v>64</v>
      </c>
      <c r="F488" s="276">
        <v>1</v>
      </c>
      <c r="G488" s="277">
        <v>34.83</v>
      </c>
      <c r="H488" s="276">
        <f t="shared" ref="H488" si="71">G488</f>
        <v>34.83</v>
      </c>
      <c r="I488" s="277">
        <f t="shared" ref="I488" si="72">F488*H488</f>
        <v>34.83</v>
      </c>
      <c r="J488" s="47"/>
      <c r="K488" s="47"/>
      <c r="L488" s="47"/>
      <c r="M488" s="47"/>
      <c r="N488" s="47"/>
      <c r="O488" s="47"/>
      <c r="Q488" s="47"/>
    </row>
    <row r="489" spans="1:17" s="48" customFormat="1" ht="28.5" x14ac:dyDescent="0.2">
      <c r="A489" s="327" t="s">
        <v>2581</v>
      </c>
      <c r="B489" s="224" t="s">
        <v>94</v>
      </c>
      <c r="C489" s="223" t="s">
        <v>978</v>
      </c>
      <c r="D489" s="218" t="s">
        <v>979</v>
      </c>
      <c r="E489" s="224" t="s">
        <v>63</v>
      </c>
      <c r="F489" s="276">
        <v>25</v>
      </c>
      <c r="G489" s="277">
        <v>20.43</v>
      </c>
      <c r="H489" s="276">
        <f t="shared" si="69"/>
        <v>20.43</v>
      </c>
      <c r="I489" s="277">
        <f t="shared" si="70"/>
        <v>510.75</v>
      </c>
      <c r="J489" s="47"/>
      <c r="K489" s="47"/>
      <c r="L489" s="47"/>
      <c r="M489" s="47"/>
      <c r="N489" s="47"/>
      <c r="O489" s="47"/>
      <c r="Q489" s="47"/>
    </row>
    <row r="490" spans="1:17" s="48" customFormat="1" ht="14.25" x14ac:dyDescent="0.2">
      <c r="A490" s="327"/>
      <c r="B490" s="224"/>
      <c r="C490" s="223"/>
      <c r="D490" s="218"/>
      <c r="E490" s="224"/>
      <c r="F490" s="276"/>
      <c r="G490" s="277"/>
      <c r="H490" s="276"/>
      <c r="I490" s="277"/>
    </row>
    <row r="491" spans="1:17" s="48" customFormat="1" ht="15" customHeight="1" x14ac:dyDescent="0.2">
      <c r="A491" s="416" t="s">
        <v>2582</v>
      </c>
      <c r="B491" s="552" t="s">
        <v>1003</v>
      </c>
      <c r="C491" s="552"/>
      <c r="D491" s="255" t="s">
        <v>770</v>
      </c>
      <c r="E491" s="383" t="s">
        <v>64</v>
      </c>
      <c r="F491" s="272"/>
      <c r="G491" s="273"/>
      <c r="H491" s="273"/>
      <c r="I491" s="417">
        <f>SUM(I492:I502)</f>
        <v>1216.8600000000001</v>
      </c>
      <c r="J491" s="49"/>
      <c r="K491" s="50"/>
      <c r="L491" s="49"/>
      <c r="M491" s="49"/>
      <c r="N491" s="49"/>
      <c r="O491" s="49"/>
      <c r="P491" s="49"/>
      <c r="Q491" s="49"/>
    </row>
    <row r="492" spans="1:17" s="183" customFormat="1" ht="28.5" x14ac:dyDescent="0.2">
      <c r="A492" s="314" t="s">
        <v>2583</v>
      </c>
      <c r="B492" s="220" t="s">
        <v>94</v>
      </c>
      <c r="C492" s="220" t="s">
        <v>105</v>
      </c>
      <c r="D492" s="267" t="s">
        <v>106</v>
      </c>
      <c r="E492" s="220" t="s">
        <v>62</v>
      </c>
      <c r="F492" s="221">
        <f>1.5*1.5*0.55+2*2*0.4</f>
        <v>2.8375000000000004</v>
      </c>
      <c r="G492" s="268">
        <v>49.27</v>
      </c>
      <c r="H492" s="215">
        <f>G492</f>
        <v>49.27</v>
      </c>
      <c r="I492" s="221">
        <f t="shared" ref="I492:I502" si="73">ROUND(F492*H492,2)</f>
        <v>139.80000000000001</v>
      </c>
      <c r="J492" s="182"/>
      <c r="K492" s="182"/>
      <c r="L492" s="182"/>
      <c r="M492" s="182"/>
      <c r="N492" s="182"/>
      <c r="O492" s="182"/>
      <c r="P492" s="182"/>
      <c r="Q492" s="182"/>
    </row>
    <row r="493" spans="1:17" s="183" customFormat="1" ht="14.25" customHeight="1" x14ac:dyDescent="0.2">
      <c r="A493" s="314" t="s">
        <v>2584</v>
      </c>
      <c r="B493" s="220" t="s">
        <v>94</v>
      </c>
      <c r="C493" s="220">
        <v>5622</v>
      </c>
      <c r="D493" s="267" t="s">
        <v>723</v>
      </c>
      <c r="E493" s="220" t="s">
        <v>61</v>
      </c>
      <c r="F493" s="221">
        <f>1.5*1.5+2*2</f>
        <v>6.25</v>
      </c>
      <c r="G493" s="268">
        <v>4.6399999999999997</v>
      </c>
      <c r="H493" s="215">
        <f t="shared" ref="H493:H502" si="74">G493</f>
        <v>4.6399999999999997</v>
      </c>
      <c r="I493" s="221">
        <f t="shared" si="73"/>
        <v>29</v>
      </c>
      <c r="J493" s="182"/>
      <c r="K493" s="182"/>
      <c r="L493" s="182"/>
      <c r="M493" s="182"/>
      <c r="N493" s="182"/>
      <c r="O493" s="182"/>
      <c r="P493" s="182"/>
      <c r="Q493" s="182"/>
    </row>
    <row r="494" spans="1:17" s="183" customFormat="1" ht="28.5" x14ac:dyDescent="0.2">
      <c r="A494" s="314" t="s">
        <v>2593</v>
      </c>
      <c r="B494" s="220" t="s">
        <v>94</v>
      </c>
      <c r="C494" s="220" t="s">
        <v>113</v>
      </c>
      <c r="D494" s="267" t="s">
        <v>114</v>
      </c>
      <c r="E494" s="220" t="s">
        <v>62</v>
      </c>
      <c r="F494" s="221">
        <f>0.1*F492</f>
        <v>0.28375000000000006</v>
      </c>
      <c r="G494" s="268">
        <v>27.17</v>
      </c>
      <c r="H494" s="215">
        <f t="shared" si="74"/>
        <v>27.17</v>
      </c>
      <c r="I494" s="221">
        <f t="shared" si="73"/>
        <v>7.71</v>
      </c>
      <c r="J494" s="182"/>
      <c r="K494" s="182"/>
      <c r="L494" s="182"/>
      <c r="M494" s="182"/>
      <c r="N494" s="182"/>
      <c r="O494" s="182"/>
      <c r="P494" s="182"/>
      <c r="Q494" s="182"/>
    </row>
    <row r="495" spans="1:17" s="183" customFormat="1" ht="14.25" x14ac:dyDescent="0.2">
      <c r="A495" s="314" t="s">
        <v>2594</v>
      </c>
      <c r="B495" s="220" t="s">
        <v>94</v>
      </c>
      <c r="C495" s="220" t="s">
        <v>771</v>
      </c>
      <c r="D495" s="267" t="s">
        <v>772</v>
      </c>
      <c r="E495" s="220" t="s">
        <v>62</v>
      </c>
      <c r="F495" s="221">
        <f>F492-F494</f>
        <v>2.5537500000000004</v>
      </c>
      <c r="G495" s="268">
        <v>38.770000000000003</v>
      </c>
      <c r="H495" s="215">
        <f t="shared" si="74"/>
        <v>38.770000000000003</v>
      </c>
      <c r="I495" s="221">
        <f t="shared" si="73"/>
        <v>99.01</v>
      </c>
      <c r="J495" s="182"/>
      <c r="K495" s="182"/>
      <c r="L495" s="182"/>
      <c r="M495" s="182"/>
      <c r="N495" s="182"/>
      <c r="O495" s="182"/>
      <c r="P495" s="182"/>
      <c r="Q495" s="182"/>
    </row>
    <row r="496" spans="1:17" s="183" customFormat="1" ht="14.25" x14ac:dyDescent="0.2">
      <c r="A496" s="314" t="s">
        <v>2595</v>
      </c>
      <c r="B496" s="220" t="s">
        <v>94</v>
      </c>
      <c r="C496" s="220" t="s">
        <v>140</v>
      </c>
      <c r="D496" s="267" t="s">
        <v>141</v>
      </c>
      <c r="E496" s="220" t="s">
        <v>62</v>
      </c>
      <c r="F496" s="221">
        <f>1.5*1.5*0.1</f>
        <v>0.22500000000000001</v>
      </c>
      <c r="G496" s="268">
        <v>84.48</v>
      </c>
      <c r="H496" s="215">
        <f t="shared" si="74"/>
        <v>84.48</v>
      </c>
      <c r="I496" s="221">
        <f t="shared" si="73"/>
        <v>19.010000000000002</v>
      </c>
      <c r="J496" s="182"/>
      <c r="K496" s="182"/>
      <c r="L496" s="182"/>
      <c r="M496" s="182"/>
      <c r="N496" s="182"/>
      <c r="O496" s="182"/>
      <c r="P496" s="182"/>
      <c r="Q496" s="182"/>
    </row>
    <row r="497" spans="1:17" s="183" customFormat="1" ht="14.25" x14ac:dyDescent="0.2">
      <c r="A497" s="314" t="s">
        <v>2596</v>
      </c>
      <c r="B497" s="220" t="s">
        <v>94</v>
      </c>
      <c r="C497" s="220" t="s">
        <v>82</v>
      </c>
      <c r="D497" s="267" t="s">
        <v>53</v>
      </c>
      <c r="E497" s="220" t="s">
        <v>62</v>
      </c>
      <c r="F497" s="221">
        <f>1.5*1.5*0.15</f>
        <v>0.33749999999999997</v>
      </c>
      <c r="G497" s="268">
        <v>344.14</v>
      </c>
      <c r="H497" s="215">
        <f t="shared" si="74"/>
        <v>344.14</v>
      </c>
      <c r="I497" s="221">
        <f t="shared" si="73"/>
        <v>116.15</v>
      </c>
      <c r="J497" s="182"/>
      <c r="K497" s="182"/>
      <c r="L497" s="182"/>
      <c r="M497" s="182"/>
      <c r="N497" s="182"/>
      <c r="O497" s="182"/>
      <c r="P497" s="182"/>
      <c r="Q497" s="182"/>
    </row>
    <row r="498" spans="1:17" s="183" customFormat="1" ht="14.25" customHeight="1" x14ac:dyDescent="0.2">
      <c r="A498" s="314" t="s">
        <v>2597</v>
      </c>
      <c r="B498" s="220" t="s">
        <v>94</v>
      </c>
      <c r="C498" s="220" t="s">
        <v>773</v>
      </c>
      <c r="D498" s="267" t="s">
        <v>774</v>
      </c>
      <c r="E498" s="220" t="s">
        <v>61</v>
      </c>
      <c r="F498" s="221">
        <f>0.6*1.2*2+1.1*0.95</f>
        <v>2.4849999999999999</v>
      </c>
      <c r="G498" s="268">
        <v>48.18</v>
      </c>
      <c r="H498" s="215">
        <f t="shared" si="74"/>
        <v>48.18</v>
      </c>
      <c r="I498" s="221">
        <f t="shared" si="73"/>
        <v>119.73</v>
      </c>
      <c r="J498" s="182"/>
      <c r="K498" s="182"/>
      <c r="L498" s="182"/>
      <c r="M498" s="182"/>
      <c r="N498" s="182"/>
      <c r="O498" s="182"/>
      <c r="P498" s="182"/>
      <c r="Q498" s="182"/>
    </row>
    <row r="499" spans="1:17" s="183" customFormat="1" ht="28.5" x14ac:dyDescent="0.2">
      <c r="A499" s="314" t="s">
        <v>2598</v>
      </c>
      <c r="B499" s="220" t="s">
        <v>94</v>
      </c>
      <c r="C499" s="220" t="s">
        <v>845</v>
      </c>
      <c r="D499" s="267" t="s">
        <v>852</v>
      </c>
      <c r="E499" s="220" t="s">
        <v>61</v>
      </c>
      <c r="F499" s="221">
        <f>1.5*4*0.15</f>
        <v>0.89999999999999991</v>
      </c>
      <c r="G499" s="268">
        <v>52.56</v>
      </c>
      <c r="H499" s="215">
        <f t="shared" si="74"/>
        <v>52.56</v>
      </c>
      <c r="I499" s="221">
        <f t="shared" si="73"/>
        <v>47.3</v>
      </c>
      <c r="J499" s="182"/>
      <c r="K499" s="182"/>
      <c r="L499" s="182"/>
      <c r="M499" s="182"/>
      <c r="N499" s="182"/>
      <c r="O499" s="182"/>
      <c r="P499" s="182"/>
      <c r="Q499" s="182"/>
    </row>
    <row r="500" spans="1:17" s="183" customFormat="1" ht="14.25" x14ac:dyDescent="0.2">
      <c r="A500" s="314" t="s">
        <v>2599</v>
      </c>
      <c r="B500" s="220" t="s">
        <v>94</v>
      </c>
      <c r="C500" s="220">
        <v>73611</v>
      </c>
      <c r="D500" s="267" t="s">
        <v>775</v>
      </c>
      <c r="E500" s="220" t="s">
        <v>62</v>
      </c>
      <c r="F500" s="221">
        <f>2*2*0.4</f>
        <v>1.6</v>
      </c>
      <c r="G500" s="268">
        <v>320.66000000000003</v>
      </c>
      <c r="H500" s="215">
        <f t="shared" si="74"/>
        <v>320.66000000000003</v>
      </c>
      <c r="I500" s="221">
        <f t="shared" si="73"/>
        <v>513.05999999999995</v>
      </c>
      <c r="J500" s="182"/>
      <c r="K500" s="182"/>
      <c r="L500" s="182"/>
      <c r="M500" s="182"/>
      <c r="N500" s="182"/>
      <c r="O500" s="182"/>
      <c r="P500" s="182"/>
      <c r="Q500" s="182"/>
    </row>
    <row r="501" spans="1:17" s="183" customFormat="1" ht="57" x14ac:dyDescent="0.2">
      <c r="A501" s="314" t="s">
        <v>2600</v>
      </c>
      <c r="B501" s="220" t="s">
        <v>94</v>
      </c>
      <c r="C501" s="213">
        <v>87874</v>
      </c>
      <c r="D501" s="214" t="s">
        <v>970</v>
      </c>
      <c r="E501" s="220" t="s">
        <v>61</v>
      </c>
      <c r="F501" s="221">
        <f>F498*2</f>
        <v>4.97</v>
      </c>
      <c r="G501" s="268">
        <v>2.95</v>
      </c>
      <c r="H501" s="215">
        <f t="shared" si="74"/>
        <v>2.95</v>
      </c>
      <c r="I501" s="221">
        <f t="shared" si="73"/>
        <v>14.66</v>
      </c>
      <c r="J501" s="182"/>
      <c r="K501" s="182"/>
      <c r="L501" s="182"/>
      <c r="M501" s="182"/>
      <c r="N501" s="182"/>
      <c r="O501" s="182"/>
      <c r="P501" s="182"/>
      <c r="Q501" s="182"/>
    </row>
    <row r="502" spans="1:17" s="183" customFormat="1" ht="57" x14ac:dyDescent="0.2">
      <c r="A502" s="314" t="s">
        <v>2601</v>
      </c>
      <c r="B502" s="313" t="s">
        <v>94</v>
      </c>
      <c r="C502" s="313">
        <v>87527</v>
      </c>
      <c r="D502" s="226" t="s">
        <v>1014</v>
      </c>
      <c r="E502" s="313" t="s">
        <v>61</v>
      </c>
      <c r="F502" s="215">
        <f>F498*2</f>
        <v>4.97</v>
      </c>
      <c r="G502" s="345">
        <v>22.42</v>
      </c>
      <c r="H502" s="215">
        <f t="shared" si="74"/>
        <v>22.42</v>
      </c>
      <c r="I502" s="215">
        <f t="shared" si="73"/>
        <v>111.43</v>
      </c>
      <c r="J502" s="182"/>
      <c r="K502" s="182"/>
      <c r="L502" s="182"/>
      <c r="M502" s="182"/>
      <c r="N502" s="182"/>
      <c r="O502" s="182"/>
      <c r="P502" s="182"/>
      <c r="Q502" s="182"/>
    </row>
    <row r="503" spans="1:17" s="183" customFormat="1" ht="14.25" x14ac:dyDescent="0.2">
      <c r="A503" s="314"/>
      <c r="B503" s="313"/>
      <c r="C503" s="313"/>
      <c r="D503" s="226"/>
      <c r="E503" s="313"/>
      <c r="F503" s="215"/>
      <c r="G503" s="345"/>
      <c r="H503" s="215"/>
      <c r="I503" s="215"/>
      <c r="J503" s="182"/>
      <c r="K503" s="182"/>
      <c r="L503" s="182"/>
      <c r="M503" s="182"/>
      <c r="N503" s="182"/>
      <c r="O503" s="182"/>
      <c r="P503" s="182"/>
      <c r="Q503" s="182"/>
    </row>
    <row r="504" spans="1:17" s="48" customFormat="1" ht="30" x14ac:dyDescent="0.2">
      <c r="A504" s="416" t="s">
        <v>2602</v>
      </c>
      <c r="B504" s="552" t="s">
        <v>1004</v>
      </c>
      <c r="C504" s="552"/>
      <c r="D504" s="255" t="str">
        <f>ORÇAMENTO!D463</f>
        <v>FORNECIMENTO DO MATERIAL HIDRÁULICO DAS INTERLIGAÇÕES DE PROCESSO, DRENAGEM E ÁGUA FRIA</v>
      </c>
      <c r="E504" s="383"/>
      <c r="F504" s="272"/>
      <c r="G504" s="273"/>
      <c r="H504" s="273"/>
      <c r="I504" s="417">
        <f>SUM(I506:I545)</f>
        <v>99631.285000000018</v>
      </c>
    </row>
    <row r="505" spans="1:17" s="48" customFormat="1" x14ac:dyDescent="0.2">
      <c r="A505" s="327"/>
      <c r="B505" s="375"/>
      <c r="C505" s="375"/>
      <c r="D505" s="376" t="s">
        <v>2200</v>
      </c>
      <c r="E505" s="375"/>
      <c r="F505" s="275"/>
      <c r="G505" s="215"/>
      <c r="H505" s="215"/>
      <c r="I505" s="423"/>
    </row>
    <row r="506" spans="1:17" s="48" customFormat="1" ht="14.25" x14ac:dyDescent="0.2">
      <c r="A506" s="327" t="s">
        <v>2585</v>
      </c>
      <c r="B506" s="224" t="s">
        <v>94</v>
      </c>
      <c r="C506" s="224" t="s">
        <v>191</v>
      </c>
      <c r="D506" s="218" t="s">
        <v>192</v>
      </c>
      <c r="E506" s="224" t="s">
        <v>63</v>
      </c>
      <c r="F506" s="276">
        <f>51.5+60</f>
        <v>111.5</v>
      </c>
      <c r="G506" s="277">
        <v>58.78</v>
      </c>
      <c r="H506" s="276">
        <f t="shared" ref="H506" si="75">G506</f>
        <v>58.78</v>
      </c>
      <c r="I506" s="277">
        <f t="shared" ref="I506" si="76">F506*H506</f>
        <v>6553.97</v>
      </c>
    </row>
    <row r="507" spans="1:17" s="48" customFormat="1" ht="14.25" x14ac:dyDescent="0.2">
      <c r="A507" s="327" t="s">
        <v>2586</v>
      </c>
      <c r="B507" s="224" t="s">
        <v>94</v>
      </c>
      <c r="C507" s="223" t="s">
        <v>209</v>
      </c>
      <c r="D507" s="218" t="s">
        <v>210</v>
      </c>
      <c r="E507" s="224" t="s">
        <v>63</v>
      </c>
      <c r="F507" s="276">
        <f>13+45</f>
        <v>58</v>
      </c>
      <c r="G507" s="277">
        <v>155.25</v>
      </c>
      <c r="H507" s="276">
        <f t="shared" ref="H507:H545" si="77">G507</f>
        <v>155.25</v>
      </c>
      <c r="I507" s="277">
        <f t="shared" ref="I507:I545" si="78">F507*H507</f>
        <v>9004.5</v>
      </c>
    </row>
    <row r="508" spans="1:17" s="48" customFormat="1" ht="14.25" x14ac:dyDescent="0.2">
      <c r="A508" s="327" t="s">
        <v>2587</v>
      </c>
      <c r="B508" s="224" t="s">
        <v>94</v>
      </c>
      <c r="C508" s="223">
        <v>9827</v>
      </c>
      <c r="D508" s="218" t="s">
        <v>906</v>
      </c>
      <c r="E508" s="224" t="s">
        <v>63</v>
      </c>
      <c r="F508" s="276">
        <f>1+35+26+49+23.5</f>
        <v>134.5</v>
      </c>
      <c r="G508" s="277">
        <v>225.63</v>
      </c>
      <c r="H508" s="276">
        <f t="shared" si="77"/>
        <v>225.63</v>
      </c>
      <c r="I508" s="277">
        <f t="shared" si="78"/>
        <v>30347.235000000001</v>
      </c>
    </row>
    <row r="509" spans="1:17" s="48" customFormat="1" ht="14.25" x14ac:dyDescent="0.2">
      <c r="A509" s="327" t="s">
        <v>2588</v>
      </c>
      <c r="B509" s="224" t="s">
        <v>94</v>
      </c>
      <c r="C509" s="223">
        <v>9817</v>
      </c>
      <c r="D509" s="218" t="s">
        <v>2183</v>
      </c>
      <c r="E509" s="224" t="s">
        <v>63</v>
      </c>
      <c r="F509" s="276">
        <f>53+16.5</f>
        <v>69.5</v>
      </c>
      <c r="G509" s="277">
        <v>13.13</v>
      </c>
      <c r="H509" s="276">
        <f t="shared" si="77"/>
        <v>13.13</v>
      </c>
      <c r="I509" s="277">
        <f t="shared" si="78"/>
        <v>912.53500000000008</v>
      </c>
    </row>
    <row r="510" spans="1:17" s="48" customFormat="1" ht="14.25" x14ac:dyDescent="0.2">
      <c r="A510" s="327" t="s">
        <v>2589</v>
      </c>
      <c r="B510" s="224" t="s">
        <v>94</v>
      </c>
      <c r="C510" s="223" t="s">
        <v>170</v>
      </c>
      <c r="D510" s="218" t="s">
        <v>130</v>
      </c>
      <c r="E510" s="224" t="s">
        <v>63</v>
      </c>
      <c r="F510" s="276">
        <v>23.5</v>
      </c>
      <c r="G510" s="277">
        <v>27.53</v>
      </c>
      <c r="H510" s="276">
        <f t="shared" si="77"/>
        <v>27.53</v>
      </c>
      <c r="I510" s="277">
        <f t="shared" si="78"/>
        <v>646.95500000000004</v>
      </c>
    </row>
    <row r="511" spans="1:17" s="48" customFormat="1" ht="14.25" x14ac:dyDescent="0.2">
      <c r="A511" s="327" t="s">
        <v>2590</v>
      </c>
      <c r="B511" s="224" t="s">
        <v>94</v>
      </c>
      <c r="C511" s="223" t="s">
        <v>171</v>
      </c>
      <c r="D511" s="218" t="s">
        <v>414</v>
      </c>
      <c r="E511" s="224" t="s">
        <v>63</v>
      </c>
      <c r="F511" s="276">
        <f>24+9+7</f>
        <v>40</v>
      </c>
      <c r="G511" s="277">
        <v>113.78</v>
      </c>
      <c r="H511" s="276">
        <f t="shared" si="77"/>
        <v>113.78</v>
      </c>
      <c r="I511" s="277">
        <f t="shared" si="78"/>
        <v>4551.2</v>
      </c>
    </row>
    <row r="512" spans="1:17" s="48" customFormat="1" ht="14.25" x14ac:dyDescent="0.2">
      <c r="A512" s="327" t="s">
        <v>2591</v>
      </c>
      <c r="B512" s="224" t="s">
        <v>101</v>
      </c>
      <c r="C512" s="223">
        <v>25000449</v>
      </c>
      <c r="D512" s="218" t="s">
        <v>2208</v>
      </c>
      <c r="E512" s="224" t="s">
        <v>64</v>
      </c>
      <c r="F512" s="276">
        <v>2</v>
      </c>
      <c r="G512" s="277">
        <v>203.36</v>
      </c>
      <c r="H512" s="276">
        <f t="shared" si="77"/>
        <v>203.36</v>
      </c>
      <c r="I512" s="277">
        <f t="shared" si="78"/>
        <v>406.72</v>
      </c>
    </row>
    <row r="513" spans="1:9" s="48" customFormat="1" ht="14.25" x14ac:dyDescent="0.2">
      <c r="A513" s="327" t="s">
        <v>2592</v>
      </c>
      <c r="B513" s="224" t="s">
        <v>101</v>
      </c>
      <c r="C513" s="223">
        <v>25000088</v>
      </c>
      <c r="D513" s="218" t="s">
        <v>9</v>
      </c>
      <c r="E513" s="224" t="s">
        <v>64</v>
      </c>
      <c r="F513" s="276">
        <f>3+1</f>
        <v>4</v>
      </c>
      <c r="G513" s="277">
        <v>173.7</v>
      </c>
      <c r="H513" s="276">
        <f t="shared" si="77"/>
        <v>173.7</v>
      </c>
      <c r="I513" s="277">
        <f t="shared" si="78"/>
        <v>694.8</v>
      </c>
    </row>
    <row r="514" spans="1:9" s="48" customFormat="1" ht="14.25" x14ac:dyDescent="0.2">
      <c r="A514" s="327" t="s">
        <v>2603</v>
      </c>
      <c r="B514" s="224" t="s">
        <v>94</v>
      </c>
      <c r="C514" s="313">
        <v>1858</v>
      </c>
      <c r="D514" s="218" t="s">
        <v>2184</v>
      </c>
      <c r="E514" s="224" t="s">
        <v>64</v>
      </c>
      <c r="F514" s="276">
        <v>2</v>
      </c>
      <c r="G514" s="277">
        <v>15.54</v>
      </c>
      <c r="H514" s="276">
        <f t="shared" si="77"/>
        <v>15.54</v>
      </c>
      <c r="I514" s="277">
        <f t="shared" si="78"/>
        <v>31.08</v>
      </c>
    </row>
    <row r="515" spans="1:9" s="48" customFormat="1" ht="14.25" x14ac:dyDescent="0.2">
      <c r="A515" s="327" t="s">
        <v>2604</v>
      </c>
      <c r="B515" s="224" t="s">
        <v>145</v>
      </c>
      <c r="C515" s="313">
        <v>25000090</v>
      </c>
      <c r="D515" s="218" t="s">
        <v>214</v>
      </c>
      <c r="E515" s="224" t="s">
        <v>64</v>
      </c>
      <c r="F515" s="276">
        <f>1+2</f>
        <v>3</v>
      </c>
      <c r="G515" s="277">
        <v>170.51</v>
      </c>
      <c r="H515" s="276">
        <f t="shared" si="77"/>
        <v>170.51</v>
      </c>
      <c r="I515" s="277">
        <f t="shared" si="78"/>
        <v>511.53</v>
      </c>
    </row>
    <row r="516" spans="1:9" s="48" customFormat="1" ht="14.25" x14ac:dyDescent="0.2">
      <c r="A516" s="327" t="s">
        <v>2605</v>
      </c>
      <c r="B516" s="313" t="s">
        <v>101</v>
      </c>
      <c r="C516" s="313">
        <v>25000091</v>
      </c>
      <c r="D516" s="218" t="s">
        <v>905</v>
      </c>
      <c r="E516" s="224" t="s">
        <v>64</v>
      </c>
      <c r="F516" s="276">
        <f>3+1+1+1</f>
        <v>6</v>
      </c>
      <c r="G516" s="277">
        <v>349.35</v>
      </c>
      <c r="H516" s="276">
        <f t="shared" si="77"/>
        <v>349.35</v>
      </c>
      <c r="I516" s="277">
        <f t="shared" si="78"/>
        <v>2096.1000000000004</v>
      </c>
    </row>
    <row r="517" spans="1:9" s="48" customFormat="1" ht="14.25" x14ac:dyDescent="0.2">
      <c r="A517" s="327" t="s">
        <v>2606</v>
      </c>
      <c r="B517" s="313" t="s">
        <v>101</v>
      </c>
      <c r="C517" s="313">
        <v>25000079</v>
      </c>
      <c r="D517" s="218" t="s">
        <v>949</v>
      </c>
      <c r="E517" s="224" t="s">
        <v>64</v>
      </c>
      <c r="F517" s="276">
        <f>2+2</f>
        <v>4</v>
      </c>
      <c r="G517" s="277">
        <v>321.33999999999997</v>
      </c>
      <c r="H517" s="276">
        <f t="shared" si="77"/>
        <v>321.33999999999997</v>
      </c>
      <c r="I517" s="277">
        <f t="shared" si="78"/>
        <v>1285.3599999999999</v>
      </c>
    </row>
    <row r="518" spans="1:9" s="48" customFormat="1" ht="14.25" x14ac:dyDescent="0.2">
      <c r="A518" s="327" t="s">
        <v>2607</v>
      </c>
      <c r="B518" s="313" t="s">
        <v>101</v>
      </c>
      <c r="C518" s="313">
        <v>25000077</v>
      </c>
      <c r="D518" s="218" t="s">
        <v>950</v>
      </c>
      <c r="E518" s="224" t="s">
        <v>64</v>
      </c>
      <c r="F518" s="276">
        <v>2</v>
      </c>
      <c r="G518" s="277">
        <v>94.51</v>
      </c>
      <c r="H518" s="276">
        <f t="shared" si="77"/>
        <v>94.51</v>
      </c>
      <c r="I518" s="277">
        <f t="shared" si="78"/>
        <v>189.02</v>
      </c>
    </row>
    <row r="519" spans="1:9" s="48" customFormat="1" ht="14.25" x14ac:dyDescent="0.2">
      <c r="A519" s="327" t="s">
        <v>2608</v>
      </c>
      <c r="B519" s="313" t="s">
        <v>101</v>
      </c>
      <c r="C519" s="313">
        <v>25000452</v>
      </c>
      <c r="D519" s="259" t="s">
        <v>951</v>
      </c>
      <c r="E519" s="224" t="s">
        <v>64</v>
      </c>
      <c r="F519" s="276">
        <v>1</v>
      </c>
      <c r="G519" s="277">
        <v>959.94</v>
      </c>
      <c r="H519" s="276">
        <f t="shared" si="77"/>
        <v>959.94</v>
      </c>
      <c r="I519" s="277">
        <f t="shared" si="78"/>
        <v>959.94</v>
      </c>
    </row>
    <row r="520" spans="1:9" s="48" customFormat="1" ht="28.5" x14ac:dyDescent="0.2">
      <c r="A520" s="327" t="s">
        <v>2609</v>
      </c>
      <c r="B520" s="224" t="s">
        <v>94</v>
      </c>
      <c r="C520" s="223">
        <v>21148</v>
      </c>
      <c r="D520" s="218" t="s">
        <v>764</v>
      </c>
      <c r="E520" s="224" t="s">
        <v>63</v>
      </c>
      <c r="F520" s="276">
        <v>56</v>
      </c>
      <c r="G520" s="277">
        <v>37.47</v>
      </c>
      <c r="H520" s="276">
        <f t="shared" si="77"/>
        <v>37.47</v>
      </c>
      <c r="I520" s="277">
        <f t="shared" si="78"/>
        <v>2098.3199999999997</v>
      </c>
    </row>
    <row r="521" spans="1:9" s="48" customFormat="1" ht="28.5" x14ac:dyDescent="0.2">
      <c r="A521" s="327" t="s">
        <v>2610</v>
      </c>
      <c r="B521" s="224" t="s">
        <v>94</v>
      </c>
      <c r="C521" s="223">
        <v>21146</v>
      </c>
      <c r="D521" s="218" t="s">
        <v>946</v>
      </c>
      <c r="E521" s="224" t="s">
        <v>63</v>
      </c>
      <c r="F521" s="276">
        <v>22</v>
      </c>
      <c r="G521" s="277">
        <v>21.52</v>
      </c>
      <c r="H521" s="276">
        <f t="shared" si="77"/>
        <v>21.52</v>
      </c>
      <c r="I521" s="277">
        <f t="shared" si="78"/>
        <v>473.44</v>
      </c>
    </row>
    <row r="522" spans="1:9" s="48" customFormat="1" ht="14.25" x14ac:dyDescent="0.2">
      <c r="A522" s="327" t="s">
        <v>2611</v>
      </c>
      <c r="B522" s="224" t="s">
        <v>94</v>
      </c>
      <c r="C522" s="223">
        <v>1787</v>
      </c>
      <c r="D522" s="218" t="s">
        <v>2185</v>
      </c>
      <c r="E522" s="224" t="s">
        <v>64</v>
      </c>
      <c r="F522" s="276">
        <v>1</v>
      </c>
      <c r="G522" s="277">
        <v>26.13</v>
      </c>
      <c r="H522" s="276">
        <f t="shared" si="77"/>
        <v>26.13</v>
      </c>
      <c r="I522" s="277">
        <f t="shared" si="78"/>
        <v>26.13</v>
      </c>
    </row>
    <row r="523" spans="1:9" s="48" customFormat="1" ht="14.25" x14ac:dyDescent="0.2">
      <c r="A523" s="327" t="s">
        <v>2612</v>
      </c>
      <c r="B523" s="224" t="s">
        <v>94</v>
      </c>
      <c r="C523" s="223">
        <v>6305</v>
      </c>
      <c r="D523" s="218" t="s">
        <v>952</v>
      </c>
      <c r="E523" s="224" t="s">
        <v>64</v>
      </c>
      <c r="F523" s="276">
        <v>1</v>
      </c>
      <c r="G523" s="277">
        <v>38.270000000000003</v>
      </c>
      <c r="H523" s="276">
        <f t="shared" si="77"/>
        <v>38.270000000000003</v>
      </c>
      <c r="I523" s="277">
        <f t="shared" si="78"/>
        <v>38.270000000000003</v>
      </c>
    </row>
    <row r="524" spans="1:9" s="48" customFormat="1" ht="14.25" x14ac:dyDescent="0.2">
      <c r="A524" s="327" t="s">
        <v>2613</v>
      </c>
      <c r="B524" s="224"/>
      <c r="C524" s="223">
        <v>771</v>
      </c>
      <c r="D524" s="218" t="s">
        <v>953</v>
      </c>
      <c r="E524" s="224" t="s">
        <v>64</v>
      </c>
      <c r="F524" s="276">
        <v>1</v>
      </c>
      <c r="G524" s="277">
        <v>13.85</v>
      </c>
      <c r="H524" s="276">
        <f t="shared" si="77"/>
        <v>13.85</v>
      </c>
      <c r="I524" s="277">
        <f t="shared" si="78"/>
        <v>13.85</v>
      </c>
    </row>
    <row r="525" spans="1:9" s="48" customFormat="1" ht="14.25" x14ac:dyDescent="0.2">
      <c r="A525" s="327" t="s">
        <v>2614</v>
      </c>
      <c r="B525" s="224" t="s">
        <v>94</v>
      </c>
      <c r="C525" s="223">
        <v>1863</v>
      </c>
      <c r="D525" s="218" t="s">
        <v>222</v>
      </c>
      <c r="E525" s="224" t="s">
        <v>64</v>
      </c>
      <c r="F525" s="276">
        <v>1</v>
      </c>
      <c r="G525" s="277">
        <v>20.88</v>
      </c>
      <c r="H525" s="276">
        <f t="shared" si="77"/>
        <v>20.88</v>
      </c>
      <c r="I525" s="277">
        <f t="shared" si="78"/>
        <v>20.88</v>
      </c>
    </row>
    <row r="526" spans="1:9" s="48" customFormat="1" ht="28.5" x14ac:dyDescent="0.2">
      <c r="A526" s="327" t="s">
        <v>2615</v>
      </c>
      <c r="B526" s="224" t="s">
        <v>94</v>
      </c>
      <c r="C526" s="223">
        <v>7740</v>
      </c>
      <c r="D526" s="218" t="s">
        <v>2181</v>
      </c>
      <c r="E526" s="224" t="s">
        <v>63</v>
      </c>
      <c r="F526" s="276">
        <v>71</v>
      </c>
      <c r="G526" s="277">
        <v>92.87</v>
      </c>
      <c r="H526" s="276">
        <f t="shared" si="77"/>
        <v>92.87</v>
      </c>
      <c r="I526" s="277">
        <f t="shared" si="78"/>
        <v>6593.77</v>
      </c>
    </row>
    <row r="527" spans="1:9" s="48" customFormat="1" ht="28.5" x14ac:dyDescent="0.2">
      <c r="A527" s="327" t="s">
        <v>2616</v>
      </c>
      <c r="B527" s="224" t="s">
        <v>94</v>
      </c>
      <c r="C527" s="223">
        <v>7774</v>
      </c>
      <c r="D527" s="218" t="s">
        <v>2182</v>
      </c>
      <c r="E527" s="224" t="s">
        <v>63</v>
      </c>
      <c r="F527" s="276">
        <v>148</v>
      </c>
      <c r="G527" s="277">
        <v>157.77000000000001</v>
      </c>
      <c r="H527" s="276">
        <f t="shared" si="77"/>
        <v>157.77000000000001</v>
      </c>
      <c r="I527" s="277">
        <f t="shared" si="78"/>
        <v>23349.960000000003</v>
      </c>
    </row>
    <row r="528" spans="1:9" s="369" customFormat="1" x14ac:dyDescent="0.25">
      <c r="A528" s="424"/>
      <c r="B528" s="370"/>
      <c r="C528" s="371"/>
      <c r="D528" s="372" t="s">
        <v>2201</v>
      </c>
      <c r="E528" s="370"/>
      <c r="F528" s="373"/>
      <c r="G528" s="374"/>
      <c r="H528" s="276"/>
      <c r="I528" s="277"/>
    </row>
    <row r="529" spans="1:9" s="48" customFormat="1" ht="14.25" x14ac:dyDescent="0.2">
      <c r="A529" s="327" t="s">
        <v>2617</v>
      </c>
      <c r="B529" s="224" t="s">
        <v>94</v>
      </c>
      <c r="C529" s="223">
        <v>9875</v>
      </c>
      <c r="D529" s="218" t="s">
        <v>2205</v>
      </c>
      <c r="E529" s="224" t="s">
        <v>63</v>
      </c>
      <c r="F529" s="276">
        <v>700</v>
      </c>
      <c r="G529" s="277">
        <v>10.76</v>
      </c>
      <c r="H529" s="276">
        <f t="shared" si="77"/>
        <v>10.76</v>
      </c>
      <c r="I529" s="277">
        <f t="shared" si="78"/>
        <v>7532</v>
      </c>
    </row>
    <row r="530" spans="1:9" s="48" customFormat="1" ht="14.25" x14ac:dyDescent="0.2">
      <c r="A530" s="327" t="s">
        <v>2618</v>
      </c>
      <c r="B530" s="224" t="s">
        <v>94</v>
      </c>
      <c r="C530" s="223">
        <v>1194</v>
      </c>
      <c r="D530" s="218" t="s">
        <v>2206</v>
      </c>
      <c r="E530" s="224" t="s">
        <v>64</v>
      </c>
      <c r="F530" s="276">
        <v>1</v>
      </c>
      <c r="G530" s="277">
        <v>4.93</v>
      </c>
      <c r="H530" s="276">
        <f t="shared" si="77"/>
        <v>4.93</v>
      </c>
      <c r="I530" s="277">
        <f t="shared" si="78"/>
        <v>4.93</v>
      </c>
    </row>
    <row r="531" spans="1:9" s="48" customFormat="1" ht="14.25" x14ac:dyDescent="0.2">
      <c r="A531" s="327" t="s">
        <v>2619</v>
      </c>
      <c r="B531" s="224" t="s">
        <v>94</v>
      </c>
      <c r="C531" s="223">
        <v>1439</v>
      </c>
      <c r="D531" s="218" t="s">
        <v>2207</v>
      </c>
      <c r="E531" s="224" t="s">
        <v>64</v>
      </c>
      <c r="F531" s="276">
        <v>1</v>
      </c>
      <c r="G531" s="277">
        <v>4.75</v>
      </c>
      <c r="H531" s="276">
        <f t="shared" si="77"/>
        <v>4.75</v>
      </c>
      <c r="I531" s="277">
        <f t="shared" si="78"/>
        <v>4.75</v>
      </c>
    </row>
    <row r="532" spans="1:9" s="48" customFormat="1" ht="14.25" x14ac:dyDescent="0.2">
      <c r="A532" s="327" t="s">
        <v>2620</v>
      </c>
      <c r="B532" s="224" t="s">
        <v>94</v>
      </c>
      <c r="C532" s="223">
        <v>9869</v>
      </c>
      <c r="D532" s="218" t="s">
        <v>252</v>
      </c>
      <c r="E532" s="224" t="s">
        <v>63</v>
      </c>
      <c r="F532" s="276">
        <v>98</v>
      </c>
      <c r="G532" s="277">
        <v>6.06</v>
      </c>
      <c r="H532" s="276">
        <f t="shared" si="77"/>
        <v>6.06</v>
      </c>
      <c r="I532" s="277">
        <f t="shared" si="78"/>
        <v>593.88</v>
      </c>
    </row>
    <row r="533" spans="1:9" s="48" customFormat="1" ht="14.25" x14ac:dyDescent="0.2">
      <c r="A533" s="327" t="s">
        <v>2621</v>
      </c>
      <c r="B533" s="224" t="s">
        <v>94</v>
      </c>
      <c r="C533" s="223">
        <v>9868</v>
      </c>
      <c r="D533" s="218" t="s">
        <v>254</v>
      </c>
      <c r="E533" s="224" t="s">
        <v>63</v>
      </c>
      <c r="F533" s="276">
        <v>150</v>
      </c>
      <c r="G533" s="277">
        <v>2.78</v>
      </c>
      <c r="H533" s="276">
        <f t="shared" si="77"/>
        <v>2.78</v>
      </c>
      <c r="I533" s="277">
        <f t="shared" si="78"/>
        <v>416.99999999999994</v>
      </c>
    </row>
    <row r="534" spans="1:9" s="48" customFormat="1" ht="14.25" x14ac:dyDescent="0.2">
      <c r="A534" s="327" t="s">
        <v>2622</v>
      </c>
      <c r="B534" s="224" t="s">
        <v>94</v>
      </c>
      <c r="C534" s="223">
        <v>1956</v>
      </c>
      <c r="D534" s="218" t="s">
        <v>208</v>
      </c>
      <c r="E534" s="224" t="s">
        <v>64</v>
      </c>
      <c r="F534" s="276">
        <v>4</v>
      </c>
      <c r="G534" s="277">
        <v>1.91</v>
      </c>
      <c r="H534" s="276">
        <f t="shared" si="77"/>
        <v>1.91</v>
      </c>
      <c r="I534" s="277">
        <f t="shared" si="78"/>
        <v>7.64</v>
      </c>
    </row>
    <row r="535" spans="1:9" s="48" customFormat="1" ht="14.25" x14ac:dyDescent="0.2">
      <c r="A535" s="327" t="s">
        <v>2623</v>
      </c>
      <c r="B535" s="224" t="s">
        <v>94</v>
      </c>
      <c r="C535" s="223">
        <v>7140</v>
      </c>
      <c r="D535" s="218" t="s">
        <v>259</v>
      </c>
      <c r="E535" s="224" t="s">
        <v>64</v>
      </c>
      <c r="F535" s="276">
        <v>2</v>
      </c>
      <c r="G535" s="277">
        <v>2.39</v>
      </c>
      <c r="H535" s="276">
        <f t="shared" si="77"/>
        <v>2.39</v>
      </c>
      <c r="I535" s="277">
        <f t="shared" si="78"/>
        <v>4.78</v>
      </c>
    </row>
    <row r="536" spans="1:9" s="48" customFormat="1" ht="14.25" x14ac:dyDescent="0.2">
      <c r="A536" s="327" t="s">
        <v>2624</v>
      </c>
      <c r="B536" s="224" t="s">
        <v>94</v>
      </c>
      <c r="C536" s="223">
        <v>7139</v>
      </c>
      <c r="D536" s="218" t="s">
        <v>296</v>
      </c>
      <c r="E536" s="224" t="s">
        <v>64</v>
      </c>
      <c r="F536" s="276">
        <v>1</v>
      </c>
      <c r="G536" s="277">
        <v>0.96</v>
      </c>
      <c r="H536" s="276">
        <f t="shared" si="77"/>
        <v>0.96</v>
      </c>
      <c r="I536" s="277">
        <f t="shared" si="78"/>
        <v>0.96</v>
      </c>
    </row>
    <row r="537" spans="1:9" s="48" customFormat="1" ht="14.25" x14ac:dyDescent="0.2">
      <c r="A537" s="327" t="s">
        <v>2625</v>
      </c>
      <c r="B537" s="224" t="s">
        <v>94</v>
      </c>
      <c r="C537" s="223">
        <v>7136</v>
      </c>
      <c r="D537" s="218" t="s">
        <v>944</v>
      </c>
      <c r="E537" s="224" t="s">
        <v>64</v>
      </c>
      <c r="F537" s="276">
        <v>5</v>
      </c>
      <c r="G537" s="277">
        <v>4.4400000000000004</v>
      </c>
      <c r="H537" s="276">
        <f t="shared" si="77"/>
        <v>4.4400000000000004</v>
      </c>
      <c r="I537" s="277">
        <f t="shared" si="78"/>
        <v>22.200000000000003</v>
      </c>
    </row>
    <row r="538" spans="1:9" s="48" customFormat="1" ht="14.25" x14ac:dyDescent="0.2">
      <c r="A538" s="327" t="s">
        <v>2626</v>
      </c>
      <c r="B538" s="224" t="s">
        <v>94</v>
      </c>
      <c r="C538" s="224">
        <v>829</v>
      </c>
      <c r="D538" s="218" t="s">
        <v>261</v>
      </c>
      <c r="E538" s="224" t="s">
        <v>64</v>
      </c>
      <c r="F538" s="276">
        <v>3</v>
      </c>
      <c r="G538" s="277">
        <v>0.56999999999999995</v>
      </c>
      <c r="H538" s="276">
        <f t="shared" si="77"/>
        <v>0.56999999999999995</v>
      </c>
      <c r="I538" s="277">
        <f t="shared" si="78"/>
        <v>1.71</v>
      </c>
    </row>
    <row r="539" spans="1:9" s="48" customFormat="1" ht="14.25" x14ac:dyDescent="0.2">
      <c r="A539" s="327" t="s">
        <v>2627</v>
      </c>
      <c r="B539" s="224" t="s">
        <v>94</v>
      </c>
      <c r="C539" s="223">
        <v>107</v>
      </c>
      <c r="D539" s="218" t="s">
        <v>298</v>
      </c>
      <c r="E539" s="224" t="s">
        <v>64</v>
      </c>
      <c r="F539" s="276">
        <v>8</v>
      </c>
      <c r="G539" s="277">
        <v>0.61</v>
      </c>
      <c r="H539" s="276">
        <f t="shared" si="77"/>
        <v>0.61</v>
      </c>
      <c r="I539" s="277">
        <f t="shared" si="78"/>
        <v>4.88</v>
      </c>
    </row>
    <row r="540" spans="1:9" s="48" customFormat="1" ht="28.5" x14ac:dyDescent="0.2">
      <c r="A540" s="327" t="s">
        <v>2628</v>
      </c>
      <c r="B540" s="224" t="s">
        <v>94</v>
      </c>
      <c r="C540" s="223">
        <v>7691</v>
      </c>
      <c r="D540" s="218" t="s">
        <v>945</v>
      </c>
      <c r="E540" s="224" t="s">
        <v>63</v>
      </c>
      <c r="F540" s="276">
        <v>8</v>
      </c>
      <c r="G540" s="277">
        <v>8.48</v>
      </c>
      <c r="H540" s="276">
        <f t="shared" si="77"/>
        <v>8.48</v>
      </c>
      <c r="I540" s="277">
        <f t="shared" si="78"/>
        <v>67.84</v>
      </c>
    </row>
    <row r="541" spans="1:9" s="48" customFormat="1" ht="14.25" x14ac:dyDescent="0.2">
      <c r="A541" s="327" t="s">
        <v>2629</v>
      </c>
      <c r="B541" s="224" t="s">
        <v>94</v>
      </c>
      <c r="C541" s="223">
        <v>3450</v>
      </c>
      <c r="D541" s="218" t="s">
        <v>769</v>
      </c>
      <c r="E541" s="224" t="s">
        <v>64</v>
      </c>
      <c r="F541" s="276">
        <v>6</v>
      </c>
      <c r="G541" s="277">
        <v>6.87</v>
      </c>
      <c r="H541" s="276">
        <f t="shared" si="77"/>
        <v>6.87</v>
      </c>
      <c r="I541" s="277">
        <f t="shared" si="78"/>
        <v>41.22</v>
      </c>
    </row>
    <row r="542" spans="1:9" s="48" customFormat="1" ht="14.25" x14ac:dyDescent="0.2">
      <c r="A542" s="327" t="s">
        <v>2630</v>
      </c>
      <c r="B542" s="224" t="s">
        <v>94</v>
      </c>
      <c r="C542" s="224">
        <v>7602</v>
      </c>
      <c r="D542" s="218" t="s">
        <v>768</v>
      </c>
      <c r="E542" s="224" t="s">
        <v>64</v>
      </c>
      <c r="F542" s="276">
        <v>8</v>
      </c>
      <c r="G542" s="277">
        <v>10.16</v>
      </c>
      <c r="H542" s="276">
        <f t="shared" si="77"/>
        <v>10.16</v>
      </c>
      <c r="I542" s="277">
        <f t="shared" si="78"/>
        <v>81.28</v>
      </c>
    </row>
    <row r="543" spans="1:9" s="377" customFormat="1" ht="14.25" x14ac:dyDescent="0.2">
      <c r="A543" s="327" t="s">
        <v>2631</v>
      </c>
      <c r="B543" s="261" t="s">
        <v>94</v>
      </c>
      <c r="C543" s="223">
        <v>63</v>
      </c>
      <c r="D543" s="218" t="s">
        <v>948</v>
      </c>
      <c r="E543" s="224" t="s">
        <v>64</v>
      </c>
      <c r="F543" s="276">
        <v>1</v>
      </c>
      <c r="G543" s="277">
        <v>35.46</v>
      </c>
      <c r="H543" s="276">
        <f t="shared" si="77"/>
        <v>35.46</v>
      </c>
      <c r="I543" s="277">
        <f t="shared" si="78"/>
        <v>35.46</v>
      </c>
    </row>
    <row r="544" spans="1:9" s="377" customFormat="1" ht="14.25" x14ac:dyDescent="0.2">
      <c r="A544" s="327" t="s">
        <v>2632</v>
      </c>
      <c r="B544" s="224" t="s">
        <v>94</v>
      </c>
      <c r="C544" s="223">
        <v>4178</v>
      </c>
      <c r="D544" s="218" t="s">
        <v>947</v>
      </c>
      <c r="E544" s="224" t="s">
        <v>64</v>
      </c>
      <c r="F544" s="276">
        <v>1</v>
      </c>
      <c r="G544" s="277">
        <v>3.83</v>
      </c>
      <c r="H544" s="276">
        <f t="shared" si="77"/>
        <v>3.83</v>
      </c>
      <c r="I544" s="277">
        <f t="shared" si="78"/>
        <v>3.83</v>
      </c>
    </row>
    <row r="545" spans="1:17" s="377" customFormat="1" ht="14.25" x14ac:dyDescent="0.2">
      <c r="A545" s="327" t="s">
        <v>2633</v>
      </c>
      <c r="B545" s="224" t="s">
        <v>94</v>
      </c>
      <c r="C545" s="223">
        <v>108</v>
      </c>
      <c r="D545" s="218" t="s">
        <v>274</v>
      </c>
      <c r="E545" s="224" t="s">
        <v>64</v>
      </c>
      <c r="F545" s="276">
        <v>1</v>
      </c>
      <c r="G545" s="277">
        <v>1.36</v>
      </c>
      <c r="H545" s="276">
        <f t="shared" si="77"/>
        <v>1.36</v>
      </c>
      <c r="I545" s="277">
        <f t="shared" si="78"/>
        <v>1.36</v>
      </c>
    </row>
    <row r="546" spans="1:17" s="48" customFormat="1" ht="14.25" x14ac:dyDescent="0.2">
      <c r="A546" s="327"/>
      <c r="B546" s="224"/>
      <c r="C546" s="223"/>
      <c r="D546" s="218"/>
      <c r="E546" s="224"/>
      <c r="F546" s="276"/>
      <c r="G546" s="277"/>
      <c r="H546" s="276"/>
      <c r="I546" s="277"/>
    </row>
    <row r="547" spans="1:17" s="48" customFormat="1" ht="14.25" x14ac:dyDescent="0.2">
      <c r="A547" s="327"/>
      <c r="B547" s="224"/>
      <c r="C547" s="223"/>
      <c r="D547" s="218"/>
      <c r="E547" s="224"/>
      <c r="F547" s="276"/>
      <c r="G547" s="277"/>
      <c r="H547" s="276"/>
      <c r="I547" s="277"/>
      <c r="J547" s="47"/>
      <c r="K547" s="47"/>
      <c r="L547" s="47"/>
      <c r="M547" s="47"/>
      <c r="N547" s="47"/>
      <c r="O547" s="47"/>
      <c r="Q547" s="47"/>
    </row>
    <row r="548" spans="1:17" s="48" customFormat="1" ht="30" x14ac:dyDescent="0.2">
      <c r="A548" s="416" t="s">
        <v>2634</v>
      </c>
      <c r="B548" s="552" t="s">
        <v>1005</v>
      </c>
      <c r="C548" s="552"/>
      <c r="D548" s="255" t="str">
        <f>ORÇAMENTO!D464</f>
        <v>APLICAÇÃO DO MATERIAL HIDRÁULICO DAS INTERLIGAÇÕES DE PROCESSO, DRENAGEM E ÁGUA FRIA</v>
      </c>
      <c r="E548" s="383"/>
      <c r="F548" s="272"/>
      <c r="G548" s="273"/>
      <c r="H548" s="273"/>
      <c r="I548" s="417">
        <f>SUM(I549:I550)</f>
        <v>14776</v>
      </c>
    </row>
    <row r="549" spans="1:17" s="48" customFormat="1" ht="14.25" x14ac:dyDescent="0.2">
      <c r="A549" s="327" t="s">
        <v>2635</v>
      </c>
      <c r="B549" s="224" t="s">
        <v>94</v>
      </c>
      <c r="C549" s="223" t="s">
        <v>2695</v>
      </c>
      <c r="D549" s="218" t="s">
        <v>34</v>
      </c>
      <c r="E549" s="224" t="s">
        <v>60</v>
      </c>
      <c r="F549" s="276">
        <v>400</v>
      </c>
      <c r="G549" s="277">
        <v>14.76</v>
      </c>
      <c r="H549" s="276">
        <f>G549</f>
        <v>14.76</v>
      </c>
      <c r="I549" s="277">
        <f>F549*H549</f>
        <v>5904</v>
      </c>
    </row>
    <row r="550" spans="1:17" s="48" customFormat="1" ht="14.25" x14ac:dyDescent="0.2">
      <c r="A550" s="327" t="s">
        <v>2636</v>
      </c>
      <c r="B550" s="224" t="s">
        <v>94</v>
      </c>
      <c r="C550" s="223" t="s">
        <v>388</v>
      </c>
      <c r="D550" s="218" t="s">
        <v>35</v>
      </c>
      <c r="E550" s="224" t="s">
        <v>60</v>
      </c>
      <c r="F550" s="276">
        <v>800</v>
      </c>
      <c r="G550" s="277">
        <v>11.09</v>
      </c>
      <c r="H550" s="276">
        <f>G550</f>
        <v>11.09</v>
      </c>
      <c r="I550" s="277">
        <f>F550*H550</f>
        <v>8872</v>
      </c>
    </row>
    <row r="551" spans="1:17" s="48" customFormat="1" ht="14.25" x14ac:dyDescent="0.2">
      <c r="A551" s="327"/>
      <c r="B551" s="314"/>
      <c r="C551" s="314"/>
      <c r="D551" s="256"/>
      <c r="E551" s="314"/>
      <c r="F551" s="274"/>
      <c r="G551" s="274"/>
      <c r="H551" s="274"/>
      <c r="I551" s="275"/>
    </row>
    <row r="552" spans="1:17" s="48" customFormat="1" x14ac:dyDescent="0.2">
      <c r="A552" s="416" t="s">
        <v>2649</v>
      </c>
      <c r="B552" s="552" t="s">
        <v>1006</v>
      </c>
      <c r="C552" s="552"/>
      <c r="D552" s="255" t="s">
        <v>2104</v>
      </c>
      <c r="E552" s="383"/>
      <c r="F552" s="272"/>
      <c r="G552" s="273"/>
      <c r="H552" s="273"/>
      <c r="I552" s="417">
        <f>SUM(I553:I576)</f>
        <v>47690.45</v>
      </c>
    </row>
    <row r="553" spans="1:17" s="48" customFormat="1" x14ac:dyDescent="0.2">
      <c r="A553" s="327"/>
      <c r="B553" s="314"/>
      <c r="C553" s="314"/>
      <c r="D553" s="258" t="s">
        <v>2105</v>
      </c>
      <c r="E553" s="314"/>
      <c r="F553" s="274"/>
      <c r="G553" s="274"/>
      <c r="H553" s="274"/>
      <c r="I553" s="275"/>
    </row>
    <row r="554" spans="1:17" s="48" customFormat="1" ht="14.25" x14ac:dyDescent="0.2">
      <c r="A554" s="327" t="s">
        <v>2637</v>
      </c>
      <c r="B554" s="314" t="s">
        <v>94</v>
      </c>
      <c r="C554" s="314" t="s">
        <v>706</v>
      </c>
      <c r="D554" s="256" t="s">
        <v>2106</v>
      </c>
      <c r="E554" s="314"/>
      <c r="F554" s="274">
        <v>11</v>
      </c>
      <c r="G554" s="274">
        <v>3.58</v>
      </c>
      <c r="H554" s="276">
        <f>G554</f>
        <v>3.58</v>
      </c>
      <c r="I554" s="277">
        <f>F554*H554</f>
        <v>39.380000000000003</v>
      </c>
    </row>
    <row r="555" spans="1:17" s="48" customFormat="1" ht="14.25" x14ac:dyDescent="0.2">
      <c r="A555" s="327" t="s">
        <v>2638</v>
      </c>
      <c r="B555" s="314" t="s">
        <v>94</v>
      </c>
      <c r="C555" s="314">
        <v>5622</v>
      </c>
      <c r="D555" s="256" t="s">
        <v>2107</v>
      </c>
      <c r="E555" s="314"/>
      <c r="F555" s="274">
        <v>25</v>
      </c>
      <c r="G555" s="274">
        <v>4.6399999999999997</v>
      </c>
      <c r="H555" s="276">
        <f t="shared" ref="H555:H576" si="79">G555</f>
        <v>4.6399999999999997</v>
      </c>
      <c r="I555" s="277">
        <f t="shared" ref="I555:I576" si="80">F555*H555</f>
        <v>115.99999999999999</v>
      </c>
    </row>
    <row r="556" spans="1:17" s="48" customFormat="1" x14ac:dyDescent="0.2">
      <c r="A556" s="327"/>
      <c r="B556" s="314"/>
      <c r="C556" s="314"/>
      <c r="D556" s="258" t="s">
        <v>2108</v>
      </c>
      <c r="E556" s="314"/>
      <c r="F556" s="274"/>
      <c r="G556" s="274"/>
      <c r="H556" s="276"/>
      <c r="I556" s="277"/>
    </row>
    <row r="557" spans="1:17" s="48" customFormat="1" ht="14.25" x14ac:dyDescent="0.2">
      <c r="A557" s="327" t="s">
        <v>2639</v>
      </c>
      <c r="B557" s="314" t="s">
        <v>94</v>
      </c>
      <c r="C557" s="314" t="s">
        <v>1038</v>
      </c>
      <c r="D557" s="256" t="s">
        <v>2109</v>
      </c>
      <c r="E557" s="314"/>
      <c r="F557" s="274">
        <v>4</v>
      </c>
      <c r="G557" s="274">
        <v>28.15</v>
      </c>
      <c r="H557" s="276">
        <f t="shared" si="79"/>
        <v>28.15</v>
      </c>
      <c r="I557" s="277">
        <f t="shared" si="80"/>
        <v>112.6</v>
      </c>
    </row>
    <row r="558" spans="1:17" s="48" customFormat="1" ht="14.25" x14ac:dyDescent="0.2">
      <c r="A558" s="327" t="s">
        <v>2640</v>
      </c>
      <c r="B558" s="314" t="s">
        <v>94</v>
      </c>
      <c r="C558" s="314">
        <v>5622</v>
      </c>
      <c r="D558" s="256" t="s">
        <v>2110</v>
      </c>
      <c r="E558" s="314"/>
      <c r="F558" s="274">
        <v>4</v>
      </c>
      <c r="G558" s="274">
        <v>4.6399999999999997</v>
      </c>
      <c r="H558" s="276">
        <f t="shared" si="79"/>
        <v>4.6399999999999997</v>
      </c>
      <c r="I558" s="277">
        <f t="shared" si="80"/>
        <v>18.559999999999999</v>
      </c>
    </row>
    <row r="559" spans="1:17" s="48" customFormat="1" ht="28.5" x14ac:dyDescent="0.2">
      <c r="A559" s="327" t="s">
        <v>2641</v>
      </c>
      <c r="B559" s="314" t="s">
        <v>94</v>
      </c>
      <c r="C559" s="314" t="s">
        <v>2129</v>
      </c>
      <c r="D559" s="256" t="s">
        <v>2111</v>
      </c>
      <c r="E559" s="314"/>
      <c r="F559" s="274">
        <v>3</v>
      </c>
      <c r="G559" s="274">
        <v>20.52</v>
      </c>
      <c r="H559" s="276">
        <f t="shared" si="79"/>
        <v>20.52</v>
      </c>
      <c r="I559" s="277">
        <f t="shared" si="80"/>
        <v>61.56</v>
      </c>
    </row>
    <row r="560" spans="1:17" s="48" customFormat="1" ht="14.25" x14ac:dyDescent="0.2">
      <c r="A560" s="327" t="s">
        <v>2642</v>
      </c>
      <c r="B560" s="314" t="s">
        <v>94</v>
      </c>
      <c r="C560" s="314" t="s">
        <v>2130</v>
      </c>
      <c r="D560" s="256" t="s">
        <v>2112</v>
      </c>
      <c r="E560" s="314"/>
      <c r="F560" s="274">
        <v>2</v>
      </c>
      <c r="G560" s="274">
        <v>8.44</v>
      </c>
      <c r="H560" s="276">
        <f t="shared" si="79"/>
        <v>8.44</v>
      </c>
      <c r="I560" s="277">
        <f t="shared" si="80"/>
        <v>16.88</v>
      </c>
    </row>
    <row r="561" spans="1:9" s="48" customFormat="1" ht="14.25" x14ac:dyDescent="0.2">
      <c r="A561" s="327" t="s">
        <v>2643</v>
      </c>
      <c r="B561" s="314" t="s">
        <v>94</v>
      </c>
      <c r="C561" s="314" t="s">
        <v>771</v>
      </c>
      <c r="D561" s="256" t="s">
        <v>2113</v>
      </c>
      <c r="E561" s="314"/>
      <c r="F561" s="274">
        <v>2</v>
      </c>
      <c r="G561" s="274">
        <v>56.31</v>
      </c>
      <c r="H561" s="276">
        <f t="shared" si="79"/>
        <v>56.31</v>
      </c>
      <c r="I561" s="277">
        <f t="shared" si="80"/>
        <v>112.62</v>
      </c>
    </row>
    <row r="562" spans="1:9" s="48" customFormat="1" ht="14.25" x14ac:dyDescent="0.2">
      <c r="A562" s="327" t="s">
        <v>2644</v>
      </c>
      <c r="B562" s="314" t="s">
        <v>94</v>
      </c>
      <c r="C562" s="314" t="s">
        <v>714</v>
      </c>
      <c r="D562" s="256" t="s">
        <v>2114</v>
      </c>
      <c r="E562" s="314"/>
      <c r="F562" s="274">
        <v>2</v>
      </c>
      <c r="G562" s="274">
        <v>1.45</v>
      </c>
      <c r="H562" s="276">
        <f t="shared" si="79"/>
        <v>1.45</v>
      </c>
      <c r="I562" s="277">
        <f t="shared" si="80"/>
        <v>2.9</v>
      </c>
    </row>
    <row r="563" spans="1:9" s="48" customFormat="1" ht="14.25" x14ac:dyDescent="0.2">
      <c r="A563" s="327" t="s">
        <v>2650</v>
      </c>
      <c r="B563" s="314" t="s">
        <v>94</v>
      </c>
      <c r="C563" s="314">
        <v>72880</v>
      </c>
      <c r="D563" s="256" t="s">
        <v>2115</v>
      </c>
      <c r="E563" s="314"/>
      <c r="F563" s="274">
        <v>2.6</v>
      </c>
      <c r="G563" s="274">
        <v>2.6</v>
      </c>
      <c r="H563" s="276">
        <f t="shared" si="79"/>
        <v>2.6</v>
      </c>
      <c r="I563" s="277">
        <f t="shared" si="80"/>
        <v>6.7600000000000007</v>
      </c>
    </row>
    <row r="564" spans="1:9" s="48" customFormat="1" ht="14.25" x14ac:dyDescent="0.2">
      <c r="A564" s="327" t="s">
        <v>2651</v>
      </c>
      <c r="B564" s="314" t="s">
        <v>94</v>
      </c>
      <c r="C564" s="314">
        <v>83344</v>
      </c>
      <c r="D564" s="256" t="s">
        <v>2116</v>
      </c>
      <c r="E564" s="314"/>
      <c r="F564" s="274">
        <v>2</v>
      </c>
      <c r="G564" s="274">
        <v>0.95</v>
      </c>
      <c r="H564" s="276">
        <f t="shared" si="79"/>
        <v>0.95</v>
      </c>
      <c r="I564" s="277">
        <f t="shared" si="80"/>
        <v>1.9</v>
      </c>
    </row>
    <row r="565" spans="1:9" s="48" customFormat="1" x14ac:dyDescent="0.2">
      <c r="A565" s="327"/>
      <c r="B565" s="314"/>
      <c r="C565" s="314"/>
      <c r="D565" s="258" t="s">
        <v>2117</v>
      </c>
      <c r="E565" s="314"/>
      <c r="F565" s="274"/>
      <c r="G565" s="274"/>
      <c r="H565" s="276"/>
      <c r="I565" s="277"/>
    </row>
    <row r="566" spans="1:9" s="48" customFormat="1" ht="14.25" x14ac:dyDescent="0.2">
      <c r="A566" s="327" t="s">
        <v>2652</v>
      </c>
      <c r="B566" s="314" t="s">
        <v>94</v>
      </c>
      <c r="C566" s="314">
        <v>84214</v>
      </c>
      <c r="D566" s="256" t="s">
        <v>2118</v>
      </c>
      <c r="E566" s="314"/>
      <c r="F566" s="274">
        <v>7</v>
      </c>
      <c r="G566" s="274">
        <v>45.19</v>
      </c>
      <c r="H566" s="276">
        <f t="shared" si="79"/>
        <v>45.19</v>
      </c>
      <c r="I566" s="277">
        <f t="shared" si="80"/>
        <v>316.33</v>
      </c>
    </row>
    <row r="567" spans="1:9" s="48" customFormat="1" ht="14.25" x14ac:dyDescent="0.2">
      <c r="A567" s="327" t="s">
        <v>2653</v>
      </c>
      <c r="B567" s="314" t="s">
        <v>94</v>
      </c>
      <c r="C567" s="314">
        <v>83668</v>
      </c>
      <c r="D567" s="256" t="s">
        <v>2119</v>
      </c>
      <c r="E567" s="314"/>
      <c r="F567" s="274">
        <v>1</v>
      </c>
      <c r="G567" s="274">
        <v>94.41</v>
      </c>
      <c r="H567" s="276">
        <f t="shared" si="79"/>
        <v>94.41</v>
      </c>
      <c r="I567" s="277">
        <f t="shared" si="80"/>
        <v>94.41</v>
      </c>
    </row>
    <row r="568" spans="1:9" s="48" customFormat="1" x14ac:dyDescent="0.2">
      <c r="A568" s="327"/>
      <c r="B568" s="314"/>
      <c r="C568" s="314"/>
      <c r="D568" s="258" t="s">
        <v>2120</v>
      </c>
      <c r="E568" s="314"/>
      <c r="F568" s="274"/>
      <c r="G568" s="274"/>
      <c r="H568" s="276"/>
      <c r="I568" s="277"/>
    </row>
    <row r="569" spans="1:9" s="48" customFormat="1" ht="14.25" x14ac:dyDescent="0.2">
      <c r="A569" s="327" t="s">
        <v>2654</v>
      </c>
      <c r="B569" s="314" t="s">
        <v>94</v>
      </c>
      <c r="C569" s="314" t="s">
        <v>2131</v>
      </c>
      <c r="D569" s="256" t="s">
        <v>2121</v>
      </c>
      <c r="E569" s="314"/>
      <c r="F569" s="274">
        <v>300</v>
      </c>
      <c r="G569" s="274">
        <v>5.7</v>
      </c>
      <c r="H569" s="276">
        <f t="shared" si="79"/>
        <v>5.7</v>
      </c>
      <c r="I569" s="277">
        <f t="shared" si="80"/>
        <v>1710</v>
      </c>
    </row>
    <row r="570" spans="1:9" s="48" customFormat="1" ht="28.5" x14ac:dyDescent="0.2">
      <c r="A570" s="327" t="s">
        <v>2655</v>
      </c>
      <c r="B570" s="314" t="s">
        <v>94</v>
      </c>
      <c r="C570" s="314" t="s">
        <v>2132</v>
      </c>
      <c r="D570" s="256" t="s">
        <v>2122</v>
      </c>
      <c r="E570" s="314"/>
      <c r="F570" s="274">
        <v>1</v>
      </c>
      <c r="G570" s="274">
        <v>284.19</v>
      </c>
      <c r="H570" s="276">
        <f t="shared" si="79"/>
        <v>284.19</v>
      </c>
      <c r="I570" s="277">
        <f t="shared" si="80"/>
        <v>284.19</v>
      </c>
    </row>
    <row r="571" spans="1:9" s="48" customFormat="1" ht="28.5" x14ac:dyDescent="0.2">
      <c r="A571" s="327" t="s">
        <v>2656</v>
      </c>
      <c r="B571" s="314" t="s">
        <v>94</v>
      </c>
      <c r="C571" s="314" t="s">
        <v>2133</v>
      </c>
      <c r="D571" s="256" t="s">
        <v>2123</v>
      </c>
      <c r="E571" s="314"/>
      <c r="F571" s="274">
        <v>3</v>
      </c>
      <c r="G571" s="274">
        <v>362</v>
      </c>
      <c r="H571" s="276">
        <f t="shared" si="79"/>
        <v>362</v>
      </c>
      <c r="I571" s="277">
        <f t="shared" si="80"/>
        <v>1086</v>
      </c>
    </row>
    <row r="572" spans="1:9" s="48" customFormat="1" ht="28.5" x14ac:dyDescent="0.2">
      <c r="A572" s="327" t="s">
        <v>2657</v>
      </c>
      <c r="B572" s="314" t="s">
        <v>94</v>
      </c>
      <c r="C572" s="314">
        <v>72819</v>
      </c>
      <c r="D572" s="256" t="s">
        <v>2124</v>
      </c>
      <c r="E572" s="314"/>
      <c r="F572" s="274">
        <v>50</v>
      </c>
      <c r="G572" s="274">
        <v>85.1</v>
      </c>
      <c r="H572" s="276">
        <f t="shared" si="79"/>
        <v>85.1</v>
      </c>
      <c r="I572" s="277">
        <f t="shared" si="80"/>
        <v>4255</v>
      </c>
    </row>
    <row r="573" spans="1:9" s="48" customFormat="1" x14ac:dyDescent="0.2">
      <c r="A573" s="327"/>
      <c r="B573" s="314"/>
      <c r="C573" s="314"/>
      <c r="D573" s="258" t="s">
        <v>2125</v>
      </c>
      <c r="E573" s="314"/>
      <c r="F573" s="274"/>
      <c r="G573" s="274"/>
      <c r="H573" s="276"/>
      <c r="I573" s="277"/>
    </row>
    <row r="574" spans="1:9" s="48" customFormat="1" ht="14.25" x14ac:dyDescent="0.2">
      <c r="A574" s="327" t="s">
        <v>2658</v>
      </c>
      <c r="B574" s="314" t="s">
        <v>94</v>
      </c>
      <c r="C574" s="314" t="s">
        <v>2134</v>
      </c>
      <c r="D574" s="256" t="s">
        <v>2126</v>
      </c>
      <c r="E574" s="314"/>
      <c r="F574" s="274">
        <v>1</v>
      </c>
      <c r="G574" s="275">
        <v>7455.36</v>
      </c>
      <c r="H574" s="276">
        <f t="shared" si="79"/>
        <v>7455.36</v>
      </c>
      <c r="I574" s="277">
        <f t="shared" si="80"/>
        <v>7455.36</v>
      </c>
    </row>
    <row r="575" spans="1:9" s="48" customFormat="1" x14ac:dyDescent="0.2">
      <c r="A575" s="327"/>
      <c r="B575" s="314"/>
      <c r="C575" s="314"/>
      <c r="D575" s="258" t="s">
        <v>2127</v>
      </c>
      <c r="E575" s="314"/>
      <c r="F575" s="274"/>
      <c r="G575" s="274"/>
      <c r="H575" s="276"/>
      <c r="I575" s="277"/>
    </row>
    <row r="576" spans="1:9" s="48" customFormat="1" ht="28.5" x14ac:dyDescent="0.2">
      <c r="A576" s="327" t="s">
        <v>2659</v>
      </c>
      <c r="B576" s="314" t="s">
        <v>145</v>
      </c>
      <c r="C576" s="314"/>
      <c r="D576" s="256" t="s">
        <v>2128</v>
      </c>
      <c r="E576" s="314"/>
      <c r="F576" s="274">
        <v>1</v>
      </c>
      <c r="G576" s="274">
        <v>32000</v>
      </c>
      <c r="H576" s="276">
        <f t="shared" si="79"/>
        <v>32000</v>
      </c>
      <c r="I576" s="277">
        <f t="shared" si="80"/>
        <v>32000</v>
      </c>
    </row>
    <row r="577" spans="1:17" s="48" customFormat="1" x14ac:dyDescent="0.25">
      <c r="A577" s="327"/>
      <c r="B577" s="344"/>
      <c r="C577" s="313"/>
      <c r="D577" s="313"/>
      <c r="E577" s="313"/>
      <c r="F577" s="313"/>
      <c r="G577" s="226"/>
      <c r="H577" s="313"/>
      <c r="I577" s="215"/>
    </row>
    <row r="578" spans="1:17" s="48" customFormat="1" x14ac:dyDescent="0.2">
      <c r="A578" s="416" t="s">
        <v>2645</v>
      </c>
      <c r="B578" s="552" t="s">
        <v>2648</v>
      </c>
      <c r="C578" s="552"/>
      <c r="D578" s="255" t="s">
        <v>1007</v>
      </c>
      <c r="E578" s="383" t="s">
        <v>64</v>
      </c>
      <c r="F578" s="272"/>
      <c r="G578" s="273"/>
      <c r="H578" s="273"/>
      <c r="I578" s="417">
        <f>SUM(I579:I585)</f>
        <v>309.78999999999996</v>
      </c>
    </row>
    <row r="579" spans="1:17" s="48" customFormat="1" ht="28.5" x14ac:dyDescent="0.2">
      <c r="A579" s="327" t="s">
        <v>2646</v>
      </c>
      <c r="B579" s="313" t="s">
        <v>94</v>
      </c>
      <c r="C579" s="216">
        <v>21150</v>
      </c>
      <c r="D579" s="226" t="s">
        <v>1008</v>
      </c>
      <c r="E579" s="313" t="s">
        <v>63</v>
      </c>
      <c r="F579" s="215">
        <v>1.5</v>
      </c>
      <c r="G579" s="215">
        <v>18.579999999999998</v>
      </c>
      <c r="H579" s="215">
        <f t="shared" ref="H579:H585" si="81">ROUND((1+K$3)*G579,2)</f>
        <v>18.579999999999998</v>
      </c>
      <c r="I579" s="215">
        <f t="shared" ref="I579:I585" si="82">ROUND(F579*H579,2)</f>
        <v>27.87</v>
      </c>
    </row>
    <row r="580" spans="1:17" s="48" customFormat="1" ht="28.5" x14ac:dyDescent="0.2">
      <c r="A580" s="327" t="s">
        <v>2647</v>
      </c>
      <c r="B580" s="313" t="s">
        <v>94</v>
      </c>
      <c r="C580" s="216">
        <v>21146</v>
      </c>
      <c r="D580" s="226" t="s">
        <v>946</v>
      </c>
      <c r="E580" s="313" t="s">
        <v>63</v>
      </c>
      <c r="F580" s="215">
        <v>7</v>
      </c>
      <c r="G580" s="215">
        <v>21.52</v>
      </c>
      <c r="H580" s="215">
        <f t="shared" si="81"/>
        <v>21.52</v>
      </c>
      <c r="I580" s="215">
        <f t="shared" si="82"/>
        <v>150.63999999999999</v>
      </c>
    </row>
    <row r="581" spans="1:17" s="48" customFormat="1" ht="14.25" x14ac:dyDescent="0.2">
      <c r="A581" s="327" t="s">
        <v>2660</v>
      </c>
      <c r="B581" s="313" t="s">
        <v>94</v>
      </c>
      <c r="C581" s="216">
        <v>3444</v>
      </c>
      <c r="D581" s="226" t="s">
        <v>1009</v>
      </c>
      <c r="E581" s="313" t="s">
        <v>65</v>
      </c>
      <c r="F581" s="215">
        <v>1</v>
      </c>
      <c r="G581" s="215">
        <v>3.86</v>
      </c>
      <c r="H581" s="215">
        <f t="shared" si="81"/>
        <v>3.86</v>
      </c>
      <c r="I581" s="215">
        <f t="shared" si="82"/>
        <v>3.86</v>
      </c>
    </row>
    <row r="582" spans="1:17" s="48" customFormat="1" ht="14.25" x14ac:dyDescent="0.2">
      <c r="A582" s="327" t="s">
        <v>2661</v>
      </c>
      <c r="B582" s="313" t="s">
        <v>94</v>
      </c>
      <c r="C582" s="216">
        <v>11749</v>
      </c>
      <c r="D582" s="226" t="s">
        <v>1010</v>
      </c>
      <c r="E582" s="313" t="s">
        <v>65</v>
      </c>
      <c r="F582" s="215">
        <v>1</v>
      </c>
      <c r="G582" s="215">
        <v>40.729999999999997</v>
      </c>
      <c r="H582" s="215">
        <f t="shared" si="81"/>
        <v>40.729999999999997</v>
      </c>
      <c r="I582" s="215">
        <f t="shared" si="82"/>
        <v>40.729999999999997</v>
      </c>
    </row>
    <row r="583" spans="1:17" s="48" customFormat="1" ht="14.25" x14ac:dyDescent="0.2">
      <c r="A583" s="327" t="s">
        <v>2662</v>
      </c>
      <c r="B583" s="313" t="s">
        <v>94</v>
      </c>
      <c r="C583" s="216">
        <v>11746</v>
      </c>
      <c r="D583" s="226" t="s">
        <v>1011</v>
      </c>
      <c r="E583" s="313" t="s">
        <v>65</v>
      </c>
      <c r="F583" s="215">
        <v>1</v>
      </c>
      <c r="G583" s="215">
        <v>54.99</v>
      </c>
      <c r="H583" s="215">
        <f t="shared" si="81"/>
        <v>54.99</v>
      </c>
      <c r="I583" s="215">
        <f t="shared" si="82"/>
        <v>54.99</v>
      </c>
    </row>
    <row r="584" spans="1:17" s="48" customFormat="1" ht="14.25" x14ac:dyDescent="0.2">
      <c r="A584" s="327" t="s">
        <v>2663</v>
      </c>
      <c r="B584" s="313" t="s">
        <v>94</v>
      </c>
      <c r="C584" s="216">
        <v>4179</v>
      </c>
      <c r="D584" s="226" t="s">
        <v>1012</v>
      </c>
      <c r="E584" s="313" t="s">
        <v>65</v>
      </c>
      <c r="F584" s="215">
        <v>3</v>
      </c>
      <c r="G584" s="215">
        <v>6.46</v>
      </c>
      <c r="H584" s="215">
        <f t="shared" si="81"/>
        <v>6.46</v>
      </c>
      <c r="I584" s="215">
        <f t="shared" si="82"/>
        <v>19.38</v>
      </c>
    </row>
    <row r="585" spans="1:17" s="48" customFormat="1" ht="14.25" x14ac:dyDescent="0.2">
      <c r="A585" s="327" t="s">
        <v>2664</v>
      </c>
      <c r="B585" s="313" t="s">
        <v>94</v>
      </c>
      <c r="C585" s="216">
        <v>6303</v>
      </c>
      <c r="D585" s="226" t="s">
        <v>1013</v>
      </c>
      <c r="E585" s="313" t="s">
        <v>65</v>
      </c>
      <c r="F585" s="215">
        <v>1</v>
      </c>
      <c r="G585" s="215">
        <v>12.32</v>
      </c>
      <c r="H585" s="215">
        <f t="shared" si="81"/>
        <v>12.32</v>
      </c>
      <c r="I585" s="215">
        <f t="shared" si="82"/>
        <v>12.32</v>
      </c>
    </row>
    <row r="586" spans="1:17" s="48" customFormat="1" ht="14.25" x14ac:dyDescent="0.2">
      <c r="A586" s="327"/>
      <c r="B586" s="313"/>
      <c r="C586" s="313"/>
      <c r="D586" s="226"/>
      <c r="E586" s="313"/>
      <c r="F586" s="215"/>
      <c r="G586" s="345"/>
      <c r="H586" s="215"/>
      <c r="I586" s="215"/>
    </row>
    <row r="587" spans="1:17" s="48" customFormat="1" ht="14.25" x14ac:dyDescent="0.2">
      <c r="A587" s="327"/>
      <c r="B587" s="313"/>
      <c r="C587" s="313"/>
      <c r="D587" s="226"/>
      <c r="E587" s="313"/>
      <c r="F587" s="215"/>
      <c r="G587" s="215"/>
      <c r="H587" s="215"/>
      <c r="I587" s="215"/>
    </row>
    <row r="588" spans="1:17" s="48" customFormat="1" x14ac:dyDescent="0.2">
      <c r="A588" s="416" t="s">
        <v>2665</v>
      </c>
      <c r="B588" s="552" t="s">
        <v>2668</v>
      </c>
      <c r="C588" s="552"/>
      <c r="D588" s="255" t="str">
        <f>ORÇAMENTO!D480</f>
        <v>INSTALAÇÃO DO QUEIMADOR DE BIOGÁS</v>
      </c>
      <c r="E588" s="383"/>
      <c r="F588" s="272"/>
      <c r="G588" s="273"/>
      <c r="H588" s="273"/>
      <c r="I588" s="417">
        <f>SUM(I589:I590)</f>
        <v>258.5</v>
      </c>
    </row>
    <row r="589" spans="1:17" s="48" customFormat="1" ht="14.25" x14ac:dyDescent="0.2">
      <c r="A589" s="327" t="s">
        <v>2666</v>
      </c>
      <c r="B589" s="224" t="s">
        <v>94</v>
      </c>
      <c r="C589" s="223" t="s">
        <v>2695</v>
      </c>
      <c r="D589" s="218" t="s">
        <v>34</v>
      </c>
      <c r="E589" s="224" t="s">
        <v>60</v>
      </c>
      <c r="F589" s="276">
        <v>10</v>
      </c>
      <c r="G589" s="277">
        <v>14.76</v>
      </c>
      <c r="H589" s="276">
        <f>G589</f>
        <v>14.76</v>
      </c>
      <c r="I589" s="277">
        <f>F589*H589</f>
        <v>147.6</v>
      </c>
    </row>
    <row r="590" spans="1:17" s="48" customFormat="1" ht="14.25" x14ac:dyDescent="0.2">
      <c r="A590" s="327" t="s">
        <v>2667</v>
      </c>
      <c r="B590" s="224" t="s">
        <v>94</v>
      </c>
      <c r="C590" s="223" t="s">
        <v>388</v>
      </c>
      <c r="D590" s="218" t="s">
        <v>35</v>
      </c>
      <c r="E590" s="224" t="s">
        <v>60</v>
      </c>
      <c r="F590" s="276">
        <v>10</v>
      </c>
      <c r="G590" s="277">
        <v>11.09</v>
      </c>
      <c r="H590" s="276">
        <f>G590</f>
        <v>11.09</v>
      </c>
      <c r="I590" s="277">
        <f>F590*H590</f>
        <v>110.9</v>
      </c>
    </row>
    <row r="591" spans="1:17" s="48" customFormat="1" ht="14.25" x14ac:dyDescent="0.2">
      <c r="A591" s="327"/>
      <c r="B591" s="313"/>
      <c r="C591" s="313"/>
      <c r="D591" s="218"/>
      <c r="E591" s="224"/>
      <c r="F591" s="276"/>
      <c r="G591" s="277"/>
      <c r="H591" s="276"/>
      <c r="I591" s="277"/>
    </row>
    <row r="592" spans="1:17" s="48" customFormat="1" ht="20.25" customHeight="1" x14ac:dyDescent="0.2">
      <c r="A592" s="416" t="s">
        <v>2669</v>
      </c>
      <c r="B592" s="552" t="s">
        <v>2674</v>
      </c>
      <c r="C592" s="552"/>
      <c r="D592" s="255" t="s">
        <v>989</v>
      </c>
      <c r="E592" s="383" t="s">
        <v>64</v>
      </c>
      <c r="F592" s="272"/>
      <c r="G592" s="273"/>
      <c r="H592" s="273"/>
      <c r="I592" s="417">
        <f>SUM(I593:I596)</f>
        <v>280.95000000000005</v>
      </c>
      <c r="J592" s="49"/>
      <c r="K592" s="50"/>
      <c r="L592" s="49"/>
      <c r="M592" s="49"/>
      <c r="N592" s="49"/>
      <c r="O592" s="49"/>
      <c r="P592" s="49"/>
      <c r="Q592" s="49"/>
    </row>
    <row r="593" spans="1:18" s="48" customFormat="1" ht="20.25" customHeight="1" x14ac:dyDescent="0.2">
      <c r="A593" s="336" t="s">
        <v>2670</v>
      </c>
      <c r="B593" s="313" t="s">
        <v>94</v>
      </c>
      <c r="C593" s="313">
        <v>73410</v>
      </c>
      <c r="D593" s="218" t="s">
        <v>982</v>
      </c>
      <c r="E593" s="313" t="s">
        <v>61</v>
      </c>
      <c r="F593" s="337">
        <v>2.77</v>
      </c>
      <c r="G593" s="338">
        <v>53.65</v>
      </c>
      <c r="H593" s="338">
        <f>ROUND((1+K$3)*G593,2)</f>
        <v>53.65</v>
      </c>
      <c r="I593" s="338">
        <f t="shared" ref="I593:I596" si="83">ROUND(F593*H593,2)</f>
        <v>148.61000000000001</v>
      </c>
      <c r="J593" s="49"/>
      <c r="K593" s="50"/>
      <c r="L593" s="49"/>
      <c r="M593" s="49"/>
      <c r="N593" s="49"/>
      <c r="O593" s="49"/>
      <c r="P593" s="49"/>
      <c r="Q593" s="49"/>
    </row>
    <row r="594" spans="1:18" s="48" customFormat="1" ht="28.5" x14ac:dyDescent="0.2">
      <c r="A594" s="336" t="s">
        <v>2671</v>
      </c>
      <c r="B594" s="313" t="s">
        <v>94</v>
      </c>
      <c r="C594" s="313">
        <v>73406</v>
      </c>
      <c r="D594" s="218" t="s">
        <v>984</v>
      </c>
      <c r="E594" s="313" t="s">
        <v>62</v>
      </c>
      <c r="F594" s="337">
        <v>0.28000000000000003</v>
      </c>
      <c r="G594" s="338">
        <v>392.91</v>
      </c>
      <c r="H594" s="338">
        <f>ROUND((1+K$3)*G594,2)</f>
        <v>392.91</v>
      </c>
      <c r="I594" s="338">
        <f t="shared" si="83"/>
        <v>110.01</v>
      </c>
      <c r="J594" s="49"/>
      <c r="K594" s="50"/>
      <c r="L594" s="49"/>
      <c r="M594" s="49"/>
      <c r="N594" s="49"/>
      <c r="O594" s="49"/>
      <c r="P594" s="49"/>
      <c r="Q594" s="49"/>
    </row>
    <row r="595" spans="1:18" s="48" customFormat="1" ht="14.25" customHeight="1" x14ac:dyDescent="0.2">
      <c r="A595" s="336" t="s">
        <v>2672</v>
      </c>
      <c r="B595" s="314" t="s">
        <v>94</v>
      </c>
      <c r="C595" s="314">
        <v>4750</v>
      </c>
      <c r="D595" s="342" t="s">
        <v>556</v>
      </c>
      <c r="E595" s="220" t="s">
        <v>60</v>
      </c>
      <c r="F595" s="338">
        <v>1</v>
      </c>
      <c r="G595" s="215">
        <v>12.92</v>
      </c>
      <c r="H595" s="338">
        <f>ROUND((1+K$3)*G595,2)</f>
        <v>12.92</v>
      </c>
      <c r="I595" s="338">
        <f t="shared" si="83"/>
        <v>12.92</v>
      </c>
      <c r="J595" s="49"/>
      <c r="K595" s="50"/>
      <c r="L595" s="49"/>
      <c r="M595" s="49"/>
      <c r="N595" s="49"/>
      <c r="O595" s="49"/>
      <c r="P595" s="49"/>
      <c r="Q595" s="49"/>
    </row>
    <row r="596" spans="1:18" s="160" customFormat="1" ht="14.25" x14ac:dyDescent="0.2">
      <c r="A596" s="336" t="s">
        <v>2673</v>
      </c>
      <c r="B596" s="220" t="s">
        <v>94</v>
      </c>
      <c r="C596" s="220">
        <v>6127</v>
      </c>
      <c r="D596" s="267" t="s">
        <v>985</v>
      </c>
      <c r="E596" s="220" t="s">
        <v>60</v>
      </c>
      <c r="F596" s="337">
        <v>1</v>
      </c>
      <c r="G596" s="268">
        <v>9.41</v>
      </c>
      <c r="H596" s="338">
        <f>ROUND((1+K$3)*G596,2)</f>
        <v>9.41</v>
      </c>
      <c r="I596" s="338">
        <f t="shared" si="83"/>
        <v>9.41</v>
      </c>
      <c r="J596" s="343"/>
      <c r="K596" s="343"/>
      <c r="L596" s="343"/>
      <c r="M596" s="343"/>
      <c r="N596" s="343"/>
      <c r="O596" s="343"/>
      <c r="P596" s="343"/>
      <c r="Q596" s="343"/>
      <c r="R596" s="341"/>
    </row>
    <row r="597" spans="1:18" s="160" customFormat="1" ht="14.25" x14ac:dyDescent="0.2">
      <c r="A597" s="327"/>
      <c r="B597" s="224"/>
      <c r="C597" s="223"/>
      <c r="D597" s="218"/>
      <c r="E597" s="314"/>
      <c r="F597" s="274"/>
      <c r="G597" s="274"/>
      <c r="H597" s="276"/>
      <c r="I597" s="277"/>
    </row>
    <row r="598" spans="1:18" s="48" customFormat="1" ht="18.75" customHeight="1" x14ac:dyDescent="0.2">
      <c r="A598" s="416" t="s">
        <v>2675</v>
      </c>
      <c r="B598" s="552" t="s">
        <v>2680</v>
      </c>
      <c r="C598" s="552"/>
      <c r="D598" s="255" t="s">
        <v>865</v>
      </c>
      <c r="E598" s="383" t="s">
        <v>64</v>
      </c>
      <c r="F598" s="272"/>
      <c r="G598" s="273"/>
      <c r="H598" s="273"/>
      <c r="I598" s="417">
        <f>SUM(I599:I602)</f>
        <v>421.59000000000003</v>
      </c>
      <c r="J598" s="49"/>
      <c r="K598" s="50"/>
      <c r="L598" s="49"/>
      <c r="M598" s="49"/>
      <c r="N598" s="49"/>
      <c r="O598" s="49"/>
      <c r="P598" s="49"/>
      <c r="Q598" s="49"/>
    </row>
    <row r="599" spans="1:18" s="341" customFormat="1" ht="18.75" customHeight="1" x14ac:dyDescent="0.2">
      <c r="A599" s="336" t="s">
        <v>2676</v>
      </c>
      <c r="B599" s="313" t="s">
        <v>94</v>
      </c>
      <c r="C599" s="223">
        <v>73410</v>
      </c>
      <c r="D599" s="218" t="s">
        <v>982</v>
      </c>
      <c r="E599" s="313" t="s">
        <v>61</v>
      </c>
      <c r="F599" s="337">
        <v>3.78</v>
      </c>
      <c r="G599" s="338">
        <v>53.65</v>
      </c>
      <c r="H599" s="338">
        <f>ROUND((1+K$3)*G599,2)</f>
        <v>53.65</v>
      </c>
      <c r="I599" s="338">
        <f t="shared" ref="I599:I602" si="84">ROUND(F599*H599,2)</f>
        <v>202.8</v>
      </c>
      <c r="J599" s="339"/>
      <c r="K599" s="340"/>
      <c r="L599" s="339"/>
      <c r="M599" s="339"/>
      <c r="N599" s="339"/>
      <c r="O599" s="339"/>
      <c r="P599" s="339"/>
      <c r="Q599" s="339"/>
    </row>
    <row r="600" spans="1:18" s="48" customFormat="1" ht="28.5" x14ac:dyDescent="0.2">
      <c r="A600" s="336" t="s">
        <v>2677</v>
      </c>
      <c r="B600" s="313" t="s">
        <v>94</v>
      </c>
      <c r="C600" s="223" t="s">
        <v>983</v>
      </c>
      <c r="D600" s="218" t="s">
        <v>984</v>
      </c>
      <c r="E600" s="313" t="s">
        <v>62</v>
      </c>
      <c r="F600" s="337">
        <v>0.5</v>
      </c>
      <c r="G600" s="338">
        <v>392.91</v>
      </c>
      <c r="H600" s="338">
        <f>ROUND((1+K$3)*G600,2)</f>
        <v>392.91</v>
      </c>
      <c r="I600" s="338">
        <f t="shared" si="84"/>
        <v>196.46</v>
      </c>
      <c r="J600" s="49"/>
      <c r="K600" s="50"/>
      <c r="L600" s="49"/>
      <c r="M600" s="49"/>
      <c r="N600" s="49"/>
      <c r="O600" s="49"/>
      <c r="P600" s="49"/>
      <c r="Q600" s="49"/>
    </row>
    <row r="601" spans="1:18" s="48" customFormat="1" ht="14.25" customHeight="1" x14ac:dyDescent="0.2">
      <c r="A601" s="336" t="s">
        <v>2678</v>
      </c>
      <c r="B601" s="313" t="s">
        <v>94</v>
      </c>
      <c r="C601" s="314">
        <v>4750</v>
      </c>
      <c r="D601" s="342" t="s">
        <v>556</v>
      </c>
      <c r="E601" s="220" t="s">
        <v>60</v>
      </c>
      <c r="F601" s="338">
        <v>1</v>
      </c>
      <c r="G601" s="215">
        <v>12.92</v>
      </c>
      <c r="H601" s="338">
        <f>ROUND((1+K$3)*G601,2)</f>
        <v>12.92</v>
      </c>
      <c r="I601" s="338">
        <f t="shared" si="84"/>
        <v>12.92</v>
      </c>
      <c r="J601" s="49"/>
      <c r="K601" s="50"/>
      <c r="L601" s="49"/>
      <c r="M601" s="49"/>
      <c r="N601" s="49"/>
      <c r="O601" s="49"/>
      <c r="P601" s="49"/>
      <c r="Q601" s="49"/>
    </row>
    <row r="602" spans="1:18" s="160" customFormat="1" ht="14.25" x14ac:dyDescent="0.2">
      <c r="A602" s="336" t="s">
        <v>2679</v>
      </c>
      <c r="B602" s="220" t="s">
        <v>94</v>
      </c>
      <c r="C602" s="220">
        <v>6127</v>
      </c>
      <c r="D602" s="267" t="s">
        <v>985</v>
      </c>
      <c r="E602" s="220" t="s">
        <v>60</v>
      </c>
      <c r="F602" s="337">
        <v>1</v>
      </c>
      <c r="G602" s="268">
        <v>9.41</v>
      </c>
      <c r="H602" s="338">
        <f>ROUND((1+K$3)*G602,2)</f>
        <v>9.41</v>
      </c>
      <c r="I602" s="338">
        <f t="shared" si="84"/>
        <v>9.41</v>
      </c>
      <c r="J602" s="343"/>
      <c r="K602" s="343"/>
      <c r="L602" s="343"/>
      <c r="M602" s="343"/>
      <c r="N602" s="343"/>
      <c r="O602" s="343"/>
      <c r="P602" s="343"/>
      <c r="Q602" s="343"/>
      <c r="R602" s="341"/>
    </row>
    <row r="603" spans="1:18" ht="14.25" x14ac:dyDescent="0.2">
      <c r="A603" s="314"/>
      <c r="B603" s="314"/>
      <c r="C603" s="314"/>
      <c r="D603" s="256"/>
      <c r="E603" s="314"/>
      <c r="F603" s="274"/>
      <c r="G603" s="274"/>
      <c r="H603" s="274"/>
      <c r="I603" s="275"/>
    </row>
    <row r="604" spans="1:18" ht="14.25" x14ac:dyDescent="0.2">
      <c r="A604" s="314"/>
      <c r="B604" s="314"/>
      <c r="C604" s="314"/>
      <c r="D604" s="256"/>
      <c r="E604" s="314"/>
      <c r="F604" s="274"/>
      <c r="G604" s="274"/>
      <c r="H604" s="274"/>
      <c r="I604" s="275"/>
    </row>
    <row r="605" spans="1:18" ht="14.25" x14ac:dyDescent="0.2">
      <c r="A605" s="314"/>
      <c r="B605" s="314"/>
      <c r="C605" s="314"/>
      <c r="D605" s="256"/>
      <c r="E605" s="314"/>
      <c r="F605" s="274"/>
      <c r="G605" s="274"/>
      <c r="H605" s="274"/>
      <c r="I605" s="275"/>
    </row>
    <row r="606" spans="1:18" ht="14.25" x14ac:dyDescent="0.2">
      <c r="A606" s="314"/>
      <c r="B606" s="314"/>
      <c r="C606" s="314"/>
      <c r="D606" s="256"/>
      <c r="E606" s="314"/>
      <c r="F606" s="274"/>
      <c r="G606" s="274"/>
      <c r="H606" s="274"/>
      <c r="I606" s="275"/>
    </row>
    <row r="607" spans="1:18" ht="14.25" x14ac:dyDescent="0.2">
      <c r="A607" s="314"/>
      <c r="B607" s="314"/>
      <c r="C607" s="314"/>
      <c r="D607" s="256"/>
      <c r="E607" s="314"/>
      <c r="F607" s="274"/>
      <c r="G607" s="274"/>
      <c r="H607" s="274"/>
      <c r="I607" s="275"/>
    </row>
    <row r="608" spans="1:18" ht="14.25" x14ac:dyDescent="0.2">
      <c r="A608" s="314"/>
      <c r="B608" s="314"/>
      <c r="C608" s="314"/>
      <c r="D608" s="256"/>
      <c r="E608" s="314"/>
      <c r="F608" s="274"/>
      <c r="G608" s="274"/>
      <c r="H608" s="274"/>
      <c r="I608" s="275"/>
    </row>
    <row r="609" spans="1:9" ht="14.25" x14ac:dyDescent="0.2">
      <c r="A609" s="314"/>
      <c r="B609" s="314"/>
      <c r="C609" s="314"/>
      <c r="D609" s="256"/>
      <c r="E609" s="314"/>
      <c r="F609" s="274"/>
      <c r="G609" s="274"/>
      <c r="H609" s="274"/>
      <c r="I609" s="275"/>
    </row>
  </sheetData>
  <mergeCells count="57">
    <mergeCell ref="B588:C588"/>
    <mergeCell ref="B350:C350"/>
    <mergeCell ref="B376:C376"/>
    <mergeCell ref="B480:C480"/>
    <mergeCell ref="B548:C548"/>
    <mergeCell ref="B578:C578"/>
    <mergeCell ref="B552:C552"/>
    <mergeCell ref="B504:C504"/>
    <mergeCell ref="B491:C491"/>
    <mergeCell ref="B485:C485"/>
    <mergeCell ref="B172:C172"/>
    <mergeCell ref="B149:C149"/>
    <mergeCell ref="B297:C297"/>
    <mergeCell ref="B403:C403"/>
    <mergeCell ref="B380:C380"/>
    <mergeCell ref="B392:C392"/>
    <mergeCell ref="B309:C309"/>
    <mergeCell ref="B341:C341"/>
    <mergeCell ref="B335:C335"/>
    <mergeCell ref="B354:C354"/>
    <mergeCell ref="B181:C181"/>
    <mergeCell ref="B176:C176"/>
    <mergeCell ref="B187:C187"/>
    <mergeCell ref="B267:C267"/>
    <mergeCell ref="B273:C273"/>
    <mergeCell ref="B207:C207"/>
    <mergeCell ref="B43:C43"/>
    <mergeCell ref="B122:C122"/>
    <mergeCell ref="B114:C114"/>
    <mergeCell ref="B65:C65"/>
    <mergeCell ref="B126:C126"/>
    <mergeCell ref="B52:C52"/>
    <mergeCell ref="B104:C104"/>
    <mergeCell ref="B77:C77"/>
    <mergeCell ref="B598:C598"/>
    <mergeCell ref="B592:C592"/>
    <mergeCell ref="B108:C108"/>
    <mergeCell ref="B315:C315"/>
    <mergeCell ref="A1:I1"/>
    <mergeCell ref="B3:D3"/>
    <mergeCell ref="B5:D5"/>
    <mergeCell ref="A9:A11"/>
    <mergeCell ref="B9:B11"/>
    <mergeCell ref="C9:C11"/>
    <mergeCell ref="D9:D11"/>
    <mergeCell ref="E9:E11"/>
    <mergeCell ref="F9:F11"/>
    <mergeCell ref="B13:C13"/>
    <mergeCell ref="B58:C58"/>
    <mergeCell ref="B303:C303"/>
    <mergeCell ref="B331:C331"/>
    <mergeCell ref="B193:C193"/>
    <mergeCell ref="B213:C213"/>
    <mergeCell ref="B262:C262"/>
    <mergeCell ref="B293:C293"/>
    <mergeCell ref="B219:C219"/>
    <mergeCell ref="B279:C279"/>
  </mergeCells>
  <printOptions horizontalCentered="1"/>
  <pageMargins left="0.39370078740157483" right="0.43307086614173229" top="0.78740157480314965" bottom="0.59055118110236227" header="0.35433070866141736" footer="0.31496062992125984"/>
  <pageSetup paperSize="9" scale="69" orientation="landscape" r:id="rId1"/>
  <headerFooter alignWithMargins="0">
    <oddHeader>&amp;L&amp;G&amp;R&amp;G</oddHeader>
    <oddFooter>&amp;C&amp;K03+000
Rua Nilton Baldo, 744 – Bairro Jardim Paquetá - CEP 31.330-660 – Belo Horizonte / Minas Gerais.
Endereço Eletrônico: ottawaeng@terra.com.br – Telefax (31) 3418-2175 – CNPJ: 04.472.311/0001-04&amp;R&amp;K03+000Página &amp;P de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3"/>
  <sheetViews>
    <sheetView view="pageBreakPreview" zoomScale="85" zoomScaleNormal="100" zoomScaleSheetLayoutView="85" workbookViewId="0">
      <selection activeCell="C36" sqref="C36"/>
    </sheetView>
  </sheetViews>
  <sheetFormatPr defaultRowHeight="14.25" x14ac:dyDescent="0.2"/>
  <cols>
    <col min="1" max="1" width="12.85546875" style="3" customWidth="1"/>
    <col min="2" max="2" width="43.7109375" style="3" customWidth="1"/>
    <col min="3" max="3" width="15.140625" style="3" customWidth="1"/>
    <col min="4" max="4" width="22.140625" style="61" customWidth="1"/>
    <col min="5" max="5" width="21" style="1" customWidth="1"/>
    <col min="6" max="6" width="5.85546875" style="1" customWidth="1"/>
    <col min="7" max="7" width="9.28515625" style="1" bestFit="1" customWidth="1"/>
    <col min="8" max="16384" width="9.140625" style="1"/>
  </cols>
  <sheetData>
    <row r="1" spans="1:16" ht="32.25" customHeight="1" thickBot="1" x14ac:dyDescent="0.25">
      <c r="A1" s="576" t="s">
        <v>578</v>
      </c>
      <c r="B1" s="577"/>
      <c r="C1" s="577"/>
      <c r="D1" s="578"/>
      <c r="E1" s="52"/>
      <c r="F1" s="52"/>
      <c r="G1" s="52"/>
      <c r="H1" s="52"/>
      <c r="I1" s="52"/>
      <c r="J1" s="52"/>
      <c r="K1" s="52"/>
      <c r="L1" s="52"/>
    </row>
    <row r="2" spans="1:16" ht="4.5" customHeight="1" thickBot="1" x14ac:dyDescent="0.25">
      <c r="A2" s="73"/>
      <c r="B2" s="74"/>
      <c r="C2" s="74"/>
      <c r="D2" s="75"/>
      <c r="E2" s="52"/>
      <c r="F2" s="52"/>
      <c r="G2" s="52"/>
      <c r="H2" s="52"/>
      <c r="I2" s="52"/>
      <c r="J2" s="52"/>
      <c r="K2" s="52"/>
      <c r="L2" s="52"/>
    </row>
    <row r="3" spans="1:16" ht="20.100000000000001" customHeight="1" thickBot="1" x14ac:dyDescent="0.25">
      <c r="A3" s="151" t="s">
        <v>87</v>
      </c>
      <c r="B3" s="579" t="s">
        <v>1047</v>
      </c>
      <c r="C3" s="579"/>
      <c r="D3" s="580"/>
      <c r="E3" s="52"/>
      <c r="F3" s="52"/>
      <c r="G3" s="52"/>
      <c r="H3" s="52"/>
      <c r="I3" s="52"/>
      <c r="J3" s="52"/>
      <c r="K3" s="52"/>
      <c r="L3" s="52"/>
    </row>
    <row r="4" spans="1:16" ht="4.5" customHeight="1" thickBot="1" x14ac:dyDescent="0.25">
      <c r="A4" s="76"/>
      <c r="B4" s="72"/>
      <c r="C4" s="72"/>
      <c r="D4" s="77"/>
      <c r="E4" s="52"/>
      <c r="F4" s="52"/>
      <c r="G4" s="52"/>
      <c r="H4" s="52"/>
      <c r="I4" s="52"/>
      <c r="J4" s="52"/>
      <c r="K4" s="52"/>
      <c r="L4" s="52"/>
    </row>
    <row r="5" spans="1:16" ht="20.100000000000001" customHeight="1" thickBot="1" x14ac:dyDescent="0.25">
      <c r="A5" s="152" t="s">
        <v>447</v>
      </c>
      <c r="B5" s="581" t="s">
        <v>898</v>
      </c>
      <c r="C5" s="582"/>
      <c r="D5" s="583"/>
      <c r="E5" s="52"/>
      <c r="F5" s="52"/>
      <c r="G5" s="52"/>
      <c r="H5" s="52"/>
      <c r="I5" s="52"/>
      <c r="J5" s="52"/>
      <c r="K5" s="52"/>
      <c r="L5" s="52"/>
    </row>
    <row r="6" spans="1:16" ht="4.5" customHeight="1" thickBot="1" x14ac:dyDescent="0.25">
      <c r="A6" s="73"/>
      <c r="B6" s="74"/>
      <c r="C6" s="74"/>
      <c r="D6" s="75"/>
      <c r="E6" s="52"/>
      <c r="F6" s="52"/>
      <c r="G6" s="52"/>
      <c r="H6" s="52"/>
      <c r="I6" s="52"/>
      <c r="J6" s="52"/>
      <c r="K6" s="52"/>
      <c r="L6" s="52"/>
    </row>
    <row r="7" spans="1:16" ht="20.100000000000001" customHeight="1" thickBot="1" x14ac:dyDescent="0.25">
      <c r="A7" s="151" t="s">
        <v>88</v>
      </c>
      <c r="B7" s="153" t="s">
        <v>1043</v>
      </c>
      <c r="C7" s="154" t="s">
        <v>605</v>
      </c>
      <c r="D7" s="155" t="s">
        <v>1045</v>
      </c>
      <c r="E7" s="80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4.5" customHeight="1" thickBot="1" x14ac:dyDescent="0.25">
      <c r="A8" s="73"/>
      <c r="B8" s="74"/>
      <c r="C8" s="74"/>
      <c r="D8" s="75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s="7" customFormat="1" ht="20.100000000000001" customHeight="1" thickBot="1" x14ac:dyDescent="0.3">
      <c r="A9" s="156" t="s">
        <v>449</v>
      </c>
      <c r="B9" s="157" t="s">
        <v>579</v>
      </c>
      <c r="C9" s="157" t="s">
        <v>580</v>
      </c>
      <c r="D9" s="158" t="s">
        <v>581</v>
      </c>
      <c r="E9" s="81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s="7" customFormat="1" ht="4.5" customHeight="1" thickBot="1" x14ac:dyDescent="0.25">
      <c r="A10" s="82"/>
      <c r="B10" s="83"/>
      <c r="C10" s="83"/>
      <c r="D10" s="84"/>
      <c r="E10" s="81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s="7" customFormat="1" ht="20.100000000000001" customHeight="1" thickBot="1" x14ac:dyDescent="0.25">
      <c r="A11" s="85"/>
      <c r="B11" s="86"/>
      <c r="C11" s="86"/>
      <c r="D11" s="87"/>
      <c r="E11" s="88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s="7" customFormat="1" ht="20.100000000000001" customHeight="1" thickTop="1" thickBot="1" x14ac:dyDescent="0.3">
      <c r="A12" s="89" t="s">
        <v>582</v>
      </c>
      <c r="B12" s="90" t="s">
        <v>583</v>
      </c>
      <c r="C12" s="91"/>
      <c r="D12" s="92">
        <f>D22-D14</f>
        <v>3560025.7452206942</v>
      </c>
      <c r="E12" s="93"/>
      <c r="F12" s="52"/>
      <c r="G12" s="311">
        <f>D34/D12</f>
        <v>1.2787996143319396</v>
      </c>
      <c r="H12" s="52"/>
      <c r="I12" s="52"/>
      <c r="J12" s="52"/>
      <c r="K12" s="52"/>
      <c r="L12" s="52"/>
      <c r="M12" s="52"/>
      <c r="N12" s="52"/>
      <c r="O12" s="52"/>
      <c r="P12" s="52"/>
    </row>
    <row r="13" spans="1:16" s="7" customFormat="1" ht="20.100000000000001" customHeight="1" thickBot="1" x14ac:dyDescent="0.25">
      <c r="A13" s="94"/>
      <c r="B13" s="95"/>
      <c r="C13" s="96"/>
      <c r="D13" s="97"/>
      <c r="E13"/>
      <c r="F13" s="52"/>
      <c r="G13" s="312">
        <f>D34/(D12-ORÇAMENTO!N18)</f>
        <v>1.4727962202881786</v>
      </c>
      <c r="H13" s="52"/>
      <c r="I13" s="52"/>
      <c r="J13" s="52"/>
      <c r="K13" s="52"/>
      <c r="L13" s="52"/>
      <c r="M13" s="52"/>
      <c r="N13" s="52"/>
      <c r="O13" s="52"/>
      <c r="P13" s="52"/>
    </row>
    <row r="14" spans="1:16" s="7" customFormat="1" ht="20.100000000000001" customHeight="1" thickTop="1" x14ac:dyDescent="0.25">
      <c r="A14" s="89" t="s">
        <v>584</v>
      </c>
      <c r="B14" s="90" t="s">
        <v>585</v>
      </c>
      <c r="C14" s="98">
        <f>SUM(C15:C19)</f>
        <v>7.9600000000000004E-2</v>
      </c>
      <c r="D14" s="99">
        <f>SUM(D15:D19)</f>
        <v>307885.75545368018</v>
      </c>
      <c r="E14" s="100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s="7" customFormat="1" ht="20.100000000000001" customHeight="1" x14ac:dyDescent="0.2">
      <c r="A15" s="94" t="s">
        <v>158</v>
      </c>
      <c r="B15" s="95" t="s">
        <v>586</v>
      </c>
      <c r="C15" s="101">
        <v>5.04E-2</v>
      </c>
      <c r="D15" s="102">
        <f>C15*D$22</f>
        <v>194942.73963398847</v>
      </c>
      <c r="E15" s="103"/>
      <c r="F15" s="52"/>
      <c r="G15" s="325"/>
      <c r="H15" s="52"/>
      <c r="I15" s="52"/>
      <c r="J15" s="52"/>
      <c r="K15" s="52"/>
      <c r="L15" s="52"/>
      <c r="M15" s="52"/>
      <c r="N15" s="52"/>
      <c r="O15" s="52"/>
      <c r="P15" s="52"/>
    </row>
    <row r="16" spans="1:16" s="7" customFormat="1" ht="20.100000000000001" customHeight="1" x14ac:dyDescent="0.2">
      <c r="A16" s="94" t="s">
        <v>385</v>
      </c>
      <c r="B16" s="95" t="s">
        <v>1031</v>
      </c>
      <c r="C16" s="101">
        <v>2.8999999999999998E-3</v>
      </c>
      <c r="D16" s="102">
        <f t="shared" ref="D16:D19" si="0">C16*D$22</f>
        <v>11216.943351955684</v>
      </c>
      <c r="E16" s="103"/>
      <c r="F16" s="52"/>
      <c r="G16" s="325"/>
      <c r="H16" s="52"/>
      <c r="I16" s="52"/>
      <c r="J16" s="52"/>
      <c r="K16" s="52"/>
      <c r="L16" s="52"/>
      <c r="M16" s="52"/>
      <c r="N16" s="52"/>
      <c r="O16" s="52"/>
      <c r="P16" s="52"/>
    </row>
    <row r="17" spans="1:16" s="7" customFormat="1" ht="20.100000000000001" customHeight="1" x14ac:dyDescent="0.2">
      <c r="A17" s="94" t="s">
        <v>376</v>
      </c>
      <c r="B17" s="95" t="s">
        <v>857</v>
      </c>
      <c r="C17" s="101">
        <v>1.3899999999999999E-2</v>
      </c>
      <c r="D17" s="102">
        <f t="shared" si="0"/>
        <v>53763.969859373799</v>
      </c>
      <c r="E17" s="103"/>
      <c r="F17" s="52"/>
      <c r="G17" s="325"/>
      <c r="H17" s="52"/>
      <c r="I17" s="52"/>
      <c r="J17" s="52"/>
      <c r="K17" s="52"/>
      <c r="L17" s="52"/>
      <c r="M17" s="52"/>
      <c r="N17" s="52"/>
      <c r="O17" s="52"/>
      <c r="P17" s="52"/>
    </row>
    <row r="18" spans="1:16" s="7" customFormat="1" ht="20.100000000000001" customHeight="1" x14ac:dyDescent="0.2">
      <c r="A18" s="94" t="s">
        <v>377</v>
      </c>
      <c r="B18" s="95" t="s">
        <v>1030</v>
      </c>
      <c r="C18" s="101">
        <v>2.5000000000000001E-3</v>
      </c>
      <c r="D18" s="102">
        <f t="shared" si="0"/>
        <v>9669.7787516859371</v>
      </c>
      <c r="E18" s="103"/>
      <c r="F18" s="52"/>
      <c r="G18" s="325"/>
      <c r="H18" s="52"/>
      <c r="I18" s="52"/>
      <c r="J18" s="52"/>
      <c r="K18" s="52"/>
      <c r="L18" s="52"/>
      <c r="M18" s="52"/>
      <c r="N18" s="52"/>
      <c r="O18" s="52"/>
      <c r="P18" s="52"/>
    </row>
    <row r="19" spans="1:16" s="48" customFormat="1" ht="20.100000000000001" customHeight="1" x14ac:dyDescent="0.2">
      <c r="A19" s="94" t="s">
        <v>378</v>
      </c>
      <c r="B19" s="104" t="s">
        <v>588</v>
      </c>
      <c r="C19" s="105">
        <v>9.9000000000000008E-3</v>
      </c>
      <c r="D19" s="102">
        <f t="shared" si="0"/>
        <v>38292.32385667631</v>
      </c>
      <c r="E19" s="106"/>
      <c r="F19" s="52"/>
      <c r="G19" s="325"/>
      <c r="H19" s="52"/>
      <c r="I19" s="52"/>
      <c r="J19" s="52"/>
      <c r="K19" s="52"/>
      <c r="L19" s="52"/>
      <c r="M19" s="52"/>
      <c r="N19" s="52"/>
      <c r="O19" s="52"/>
      <c r="P19" s="52"/>
    </row>
    <row r="20" spans="1:16" s="7" customFormat="1" ht="20.100000000000001" customHeight="1" x14ac:dyDescent="0.2">
      <c r="A20" s="573" t="s">
        <v>1032</v>
      </c>
      <c r="B20" s="574"/>
      <c r="C20" s="574"/>
      <c r="D20" s="575"/>
      <c r="E20"/>
      <c r="F20" s="52"/>
      <c r="G20" s="325"/>
      <c r="H20" s="52"/>
      <c r="I20" s="52"/>
      <c r="J20" s="52"/>
      <c r="K20" s="52"/>
      <c r="L20" s="52"/>
      <c r="M20" s="52"/>
      <c r="N20" s="52"/>
      <c r="O20" s="52"/>
      <c r="P20" s="52"/>
    </row>
    <row r="21" spans="1:16" s="7" customFormat="1" ht="20.100000000000001" customHeight="1" x14ac:dyDescent="0.2">
      <c r="A21" s="107"/>
      <c r="B21" s="108"/>
      <c r="C21" s="108"/>
      <c r="D21" s="109"/>
      <c r="E21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</row>
    <row r="22" spans="1:16" s="7" customFormat="1" ht="20.100000000000001" customHeight="1" x14ac:dyDescent="0.25">
      <c r="A22" s="89" t="s">
        <v>589</v>
      </c>
      <c r="B22" s="90" t="s">
        <v>590</v>
      </c>
      <c r="C22" s="91"/>
      <c r="D22" s="99">
        <f>D34-D31-D24</f>
        <v>3867911.5006743744</v>
      </c>
      <c r="E22" s="100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</row>
    <row r="23" spans="1:16" s="7" customFormat="1" ht="20.100000000000001" customHeight="1" x14ac:dyDescent="0.2">
      <c r="A23" s="94"/>
      <c r="B23" s="95"/>
      <c r="C23" s="96"/>
      <c r="D23" s="97"/>
      <c r="E23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</row>
    <row r="24" spans="1:16" s="7" customFormat="1" ht="20.100000000000001" customHeight="1" x14ac:dyDescent="0.25">
      <c r="A24" s="89" t="s">
        <v>591</v>
      </c>
      <c r="B24" s="90" t="s">
        <v>592</v>
      </c>
      <c r="C24" s="98">
        <f>SUM(C25:C28)</f>
        <v>8.1500000000000003E-2</v>
      </c>
      <c r="D24" s="99">
        <f>SUM(D25:D28)</f>
        <v>371033.60332499997</v>
      </c>
      <c r="E24" s="100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</row>
    <row r="25" spans="1:16" s="7" customFormat="1" ht="20.100000000000001" customHeight="1" x14ac:dyDescent="0.2">
      <c r="A25" s="94" t="s">
        <v>162</v>
      </c>
      <c r="B25" s="95" t="s">
        <v>593</v>
      </c>
      <c r="C25" s="101">
        <v>0.03</v>
      </c>
      <c r="D25" s="102">
        <f>C25*D$34</f>
        <v>136576.78649999999</v>
      </c>
      <c r="E25" s="100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</row>
    <row r="26" spans="1:16" s="7" customFormat="1" ht="20.100000000000001" customHeight="1" x14ac:dyDescent="0.2">
      <c r="A26" s="94" t="s">
        <v>251</v>
      </c>
      <c r="B26" s="95" t="s">
        <v>594</v>
      </c>
      <c r="C26" s="101">
        <v>6.4999999999999997E-3</v>
      </c>
      <c r="D26" s="102">
        <f t="shared" ref="D26:D28" si="1">C26*D$34</f>
        <v>29591.637074999999</v>
      </c>
      <c r="E26" s="100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</row>
    <row r="27" spans="1:16" s="7" customFormat="1" ht="20.100000000000001" customHeight="1" x14ac:dyDescent="0.2">
      <c r="A27" s="94" t="s">
        <v>529</v>
      </c>
      <c r="B27" s="95" t="s">
        <v>595</v>
      </c>
      <c r="C27" s="101">
        <v>2.5000000000000001E-2</v>
      </c>
      <c r="D27" s="102">
        <f t="shared" si="1"/>
        <v>113813.98875</v>
      </c>
      <c r="E27" s="100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</row>
    <row r="28" spans="1:16" s="7" customFormat="1" ht="20.100000000000001" customHeight="1" x14ac:dyDescent="0.2">
      <c r="A28" s="94" t="s">
        <v>530</v>
      </c>
      <c r="B28" s="95" t="s">
        <v>858</v>
      </c>
      <c r="C28" s="101">
        <v>0.02</v>
      </c>
      <c r="D28" s="102">
        <f t="shared" si="1"/>
        <v>91051.190999999992</v>
      </c>
      <c r="E28" s="100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</row>
    <row r="29" spans="1:16" s="7" customFormat="1" ht="20.100000000000001" customHeight="1" x14ac:dyDescent="0.2">
      <c r="A29" s="573" t="s">
        <v>596</v>
      </c>
      <c r="B29" s="574"/>
      <c r="C29" s="574"/>
      <c r="D29" s="575"/>
      <c r="E29" s="100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</row>
    <row r="30" spans="1:16" s="7" customFormat="1" ht="20.100000000000001" customHeight="1" x14ac:dyDescent="0.2">
      <c r="A30" s="107"/>
      <c r="B30" s="108"/>
      <c r="C30" s="108"/>
      <c r="D30" s="109"/>
      <c r="E30" s="100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</row>
    <row r="31" spans="1:16" s="7" customFormat="1" ht="20.100000000000001" customHeight="1" x14ac:dyDescent="0.25">
      <c r="A31" s="89" t="s">
        <v>597</v>
      </c>
      <c r="B31" s="90" t="s">
        <v>598</v>
      </c>
      <c r="C31" s="98">
        <v>7.4999999999999997E-2</v>
      </c>
      <c r="D31" s="99">
        <f>C31*(D34-D24)</f>
        <v>313614.44600062497</v>
      </c>
      <c r="E31" s="100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</row>
    <row r="32" spans="1:16" s="7" customFormat="1" ht="20.100000000000001" customHeight="1" x14ac:dyDescent="0.2">
      <c r="A32" s="573" t="s">
        <v>1033</v>
      </c>
      <c r="B32" s="574"/>
      <c r="C32" s="574"/>
      <c r="D32" s="575"/>
      <c r="E3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</row>
    <row r="33" spans="1:16" s="7" customFormat="1" ht="20.100000000000001" customHeight="1" x14ac:dyDescent="0.2">
      <c r="A33" s="107"/>
      <c r="B33" s="108"/>
      <c r="C33" s="108"/>
      <c r="D33" s="109"/>
      <c r="E33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</row>
    <row r="34" spans="1:16" s="7" customFormat="1" ht="20.100000000000001" customHeight="1" x14ac:dyDescent="0.25">
      <c r="A34" s="89" t="s">
        <v>599</v>
      </c>
      <c r="B34" s="90" t="s">
        <v>600</v>
      </c>
      <c r="C34" s="96"/>
      <c r="D34" s="99">
        <f>ORÇAMENTO!I542</f>
        <v>4552559.55</v>
      </c>
      <c r="E34" s="100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</row>
    <row r="35" spans="1:16" s="7" customFormat="1" ht="20.100000000000001" customHeight="1" x14ac:dyDescent="0.2">
      <c r="A35" s="94"/>
      <c r="B35" s="95"/>
      <c r="C35" s="96"/>
      <c r="D35" s="97"/>
      <c r="E35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</row>
    <row r="36" spans="1:16" s="7" customFormat="1" ht="20.100000000000001" customHeight="1" x14ac:dyDescent="0.25">
      <c r="A36" s="89" t="s">
        <v>601</v>
      </c>
      <c r="B36" s="90" t="s">
        <v>602</v>
      </c>
      <c r="C36" s="98">
        <f>(1+C15+C16+C17+C18)*(1+C19)*(1+C31)/(1-C24)-1</f>
        <v>0.26435686690255822</v>
      </c>
      <c r="D36" s="97"/>
      <c r="E36"/>
      <c r="F36" s="52"/>
      <c r="G36" s="347">
        <v>26.44</v>
      </c>
      <c r="H36" s="52"/>
      <c r="I36" s="52"/>
      <c r="J36" s="52"/>
      <c r="K36" s="52"/>
      <c r="L36" s="52"/>
      <c r="M36" s="52"/>
      <c r="N36" s="52"/>
      <c r="O36" s="52"/>
      <c r="P36" s="52"/>
    </row>
    <row r="37" spans="1:16" s="7" customFormat="1" ht="20.100000000000001" customHeight="1" x14ac:dyDescent="0.2">
      <c r="A37" s="110"/>
      <c r="B37" s="111"/>
      <c r="C37" s="111"/>
      <c r="D37" s="112"/>
      <c r="E37"/>
      <c r="F37" s="6"/>
      <c r="G37" s="6"/>
      <c r="H37" s="6"/>
      <c r="I37" s="6"/>
      <c r="J37" s="6"/>
      <c r="K37" s="6"/>
      <c r="L37" s="6"/>
    </row>
    <row r="38" spans="1:16" s="7" customFormat="1" ht="20.100000000000001" customHeight="1" x14ac:dyDescent="0.25">
      <c r="A38" s="113" t="s">
        <v>856</v>
      </c>
      <c r="B38" s="111"/>
      <c r="C38" s="111"/>
      <c r="D38" s="112"/>
      <c r="E38"/>
      <c r="F38" s="6"/>
      <c r="G38" s="6"/>
      <c r="H38" s="6"/>
      <c r="I38" s="6"/>
      <c r="J38" s="6"/>
      <c r="K38" s="6"/>
      <c r="L38" s="6"/>
    </row>
    <row r="39" spans="1:16" s="7" customFormat="1" ht="20.100000000000001" customHeight="1" thickBot="1" x14ac:dyDescent="0.3">
      <c r="A39" s="349" t="s">
        <v>603</v>
      </c>
      <c r="B39" s="116"/>
      <c r="C39" s="116"/>
      <c r="D39" s="117"/>
      <c r="E39"/>
      <c r="F39" s="6"/>
      <c r="G39" s="6"/>
      <c r="H39" s="6"/>
      <c r="I39" s="6"/>
      <c r="J39" s="6"/>
      <c r="K39" s="6"/>
      <c r="L39" s="6"/>
    </row>
    <row r="40" spans="1:16" s="7" customFormat="1" x14ac:dyDescent="0.2">
      <c r="E40" s="6"/>
      <c r="F40" s="8"/>
      <c r="G40" s="6"/>
      <c r="H40" s="6"/>
      <c r="I40" s="6"/>
      <c r="J40" s="6"/>
      <c r="K40" s="6"/>
      <c r="L40" s="6"/>
    </row>
    <row r="41" spans="1:16" ht="15.95" customHeight="1" x14ac:dyDescent="0.2">
      <c r="E41" s="65"/>
      <c r="F41" s="65"/>
      <c r="G41" s="65"/>
      <c r="H41" s="65"/>
      <c r="I41" s="65"/>
      <c r="J41" s="65"/>
      <c r="K41" s="65"/>
      <c r="L41" s="65"/>
    </row>
    <row r="42" spans="1:16" ht="15.95" customHeight="1" x14ac:dyDescent="0.2">
      <c r="E42" s="65"/>
      <c r="F42" s="65"/>
      <c r="G42" s="65"/>
      <c r="H42" s="65"/>
      <c r="I42" s="65"/>
      <c r="J42" s="65"/>
      <c r="K42" s="65"/>
      <c r="L42" s="65"/>
    </row>
    <row r="43" spans="1:16" ht="15.95" customHeight="1" x14ac:dyDescent="0.2">
      <c r="E43" s="65"/>
      <c r="F43" s="65"/>
      <c r="G43" s="65"/>
      <c r="H43" s="65"/>
      <c r="I43" s="65"/>
      <c r="J43" s="65"/>
      <c r="K43" s="65"/>
      <c r="L43" s="65"/>
    </row>
    <row r="44" spans="1:16" ht="15.95" customHeight="1" x14ac:dyDescent="0.2">
      <c r="E44" s="65"/>
      <c r="F44" s="65"/>
      <c r="G44" s="65"/>
      <c r="H44" s="65"/>
      <c r="I44" s="65"/>
      <c r="J44" s="65"/>
      <c r="K44" s="65"/>
      <c r="L44" s="65"/>
    </row>
    <row r="45" spans="1:16" ht="15.95" customHeight="1" x14ac:dyDescent="0.2">
      <c r="E45" s="65"/>
      <c r="F45" s="65"/>
      <c r="G45" s="65"/>
      <c r="H45" s="65"/>
      <c r="I45" s="65"/>
      <c r="J45" s="65"/>
      <c r="K45" s="65"/>
      <c r="L45" s="65"/>
    </row>
    <row r="46" spans="1:16" ht="15.95" customHeight="1" x14ac:dyDescent="0.2">
      <c r="E46" s="65"/>
      <c r="F46" s="65"/>
      <c r="G46" s="65"/>
      <c r="H46" s="65"/>
      <c r="I46" s="65"/>
      <c r="J46" s="65"/>
      <c r="K46" s="65"/>
      <c r="L46" s="65"/>
    </row>
    <row r="47" spans="1:16" ht="15.95" customHeight="1" x14ac:dyDescent="0.2">
      <c r="E47" s="65"/>
      <c r="F47" s="65"/>
      <c r="G47" s="65"/>
      <c r="H47" s="65"/>
      <c r="I47" s="65"/>
      <c r="J47" s="65"/>
      <c r="K47" s="65"/>
      <c r="L47" s="65"/>
    </row>
    <row r="48" spans="1:16" ht="15.95" customHeight="1" x14ac:dyDescent="0.2">
      <c r="A48" s="1"/>
      <c r="B48" s="1"/>
      <c r="C48" s="1"/>
      <c r="D48" s="1"/>
      <c r="E48" s="65"/>
      <c r="F48" s="65"/>
      <c r="G48" s="65"/>
      <c r="H48" s="65"/>
      <c r="I48" s="65"/>
      <c r="J48" s="65"/>
      <c r="K48" s="65"/>
      <c r="L48" s="65"/>
    </row>
    <row r="49" spans="1:12" ht="15.95" customHeight="1" x14ac:dyDescent="0.2">
      <c r="A49" s="1"/>
      <c r="B49" s="1"/>
      <c r="C49" s="1"/>
      <c r="D49" s="1"/>
      <c r="E49" s="65"/>
      <c r="F49" s="65"/>
      <c r="G49" s="65"/>
      <c r="H49" s="65"/>
      <c r="I49" s="65"/>
      <c r="J49" s="65"/>
      <c r="K49" s="65"/>
      <c r="L49" s="65"/>
    </row>
    <row r="50" spans="1:12" ht="15.95" customHeight="1" x14ac:dyDescent="0.2">
      <c r="A50" s="1"/>
      <c r="B50" s="1"/>
      <c r="C50" s="1"/>
      <c r="D50" s="1"/>
      <c r="E50" s="65"/>
      <c r="F50" s="65"/>
      <c r="G50" s="65"/>
      <c r="H50" s="65"/>
      <c r="I50" s="65"/>
      <c r="J50" s="65"/>
      <c r="K50" s="65"/>
      <c r="L50" s="65"/>
    </row>
    <row r="51" spans="1:12" ht="15.95" customHeight="1" x14ac:dyDescent="0.2">
      <c r="A51" s="1"/>
      <c r="B51" s="1"/>
      <c r="C51" s="1"/>
      <c r="D51" s="1"/>
      <c r="E51" s="65"/>
      <c r="F51" s="65"/>
      <c r="G51" s="65"/>
      <c r="H51" s="65"/>
      <c r="I51" s="65"/>
      <c r="J51" s="65"/>
      <c r="K51" s="65"/>
      <c r="L51" s="65"/>
    </row>
    <row r="52" spans="1:12" ht="15.95" customHeight="1" x14ac:dyDescent="0.2">
      <c r="A52" s="1"/>
      <c r="B52" s="1"/>
      <c r="C52" s="1"/>
      <c r="D52" s="1"/>
      <c r="E52" s="65"/>
      <c r="F52" s="65"/>
      <c r="G52" s="65"/>
      <c r="H52" s="65"/>
      <c r="I52" s="65"/>
      <c r="J52" s="65"/>
      <c r="K52" s="65"/>
      <c r="L52" s="65"/>
    </row>
    <row r="53" spans="1:12" ht="15.95" customHeight="1" x14ac:dyDescent="0.2">
      <c r="A53" s="1"/>
      <c r="B53" s="1"/>
      <c r="C53" s="1"/>
      <c r="D53" s="1"/>
      <c r="E53" s="65"/>
      <c r="F53" s="65"/>
      <c r="G53" s="65"/>
      <c r="H53" s="65"/>
      <c r="I53" s="65"/>
      <c r="J53" s="65"/>
      <c r="K53" s="65"/>
      <c r="L53" s="65"/>
    </row>
    <row r="54" spans="1:12" ht="15.95" customHeight="1" x14ac:dyDescent="0.2">
      <c r="A54" s="1"/>
      <c r="B54" s="1"/>
      <c r="C54" s="1"/>
      <c r="D54" s="1"/>
      <c r="E54" s="65"/>
      <c r="F54" s="65"/>
      <c r="G54" s="65"/>
      <c r="H54" s="65"/>
      <c r="I54" s="65"/>
      <c r="J54" s="65"/>
      <c r="K54" s="65"/>
      <c r="L54" s="65"/>
    </row>
    <row r="55" spans="1:12" ht="15.95" customHeight="1" x14ac:dyDescent="0.2">
      <c r="A55" s="1"/>
      <c r="B55" s="1"/>
      <c r="C55" s="1"/>
      <c r="D55" s="1"/>
      <c r="E55" s="65"/>
      <c r="F55" s="65"/>
      <c r="G55" s="65"/>
      <c r="H55" s="65"/>
      <c r="I55" s="65"/>
      <c r="J55" s="65"/>
      <c r="K55" s="65"/>
      <c r="L55" s="65"/>
    </row>
    <row r="56" spans="1:12" ht="15.95" customHeight="1" x14ac:dyDescent="0.2">
      <c r="A56" s="1"/>
      <c r="B56" s="1"/>
      <c r="C56" s="1"/>
      <c r="D56" s="1"/>
      <c r="E56" s="65"/>
      <c r="F56" s="65"/>
      <c r="G56" s="65"/>
      <c r="H56" s="65"/>
      <c r="I56" s="65"/>
      <c r="J56" s="65"/>
      <c r="K56" s="65"/>
      <c r="L56" s="65"/>
    </row>
    <row r="57" spans="1:12" ht="15.95" customHeight="1" x14ac:dyDescent="0.2">
      <c r="A57" s="1"/>
      <c r="B57" s="1"/>
      <c r="C57" s="1"/>
      <c r="D57" s="1"/>
      <c r="E57" s="65"/>
      <c r="F57" s="65"/>
      <c r="G57" s="65"/>
      <c r="H57" s="65"/>
      <c r="I57" s="65"/>
      <c r="J57" s="65"/>
      <c r="K57" s="65"/>
      <c r="L57" s="65"/>
    </row>
    <row r="58" spans="1:12" ht="15.95" customHeight="1" x14ac:dyDescent="0.2">
      <c r="A58" s="1"/>
      <c r="B58" s="1"/>
      <c r="C58" s="1"/>
      <c r="D58" s="1"/>
      <c r="E58" s="65"/>
      <c r="F58" s="65"/>
      <c r="G58" s="65"/>
      <c r="H58" s="65"/>
      <c r="I58" s="65"/>
      <c r="J58" s="65"/>
      <c r="K58" s="65"/>
      <c r="L58" s="65"/>
    </row>
    <row r="59" spans="1:12" ht="15.95" customHeight="1" x14ac:dyDescent="0.2">
      <c r="A59" s="1"/>
      <c r="B59" s="1"/>
      <c r="C59" s="1"/>
      <c r="D59" s="1"/>
      <c r="E59" s="65"/>
      <c r="F59" s="65"/>
      <c r="G59" s="65"/>
      <c r="H59" s="65"/>
      <c r="I59" s="65"/>
      <c r="J59" s="65"/>
      <c r="K59" s="65"/>
      <c r="L59" s="65"/>
    </row>
    <row r="60" spans="1:12" ht="15.95" customHeight="1" x14ac:dyDescent="0.2">
      <c r="A60" s="1"/>
      <c r="B60" s="1"/>
      <c r="C60" s="1"/>
      <c r="D60" s="1"/>
      <c r="E60" s="65"/>
      <c r="F60" s="65"/>
      <c r="G60" s="65"/>
      <c r="H60" s="65"/>
      <c r="I60" s="65"/>
      <c r="J60" s="65"/>
      <c r="K60" s="65"/>
      <c r="L60" s="65"/>
    </row>
    <row r="61" spans="1:12" ht="15.95" customHeight="1" x14ac:dyDescent="0.2">
      <c r="A61" s="1"/>
      <c r="B61" s="1"/>
      <c r="C61" s="1"/>
      <c r="D61" s="1"/>
      <c r="E61" s="65"/>
      <c r="F61" s="65"/>
      <c r="G61" s="65"/>
      <c r="H61" s="65"/>
      <c r="I61" s="65"/>
      <c r="J61" s="65"/>
      <c r="K61" s="65"/>
      <c r="L61" s="65"/>
    </row>
    <row r="62" spans="1:12" ht="15.95" customHeight="1" x14ac:dyDescent="0.2">
      <c r="A62" s="1"/>
      <c r="B62" s="1"/>
      <c r="C62" s="1"/>
      <c r="D62" s="1"/>
      <c r="E62" s="65"/>
      <c r="F62" s="65"/>
      <c r="G62" s="65"/>
      <c r="H62" s="65"/>
      <c r="I62" s="65"/>
      <c r="J62" s="65"/>
      <c r="K62" s="65"/>
      <c r="L62" s="65"/>
    </row>
    <row r="63" spans="1:12" ht="15.95" customHeight="1" x14ac:dyDescent="0.2">
      <c r="A63" s="1"/>
      <c r="B63" s="1"/>
      <c r="C63" s="1"/>
      <c r="D63" s="1"/>
      <c r="E63" s="65"/>
      <c r="F63" s="65"/>
      <c r="G63" s="65"/>
      <c r="H63" s="65"/>
      <c r="I63" s="65"/>
      <c r="J63" s="65"/>
      <c r="K63" s="65"/>
      <c r="L63" s="65"/>
    </row>
    <row r="64" spans="1:12" ht="15.95" customHeight="1" x14ac:dyDescent="0.2">
      <c r="A64" s="1"/>
      <c r="B64" s="1"/>
      <c r="C64" s="1"/>
      <c r="D64" s="1"/>
      <c r="E64" s="65"/>
      <c r="F64" s="65"/>
      <c r="G64" s="65"/>
      <c r="H64" s="65"/>
      <c r="I64" s="65"/>
      <c r="J64" s="65"/>
      <c r="K64" s="65"/>
      <c r="L64" s="65"/>
    </row>
    <row r="65" spans="1:12" ht="15.95" customHeight="1" x14ac:dyDescent="0.2">
      <c r="A65" s="1"/>
      <c r="B65" s="1"/>
      <c r="C65" s="1"/>
      <c r="D65" s="1"/>
      <c r="E65" s="65"/>
      <c r="F65" s="65"/>
      <c r="G65" s="65"/>
      <c r="H65" s="65"/>
      <c r="I65" s="65"/>
      <c r="J65" s="65"/>
      <c r="K65" s="65"/>
      <c r="L65" s="65"/>
    </row>
    <row r="66" spans="1:12" ht="15.95" customHeight="1" x14ac:dyDescent="0.2">
      <c r="A66" s="1"/>
      <c r="B66" s="1"/>
      <c r="C66" s="1"/>
      <c r="D66" s="1"/>
      <c r="E66" s="65"/>
      <c r="F66" s="65"/>
      <c r="G66" s="65"/>
      <c r="H66" s="65"/>
      <c r="I66" s="65"/>
      <c r="J66" s="65"/>
      <c r="K66" s="65"/>
      <c r="L66" s="65"/>
    </row>
    <row r="67" spans="1:12" ht="15.95" customHeight="1" x14ac:dyDescent="0.2">
      <c r="A67" s="1"/>
      <c r="B67" s="1"/>
      <c r="C67" s="1"/>
      <c r="D67" s="1"/>
      <c r="E67" s="65"/>
      <c r="F67" s="65"/>
      <c r="G67" s="65"/>
      <c r="H67" s="65"/>
      <c r="I67" s="65"/>
      <c r="J67" s="65"/>
      <c r="K67" s="65"/>
      <c r="L67" s="65"/>
    </row>
    <row r="68" spans="1:12" ht="15.95" customHeight="1" x14ac:dyDescent="0.2">
      <c r="A68" s="1"/>
      <c r="B68" s="1"/>
      <c r="C68" s="1"/>
      <c r="D68" s="1"/>
      <c r="E68" s="65"/>
      <c r="F68" s="65"/>
      <c r="G68" s="65"/>
      <c r="H68" s="65"/>
      <c r="I68" s="65"/>
      <c r="J68" s="65"/>
      <c r="K68" s="65"/>
      <c r="L68" s="65"/>
    </row>
    <row r="69" spans="1:12" ht="15.95" customHeight="1" x14ac:dyDescent="0.2">
      <c r="A69" s="1"/>
      <c r="B69" s="1"/>
      <c r="C69" s="1"/>
      <c r="D69" s="1"/>
      <c r="E69" s="65"/>
      <c r="F69" s="65"/>
      <c r="G69" s="65"/>
      <c r="H69" s="65"/>
      <c r="I69" s="65"/>
      <c r="J69" s="65"/>
      <c r="K69" s="65"/>
      <c r="L69" s="65"/>
    </row>
    <row r="70" spans="1:12" ht="15.95" customHeight="1" x14ac:dyDescent="0.2">
      <c r="A70" s="1"/>
      <c r="B70" s="1"/>
      <c r="C70" s="1"/>
      <c r="D70" s="1"/>
      <c r="E70" s="65"/>
      <c r="F70" s="65"/>
      <c r="G70" s="65"/>
      <c r="H70" s="65"/>
      <c r="I70" s="65"/>
      <c r="J70" s="65"/>
      <c r="K70" s="65"/>
      <c r="L70" s="65"/>
    </row>
    <row r="71" spans="1:12" ht="15.95" customHeight="1" x14ac:dyDescent="0.2">
      <c r="A71" s="1"/>
      <c r="B71" s="1"/>
      <c r="C71" s="1"/>
      <c r="D71" s="1"/>
      <c r="E71" s="65"/>
      <c r="F71" s="65"/>
      <c r="G71" s="65"/>
      <c r="H71" s="65"/>
      <c r="I71" s="65"/>
      <c r="J71" s="65"/>
      <c r="K71" s="65"/>
      <c r="L71" s="65"/>
    </row>
    <row r="72" spans="1:12" ht="15.95" customHeight="1" x14ac:dyDescent="0.2">
      <c r="A72" s="1"/>
      <c r="B72" s="1"/>
      <c r="C72" s="1"/>
      <c r="D72" s="1"/>
      <c r="E72" s="65"/>
      <c r="F72" s="65"/>
      <c r="G72" s="65"/>
      <c r="H72" s="65"/>
      <c r="I72" s="65"/>
      <c r="J72" s="65"/>
      <c r="K72" s="65"/>
      <c r="L72" s="65"/>
    </row>
    <row r="73" spans="1:12" ht="15.95" customHeight="1" x14ac:dyDescent="0.2">
      <c r="A73" s="1"/>
      <c r="B73" s="1"/>
      <c r="C73" s="1"/>
      <c r="D73" s="1"/>
      <c r="E73" s="65"/>
      <c r="F73" s="65"/>
      <c r="G73" s="65"/>
      <c r="H73" s="65"/>
      <c r="I73" s="65"/>
      <c r="J73" s="65"/>
      <c r="K73" s="65"/>
      <c r="L73" s="65"/>
    </row>
    <row r="74" spans="1:12" ht="15.95" customHeight="1" x14ac:dyDescent="0.2">
      <c r="A74" s="1"/>
      <c r="B74" s="1"/>
      <c r="C74" s="1"/>
      <c r="D74" s="1"/>
      <c r="E74" s="65"/>
      <c r="F74" s="65"/>
      <c r="G74" s="65"/>
      <c r="H74" s="65"/>
      <c r="I74" s="65"/>
      <c r="J74" s="65"/>
      <c r="K74" s="65"/>
      <c r="L74" s="65"/>
    </row>
    <row r="75" spans="1:12" ht="15.95" customHeight="1" x14ac:dyDescent="0.2">
      <c r="A75" s="1"/>
      <c r="B75" s="1"/>
      <c r="C75" s="1"/>
      <c r="D75" s="1"/>
      <c r="E75" s="65"/>
      <c r="F75" s="65"/>
      <c r="G75" s="65"/>
      <c r="H75" s="65"/>
      <c r="I75" s="65"/>
      <c r="J75" s="65"/>
      <c r="K75" s="65"/>
      <c r="L75" s="65"/>
    </row>
    <row r="76" spans="1:12" ht="15.95" customHeight="1" x14ac:dyDescent="0.2">
      <c r="A76" s="1"/>
      <c r="B76" s="1"/>
      <c r="C76" s="1"/>
      <c r="D76" s="1"/>
      <c r="E76" s="65"/>
      <c r="F76" s="65"/>
      <c r="G76" s="65"/>
      <c r="H76" s="65"/>
      <c r="I76" s="65"/>
      <c r="J76" s="65"/>
      <c r="K76" s="65"/>
      <c r="L76" s="65"/>
    </row>
    <row r="77" spans="1:12" ht="15.95" customHeight="1" x14ac:dyDescent="0.2">
      <c r="A77" s="1"/>
      <c r="B77" s="1"/>
      <c r="C77" s="1"/>
      <c r="D77" s="1"/>
      <c r="E77" s="65"/>
      <c r="F77" s="65"/>
      <c r="G77" s="65"/>
      <c r="H77" s="65"/>
      <c r="I77" s="65"/>
      <c r="J77" s="65"/>
      <c r="K77" s="65"/>
      <c r="L77" s="65"/>
    </row>
    <row r="78" spans="1:12" ht="15.95" customHeight="1" x14ac:dyDescent="0.2">
      <c r="A78" s="1"/>
      <c r="B78" s="1"/>
      <c r="C78" s="1"/>
      <c r="D78" s="1"/>
      <c r="E78" s="65"/>
      <c r="F78" s="65"/>
      <c r="G78" s="65"/>
      <c r="H78" s="65"/>
      <c r="I78" s="65"/>
      <c r="J78" s="65"/>
      <c r="K78" s="65"/>
      <c r="L78" s="65"/>
    </row>
    <row r="79" spans="1:12" ht="15.95" customHeight="1" x14ac:dyDescent="0.2">
      <c r="A79" s="1"/>
      <c r="B79" s="1"/>
      <c r="C79" s="1"/>
      <c r="D79" s="1"/>
      <c r="E79" s="65"/>
      <c r="F79" s="65"/>
      <c r="G79" s="65"/>
      <c r="H79" s="65"/>
      <c r="I79" s="65"/>
      <c r="J79" s="65"/>
      <c r="K79" s="65"/>
      <c r="L79" s="65"/>
    </row>
    <row r="80" spans="1:12" ht="15.95" customHeight="1" x14ac:dyDescent="0.2">
      <c r="A80" s="1"/>
      <c r="B80" s="1"/>
      <c r="C80" s="1"/>
      <c r="D80" s="1"/>
      <c r="E80" s="65"/>
      <c r="F80" s="65"/>
      <c r="G80" s="65"/>
      <c r="H80" s="65"/>
      <c r="I80" s="65"/>
      <c r="J80" s="65"/>
      <c r="K80" s="65"/>
      <c r="L80" s="65"/>
    </row>
    <row r="81" spans="1:12" ht="15.95" customHeight="1" x14ac:dyDescent="0.2">
      <c r="A81" s="1"/>
      <c r="B81" s="1"/>
      <c r="C81" s="1"/>
      <c r="D81" s="1"/>
      <c r="E81" s="65"/>
      <c r="F81" s="65"/>
      <c r="G81" s="65"/>
      <c r="H81" s="65"/>
      <c r="I81" s="65"/>
      <c r="J81" s="65"/>
      <c r="K81" s="65"/>
      <c r="L81" s="65"/>
    </row>
    <row r="82" spans="1:12" ht="15.95" customHeight="1" x14ac:dyDescent="0.2">
      <c r="A82" s="1"/>
      <c r="B82" s="1"/>
      <c r="C82" s="1"/>
      <c r="D82" s="1"/>
      <c r="E82" s="65"/>
      <c r="F82" s="65"/>
      <c r="G82" s="65"/>
      <c r="H82" s="65"/>
      <c r="I82" s="65"/>
      <c r="J82" s="65"/>
      <c r="K82" s="65"/>
      <c r="L82" s="65"/>
    </row>
    <row r="83" spans="1:12" ht="15.95" customHeight="1" x14ac:dyDescent="0.2">
      <c r="A83" s="1"/>
      <c r="B83" s="1"/>
      <c r="C83" s="1"/>
      <c r="D83" s="1"/>
      <c r="E83" s="65"/>
      <c r="F83" s="65"/>
      <c r="G83" s="65"/>
      <c r="H83" s="65"/>
      <c r="I83" s="65"/>
      <c r="J83" s="65"/>
      <c r="K83" s="65"/>
      <c r="L83" s="65"/>
    </row>
    <row r="84" spans="1:12" ht="15.95" customHeight="1" x14ac:dyDescent="0.2">
      <c r="A84" s="1"/>
      <c r="B84" s="1"/>
      <c r="C84" s="1"/>
      <c r="D84" s="1"/>
      <c r="E84" s="65"/>
      <c r="F84" s="65"/>
      <c r="G84" s="65"/>
      <c r="H84" s="65"/>
      <c r="I84" s="65"/>
      <c r="J84" s="65"/>
      <c r="K84" s="65"/>
      <c r="L84" s="65"/>
    </row>
    <row r="85" spans="1:12" ht="15.95" customHeight="1" x14ac:dyDescent="0.2">
      <c r="A85" s="1"/>
      <c r="B85" s="1"/>
      <c r="C85" s="1"/>
      <c r="D85" s="1"/>
      <c r="E85" s="65"/>
      <c r="F85" s="65"/>
      <c r="G85" s="65"/>
      <c r="H85" s="65"/>
      <c r="I85" s="65"/>
      <c r="J85" s="65"/>
      <c r="K85" s="65"/>
      <c r="L85" s="65"/>
    </row>
    <row r="86" spans="1:12" ht="15.95" customHeight="1" x14ac:dyDescent="0.2">
      <c r="A86" s="1"/>
      <c r="B86" s="1"/>
      <c r="C86" s="1"/>
      <c r="D86" s="1"/>
      <c r="E86" s="65"/>
      <c r="F86" s="65"/>
      <c r="G86" s="65"/>
      <c r="H86" s="65"/>
      <c r="I86" s="65"/>
      <c r="J86" s="65"/>
      <c r="K86" s="65"/>
      <c r="L86" s="65"/>
    </row>
    <row r="87" spans="1:12" ht="15.95" customHeight="1" x14ac:dyDescent="0.2">
      <c r="A87" s="1"/>
      <c r="B87" s="1"/>
      <c r="C87" s="1"/>
      <c r="D87" s="1"/>
      <c r="E87" s="65"/>
      <c r="F87" s="65"/>
      <c r="G87" s="65"/>
      <c r="H87" s="65"/>
      <c r="I87" s="65"/>
      <c r="J87" s="65"/>
      <c r="K87" s="65"/>
      <c r="L87" s="65"/>
    </row>
    <row r="88" spans="1:12" ht="15.95" customHeight="1" x14ac:dyDescent="0.2">
      <c r="A88" s="1"/>
      <c r="B88" s="1"/>
      <c r="C88" s="1"/>
      <c r="D88" s="1"/>
      <c r="E88" s="65"/>
      <c r="F88" s="65"/>
      <c r="G88" s="65"/>
      <c r="H88" s="65"/>
      <c r="I88" s="65"/>
      <c r="J88" s="65"/>
      <c r="K88" s="65"/>
      <c r="L88" s="65"/>
    </row>
    <row r="89" spans="1:12" ht="15.95" customHeight="1" x14ac:dyDescent="0.2">
      <c r="A89" s="1"/>
      <c r="B89" s="1"/>
      <c r="C89" s="1"/>
      <c r="D89" s="1"/>
      <c r="E89" s="65"/>
      <c r="F89" s="65"/>
      <c r="G89" s="65"/>
      <c r="H89" s="65"/>
      <c r="I89" s="65"/>
      <c r="J89" s="65"/>
      <c r="K89" s="65"/>
      <c r="L89" s="65"/>
    </row>
    <row r="90" spans="1:12" ht="15.95" customHeight="1" x14ac:dyDescent="0.2">
      <c r="A90" s="1"/>
      <c r="B90" s="1"/>
      <c r="C90" s="1"/>
      <c r="D90" s="1"/>
      <c r="E90" s="65"/>
      <c r="F90" s="65"/>
      <c r="G90" s="65"/>
      <c r="H90" s="65"/>
      <c r="I90" s="65"/>
      <c r="J90" s="65"/>
      <c r="K90" s="65"/>
      <c r="L90" s="65"/>
    </row>
    <row r="91" spans="1:12" ht="15.95" customHeight="1" x14ac:dyDescent="0.2">
      <c r="A91" s="1"/>
      <c r="B91" s="1"/>
      <c r="C91" s="1"/>
      <c r="D91" s="1"/>
      <c r="E91" s="65"/>
      <c r="F91" s="65"/>
      <c r="G91" s="65"/>
      <c r="H91" s="65"/>
      <c r="I91" s="65"/>
      <c r="J91" s="65"/>
      <c r="K91" s="65"/>
      <c r="L91" s="65"/>
    </row>
    <row r="92" spans="1:12" ht="15.95" customHeight="1" x14ac:dyDescent="0.2">
      <c r="A92" s="1"/>
      <c r="B92" s="1"/>
      <c r="C92" s="1"/>
      <c r="D92" s="1"/>
      <c r="E92" s="65"/>
      <c r="F92" s="65"/>
      <c r="G92" s="65"/>
      <c r="H92" s="65"/>
      <c r="I92" s="65"/>
      <c r="J92" s="65"/>
      <c r="K92" s="65"/>
      <c r="L92" s="65"/>
    </row>
    <row r="93" spans="1:12" ht="15.95" customHeight="1" x14ac:dyDescent="0.2">
      <c r="A93" s="1"/>
      <c r="B93" s="1"/>
      <c r="C93" s="1"/>
      <c r="D93" s="1"/>
      <c r="E93" s="65"/>
      <c r="F93" s="65"/>
      <c r="G93" s="65"/>
      <c r="H93" s="65"/>
      <c r="I93" s="65"/>
      <c r="J93" s="65"/>
      <c r="K93" s="65"/>
      <c r="L93" s="65"/>
    </row>
    <row r="94" spans="1:12" ht="15.95" customHeight="1" x14ac:dyDescent="0.2">
      <c r="A94" s="1"/>
      <c r="B94" s="1"/>
      <c r="C94" s="1"/>
      <c r="D94" s="1"/>
      <c r="E94" s="65"/>
      <c r="F94" s="65"/>
      <c r="G94" s="65"/>
      <c r="H94" s="65"/>
      <c r="I94" s="65"/>
      <c r="J94" s="65"/>
      <c r="K94" s="65"/>
      <c r="L94" s="65"/>
    </row>
    <row r="95" spans="1:12" ht="15.95" customHeight="1" x14ac:dyDescent="0.2">
      <c r="A95" s="1"/>
      <c r="B95" s="1"/>
      <c r="C95" s="1"/>
      <c r="D95" s="1"/>
      <c r="E95" s="65"/>
      <c r="F95" s="65"/>
      <c r="G95" s="65"/>
      <c r="H95" s="65"/>
      <c r="I95" s="65"/>
      <c r="J95" s="65"/>
      <c r="K95" s="65"/>
      <c r="L95" s="65"/>
    </row>
    <row r="96" spans="1:12" ht="15.95" customHeight="1" x14ac:dyDescent="0.2">
      <c r="A96" s="1"/>
      <c r="B96" s="1"/>
      <c r="C96" s="1"/>
      <c r="D96" s="1"/>
      <c r="E96" s="65"/>
      <c r="F96" s="65"/>
      <c r="G96" s="65"/>
      <c r="H96" s="65"/>
      <c r="I96" s="65"/>
      <c r="J96" s="65"/>
      <c r="K96" s="65"/>
      <c r="L96" s="65"/>
    </row>
    <row r="97" spans="1:12" ht="15.95" customHeight="1" x14ac:dyDescent="0.2">
      <c r="A97" s="1"/>
      <c r="B97" s="1"/>
      <c r="C97" s="1"/>
      <c r="D97" s="1"/>
      <c r="E97" s="65"/>
      <c r="F97" s="65"/>
      <c r="G97" s="65"/>
      <c r="H97" s="65"/>
      <c r="I97" s="65"/>
      <c r="J97" s="65"/>
      <c r="K97" s="65"/>
      <c r="L97" s="65"/>
    </row>
    <row r="98" spans="1:12" ht="15.95" customHeight="1" x14ac:dyDescent="0.2">
      <c r="A98" s="1"/>
      <c r="B98" s="1"/>
      <c r="C98" s="1"/>
      <c r="D98" s="1"/>
      <c r="E98" s="65"/>
      <c r="F98" s="65"/>
      <c r="G98" s="65"/>
      <c r="H98" s="65"/>
      <c r="I98" s="65"/>
      <c r="J98" s="65"/>
      <c r="K98" s="65"/>
      <c r="L98" s="65"/>
    </row>
    <row r="99" spans="1:12" ht="15.95" customHeight="1" x14ac:dyDescent="0.2">
      <c r="A99" s="1"/>
      <c r="B99" s="1"/>
      <c r="C99" s="1"/>
      <c r="D99" s="1"/>
      <c r="E99" s="65"/>
      <c r="F99" s="65"/>
      <c r="G99" s="65"/>
      <c r="H99" s="65"/>
      <c r="I99" s="65"/>
      <c r="J99" s="65"/>
      <c r="K99" s="65"/>
      <c r="L99" s="65"/>
    </row>
    <row r="100" spans="1:12" ht="15.95" customHeight="1" x14ac:dyDescent="0.2">
      <c r="A100" s="1"/>
      <c r="B100" s="1"/>
      <c r="C100" s="1"/>
      <c r="D100" s="1"/>
      <c r="E100" s="65"/>
      <c r="F100" s="65"/>
      <c r="G100" s="65"/>
      <c r="H100" s="65"/>
      <c r="I100" s="65"/>
      <c r="J100" s="65"/>
      <c r="K100" s="65"/>
      <c r="L100" s="65"/>
    </row>
    <row r="101" spans="1:12" ht="15.95" customHeight="1" x14ac:dyDescent="0.2">
      <c r="A101" s="1"/>
      <c r="B101" s="1"/>
      <c r="C101" s="1"/>
      <c r="D101" s="1"/>
      <c r="E101" s="65"/>
      <c r="F101" s="65"/>
      <c r="G101" s="65"/>
      <c r="H101" s="65"/>
      <c r="I101" s="65"/>
      <c r="J101" s="65"/>
      <c r="K101" s="65"/>
      <c r="L101" s="65"/>
    </row>
    <row r="102" spans="1:12" ht="15.95" customHeight="1" x14ac:dyDescent="0.2">
      <c r="A102" s="1"/>
      <c r="B102" s="1"/>
      <c r="C102" s="1"/>
      <c r="D102" s="1"/>
      <c r="E102" s="65"/>
      <c r="F102" s="65"/>
      <c r="G102" s="65"/>
      <c r="H102" s="65"/>
      <c r="I102" s="65"/>
      <c r="J102" s="65"/>
      <c r="K102" s="65"/>
      <c r="L102" s="65"/>
    </row>
    <row r="103" spans="1:12" ht="15.95" customHeight="1" x14ac:dyDescent="0.2">
      <c r="A103" s="1"/>
      <c r="B103" s="1"/>
      <c r="C103" s="1"/>
      <c r="D103" s="1"/>
      <c r="E103" s="65"/>
      <c r="F103" s="65"/>
      <c r="G103" s="65"/>
      <c r="H103" s="65"/>
      <c r="I103" s="65"/>
      <c r="J103" s="65"/>
      <c r="K103" s="65"/>
      <c r="L103" s="65"/>
    </row>
    <row r="104" spans="1:12" ht="15.95" customHeight="1" x14ac:dyDescent="0.2">
      <c r="A104" s="1"/>
      <c r="B104" s="1"/>
      <c r="C104" s="1"/>
      <c r="D104" s="1"/>
      <c r="E104" s="65"/>
      <c r="F104" s="65"/>
      <c r="G104" s="65"/>
      <c r="H104" s="65"/>
      <c r="I104" s="65"/>
      <c r="J104" s="65"/>
      <c r="K104" s="65"/>
      <c r="L104" s="65"/>
    </row>
    <row r="105" spans="1:12" ht="15.95" customHeight="1" x14ac:dyDescent="0.2">
      <c r="A105" s="1"/>
      <c r="B105" s="1"/>
      <c r="C105" s="1"/>
      <c r="D105" s="1"/>
      <c r="E105" s="65"/>
      <c r="F105" s="65"/>
      <c r="G105" s="65"/>
      <c r="H105" s="65"/>
      <c r="I105" s="65"/>
      <c r="J105" s="65"/>
      <c r="K105" s="65"/>
      <c r="L105" s="65"/>
    </row>
    <row r="106" spans="1:12" ht="15.95" customHeight="1" x14ac:dyDescent="0.2">
      <c r="A106" s="1"/>
      <c r="B106" s="1"/>
      <c r="C106" s="1"/>
      <c r="D106" s="1"/>
      <c r="E106" s="65"/>
      <c r="F106" s="65"/>
      <c r="G106" s="65"/>
      <c r="H106" s="65"/>
      <c r="I106" s="65"/>
      <c r="J106" s="65"/>
      <c r="K106" s="65"/>
      <c r="L106" s="65"/>
    </row>
    <row r="107" spans="1:12" ht="15.95" customHeight="1" x14ac:dyDescent="0.2">
      <c r="A107" s="1"/>
      <c r="B107" s="1"/>
      <c r="C107" s="1"/>
      <c r="D107" s="1"/>
      <c r="E107" s="65"/>
      <c r="F107" s="65"/>
      <c r="G107" s="65"/>
      <c r="H107" s="65"/>
      <c r="I107" s="65"/>
      <c r="J107" s="65"/>
      <c r="K107" s="65"/>
      <c r="L107" s="65"/>
    </row>
    <row r="108" spans="1:12" ht="15.95" customHeight="1" x14ac:dyDescent="0.2">
      <c r="A108" s="1"/>
      <c r="B108" s="1"/>
      <c r="C108" s="1"/>
      <c r="D108" s="1"/>
      <c r="E108" s="65"/>
      <c r="F108" s="65"/>
      <c r="G108" s="65"/>
      <c r="H108" s="65"/>
      <c r="I108" s="65"/>
      <c r="J108" s="65"/>
      <c r="K108" s="65"/>
      <c r="L108" s="65"/>
    </row>
    <row r="109" spans="1:12" ht="15.95" customHeight="1" x14ac:dyDescent="0.2">
      <c r="A109" s="1"/>
      <c r="B109" s="1"/>
      <c r="C109" s="1"/>
      <c r="D109" s="1"/>
      <c r="E109" s="65"/>
      <c r="F109" s="65"/>
      <c r="G109" s="65"/>
      <c r="H109" s="65"/>
      <c r="I109" s="65"/>
      <c r="J109" s="65"/>
      <c r="K109" s="65"/>
      <c r="L109" s="65"/>
    </row>
    <row r="110" spans="1:12" ht="15.95" customHeight="1" x14ac:dyDescent="0.2">
      <c r="A110" s="1"/>
      <c r="B110" s="1"/>
      <c r="C110" s="1"/>
      <c r="D110" s="1"/>
      <c r="E110" s="65"/>
      <c r="F110" s="65"/>
      <c r="G110" s="65"/>
      <c r="H110" s="65"/>
      <c r="I110" s="65"/>
      <c r="J110" s="65"/>
      <c r="K110" s="65"/>
      <c r="L110" s="65"/>
    </row>
    <row r="111" spans="1:12" ht="15.95" customHeight="1" x14ac:dyDescent="0.2">
      <c r="A111" s="1"/>
      <c r="B111" s="1"/>
      <c r="C111" s="1"/>
      <c r="D111" s="1"/>
      <c r="E111" s="65"/>
      <c r="F111" s="65"/>
      <c r="G111" s="65"/>
      <c r="H111" s="65"/>
      <c r="I111" s="65"/>
      <c r="J111" s="65"/>
      <c r="K111" s="65"/>
      <c r="L111" s="65"/>
    </row>
    <row r="112" spans="1:12" ht="15.95" customHeight="1" x14ac:dyDescent="0.2">
      <c r="A112" s="1"/>
      <c r="B112" s="1"/>
      <c r="C112" s="1"/>
      <c r="D112" s="1"/>
      <c r="E112" s="65"/>
      <c r="F112" s="65"/>
      <c r="G112" s="65"/>
      <c r="H112" s="65"/>
      <c r="I112" s="65"/>
      <c r="J112" s="65"/>
      <c r="K112" s="65"/>
      <c r="L112" s="65"/>
    </row>
    <row r="113" spans="1:12" ht="15.95" customHeight="1" x14ac:dyDescent="0.2">
      <c r="A113" s="1"/>
      <c r="B113" s="1"/>
      <c r="C113" s="1"/>
      <c r="D113" s="1"/>
      <c r="E113" s="65"/>
      <c r="F113" s="65"/>
      <c r="G113" s="65"/>
      <c r="H113" s="65"/>
      <c r="I113" s="65"/>
      <c r="J113" s="65"/>
      <c r="K113" s="65"/>
      <c r="L113" s="65"/>
    </row>
    <row r="114" spans="1:12" ht="15.95" customHeight="1" x14ac:dyDescent="0.2">
      <c r="A114" s="1"/>
      <c r="B114" s="1"/>
      <c r="C114" s="1"/>
      <c r="D114" s="1"/>
      <c r="E114" s="65"/>
      <c r="F114" s="65"/>
      <c r="G114" s="65"/>
      <c r="H114" s="65"/>
      <c r="I114" s="65"/>
      <c r="J114" s="65"/>
      <c r="K114" s="65"/>
      <c r="L114" s="65"/>
    </row>
    <row r="115" spans="1:12" ht="15.95" customHeight="1" x14ac:dyDescent="0.2">
      <c r="A115" s="1"/>
      <c r="B115" s="1"/>
      <c r="C115" s="1"/>
      <c r="D115" s="1"/>
      <c r="E115" s="65"/>
      <c r="F115" s="65"/>
      <c r="G115" s="65"/>
      <c r="H115" s="65"/>
      <c r="I115" s="65"/>
      <c r="J115" s="65"/>
      <c r="K115" s="65"/>
      <c r="L115" s="65"/>
    </row>
    <row r="116" spans="1:12" ht="15.95" customHeight="1" x14ac:dyDescent="0.2">
      <c r="A116" s="1"/>
      <c r="B116" s="1"/>
      <c r="C116" s="1"/>
      <c r="D116" s="1"/>
      <c r="E116" s="65"/>
      <c r="F116" s="65"/>
      <c r="G116" s="65"/>
      <c r="H116" s="65"/>
      <c r="I116" s="65"/>
      <c r="J116" s="65"/>
      <c r="K116" s="65"/>
      <c r="L116" s="65"/>
    </row>
    <row r="117" spans="1:12" ht="15.95" customHeight="1" x14ac:dyDescent="0.2">
      <c r="A117" s="1"/>
      <c r="B117" s="1"/>
      <c r="C117" s="1"/>
      <c r="D117" s="1"/>
      <c r="E117" s="65"/>
      <c r="F117" s="65"/>
      <c r="G117" s="65"/>
      <c r="H117" s="65"/>
      <c r="I117" s="65"/>
      <c r="J117" s="65"/>
      <c r="K117" s="65"/>
      <c r="L117" s="65"/>
    </row>
    <row r="118" spans="1:12" ht="15.95" customHeight="1" x14ac:dyDescent="0.2">
      <c r="A118" s="1"/>
      <c r="B118" s="1"/>
      <c r="C118" s="1"/>
      <c r="D118" s="1"/>
      <c r="E118" s="65"/>
      <c r="F118" s="65"/>
      <c r="G118" s="65"/>
      <c r="H118" s="65"/>
      <c r="I118" s="65"/>
      <c r="J118" s="65"/>
      <c r="K118" s="65"/>
      <c r="L118" s="65"/>
    </row>
    <row r="119" spans="1:12" ht="15.95" customHeight="1" x14ac:dyDescent="0.2">
      <c r="A119" s="1"/>
      <c r="B119" s="1"/>
      <c r="C119" s="1"/>
      <c r="D119" s="1"/>
      <c r="E119" s="65"/>
      <c r="F119" s="65"/>
      <c r="G119" s="65"/>
      <c r="H119" s="65"/>
      <c r="I119" s="65"/>
      <c r="J119" s="65"/>
      <c r="K119" s="65"/>
      <c r="L119" s="65"/>
    </row>
    <row r="120" spans="1:12" ht="15.95" customHeight="1" x14ac:dyDescent="0.2">
      <c r="A120" s="1"/>
      <c r="B120" s="1"/>
      <c r="C120" s="1"/>
      <c r="D120" s="1"/>
      <c r="E120" s="65"/>
      <c r="F120" s="65"/>
      <c r="G120" s="65"/>
      <c r="H120" s="65"/>
      <c r="I120" s="65"/>
      <c r="J120" s="65"/>
      <c r="K120" s="65"/>
      <c r="L120" s="65"/>
    </row>
    <row r="121" spans="1:12" ht="15.95" customHeight="1" x14ac:dyDescent="0.2">
      <c r="A121" s="1"/>
      <c r="B121" s="1"/>
      <c r="C121" s="1"/>
      <c r="D121" s="1"/>
      <c r="E121" s="65"/>
      <c r="F121" s="65"/>
      <c r="G121" s="65"/>
      <c r="H121" s="65"/>
      <c r="I121" s="65"/>
      <c r="J121" s="65"/>
      <c r="K121" s="65"/>
      <c r="L121" s="65"/>
    </row>
    <row r="122" spans="1:12" ht="15.95" customHeight="1" x14ac:dyDescent="0.2">
      <c r="A122" s="1"/>
      <c r="B122" s="1"/>
      <c r="C122" s="1"/>
      <c r="D122" s="1"/>
      <c r="E122" s="65"/>
      <c r="F122" s="65"/>
      <c r="G122" s="65"/>
      <c r="H122" s="65"/>
      <c r="I122" s="65"/>
      <c r="J122" s="65"/>
      <c r="K122" s="65"/>
      <c r="L122" s="65"/>
    </row>
    <row r="123" spans="1:12" ht="15.95" customHeight="1" x14ac:dyDescent="0.2">
      <c r="A123" s="1"/>
      <c r="B123" s="1"/>
      <c r="C123" s="1"/>
      <c r="D123" s="1"/>
      <c r="E123" s="65"/>
      <c r="F123" s="65"/>
      <c r="G123" s="65"/>
      <c r="H123" s="65"/>
      <c r="I123" s="65"/>
      <c r="J123" s="65"/>
      <c r="K123" s="65"/>
      <c r="L123" s="65"/>
    </row>
    <row r="124" spans="1:12" ht="15.95" customHeight="1" x14ac:dyDescent="0.2">
      <c r="A124" s="1"/>
      <c r="B124" s="1"/>
      <c r="C124" s="1"/>
      <c r="D124" s="1"/>
      <c r="E124" s="65"/>
      <c r="F124" s="65"/>
      <c r="G124" s="65"/>
      <c r="H124" s="65"/>
      <c r="I124" s="65"/>
      <c r="J124" s="65"/>
      <c r="K124" s="65"/>
      <c r="L124" s="65"/>
    </row>
    <row r="125" spans="1:12" ht="15.95" customHeight="1" x14ac:dyDescent="0.2">
      <c r="A125" s="1"/>
      <c r="B125" s="1"/>
      <c r="C125" s="1"/>
      <c r="D125" s="1"/>
      <c r="E125" s="65"/>
      <c r="F125" s="65"/>
      <c r="G125" s="65"/>
      <c r="H125" s="65"/>
      <c r="I125" s="65"/>
      <c r="J125" s="65"/>
      <c r="K125" s="65"/>
      <c r="L125" s="65"/>
    </row>
    <row r="126" spans="1:12" ht="15.95" customHeight="1" x14ac:dyDescent="0.2">
      <c r="A126" s="1"/>
      <c r="B126" s="1"/>
      <c r="C126" s="1"/>
      <c r="D126" s="1"/>
      <c r="E126" s="65"/>
      <c r="F126" s="65"/>
      <c r="G126" s="65"/>
      <c r="H126" s="65"/>
      <c r="I126" s="65"/>
      <c r="J126" s="65"/>
      <c r="K126" s="65"/>
      <c r="L126" s="65"/>
    </row>
    <row r="127" spans="1:12" ht="15.95" customHeight="1" x14ac:dyDescent="0.2">
      <c r="A127" s="1"/>
      <c r="B127" s="1"/>
      <c r="C127" s="1"/>
      <c r="D127" s="1"/>
      <c r="E127" s="65"/>
      <c r="F127" s="65"/>
      <c r="G127" s="65"/>
      <c r="H127" s="65"/>
      <c r="I127" s="65"/>
      <c r="J127" s="65"/>
      <c r="K127" s="65"/>
      <c r="L127" s="65"/>
    </row>
    <row r="128" spans="1:12" ht="15.95" customHeight="1" x14ac:dyDescent="0.2">
      <c r="A128" s="1"/>
      <c r="B128" s="1"/>
      <c r="C128" s="1"/>
      <c r="D128" s="1"/>
      <c r="E128" s="65"/>
      <c r="F128" s="65"/>
      <c r="G128" s="65"/>
      <c r="H128" s="65"/>
      <c r="I128" s="65"/>
      <c r="J128" s="65"/>
      <c r="K128" s="65"/>
      <c r="L128" s="65"/>
    </row>
    <row r="129" spans="1:12" ht="15.95" customHeight="1" x14ac:dyDescent="0.2">
      <c r="A129" s="1"/>
      <c r="B129" s="1"/>
      <c r="C129" s="1"/>
      <c r="D129" s="1"/>
      <c r="E129" s="65"/>
      <c r="F129" s="65"/>
      <c r="G129" s="65"/>
      <c r="H129" s="65"/>
      <c r="I129" s="65"/>
      <c r="J129" s="65"/>
      <c r="K129" s="65"/>
      <c r="L129" s="65"/>
    </row>
    <row r="130" spans="1:12" ht="15.95" customHeight="1" x14ac:dyDescent="0.2">
      <c r="A130" s="1"/>
      <c r="B130" s="1"/>
      <c r="C130" s="1"/>
      <c r="D130" s="1"/>
      <c r="E130" s="65"/>
      <c r="F130" s="65"/>
      <c r="G130" s="65"/>
      <c r="H130" s="65"/>
      <c r="I130" s="65"/>
      <c r="J130" s="65"/>
      <c r="K130" s="65"/>
      <c r="L130" s="65"/>
    </row>
    <row r="131" spans="1:12" ht="15.95" customHeight="1" x14ac:dyDescent="0.2">
      <c r="A131" s="1"/>
      <c r="B131" s="1"/>
      <c r="C131" s="1"/>
      <c r="D131" s="1"/>
      <c r="E131" s="65"/>
      <c r="F131" s="65"/>
      <c r="G131" s="65"/>
      <c r="H131" s="65"/>
      <c r="I131" s="65"/>
      <c r="J131" s="65"/>
      <c r="K131" s="65"/>
      <c r="L131" s="65"/>
    </row>
    <row r="132" spans="1:12" ht="15.95" customHeight="1" x14ac:dyDescent="0.2">
      <c r="A132" s="1"/>
      <c r="B132" s="1"/>
      <c r="C132" s="1"/>
      <c r="D132" s="1"/>
      <c r="E132" s="65"/>
      <c r="F132" s="65"/>
      <c r="G132" s="65"/>
      <c r="H132" s="65"/>
      <c r="I132" s="65"/>
      <c r="J132" s="65"/>
      <c r="K132" s="65"/>
      <c r="L132" s="65"/>
    </row>
    <row r="133" spans="1:12" ht="15.95" customHeight="1" x14ac:dyDescent="0.2">
      <c r="A133" s="1"/>
      <c r="B133" s="1"/>
      <c r="C133" s="1"/>
      <c r="D133" s="1"/>
      <c r="E133" s="65"/>
      <c r="F133" s="65"/>
      <c r="G133" s="65"/>
      <c r="H133" s="65"/>
      <c r="I133" s="65"/>
      <c r="J133" s="65"/>
      <c r="K133" s="65"/>
      <c r="L133" s="65"/>
    </row>
    <row r="134" spans="1:12" ht="15.95" customHeight="1" x14ac:dyDescent="0.2">
      <c r="A134" s="1"/>
      <c r="B134" s="1"/>
      <c r="C134" s="1"/>
      <c r="D134" s="1"/>
      <c r="E134" s="65"/>
      <c r="F134" s="65"/>
      <c r="G134" s="65"/>
      <c r="H134" s="65"/>
      <c r="I134" s="65"/>
      <c r="J134" s="65"/>
      <c r="K134" s="65"/>
      <c r="L134" s="65"/>
    </row>
    <row r="135" spans="1:12" ht="15.95" customHeight="1" x14ac:dyDescent="0.2">
      <c r="A135" s="1"/>
      <c r="B135" s="1"/>
      <c r="C135" s="1"/>
      <c r="D135" s="1"/>
      <c r="E135" s="65"/>
      <c r="F135" s="65"/>
      <c r="G135" s="65"/>
      <c r="H135" s="65"/>
      <c r="I135" s="65"/>
      <c r="J135" s="65"/>
      <c r="K135" s="65"/>
      <c r="L135" s="65"/>
    </row>
    <row r="136" spans="1:12" ht="15.95" customHeight="1" x14ac:dyDescent="0.2">
      <c r="A136" s="1"/>
      <c r="B136" s="1"/>
      <c r="C136" s="1"/>
      <c r="D136" s="1"/>
      <c r="E136" s="65"/>
      <c r="F136" s="65"/>
      <c r="G136" s="65"/>
      <c r="H136" s="65"/>
      <c r="I136" s="65"/>
      <c r="J136" s="65"/>
      <c r="K136" s="65"/>
      <c r="L136" s="65"/>
    </row>
    <row r="137" spans="1:12" ht="15.95" customHeight="1" x14ac:dyDescent="0.2">
      <c r="A137" s="1"/>
      <c r="B137" s="1"/>
      <c r="C137" s="1"/>
      <c r="D137" s="1"/>
      <c r="E137" s="65"/>
      <c r="F137" s="65"/>
      <c r="G137" s="65"/>
      <c r="H137" s="65"/>
      <c r="I137" s="65"/>
      <c r="J137" s="65"/>
      <c r="K137" s="65"/>
      <c r="L137" s="65"/>
    </row>
    <row r="138" spans="1:12" ht="15.95" customHeight="1" x14ac:dyDescent="0.2">
      <c r="A138" s="1"/>
      <c r="B138" s="1"/>
      <c r="C138" s="1"/>
      <c r="D138" s="1"/>
      <c r="E138" s="65"/>
      <c r="F138" s="65"/>
      <c r="G138" s="65"/>
      <c r="H138" s="65"/>
      <c r="I138" s="65"/>
      <c r="J138" s="65"/>
      <c r="K138" s="65"/>
      <c r="L138" s="65"/>
    </row>
    <row r="139" spans="1:12" ht="15.95" customHeight="1" x14ac:dyDescent="0.2">
      <c r="A139" s="1"/>
      <c r="B139" s="1"/>
      <c r="C139" s="1"/>
      <c r="D139" s="1"/>
      <c r="E139" s="65"/>
      <c r="F139" s="65"/>
      <c r="G139" s="65"/>
      <c r="H139" s="65"/>
      <c r="I139" s="65"/>
      <c r="J139" s="65"/>
      <c r="K139" s="65"/>
      <c r="L139" s="65"/>
    </row>
    <row r="140" spans="1:12" ht="15.95" customHeight="1" x14ac:dyDescent="0.2">
      <c r="A140" s="1"/>
      <c r="B140" s="1"/>
      <c r="C140" s="1"/>
      <c r="D140" s="1"/>
      <c r="E140" s="65"/>
      <c r="F140" s="65"/>
      <c r="G140" s="65"/>
      <c r="H140" s="65"/>
      <c r="I140" s="65"/>
      <c r="J140" s="65"/>
      <c r="K140" s="65"/>
      <c r="L140" s="65"/>
    </row>
    <row r="141" spans="1:12" ht="15.95" customHeight="1" x14ac:dyDescent="0.2">
      <c r="A141" s="1"/>
      <c r="B141" s="1"/>
      <c r="C141" s="1"/>
      <c r="D141" s="1"/>
      <c r="E141" s="65"/>
      <c r="F141" s="65"/>
      <c r="G141" s="65"/>
      <c r="H141" s="65"/>
      <c r="I141" s="65"/>
      <c r="J141" s="65"/>
      <c r="K141" s="65"/>
      <c r="L141" s="65"/>
    </row>
    <row r="142" spans="1:12" ht="15.95" customHeight="1" x14ac:dyDescent="0.2">
      <c r="A142" s="1"/>
      <c r="B142" s="1"/>
      <c r="C142" s="1"/>
      <c r="D142" s="1"/>
      <c r="E142" s="65"/>
      <c r="F142" s="65"/>
      <c r="G142" s="65"/>
      <c r="H142" s="65"/>
      <c r="I142" s="65"/>
      <c r="J142" s="65"/>
      <c r="K142" s="65"/>
      <c r="L142" s="65"/>
    </row>
    <row r="143" spans="1:12" ht="15.95" customHeight="1" x14ac:dyDescent="0.2">
      <c r="A143" s="1"/>
      <c r="B143" s="1"/>
      <c r="C143" s="1"/>
      <c r="D143" s="1"/>
      <c r="E143" s="65"/>
      <c r="F143" s="65"/>
      <c r="G143" s="65"/>
      <c r="H143" s="65"/>
      <c r="I143" s="65"/>
      <c r="J143" s="65"/>
      <c r="K143" s="65"/>
      <c r="L143" s="65"/>
    </row>
    <row r="144" spans="1:12" ht="15.95" customHeight="1" x14ac:dyDescent="0.2">
      <c r="A144" s="1"/>
      <c r="B144" s="1"/>
      <c r="C144" s="1"/>
      <c r="D144" s="1"/>
      <c r="E144" s="65"/>
      <c r="F144" s="65"/>
      <c r="G144" s="65"/>
      <c r="H144" s="65"/>
      <c r="I144" s="65"/>
      <c r="J144" s="65"/>
      <c r="K144" s="65"/>
      <c r="L144" s="65"/>
    </row>
    <row r="145" spans="1:12" ht="15.95" customHeight="1" x14ac:dyDescent="0.2">
      <c r="A145" s="1"/>
      <c r="B145" s="1"/>
      <c r="C145" s="1"/>
      <c r="D145" s="1"/>
      <c r="E145" s="65"/>
      <c r="F145" s="65"/>
      <c r="G145" s="65"/>
      <c r="H145" s="65"/>
      <c r="I145" s="65"/>
      <c r="J145" s="65"/>
      <c r="K145" s="65"/>
      <c r="L145" s="65"/>
    </row>
    <row r="146" spans="1:12" ht="15.95" customHeight="1" x14ac:dyDescent="0.2">
      <c r="A146" s="1"/>
      <c r="B146" s="1"/>
      <c r="C146" s="1"/>
      <c r="D146" s="1"/>
      <c r="E146" s="65"/>
      <c r="F146" s="65"/>
      <c r="G146" s="65"/>
      <c r="H146" s="65"/>
      <c r="I146" s="65"/>
      <c r="J146" s="65"/>
      <c r="K146" s="65"/>
      <c r="L146" s="65"/>
    </row>
    <row r="147" spans="1:12" ht="15.95" customHeight="1" x14ac:dyDescent="0.2">
      <c r="A147" s="1"/>
      <c r="B147" s="1"/>
      <c r="C147" s="1"/>
      <c r="D147" s="1"/>
      <c r="E147" s="65"/>
      <c r="F147" s="65"/>
      <c r="G147" s="65"/>
      <c r="H147" s="65"/>
      <c r="I147" s="65"/>
      <c r="J147" s="65"/>
      <c r="K147" s="65"/>
      <c r="L147" s="65"/>
    </row>
    <row r="148" spans="1:12" ht="15.95" customHeight="1" x14ac:dyDescent="0.2">
      <c r="A148" s="1"/>
      <c r="B148" s="1"/>
      <c r="C148" s="1"/>
      <c r="D148" s="1"/>
      <c r="E148" s="65"/>
      <c r="F148" s="65"/>
      <c r="G148" s="65"/>
      <c r="H148" s="65"/>
      <c r="I148" s="65"/>
      <c r="J148" s="65"/>
      <c r="K148" s="65"/>
      <c r="L148" s="65"/>
    </row>
    <row r="149" spans="1:12" ht="15.95" customHeight="1" x14ac:dyDescent="0.2">
      <c r="A149" s="1"/>
      <c r="B149" s="1"/>
      <c r="C149" s="1"/>
      <c r="D149" s="1"/>
      <c r="E149" s="65"/>
      <c r="F149" s="65"/>
      <c r="G149" s="65"/>
      <c r="H149" s="65"/>
      <c r="I149" s="65"/>
      <c r="J149" s="65"/>
      <c r="K149" s="65"/>
      <c r="L149" s="65"/>
    </row>
    <row r="150" spans="1:12" ht="15.95" customHeight="1" x14ac:dyDescent="0.2">
      <c r="A150" s="1"/>
      <c r="B150" s="1"/>
      <c r="C150" s="1"/>
      <c r="D150" s="1"/>
      <c r="E150" s="65"/>
      <c r="F150" s="65"/>
      <c r="G150" s="65"/>
      <c r="H150" s="65"/>
      <c r="I150" s="65"/>
      <c r="J150" s="65"/>
      <c r="K150" s="65"/>
      <c r="L150" s="65"/>
    </row>
    <row r="151" spans="1:12" ht="15.95" customHeight="1" x14ac:dyDescent="0.2">
      <c r="A151" s="1"/>
      <c r="B151" s="1"/>
      <c r="C151" s="1"/>
      <c r="D151" s="1"/>
      <c r="E151" s="65"/>
      <c r="F151" s="65"/>
      <c r="G151" s="65"/>
      <c r="H151" s="65"/>
      <c r="I151" s="65"/>
      <c r="J151" s="65"/>
      <c r="K151" s="65"/>
      <c r="L151" s="65"/>
    </row>
    <row r="152" spans="1:12" ht="15.95" customHeight="1" x14ac:dyDescent="0.2">
      <c r="A152" s="1"/>
      <c r="B152" s="1"/>
      <c r="C152" s="1"/>
      <c r="D152" s="1"/>
      <c r="E152" s="65"/>
      <c r="F152" s="65"/>
      <c r="G152" s="65"/>
      <c r="H152" s="65"/>
      <c r="I152" s="65"/>
      <c r="J152" s="65"/>
      <c r="K152" s="65"/>
      <c r="L152" s="65"/>
    </row>
    <row r="153" spans="1:12" ht="15.95" customHeight="1" x14ac:dyDescent="0.2">
      <c r="A153" s="1"/>
      <c r="B153" s="1"/>
      <c r="C153" s="1"/>
      <c r="D153" s="1"/>
      <c r="E153" s="65"/>
      <c r="F153" s="65"/>
      <c r="G153" s="65"/>
      <c r="H153" s="65"/>
      <c r="I153" s="65"/>
      <c r="J153" s="65"/>
      <c r="K153" s="65"/>
      <c r="L153" s="65"/>
    </row>
    <row r="154" spans="1:12" ht="15.95" customHeight="1" x14ac:dyDescent="0.2">
      <c r="A154" s="1"/>
      <c r="B154" s="1"/>
      <c r="C154" s="1"/>
      <c r="D154" s="1"/>
      <c r="E154" s="65"/>
      <c r="F154" s="65"/>
      <c r="G154" s="65"/>
      <c r="H154" s="65"/>
      <c r="I154" s="65"/>
      <c r="J154" s="65"/>
      <c r="K154" s="65"/>
      <c r="L154" s="65"/>
    </row>
    <row r="155" spans="1:12" ht="15.95" customHeight="1" x14ac:dyDescent="0.2">
      <c r="A155" s="1"/>
      <c r="B155" s="1"/>
      <c r="C155" s="1"/>
      <c r="D155" s="1"/>
      <c r="E155" s="65"/>
      <c r="F155" s="65"/>
      <c r="G155" s="65"/>
      <c r="H155" s="65"/>
      <c r="I155" s="65"/>
      <c r="J155" s="65"/>
      <c r="K155" s="65"/>
      <c r="L155" s="65"/>
    </row>
    <row r="156" spans="1:12" ht="15.95" customHeight="1" x14ac:dyDescent="0.2">
      <c r="A156" s="1"/>
      <c r="B156" s="1"/>
      <c r="C156" s="1"/>
      <c r="D156" s="1"/>
      <c r="E156" s="65"/>
      <c r="F156" s="65"/>
      <c r="G156" s="65"/>
      <c r="H156" s="65"/>
      <c r="I156" s="65"/>
      <c r="J156" s="65"/>
      <c r="K156" s="65"/>
      <c r="L156" s="65"/>
    </row>
    <row r="157" spans="1:12" ht="15.95" customHeight="1" x14ac:dyDescent="0.2">
      <c r="A157" s="1"/>
      <c r="B157" s="1"/>
      <c r="C157" s="1"/>
      <c r="D157" s="1"/>
      <c r="E157" s="65"/>
      <c r="F157" s="65"/>
      <c r="G157" s="65"/>
      <c r="H157" s="65"/>
      <c r="I157" s="65"/>
      <c r="J157" s="65"/>
      <c r="K157" s="65"/>
      <c r="L157" s="65"/>
    </row>
    <row r="158" spans="1:12" ht="15.95" customHeight="1" x14ac:dyDescent="0.2">
      <c r="A158" s="1"/>
      <c r="B158" s="1"/>
      <c r="C158" s="1"/>
      <c r="D158" s="1"/>
      <c r="E158" s="65"/>
      <c r="F158" s="65"/>
      <c r="G158" s="65"/>
      <c r="H158" s="65"/>
      <c r="I158" s="65"/>
      <c r="J158" s="65"/>
      <c r="K158" s="65"/>
      <c r="L158" s="65"/>
    </row>
    <row r="159" spans="1:12" ht="15.95" customHeight="1" x14ac:dyDescent="0.2">
      <c r="A159" s="1"/>
      <c r="B159" s="1"/>
      <c r="C159" s="1"/>
      <c r="D159" s="1"/>
      <c r="E159" s="65"/>
      <c r="F159" s="65"/>
      <c r="G159" s="65"/>
      <c r="H159" s="65"/>
      <c r="I159" s="65"/>
      <c r="J159" s="65"/>
      <c r="K159" s="65"/>
      <c r="L159" s="65"/>
    </row>
    <row r="160" spans="1:12" ht="15.95" customHeight="1" x14ac:dyDescent="0.2">
      <c r="A160" s="1"/>
      <c r="B160" s="1"/>
      <c r="C160" s="1"/>
      <c r="D160" s="1"/>
      <c r="E160" s="65"/>
      <c r="F160" s="65"/>
      <c r="G160" s="65"/>
      <c r="H160" s="65"/>
      <c r="I160" s="65"/>
      <c r="J160" s="65"/>
      <c r="K160" s="65"/>
      <c r="L160" s="65"/>
    </row>
    <row r="161" spans="1:12" ht="15.95" customHeight="1" x14ac:dyDescent="0.2">
      <c r="A161" s="1"/>
      <c r="B161" s="1"/>
      <c r="C161" s="1"/>
      <c r="D161" s="1"/>
      <c r="E161" s="65"/>
      <c r="F161" s="65"/>
      <c r="G161" s="65"/>
      <c r="H161" s="65"/>
      <c r="I161" s="65"/>
      <c r="J161" s="65"/>
      <c r="K161" s="65"/>
      <c r="L161" s="65"/>
    </row>
    <row r="162" spans="1:12" ht="15.95" customHeight="1" x14ac:dyDescent="0.2">
      <c r="A162" s="1"/>
      <c r="B162" s="1"/>
      <c r="C162" s="1"/>
      <c r="D162" s="1"/>
      <c r="E162" s="65"/>
      <c r="F162" s="65"/>
      <c r="G162" s="65"/>
      <c r="H162" s="65"/>
      <c r="I162" s="65"/>
      <c r="J162" s="65"/>
      <c r="K162" s="65"/>
      <c r="L162" s="65"/>
    </row>
    <row r="163" spans="1:12" ht="15.95" customHeight="1" x14ac:dyDescent="0.2">
      <c r="A163" s="1"/>
      <c r="B163" s="1"/>
      <c r="C163" s="1"/>
      <c r="D163" s="1"/>
      <c r="E163" s="65"/>
      <c r="F163" s="65"/>
      <c r="G163" s="65"/>
      <c r="H163" s="65"/>
      <c r="I163" s="65"/>
      <c r="J163" s="65"/>
      <c r="K163" s="65"/>
      <c r="L163" s="65"/>
    </row>
    <row r="164" spans="1:12" ht="15.95" customHeight="1" x14ac:dyDescent="0.2">
      <c r="A164" s="1"/>
      <c r="B164" s="1"/>
      <c r="C164" s="1"/>
      <c r="D164" s="1"/>
      <c r="E164" s="65"/>
      <c r="F164" s="65"/>
      <c r="G164" s="65"/>
      <c r="H164" s="65"/>
      <c r="I164" s="65"/>
      <c r="J164" s="65"/>
      <c r="K164" s="65"/>
      <c r="L164" s="65"/>
    </row>
    <row r="165" spans="1:12" ht="15.95" customHeight="1" x14ac:dyDescent="0.2">
      <c r="A165" s="1"/>
      <c r="B165" s="1"/>
      <c r="C165" s="1"/>
      <c r="D165" s="1"/>
      <c r="E165" s="65"/>
      <c r="F165" s="65"/>
      <c r="G165" s="65"/>
      <c r="H165" s="65"/>
      <c r="I165" s="65"/>
      <c r="J165" s="65"/>
      <c r="K165" s="65"/>
      <c r="L165" s="65"/>
    </row>
    <row r="166" spans="1:12" ht="15.95" customHeight="1" x14ac:dyDescent="0.2">
      <c r="A166" s="1"/>
      <c r="B166" s="1"/>
      <c r="C166" s="1"/>
      <c r="D166" s="1"/>
      <c r="E166" s="65"/>
      <c r="F166" s="65"/>
      <c r="G166" s="65"/>
      <c r="H166" s="65"/>
      <c r="I166" s="65"/>
      <c r="J166" s="65"/>
      <c r="K166" s="65"/>
      <c r="L166" s="65"/>
    </row>
    <row r="167" spans="1:12" ht="15.95" customHeight="1" x14ac:dyDescent="0.2">
      <c r="A167" s="1"/>
      <c r="B167" s="1"/>
      <c r="C167" s="1"/>
      <c r="D167" s="1"/>
      <c r="E167" s="65"/>
      <c r="F167" s="65"/>
      <c r="G167" s="65"/>
      <c r="H167" s="65"/>
      <c r="I167" s="65"/>
      <c r="J167" s="65"/>
      <c r="K167" s="65"/>
      <c r="L167" s="65"/>
    </row>
    <row r="168" spans="1:12" ht="15.95" customHeight="1" x14ac:dyDescent="0.2">
      <c r="A168" s="1"/>
      <c r="B168" s="1"/>
      <c r="C168" s="1"/>
      <c r="D168" s="1"/>
      <c r="E168" s="65"/>
      <c r="F168" s="65"/>
      <c r="G168" s="65"/>
      <c r="H168" s="65"/>
      <c r="I168" s="65"/>
      <c r="J168" s="65"/>
      <c r="K168" s="65"/>
      <c r="L168" s="65"/>
    </row>
    <row r="169" spans="1:12" ht="15.95" customHeight="1" x14ac:dyDescent="0.2">
      <c r="A169" s="1"/>
      <c r="B169" s="1"/>
      <c r="C169" s="1"/>
      <c r="D169" s="1"/>
      <c r="E169" s="65"/>
      <c r="F169" s="65"/>
      <c r="G169" s="65"/>
      <c r="H169" s="65"/>
      <c r="I169" s="65"/>
      <c r="J169" s="65"/>
      <c r="K169" s="65"/>
      <c r="L169" s="65"/>
    </row>
    <row r="170" spans="1:12" ht="15.95" customHeight="1" x14ac:dyDescent="0.2">
      <c r="A170" s="1"/>
      <c r="B170" s="1"/>
      <c r="C170" s="1"/>
      <c r="D170" s="1"/>
      <c r="E170" s="65"/>
      <c r="F170" s="65"/>
      <c r="G170" s="65"/>
      <c r="H170" s="65"/>
      <c r="I170" s="65"/>
      <c r="J170" s="65"/>
      <c r="K170" s="65"/>
      <c r="L170" s="65"/>
    </row>
    <row r="171" spans="1:12" ht="15.95" customHeight="1" x14ac:dyDescent="0.2">
      <c r="A171" s="1"/>
      <c r="B171" s="1"/>
      <c r="C171" s="1"/>
      <c r="D171" s="1"/>
      <c r="E171" s="65"/>
      <c r="F171" s="65"/>
      <c r="G171" s="65"/>
      <c r="H171" s="65"/>
      <c r="I171" s="65"/>
      <c r="J171" s="65"/>
      <c r="K171" s="65"/>
      <c r="L171" s="65"/>
    </row>
    <row r="172" spans="1:12" x14ac:dyDescent="0.2">
      <c r="A172" s="1"/>
      <c r="B172" s="1"/>
      <c r="C172" s="1"/>
      <c r="D172" s="1"/>
      <c r="E172" s="65"/>
      <c r="F172" s="65"/>
      <c r="G172" s="65"/>
      <c r="H172" s="65"/>
      <c r="I172" s="65"/>
      <c r="J172" s="65"/>
      <c r="K172" s="65"/>
      <c r="L172" s="65"/>
    </row>
    <row r="173" spans="1:12" x14ac:dyDescent="0.2">
      <c r="A173" s="1"/>
      <c r="B173" s="1"/>
      <c r="C173" s="1"/>
      <c r="D173" s="1"/>
      <c r="E173" s="65"/>
      <c r="F173" s="65"/>
      <c r="G173" s="65"/>
      <c r="H173" s="65"/>
      <c r="I173" s="65"/>
      <c r="J173" s="65"/>
      <c r="K173" s="65"/>
      <c r="L173" s="65"/>
    </row>
    <row r="174" spans="1:12" x14ac:dyDescent="0.2">
      <c r="A174" s="1"/>
      <c r="B174" s="1"/>
      <c r="C174" s="1"/>
      <c r="D174" s="1"/>
      <c r="E174" s="65"/>
      <c r="F174" s="65"/>
      <c r="G174" s="65"/>
      <c r="H174" s="65"/>
      <c r="I174" s="65"/>
      <c r="J174" s="65"/>
      <c r="K174" s="65"/>
      <c r="L174" s="65"/>
    </row>
    <row r="175" spans="1:12" x14ac:dyDescent="0.2">
      <c r="A175" s="1"/>
      <c r="B175" s="1"/>
      <c r="C175" s="1"/>
      <c r="D175" s="1"/>
      <c r="E175" s="65"/>
      <c r="F175" s="65"/>
      <c r="G175" s="65"/>
      <c r="H175" s="65"/>
      <c r="I175" s="65"/>
      <c r="J175" s="65"/>
      <c r="K175" s="65"/>
      <c r="L175" s="65"/>
    </row>
    <row r="176" spans="1:12" x14ac:dyDescent="0.2">
      <c r="A176" s="1"/>
      <c r="B176" s="1"/>
      <c r="C176" s="1"/>
      <c r="D176" s="1"/>
      <c r="E176" s="65"/>
      <c r="F176" s="65"/>
      <c r="G176" s="65"/>
      <c r="H176" s="65"/>
      <c r="I176" s="65"/>
      <c r="J176" s="65"/>
      <c r="K176" s="65"/>
      <c r="L176" s="65"/>
    </row>
    <row r="177" spans="1:12" x14ac:dyDescent="0.2">
      <c r="A177" s="1"/>
      <c r="B177" s="1"/>
      <c r="C177" s="1"/>
      <c r="D177" s="1"/>
      <c r="E177" s="65"/>
      <c r="F177" s="65"/>
      <c r="G177" s="65"/>
      <c r="H177" s="65"/>
      <c r="I177" s="65"/>
      <c r="J177" s="65"/>
      <c r="K177" s="65"/>
      <c r="L177" s="65"/>
    </row>
    <row r="178" spans="1:12" x14ac:dyDescent="0.2">
      <c r="A178" s="1"/>
      <c r="B178" s="1"/>
      <c r="C178" s="1"/>
      <c r="D178" s="1"/>
      <c r="E178" s="65"/>
      <c r="F178" s="65"/>
      <c r="G178" s="65"/>
      <c r="H178" s="65"/>
      <c r="I178" s="65"/>
      <c r="J178" s="65"/>
      <c r="K178" s="65"/>
      <c r="L178" s="65"/>
    </row>
    <row r="179" spans="1:12" x14ac:dyDescent="0.2">
      <c r="A179" s="1"/>
      <c r="B179" s="1"/>
      <c r="C179" s="1"/>
      <c r="D179" s="1"/>
      <c r="E179" s="65"/>
      <c r="F179" s="65"/>
      <c r="G179" s="65"/>
      <c r="H179" s="65"/>
      <c r="I179" s="65"/>
      <c r="J179" s="65"/>
      <c r="K179" s="65"/>
      <c r="L179" s="65"/>
    </row>
    <row r="180" spans="1:12" x14ac:dyDescent="0.2">
      <c r="A180" s="1"/>
      <c r="B180" s="1"/>
      <c r="C180" s="1"/>
      <c r="D180" s="1"/>
      <c r="E180" s="65"/>
      <c r="F180" s="65"/>
      <c r="G180" s="65"/>
      <c r="H180" s="65"/>
      <c r="I180" s="65"/>
      <c r="J180" s="65"/>
      <c r="K180" s="65"/>
      <c r="L180" s="65"/>
    </row>
    <row r="181" spans="1:12" x14ac:dyDescent="0.2">
      <c r="A181" s="1"/>
      <c r="B181" s="1"/>
      <c r="C181" s="1"/>
      <c r="D181" s="1"/>
      <c r="E181" s="65"/>
      <c r="F181" s="65"/>
      <c r="G181" s="65"/>
      <c r="H181" s="65"/>
      <c r="I181" s="65"/>
      <c r="J181" s="65"/>
      <c r="K181" s="65"/>
      <c r="L181" s="65"/>
    </row>
    <row r="182" spans="1:12" x14ac:dyDescent="0.2">
      <c r="A182" s="1"/>
      <c r="B182" s="1"/>
      <c r="C182" s="1"/>
      <c r="D182" s="1"/>
      <c r="E182" s="65"/>
      <c r="F182" s="65"/>
      <c r="G182" s="65"/>
      <c r="H182" s="65"/>
      <c r="I182" s="65"/>
      <c r="J182" s="65"/>
      <c r="K182" s="65"/>
      <c r="L182" s="65"/>
    </row>
    <row r="183" spans="1:12" x14ac:dyDescent="0.2">
      <c r="A183" s="1"/>
      <c r="B183" s="1"/>
      <c r="C183" s="1"/>
      <c r="D183" s="1"/>
      <c r="E183" s="65"/>
      <c r="F183" s="65"/>
      <c r="G183" s="65"/>
      <c r="H183" s="65"/>
      <c r="I183" s="65"/>
      <c r="J183" s="65"/>
      <c r="K183" s="65"/>
      <c r="L183" s="65"/>
    </row>
    <row r="184" spans="1:12" x14ac:dyDescent="0.2">
      <c r="A184" s="1"/>
      <c r="B184" s="1"/>
      <c r="C184" s="1"/>
      <c r="D184" s="1"/>
      <c r="E184" s="65"/>
      <c r="F184" s="65"/>
      <c r="G184" s="65"/>
      <c r="H184" s="65"/>
      <c r="I184" s="65"/>
      <c r="J184" s="65"/>
      <c r="K184" s="65"/>
      <c r="L184" s="65"/>
    </row>
    <row r="185" spans="1:12" x14ac:dyDescent="0.2">
      <c r="A185" s="1"/>
      <c r="B185" s="1"/>
      <c r="C185" s="1"/>
      <c r="D185" s="1"/>
      <c r="E185" s="65"/>
      <c r="F185" s="65"/>
      <c r="G185" s="65"/>
      <c r="H185" s="65"/>
      <c r="I185" s="65"/>
      <c r="J185" s="65"/>
      <c r="K185" s="65"/>
      <c r="L185" s="65"/>
    </row>
    <row r="186" spans="1:12" x14ac:dyDescent="0.2">
      <c r="A186" s="1"/>
      <c r="B186" s="1"/>
      <c r="C186" s="1"/>
      <c r="D186" s="1"/>
      <c r="E186" s="65"/>
      <c r="F186" s="65"/>
      <c r="G186" s="65"/>
      <c r="H186" s="65"/>
      <c r="I186" s="65"/>
      <c r="J186" s="65"/>
      <c r="K186" s="65"/>
      <c r="L186" s="65"/>
    </row>
    <row r="187" spans="1:12" x14ac:dyDescent="0.2">
      <c r="A187" s="1"/>
      <c r="B187" s="1"/>
      <c r="C187" s="1"/>
      <c r="D187" s="1"/>
      <c r="E187" s="65"/>
      <c r="F187" s="65"/>
      <c r="G187" s="65"/>
      <c r="H187" s="65"/>
      <c r="I187" s="65"/>
      <c r="J187" s="65"/>
      <c r="K187" s="65"/>
      <c r="L187" s="65"/>
    </row>
    <row r="188" spans="1:12" x14ac:dyDescent="0.2">
      <c r="A188" s="1"/>
      <c r="B188" s="1"/>
      <c r="C188" s="1"/>
      <c r="D188" s="1"/>
      <c r="E188" s="65"/>
      <c r="F188" s="65"/>
      <c r="G188" s="65"/>
      <c r="H188" s="65"/>
      <c r="I188" s="65"/>
      <c r="J188" s="65"/>
      <c r="K188" s="65"/>
      <c r="L188" s="65"/>
    </row>
    <row r="189" spans="1:12" x14ac:dyDescent="0.2">
      <c r="A189" s="1"/>
      <c r="B189" s="1"/>
      <c r="C189" s="1"/>
      <c r="D189" s="1"/>
      <c r="E189" s="65"/>
      <c r="F189" s="65"/>
      <c r="G189" s="65"/>
      <c r="H189" s="65"/>
      <c r="I189" s="65"/>
      <c r="J189" s="65"/>
      <c r="K189" s="65"/>
      <c r="L189" s="65"/>
    </row>
    <row r="190" spans="1:12" x14ac:dyDescent="0.2">
      <c r="A190" s="1"/>
      <c r="B190" s="1"/>
      <c r="C190" s="1"/>
      <c r="D190" s="1"/>
      <c r="E190" s="65"/>
      <c r="F190" s="65"/>
      <c r="G190" s="65"/>
      <c r="H190" s="65"/>
      <c r="I190" s="65"/>
      <c r="J190" s="65"/>
      <c r="K190" s="65"/>
      <c r="L190" s="65"/>
    </row>
    <row r="191" spans="1:12" x14ac:dyDescent="0.2">
      <c r="A191" s="1"/>
      <c r="B191" s="1"/>
      <c r="C191" s="1"/>
      <c r="D191" s="1"/>
      <c r="E191" s="65"/>
      <c r="F191" s="65"/>
      <c r="G191" s="65"/>
      <c r="H191" s="65"/>
      <c r="I191" s="65"/>
      <c r="J191" s="65"/>
      <c r="K191" s="65"/>
      <c r="L191" s="65"/>
    </row>
    <row r="192" spans="1:12" x14ac:dyDescent="0.2">
      <c r="A192" s="1"/>
      <c r="B192" s="1"/>
      <c r="C192" s="1"/>
      <c r="D192" s="1"/>
      <c r="E192" s="65"/>
      <c r="F192" s="65"/>
      <c r="G192" s="65"/>
      <c r="H192" s="65"/>
      <c r="I192" s="65"/>
      <c r="J192" s="65"/>
      <c r="K192" s="65"/>
      <c r="L192" s="65"/>
    </row>
    <row r="193" spans="1:12" x14ac:dyDescent="0.2">
      <c r="A193" s="1"/>
      <c r="B193" s="1"/>
      <c r="C193" s="1"/>
      <c r="D193" s="1"/>
      <c r="E193" s="65"/>
      <c r="F193" s="65"/>
      <c r="G193" s="65"/>
      <c r="H193" s="65"/>
      <c r="I193" s="65"/>
      <c r="J193" s="65"/>
      <c r="K193" s="65"/>
      <c r="L193" s="65"/>
    </row>
    <row r="194" spans="1:12" x14ac:dyDescent="0.2">
      <c r="A194" s="1"/>
      <c r="B194" s="1"/>
      <c r="C194" s="1"/>
      <c r="D194" s="1"/>
      <c r="E194" s="65"/>
      <c r="F194" s="65"/>
      <c r="G194" s="65"/>
      <c r="H194" s="65"/>
      <c r="I194" s="65"/>
      <c r="J194" s="65"/>
      <c r="K194" s="65"/>
      <c r="L194" s="65"/>
    </row>
    <row r="195" spans="1:12" x14ac:dyDescent="0.2">
      <c r="A195" s="1"/>
      <c r="B195" s="1"/>
      <c r="C195" s="1"/>
      <c r="D195" s="1"/>
      <c r="E195" s="65"/>
      <c r="F195" s="65"/>
      <c r="G195" s="65"/>
      <c r="H195" s="65"/>
      <c r="I195" s="65"/>
      <c r="J195" s="65"/>
      <c r="K195" s="65"/>
      <c r="L195" s="65"/>
    </row>
    <row r="196" spans="1:12" x14ac:dyDescent="0.2">
      <c r="A196" s="1"/>
      <c r="B196" s="1"/>
      <c r="C196" s="1"/>
      <c r="D196" s="1"/>
      <c r="E196" s="65"/>
      <c r="F196" s="65"/>
      <c r="G196" s="65"/>
      <c r="H196" s="65"/>
      <c r="I196" s="65"/>
      <c r="J196" s="65"/>
      <c r="K196" s="65"/>
      <c r="L196" s="65"/>
    </row>
    <row r="197" spans="1:12" x14ac:dyDescent="0.2">
      <c r="A197" s="1"/>
      <c r="B197" s="1"/>
      <c r="C197" s="1"/>
      <c r="D197" s="1"/>
      <c r="E197" s="65"/>
      <c r="F197" s="65"/>
      <c r="G197" s="65"/>
      <c r="H197" s="65"/>
      <c r="I197" s="65"/>
      <c r="J197" s="65"/>
      <c r="K197" s="65"/>
      <c r="L197" s="65"/>
    </row>
    <row r="198" spans="1:12" x14ac:dyDescent="0.2">
      <c r="A198" s="1"/>
      <c r="B198" s="1"/>
      <c r="C198" s="1"/>
      <c r="D198" s="1"/>
      <c r="E198" s="65"/>
      <c r="F198" s="65"/>
      <c r="G198" s="65"/>
      <c r="H198" s="65"/>
      <c r="I198" s="65"/>
      <c r="J198" s="65"/>
      <c r="K198" s="65"/>
      <c r="L198" s="65"/>
    </row>
    <row r="199" spans="1:12" x14ac:dyDescent="0.2">
      <c r="A199" s="1"/>
      <c r="B199" s="1"/>
      <c r="C199" s="1"/>
      <c r="D199" s="1"/>
      <c r="E199" s="65"/>
      <c r="F199" s="65"/>
      <c r="G199" s="65"/>
      <c r="H199" s="65"/>
      <c r="I199" s="65"/>
      <c r="J199" s="65"/>
      <c r="K199" s="65"/>
      <c r="L199" s="65"/>
    </row>
    <row r="200" spans="1:12" x14ac:dyDescent="0.2">
      <c r="A200" s="1"/>
      <c r="B200" s="1"/>
      <c r="C200" s="1"/>
      <c r="D200" s="1"/>
      <c r="E200" s="65"/>
      <c r="F200" s="65"/>
      <c r="G200" s="65"/>
      <c r="H200" s="65"/>
      <c r="I200" s="65"/>
      <c r="J200" s="65"/>
      <c r="K200" s="65"/>
      <c r="L200" s="65"/>
    </row>
    <row r="201" spans="1:12" x14ac:dyDescent="0.2">
      <c r="A201" s="1"/>
      <c r="B201" s="1"/>
      <c r="C201" s="1"/>
      <c r="D201" s="1"/>
      <c r="E201" s="65"/>
      <c r="F201" s="65"/>
      <c r="G201" s="65"/>
      <c r="H201" s="65"/>
      <c r="I201" s="65"/>
      <c r="J201" s="65"/>
      <c r="K201" s="65"/>
      <c r="L201" s="65"/>
    </row>
    <row r="202" spans="1:12" x14ac:dyDescent="0.2">
      <c r="A202" s="1"/>
      <c r="B202" s="1"/>
      <c r="C202" s="1"/>
      <c r="D202" s="1"/>
      <c r="E202" s="65"/>
      <c r="F202" s="65"/>
      <c r="G202" s="65"/>
      <c r="H202" s="65"/>
      <c r="I202" s="65"/>
      <c r="J202" s="65"/>
      <c r="K202" s="65"/>
      <c r="L202" s="65"/>
    </row>
    <row r="203" spans="1:12" x14ac:dyDescent="0.2">
      <c r="A203" s="1"/>
      <c r="B203" s="1"/>
      <c r="C203" s="1"/>
      <c r="D203" s="1"/>
      <c r="E203" s="65"/>
      <c r="F203" s="65"/>
      <c r="G203" s="65"/>
      <c r="H203" s="65"/>
      <c r="I203" s="65"/>
      <c r="J203" s="65"/>
      <c r="K203" s="65"/>
      <c r="L203" s="65"/>
    </row>
    <row r="204" spans="1:12" x14ac:dyDescent="0.2">
      <c r="A204" s="1"/>
      <c r="B204" s="1"/>
      <c r="C204" s="1"/>
      <c r="D204" s="1"/>
      <c r="E204" s="65"/>
      <c r="F204" s="65"/>
      <c r="G204" s="65"/>
      <c r="H204" s="65"/>
      <c r="I204" s="65"/>
      <c r="J204" s="65"/>
      <c r="K204" s="65"/>
      <c r="L204" s="65"/>
    </row>
    <row r="205" spans="1:12" x14ac:dyDescent="0.2">
      <c r="A205" s="1"/>
      <c r="B205" s="1"/>
      <c r="C205" s="1"/>
      <c r="D205" s="1"/>
      <c r="E205" s="65"/>
      <c r="F205" s="65"/>
      <c r="G205" s="65"/>
      <c r="H205" s="65"/>
      <c r="I205" s="65"/>
      <c r="J205" s="65"/>
      <c r="K205" s="65"/>
      <c r="L205" s="65"/>
    </row>
    <row r="206" spans="1:12" x14ac:dyDescent="0.2">
      <c r="A206" s="1"/>
      <c r="B206" s="1"/>
      <c r="C206" s="1"/>
      <c r="D206" s="1"/>
      <c r="E206" s="65"/>
      <c r="F206" s="65"/>
      <c r="G206" s="65"/>
      <c r="H206" s="65"/>
      <c r="I206" s="65"/>
      <c r="J206" s="65"/>
      <c r="K206" s="65"/>
      <c r="L206" s="65"/>
    </row>
    <row r="207" spans="1:12" x14ac:dyDescent="0.2">
      <c r="A207" s="1"/>
      <c r="B207" s="1"/>
      <c r="C207" s="1"/>
      <c r="D207" s="1"/>
      <c r="E207" s="65"/>
      <c r="F207" s="65"/>
      <c r="G207" s="65"/>
      <c r="H207" s="65"/>
      <c r="I207" s="65"/>
      <c r="J207" s="65"/>
      <c r="K207" s="65"/>
      <c r="L207" s="65"/>
    </row>
    <row r="208" spans="1:12" x14ac:dyDescent="0.2">
      <c r="A208" s="1"/>
      <c r="B208" s="1"/>
      <c r="C208" s="1"/>
      <c r="D208" s="1"/>
      <c r="E208" s="65"/>
      <c r="F208" s="65"/>
      <c r="G208" s="65"/>
      <c r="H208" s="65"/>
      <c r="I208" s="65"/>
      <c r="J208" s="65"/>
      <c r="K208" s="65"/>
      <c r="L208" s="65"/>
    </row>
    <row r="209" spans="1:12" x14ac:dyDescent="0.2">
      <c r="A209" s="1"/>
      <c r="B209" s="1"/>
      <c r="C209" s="1"/>
      <c r="D209" s="1"/>
      <c r="E209" s="65"/>
      <c r="F209" s="65"/>
      <c r="G209" s="65"/>
      <c r="H209" s="65"/>
      <c r="I209" s="65"/>
      <c r="J209" s="65"/>
      <c r="K209" s="65"/>
      <c r="L209" s="65"/>
    </row>
    <row r="210" spans="1:12" x14ac:dyDescent="0.2">
      <c r="A210" s="1"/>
      <c r="B210" s="1"/>
      <c r="C210" s="1"/>
      <c r="D210" s="1"/>
      <c r="E210" s="65"/>
      <c r="F210" s="65"/>
      <c r="G210" s="65"/>
      <c r="H210" s="65"/>
      <c r="I210" s="65"/>
      <c r="J210" s="65"/>
      <c r="K210" s="65"/>
      <c r="L210" s="65"/>
    </row>
    <row r="211" spans="1:12" x14ac:dyDescent="0.2">
      <c r="A211" s="1"/>
      <c r="B211" s="1"/>
      <c r="C211" s="1"/>
      <c r="D211" s="1"/>
      <c r="E211" s="65"/>
      <c r="F211" s="65"/>
      <c r="G211" s="65"/>
      <c r="H211" s="65"/>
      <c r="I211" s="65"/>
      <c r="J211" s="65"/>
      <c r="K211" s="65"/>
      <c r="L211" s="65"/>
    </row>
    <row r="212" spans="1:12" x14ac:dyDescent="0.2">
      <c r="A212" s="1"/>
      <c r="B212" s="1"/>
      <c r="C212" s="1"/>
      <c r="D212" s="1"/>
      <c r="E212" s="65"/>
      <c r="F212" s="65"/>
      <c r="G212" s="65"/>
      <c r="H212" s="65"/>
      <c r="I212" s="65"/>
      <c r="J212" s="65"/>
      <c r="K212" s="65"/>
      <c r="L212" s="65"/>
    </row>
    <row r="213" spans="1:12" x14ac:dyDescent="0.2">
      <c r="A213" s="1"/>
      <c r="B213" s="1"/>
      <c r="C213" s="1"/>
      <c r="D213" s="1"/>
      <c r="E213" s="65"/>
      <c r="F213" s="65"/>
      <c r="G213" s="65"/>
      <c r="H213" s="65"/>
      <c r="I213" s="65"/>
      <c r="J213" s="65"/>
      <c r="K213" s="65"/>
      <c r="L213" s="65"/>
    </row>
    <row r="214" spans="1:12" x14ac:dyDescent="0.2">
      <c r="A214" s="1"/>
      <c r="B214" s="1"/>
      <c r="C214" s="1"/>
      <c r="D214" s="1"/>
      <c r="E214" s="65"/>
      <c r="F214" s="65"/>
      <c r="G214" s="65"/>
      <c r="H214" s="65"/>
      <c r="I214" s="65"/>
      <c r="J214" s="65"/>
      <c r="K214" s="65"/>
      <c r="L214" s="65"/>
    </row>
    <row r="215" spans="1:12" x14ac:dyDescent="0.2">
      <c r="A215" s="1"/>
      <c r="B215" s="1"/>
      <c r="C215" s="1"/>
      <c r="D215" s="1"/>
      <c r="E215" s="65"/>
      <c r="F215" s="65"/>
      <c r="G215" s="65"/>
      <c r="H215" s="65"/>
      <c r="I215" s="65"/>
      <c r="J215" s="65"/>
      <c r="K215" s="65"/>
      <c r="L215" s="65"/>
    </row>
    <row r="216" spans="1:12" x14ac:dyDescent="0.2">
      <c r="A216" s="1"/>
      <c r="B216" s="1"/>
      <c r="C216" s="1"/>
      <c r="D216" s="1"/>
      <c r="E216" s="65"/>
      <c r="F216" s="65"/>
      <c r="G216" s="65"/>
      <c r="H216" s="65"/>
      <c r="I216" s="65"/>
      <c r="J216" s="65"/>
      <c r="K216" s="65"/>
      <c r="L216" s="65"/>
    </row>
    <row r="217" spans="1:12" x14ac:dyDescent="0.2">
      <c r="A217" s="1"/>
      <c r="B217" s="1"/>
      <c r="C217" s="1"/>
      <c r="D217" s="1"/>
      <c r="E217" s="65"/>
      <c r="F217" s="65"/>
      <c r="G217" s="65"/>
      <c r="H217" s="65"/>
      <c r="I217" s="65"/>
      <c r="J217" s="65"/>
      <c r="K217" s="65"/>
      <c r="L217" s="65"/>
    </row>
    <row r="218" spans="1:12" x14ac:dyDescent="0.2">
      <c r="A218" s="1"/>
      <c r="B218" s="1"/>
      <c r="C218" s="1"/>
      <c r="D218" s="1"/>
      <c r="E218" s="65"/>
      <c r="F218" s="65"/>
      <c r="G218" s="65"/>
      <c r="H218" s="65"/>
      <c r="I218" s="65"/>
      <c r="J218" s="65"/>
      <c r="K218" s="65"/>
      <c r="L218" s="65"/>
    </row>
    <row r="219" spans="1:12" x14ac:dyDescent="0.2">
      <c r="A219" s="1"/>
      <c r="B219" s="1"/>
      <c r="C219" s="1"/>
      <c r="D219" s="1"/>
      <c r="E219" s="65"/>
      <c r="F219" s="65"/>
      <c r="G219" s="65"/>
      <c r="H219" s="65"/>
      <c r="I219" s="65"/>
      <c r="J219" s="65"/>
      <c r="K219" s="65"/>
      <c r="L219" s="65"/>
    </row>
    <row r="220" spans="1:12" x14ac:dyDescent="0.2">
      <c r="A220" s="1"/>
      <c r="B220" s="1"/>
      <c r="C220" s="1"/>
      <c r="D220" s="1"/>
      <c r="E220" s="65"/>
      <c r="F220" s="65"/>
      <c r="G220" s="65"/>
      <c r="H220" s="65"/>
      <c r="I220" s="65"/>
      <c r="J220" s="65"/>
      <c r="K220" s="65"/>
      <c r="L220" s="65"/>
    </row>
    <row r="221" spans="1:12" x14ac:dyDescent="0.2">
      <c r="A221" s="1"/>
      <c r="B221" s="1"/>
      <c r="C221" s="1"/>
      <c r="D221" s="1"/>
      <c r="E221" s="65"/>
      <c r="F221" s="65"/>
      <c r="G221" s="65"/>
      <c r="H221" s="65"/>
      <c r="I221" s="65"/>
      <c r="J221" s="65"/>
      <c r="K221" s="65"/>
      <c r="L221" s="65"/>
    </row>
    <row r="222" spans="1:12" x14ac:dyDescent="0.2">
      <c r="A222" s="1"/>
      <c r="B222" s="1"/>
      <c r="C222" s="1"/>
      <c r="D222" s="1"/>
      <c r="E222" s="65"/>
      <c r="F222" s="65"/>
      <c r="G222" s="65"/>
      <c r="H222" s="65"/>
      <c r="I222" s="65"/>
      <c r="J222" s="65"/>
      <c r="K222" s="65"/>
      <c r="L222" s="65"/>
    </row>
    <row r="223" spans="1:12" x14ac:dyDescent="0.2">
      <c r="A223" s="1"/>
      <c r="B223" s="1"/>
      <c r="C223" s="1"/>
      <c r="D223" s="1"/>
      <c r="E223" s="65"/>
      <c r="F223" s="65"/>
      <c r="G223" s="65"/>
      <c r="H223" s="65"/>
      <c r="I223" s="65"/>
      <c r="J223" s="65"/>
      <c r="K223" s="65"/>
      <c r="L223" s="65"/>
    </row>
    <row r="224" spans="1:12" x14ac:dyDescent="0.2">
      <c r="A224" s="1"/>
      <c r="B224" s="1"/>
      <c r="C224" s="1"/>
      <c r="D224" s="1"/>
      <c r="E224" s="65"/>
      <c r="F224" s="65"/>
      <c r="G224" s="65"/>
      <c r="H224" s="65"/>
      <c r="I224" s="65"/>
      <c r="J224" s="65"/>
      <c r="K224" s="65"/>
      <c r="L224" s="65"/>
    </row>
    <row r="225" spans="1:12" x14ac:dyDescent="0.2">
      <c r="A225" s="1"/>
      <c r="B225" s="1"/>
      <c r="C225" s="1"/>
      <c r="D225" s="1"/>
      <c r="E225" s="65"/>
      <c r="F225" s="65"/>
      <c r="G225" s="65"/>
      <c r="H225" s="65"/>
      <c r="I225" s="65"/>
      <c r="J225" s="65"/>
      <c r="K225" s="65"/>
      <c r="L225" s="65"/>
    </row>
    <row r="226" spans="1:12" x14ac:dyDescent="0.2">
      <c r="A226" s="1"/>
      <c r="B226" s="1"/>
      <c r="C226" s="1"/>
      <c r="D226" s="1"/>
      <c r="E226" s="65"/>
      <c r="F226" s="65"/>
      <c r="G226" s="65"/>
      <c r="H226" s="65"/>
      <c r="I226" s="65"/>
      <c r="J226" s="65"/>
      <c r="K226" s="65"/>
      <c r="L226" s="65"/>
    </row>
    <row r="227" spans="1:12" x14ac:dyDescent="0.2">
      <c r="A227" s="1"/>
      <c r="B227" s="1"/>
      <c r="C227" s="1"/>
      <c r="D227" s="1"/>
      <c r="E227" s="65"/>
      <c r="F227" s="65"/>
      <c r="G227" s="65"/>
      <c r="H227" s="65"/>
      <c r="I227" s="65"/>
      <c r="J227" s="65"/>
      <c r="K227" s="65"/>
      <c r="L227" s="65"/>
    </row>
    <row r="228" spans="1:12" x14ac:dyDescent="0.2">
      <c r="A228" s="1"/>
      <c r="B228" s="1"/>
      <c r="C228" s="1"/>
      <c r="D228" s="1"/>
      <c r="E228" s="65"/>
      <c r="F228" s="65"/>
      <c r="G228" s="65"/>
      <c r="H228" s="65"/>
      <c r="I228" s="65"/>
      <c r="J228" s="65"/>
      <c r="K228" s="65"/>
      <c r="L228" s="65"/>
    </row>
    <row r="229" spans="1:12" x14ac:dyDescent="0.2">
      <c r="A229" s="1"/>
      <c r="B229" s="1"/>
      <c r="C229" s="1"/>
      <c r="D229" s="1"/>
      <c r="E229" s="65"/>
      <c r="F229" s="65"/>
      <c r="G229" s="65"/>
      <c r="H229" s="65"/>
      <c r="I229" s="65"/>
      <c r="J229" s="65"/>
      <c r="K229" s="65"/>
      <c r="L229" s="65"/>
    </row>
    <row r="230" spans="1:12" x14ac:dyDescent="0.2">
      <c r="A230" s="1"/>
      <c r="B230" s="1"/>
      <c r="C230" s="1"/>
      <c r="D230" s="1"/>
      <c r="E230" s="65"/>
      <c r="F230" s="65"/>
      <c r="G230" s="65"/>
      <c r="H230" s="65"/>
      <c r="I230" s="65"/>
      <c r="J230" s="65"/>
      <c r="K230" s="65"/>
      <c r="L230" s="65"/>
    </row>
    <row r="231" spans="1:12" x14ac:dyDescent="0.2">
      <c r="A231" s="1"/>
      <c r="B231" s="1"/>
      <c r="C231" s="1"/>
      <c r="D231" s="1"/>
      <c r="E231" s="65"/>
      <c r="F231" s="65"/>
      <c r="G231" s="65"/>
      <c r="H231" s="65"/>
      <c r="I231" s="65"/>
      <c r="J231" s="65"/>
      <c r="K231" s="65"/>
      <c r="L231" s="65"/>
    </row>
    <row r="232" spans="1:12" x14ac:dyDescent="0.2">
      <c r="A232" s="1"/>
      <c r="B232" s="1"/>
      <c r="C232" s="1"/>
      <c r="D232" s="1"/>
      <c r="E232" s="65"/>
      <c r="F232" s="65"/>
      <c r="G232" s="65"/>
      <c r="H232" s="65"/>
      <c r="I232" s="65"/>
      <c r="J232" s="65"/>
      <c r="K232" s="65"/>
      <c r="L232" s="65"/>
    </row>
    <row r="233" spans="1:12" x14ac:dyDescent="0.2">
      <c r="A233" s="1"/>
      <c r="B233" s="1"/>
      <c r="C233" s="1"/>
      <c r="D233" s="1"/>
      <c r="E233" s="65"/>
      <c r="F233" s="65"/>
      <c r="G233" s="65"/>
      <c r="H233" s="65"/>
      <c r="I233" s="65"/>
      <c r="J233" s="65"/>
      <c r="K233" s="65"/>
      <c r="L233" s="65"/>
    </row>
    <row r="234" spans="1:12" x14ac:dyDescent="0.2">
      <c r="A234" s="1"/>
      <c r="B234" s="1"/>
      <c r="C234" s="1"/>
      <c r="D234" s="1"/>
      <c r="E234" s="65"/>
      <c r="F234" s="65"/>
      <c r="G234" s="65"/>
      <c r="H234" s="65"/>
      <c r="I234" s="65"/>
      <c r="J234" s="65"/>
      <c r="K234" s="65"/>
      <c r="L234" s="65"/>
    </row>
    <row r="235" spans="1:12" x14ac:dyDescent="0.2">
      <c r="A235" s="1"/>
      <c r="B235" s="1"/>
      <c r="C235" s="1"/>
      <c r="D235" s="1"/>
      <c r="E235" s="65"/>
      <c r="F235" s="65"/>
      <c r="G235" s="65"/>
      <c r="H235" s="65"/>
      <c r="I235" s="65"/>
      <c r="J235" s="65"/>
      <c r="K235" s="65"/>
      <c r="L235" s="65"/>
    </row>
    <row r="236" spans="1:12" x14ac:dyDescent="0.2">
      <c r="A236" s="1"/>
      <c r="B236" s="1"/>
      <c r="C236" s="1"/>
      <c r="D236" s="1"/>
      <c r="E236" s="65"/>
      <c r="F236" s="65"/>
      <c r="G236" s="65"/>
      <c r="H236" s="65"/>
      <c r="I236" s="65"/>
      <c r="J236" s="65"/>
      <c r="K236" s="65"/>
      <c r="L236" s="65"/>
    </row>
    <row r="237" spans="1:12" x14ac:dyDescent="0.2">
      <c r="A237" s="1"/>
      <c r="B237" s="1"/>
      <c r="C237" s="1"/>
      <c r="D237" s="1"/>
      <c r="E237" s="65"/>
      <c r="F237" s="65"/>
      <c r="G237" s="65"/>
      <c r="H237" s="65"/>
      <c r="I237" s="65"/>
      <c r="J237" s="65"/>
      <c r="K237" s="65"/>
      <c r="L237" s="65"/>
    </row>
    <row r="238" spans="1:12" x14ac:dyDescent="0.2">
      <c r="A238" s="1"/>
      <c r="B238" s="1"/>
      <c r="C238" s="1"/>
      <c r="D238" s="1"/>
      <c r="E238" s="65"/>
      <c r="F238" s="65"/>
      <c r="G238" s="65"/>
      <c r="H238" s="65"/>
      <c r="I238" s="65"/>
      <c r="J238" s="65"/>
      <c r="K238" s="65"/>
      <c r="L238" s="65"/>
    </row>
    <row r="239" spans="1:12" x14ac:dyDescent="0.2">
      <c r="A239" s="1"/>
      <c r="B239" s="1"/>
      <c r="C239" s="1"/>
      <c r="D239" s="1"/>
      <c r="E239" s="65"/>
      <c r="F239" s="65"/>
      <c r="G239" s="65"/>
      <c r="H239" s="65"/>
      <c r="I239" s="65"/>
      <c r="J239" s="65"/>
      <c r="K239" s="65"/>
      <c r="L239" s="65"/>
    </row>
    <row r="240" spans="1:12" x14ac:dyDescent="0.2">
      <c r="A240" s="1"/>
      <c r="B240" s="1"/>
      <c r="C240" s="1"/>
      <c r="D240" s="1"/>
      <c r="E240" s="65"/>
      <c r="F240" s="65"/>
      <c r="G240" s="65"/>
      <c r="H240" s="65"/>
      <c r="I240" s="65"/>
      <c r="J240" s="65"/>
      <c r="K240" s="65"/>
      <c r="L240" s="65"/>
    </row>
    <row r="241" spans="1:12" x14ac:dyDescent="0.2">
      <c r="A241" s="1"/>
      <c r="B241" s="1"/>
      <c r="C241" s="1"/>
      <c r="D241" s="1"/>
      <c r="E241" s="65"/>
      <c r="F241" s="65"/>
      <c r="G241" s="65"/>
      <c r="H241" s="65"/>
      <c r="I241" s="65"/>
      <c r="J241" s="65"/>
      <c r="K241" s="65"/>
      <c r="L241" s="65"/>
    </row>
    <row r="242" spans="1:12" x14ac:dyDescent="0.2">
      <c r="A242" s="1"/>
      <c r="B242" s="1"/>
      <c r="C242" s="1"/>
      <c r="D242" s="1"/>
      <c r="E242" s="65"/>
      <c r="F242" s="65"/>
      <c r="G242" s="65"/>
      <c r="H242" s="65"/>
      <c r="I242" s="65"/>
      <c r="J242" s="65"/>
      <c r="K242" s="65"/>
      <c r="L242" s="65"/>
    </row>
    <row r="243" spans="1:12" x14ac:dyDescent="0.2">
      <c r="A243" s="1"/>
      <c r="B243" s="1"/>
      <c r="C243" s="1"/>
      <c r="D243" s="1"/>
      <c r="E243" s="65"/>
      <c r="F243" s="65"/>
      <c r="G243" s="65"/>
      <c r="H243" s="65"/>
      <c r="I243" s="65"/>
      <c r="J243" s="65"/>
      <c r="K243" s="65"/>
      <c r="L243" s="65"/>
    </row>
    <row r="244" spans="1:12" x14ac:dyDescent="0.2">
      <c r="A244" s="1"/>
      <c r="B244" s="1"/>
      <c r="C244" s="1"/>
      <c r="D244" s="1"/>
      <c r="E244" s="65"/>
      <c r="F244" s="65"/>
      <c r="G244" s="65"/>
      <c r="H244" s="65"/>
      <c r="I244" s="65"/>
      <c r="J244" s="65"/>
      <c r="K244" s="65"/>
      <c r="L244" s="65"/>
    </row>
    <row r="245" spans="1:12" x14ac:dyDescent="0.2">
      <c r="A245" s="1"/>
      <c r="B245" s="1"/>
      <c r="C245" s="1"/>
      <c r="D245" s="1"/>
      <c r="E245" s="65"/>
      <c r="F245" s="65"/>
      <c r="G245" s="65"/>
      <c r="H245" s="65"/>
      <c r="I245" s="65"/>
      <c r="J245" s="65"/>
      <c r="K245" s="65"/>
      <c r="L245" s="65"/>
    </row>
    <row r="246" spans="1:12" x14ac:dyDescent="0.2">
      <c r="A246" s="1"/>
      <c r="B246" s="1"/>
      <c r="C246" s="1"/>
      <c r="D246" s="1"/>
      <c r="E246" s="65"/>
      <c r="F246" s="65"/>
      <c r="G246" s="65"/>
      <c r="H246" s="65"/>
      <c r="I246" s="65"/>
      <c r="J246" s="65"/>
      <c r="K246" s="65"/>
      <c r="L246" s="65"/>
    </row>
    <row r="247" spans="1:12" x14ac:dyDescent="0.2">
      <c r="A247" s="1"/>
      <c r="B247" s="1"/>
      <c r="C247" s="1"/>
      <c r="D247" s="1"/>
      <c r="E247" s="65"/>
      <c r="F247" s="65"/>
      <c r="G247" s="65"/>
      <c r="H247" s="65"/>
      <c r="I247" s="65"/>
      <c r="J247" s="65"/>
      <c r="K247" s="65"/>
      <c r="L247" s="65"/>
    </row>
    <row r="248" spans="1:12" x14ac:dyDescent="0.2">
      <c r="A248" s="1"/>
      <c r="B248" s="1"/>
      <c r="C248" s="1"/>
      <c r="D248" s="1"/>
      <c r="E248" s="65"/>
      <c r="F248" s="65"/>
      <c r="G248" s="65"/>
      <c r="H248" s="65"/>
      <c r="I248" s="65"/>
      <c r="J248" s="65"/>
      <c r="K248" s="65"/>
      <c r="L248" s="65"/>
    </row>
    <row r="249" spans="1:12" x14ac:dyDescent="0.2">
      <c r="A249" s="1"/>
      <c r="B249" s="1"/>
      <c r="C249" s="1"/>
      <c r="D249" s="1"/>
      <c r="E249" s="65"/>
      <c r="F249" s="65"/>
      <c r="G249" s="65"/>
      <c r="H249" s="65"/>
      <c r="I249" s="65"/>
      <c r="J249" s="65"/>
      <c r="K249" s="65"/>
      <c r="L249" s="65"/>
    </row>
    <row r="250" spans="1:12" x14ac:dyDescent="0.2">
      <c r="A250" s="1"/>
      <c r="B250" s="1"/>
      <c r="C250" s="1"/>
      <c r="D250" s="1"/>
      <c r="E250" s="65"/>
      <c r="F250" s="65"/>
      <c r="G250" s="65"/>
      <c r="H250" s="65"/>
      <c r="I250" s="65"/>
      <c r="J250" s="65"/>
      <c r="K250" s="65"/>
      <c r="L250" s="65"/>
    </row>
    <row r="251" spans="1:12" x14ac:dyDescent="0.2">
      <c r="A251" s="1"/>
      <c r="B251" s="1"/>
      <c r="C251" s="1"/>
      <c r="D251" s="1"/>
      <c r="E251" s="65"/>
      <c r="F251" s="65"/>
      <c r="G251" s="65"/>
      <c r="H251" s="65"/>
      <c r="I251" s="65"/>
      <c r="J251" s="65"/>
      <c r="K251" s="65"/>
      <c r="L251" s="65"/>
    </row>
    <row r="252" spans="1:12" x14ac:dyDescent="0.2">
      <c r="A252" s="1"/>
      <c r="B252" s="1"/>
      <c r="C252" s="1"/>
      <c r="D252" s="1"/>
      <c r="E252" s="65"/>
      <c r="F252" s="65"/>
      <c r="G252" s="65"/>
      <c r="H252" s="65"/>
      <c r="I252" s="65"/>
      <c r="J252" s="65"/>
      <c r="K252" s="65"/>
      <c r="L252" s="65"/>
    </row>
    <row r="253" spans="1:12" x14ac:dyDescent="0.2">
      <c r="A253" s="1"/>
      <c r="B253" s="1"/>
      <c r="C253" s="1"/>
      <c r="D253" s="1"/>
      <c r="E253" s="65"/>
      <c r="F253" s="65"/>
      <c r="G253" s="65"/>
      <c r="H253" s="65"/>
      <c r="I253" s="65"/>
      <c r="J253" s="65"/>
      <c r="K253" s="65"/>
      <c r="L253" s="65"/>
    </row>
  </sheetData>
  <mergeCells count="6">
    <mergeCell ref="A32:D32"/>
    <mergeCell ref="A1:D1"/>
    <mergeCell ref="B3:D3"/>
    <mergeCell ref="B5:D5"/>
    <mergeCell ref="A20:D20"/>
    <mergeCell ref="A29:D29"/>
  </mergeCells>
  <printOptions horizontalCentered="1" verticalCentered="1"/>
  <pageMargins left="0.51181102362204722" right="0.51181102362204722" top="0.98425196850393704" bottom="0.78740157480314965" header="0.31496062992125984" footer="0.31496062992125984"/>
  <pageSetup paperSize="9" orientation="portrait" r:id="rId1"/>
  <headerFooter>
    <oddHeader>&amp;L&amp;G&amp;R&amp;G</oddHeader>
    <oddFooter>&amp;C&amp;K03+000
Rua Nilton Baldo, 744 – Bairro Jardim Paquetá - CEP 31.330-660 – Belo Horizonte / Minas Gerais.
Endereço Eletrônico: ottawaeng@terra.com.br – Telefax (31) 3418-2175 – CNPJ: 04.472.311/0001-04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3"/>
  <sheetViews>
    <sheetView view="pageBreakPreview" zoomScaleNormal="100" zoomScaleSheetLayoutView="100" workbookViewId="0">
      <selection activeCell="B10" sqref="B10"/>
    </sheetView>
  </sheetViews>
  <sheetFormatPr defaultRowHeight="14.25" x14ac:dyDescent="0.2"/>
  <cols>
    <col min="1" max="1" width="12.85546875" style="3" customWidth="1"/>
    <col min="2" max="2" width="43.7109375" style="3" customWidth="1"/>
    <col min="3" max="3" width="15.140625" style="3" customWidth="1"/>
    <col min="4" max="4" width="22.28515625" style="61" customWidth="1"/>
    <col min="5" max="5" width="21" style="1" customWidth="1"/>
    <col min="6" max="6" width="5.85546875" style="1" customWidth="1"/>
    <col min="7" max="7" width="16.28515625" style="1" customWidth="1"/>
    <col min="8" max="256" width="9.140625" style="1"/>
    <col min="257" max="257" width="12.85546875" style="1" customWidth="1"/>
    <col min="258" max="258" width="43.7109375" style="1" customWidth="1"/>
    <col min="259" max="259" width="15.140625" style="1" customWidth="1"/>
    <col min="260" max="260" width="20.42578125" style="1" customWidth="1"/>
    <col min="261" max="261" width="21" style="1" customWidth="1"/>
    <col min="262" max="262" width="5.85546875" style="1" customWidth="1"/>
    <col min="263" max="263" width="16.28515625" style="1" customWidth="1"/>
    <col min="264" max="512" width="9.140625" style="1"/>
    <col min="513" max="513" width="12.85546875" style="1" customWidth="1"/>
    <col min="514" max="514" width="43.7109375" style="1" customWidth="1"/>
    <col min="515" max="515" width="15.140625" style="1" customWidth="1"/>
    <col min="516" max="516" width="20.42578125" style="1" customWidth="1"/>
    <col min="517" max="517" width="21" style="1" customWidth="1"/>
    <col min="518" max="518" width="5.85546875" style="1" customWidth="1"/>
    <col min="519" max="519" width="16.28515625" style="1" customWidth="1"/>
    <col min="520" max="768" width="9.140625" style="1"/>
    <col min="769" max="769" width="12.85546875" style="1" customWidth="1"/>
    <col min="770" max="770" width="43.7109375" style="1" customWidth="1"/>
    <col min="771" max="771" width="15.140625" style="1" customWidth="1"/>
    <col min="772" max="772" width="20.42578125" style="1" customWidth="1"/>
    <col min="773" max="773" width="21" style="1" customWidth="1"/>
    <col min="774" max="774" width="5.85546875" style="1" customWidth="1"/>
    <col min="775" max="775" width="16.28515625" style="1" customWidth="1"/>
    <col min="776" max="1024" width="9.140625" style="1"/>
    <col min="1025" max="1025" width="12.85546875" style="1" customWidth="1"/>
    <col min="1026" max="1026" width="43.7109375" style="1" customWidth="1"/>
    <col min="1027" max="1027" width="15.140625" style="1" customWidth="1"/>
    <col min="1028" max="1028" width="20.42578125" style="1" customWidth="1"/>
    <col min="1029" max="1029" width="21" style="1" customWidth="1"/>
    <col min="1030" max="1030" width="5.85546875" style="1" customWidth="1"/>
    <col min="1031" max="1031" width="16.28515625" style="1" customWidth="1"/>
    <col min="1032" max="1280" width="9.140625" style="1"/>
    <col min="1281" max="1281" width="12.85546875" style="1" customWidth="1"/>
    <col min="1282" max="1282" width="43.7109375" style="1" customWidth="1"/>
    <col min="1283" max="1283" width="15.140625" style="1" customWidth="1"/>
    <col min="1284" max="1284" width="20.42578125" style="1" customWidth="1"/>
    <col min="1285" max="1285" width="21" style="1" customWidth="1"/>
    <col min="1286" max="1286" width="5.85546875" style="1" customWidth="1"/>
    <col min="1287" max="1287" width="16.28515625" style="1" customWidth="1"/>
    <col min="1288" max="1536" width="9.140625" style="1"/>
    <col min="1537" max="1537" width="12.85546875" style="1" customWidth="1"/>
    <col min="1538" max="1538" width="43.7109375" style="1" customWidth="1"/>
    <col min="1539" max="1539" width="15.140625" style="1" customWidth="1"/>
    <col min="1540" max="1540" width="20.42578125" style="1" customWidth="1"/>
    <col min="1541" max="1541" width="21" style="1" customWidth="1"/>
    <col min="1542" max="1542" width="5.85546875" style="1" customWidth="1"/>
    <col min="1543" max="1543" width="16.28515625" style="1" customWidth="1"/>
    <col min="1544" max="1792" width="9.140625" style="1"/>
    <col min="1793" max="1793" width="12.85546875" style="1" customWidth="1"/>
    <col min="1794" max="1794" width="43.7109375" style="1" customWidth="1"/>
    <col min="1795" max="1795" width="15.140625" style="1" customWidth="1"/>
    <col min="1796" max="1796" width="20.42578125" style="1" customWidth="1"/>
    <col min="1797" max="1797" width="21" style="1" customWidth="1"/>
    <col min="1798" max="1798" width="5.85546875" style="1" customWidth="1"/>
    <col min="1799" max="1799" width="16.28515625" style="1" customWidth="1"/>
    <col min="1800" max="2048" width="9.140625" style="1"/>
    <col min="2049" max="2049" width="12.85546875" style="1" customWidth="1"/>
    <col min="2050" max="2050" width="43.7109375" style="1" customWidth="1"/>
    <col min="2051" max="2051" width="15.140625" style="1" customWidth="1"/>
    <col min="2052" max="2052" width="20.42578125" style="1" customWidth="1"/>
    <col min="2053" max="2053" width="21" style="1" customWidth="1"/>
    <col min="2054" max="2054" width="5.85546875" style="1" customWidth="1"/>
    <col min="2055" max="2055" width="16.28515625" style="1" customWidth="1"/>
    <col min="2056" max="2304" width="9.140625" style="1"/>
    <col min="2305" max="2305" width="12.85546875" style="1" customWidth="1"/>
    <col min="2306" max="2306" width="43.7109375" style="1" customWidth="1"/>
    <col min="2307" max="2307" width="15.140625" style="1" customWidth="1"/>
    <col min="2308" max="2308" width="20.42578125" style="1" customWidth="1"/>
    <col min="2309" max="2309" width="21" style="1" customWidth="1"/>
    <col min="2310" max="2310" width="5.85546875" style="1" customWidth="1"/>
    <col min="2311" max="2311" width="16.28515625" style="1" customWidth="1"/>
    <col min="2312" max="2560" width="9.140625" style="1"/>
    <col min="2561" max="2561" width="12.85546875" style="1" customWidth="1"/>
    <col min="2562" max="2562" width="43.7109375" style="1" customWidth="1"/>
    <col min="2563" max="2563" width="15.140625" style="1" customWidth="1"/>
    <col min="2564" max="2564" width="20.42578125" style="1" customWidth="1"/>
    <col min="2565" max="2565" width="21" style="1" customWidth="1"/>
    <col min="2566" max="2566" width="5.85546875" style="1" customWidth="1"/>
    <col min="2567" max="2567" width="16.28515625" style="1" customWidth="1"/>
    <col min="2568" max="2816" width="9.140625" style="1"/>
    <col min="2817" max="2817" width="12.85546875" style="1" customWidth="1"/>
    <col min="2818" max="2818" width="43.7109375" style="1" customWidth="1"/>
    <col min="2819" max="2819" width="15.140625" style="1" customWidth="1"/>
    <col min="2820" max="2820" width="20.42578125" style="1" customWidth="1"/>
    <col min="2821" max="2821" width="21" style="1" customWidth="1"/>
    <col min="2822" max="2822" width="5.85546875" style="1" customWidth="1"/>
    <col min="2823" max="2823" width="16.28515625" style="1" customWidth="1"/>
    <col min="2824" max="3072" width="9.140625" style="1"/>
    <col min="3073" max="3073" width="12.85546875" style="1" customWidth="1"/>
    <col min="3074" max="3074" width="43.7109375" style="1" customWidth="1"/>
    <col min="3075" max="3075" width="15.140625" style="1" customWidth="1"/>
    <col min="3076" max="3076" width="20.42578125" style="1" customWidth="1"/>
    <col min="3077" max="3077" width="21" style="1" customWidth="1"/>
    <col min="3078" max="3078" width="5.85546875" style="1" customWidth="1"/>
    <col min="3079" max="3079" width="16.28515625" style="1" customWidth="1"/>
    <col min="3080" max="3328" width="9.140625" style="1"/>
    <col min="3329" max="3329" width="12.85546875" style="1" customWidth="1"/>
    <col min="3330" max="3330" width="43.7109375" style="1" customWidth="1"/>
    <col min="3331" max="3331" width="15.140625" style="1" customWidth="1"/>
    <col min="3332" max="3332" width="20.42578125" style="1" customWidth="1"/>
    <col min="3333" max="3333" width="21" style="1" customWidth="1"/>
    <col min="3334" max="3334" width="5.85546875" style="1" customWidth="1"/>
    <col min="3335" max="3335" width="16.28515625" style="1" customWidth="1"/>
    <col min="3336" max="3584" width="9.140625" style="1"/>
    <col min="3585" max="3585" width="12.85546875" style="1" customWidth="1"/>
    <col min="3586" max="3586" width="43.7109375" style="1" customWidth="1"/>
    <col min="3587" max="3587" width="15.140625" style="1" customWidth="1"/>
    <col min="3588" max="3588" width="20.42578125" style="1" customWidth="1"/>
    <col min="3589" max="3589" width="21" style="1" customWidth="1"/>
    <col min="3590" max="3590" width="5.85546875" style="1" customWidth="1"/>
    <col min="3591" max="3591" width="16.28515625" style="1" customWidth="1"/>
    <col min="3592" max="3840" width="9.140625" style="1"/>
    <col min="3841" max="3841" width="12.85546875" style="1" customWidth="1"/>
    <col min="3842" max="3842" width="43.7109375" style="1" customWidth="1"/>
    <col min="3843" max="3843" width="15.140625" style="1" customWidth="1"/>
    <col min="3844" max="3844" width="20.42578125" style="1" customWidth="1"/>
    <col min="3845" max="3845" width="21" style="1" customWidth="1"/>
    <col min="3846" max="3846" width="5.85546875" style="1" customWidth="1"/>
    <col min="3847" max="3847" width="16.28515625" style="1" customWidth="1"/>
    <col min="3848" max="4096" width="9.140625" style="1"/>
    <col min="4097" max="4097" width="12.85546875" style="1" customWidth="1"/>
    <col min="4098" max="4098" width="43.7109375" style="1" customWidth="1"/>
    <col min="4099" max="4099" width="15.140625" style="1" customWidth="1"/>
    <col min="4100" max="4100" width="20.42578125" style="1" customWidth="1"/>
    <col min="4101" max="4101" width="21" style="1" customWidth="1"/>
    <col min="4102" max="4102" width="5.85546875" style="1" customWidth="1"/>
    <col min="4103" max="4103" width="16.28515625" style="1" customWidth="1"/>
    <col min="4104" max="4352" width="9.140625" style="1"/>
    <col min="4353" max="4353" width="12.85546875" style="1" customWidth="1"/>
    <col min="4354" max="4354" width="43.7109375" style="1" customWidth="1"/>
    <col min="4355" max="4355" width="15.140625" style="1" customWidth="1"/>
    <col min="4356" max="4356" width="20.42578125" style="1" customWidth="1"/>
    <col min="4357" max="4357" width="21" style="1" customWidth="1"/>
    <col min="4358" max="4358" width="5.85546875" style="1" customWidth="1"/>
    <col min="4359" max="4359" width="16.28515625" style="1" customWidth="1"/>
    <col min="4360" max="4608" width="9.140625" style="1"/>
    <col min="4609" max="4609" width="12.85546875" style="1" customWidth="1"/>
    <col min="4610" max="4610" width="43.7109375" style="1" customWidth="1"/>
    <col min="4611" max="4611" width="15.140625" style="1" customWidth="1"/>
    <col min="4612" max="4612" width="20.42578125" style="1" customWidth="1"/>
    <col min="4613" max="4613" width="21" style="1" customWidth="1"/>
    <col min="4614" max="4614" width="5.85546875" style="1" customWidth="1"/>
    <col min="4615" max="4615" width="16.28515625" style="1" customWidth="1"/>
    <col min="4616" max="4864" width="9.140625" style="1"/>
    <col min="4865" max="4865" width="12.85546875" style="1" customWidth="1"/>
    <col min="4866" max="4866" width="43.7109375" style="1" customWidth="1"/>
    <col min="4867" max="4867" width="15.140625" style="1" customWidth="1"/>
    <col min="4868" max="4868" width="20.42578125" style="1" customWidth="1"/>
    <col min="4869" max="4869" width="21" style="1" customWidth="1"/>
    <col min="4870" max="4870" width="5.85546875" style="1" customWidth="1"/>
    <col min="4871" max="4871" width="16.28515625" style="1" customWidth="1"/>
    <col min="4872" max="5120" width="9.140625" style="1"/>
    <col min="5121" max="5121" width="12.85546875" style="1" customWidth="1"/>
    <col min="5122" max="5122" width="43.7109375" style="1" customWidth="1"/>
    <col min="5123" max="5123" width="15.140625" style="1" customWidth="1"/>
    <col min="5124" max="5124" width="20.42578125" style="1" customWidth="1"/>
    <col min="5125" max="5125" width="21" style="1" customWidth="1"/>
    <col min="5126" max="5126" width="5.85546875" style="1" customWidth="1"/>
    <col min="5127" max="5127" width="16.28515625" style="1" customWidth="1"/>
    <col min="5128" max="5376" width="9.140625" style="1"/>
    <col min="5377" max="5377" width="12.85546875" style="1" customWidth="1"/>
    <col min="5378" max="5378" width="43.7109375" style="1" customWidth="1"/>
    <col min="5379" max="5379" width="15.140625" style="1" customWidth="1"/>
    <col min="5380" max="5380" width="20.42578125" style="1" customWidth="1"/>
    <col min="5381" max="5381" width="21" style="1" customWidth="1"/>
    <col min="5382" max="5382" width="5.85546875" style="1" customWidth="1"/>
    <col min="5383" max="5383" width="16.28515625" style="1" customWidth="1"/>
    <col min="5384" max="5632" width="9.140625" style="1"/>
    <col min="5633" max="5633" width="12.85546875" style="1" customWidth="1"/>
    <col min="5634" max="5634" width="43.7109375" style="1" customWidth="1"/>
    <col min="5635" max="5635" width="15.140625" style="1" customWidth="1"/>
    <col min="5636" max="5636" width="20.42578125" style="1" customWidth="1"/>
    <col min="5637" max="5637" width="21" style="1" customWidth="1"/>
    <col min="5638" max="5638" width="5.85546875" style="1" customWidth="1"/>
    <col min="5639" max="5639" width="16.28515625" style="1" customWidth="1"/>
    <col min="5640" max="5888" width="9.140625" style="1"/>
    <col min="5889" max="5889" width="12.85546875" style="1" customWidth="1"/>
    <col min="5890" max="5890" width="43.7109375" style="1" customWidth="1"/>
    <col min="5891" max="5891" width="15.140625" style="1" customWidth="1"/>
    <col min="5892" max="5892" width="20.42578125" style="1" customWidth="1"/>
    <col min="5893" max="5893" width="21" style="1" customWidth="1"/>
    <col min="5894" max="5894" width="5.85546875" style="1" customWidth="1"/>
    <col min="5895" max="5895" width="16.28515625" style="1" customWidth="1"/>
    <col min="5896" max="6144" width="9.140625" style="1"/>
    <col min="6145" max="6145" width="12.85546875" style="1" customWidth="1"/>
    <col min="6146" max="6146" width="43.7109375" style="1" customWidth="1"/>
    <col min="6147" max="6147" width="15.140625" style="1" customWidth="1"/>
    <col min="6148" max="6148" width="20.42578125" style="1" customWidth="1"/>
    <col min="6149" max="6149" width="21" style="1" customWidth="1"/>
    <col min="6150" max="6150" width="5.85546875" style="1" customWidth="1"/>
    <col min="6151" max="6151" width="16.28515625" style="1" customWidth="1"/>
    <col min="6152" max="6400" width="9.140625" style="1"/>
    <col min="6401" max="6401" width="12.85546875" style="1" customWidth="1"/>
    <col min="6402" max="6402" width="43.7109375" style="1" customWidth="1"/>
    <col min="6403" max="6403" width="15.140625" style="1" customWidth="1"/>
    <col min="6404" max="6404" width="20.42578125" style="1" customWidth="1"/>
    <col min="6405" max="6405" width="21" style="1" customWidth="1"/>
    <col min="6406" max="6406" width="5.85546875" style="1" customWidth="1"/>
    <col min="6407" max="6407" width="16.28515625" style="1" customWidth="1"/>
    <col min="6408" max="6656" width="9.140625" style="1"/>
    <col min="6657" max="6657" width="12.85546875" style="1" customWidth="1"/>
    <col min="6658" max="6658" width="43.7109375" style="1" customWidth="1"/>
    <col min="6659" max="6659" width="15.140625" style="1" customWidth="1"/>
    <col min="6660" max="6660" width="20.42578125" style="1" customWidth="1"/>
    <col min="6661" max="6661" width="21" style="1" customWidth="1"/>
    <col min="6662" max="6662" width="5.85546875" style="1" customWidth="1"/>
    <col min="6663" max="6663" width="16.28515625" style="1" customWidth="1"/>
    <col min="6664" max="6912" width="9.140625" style="1"/>
    <col min="6913" max="6913" width="12.85546875" style="1" customWidth="1"/>
    <col min="6914" max="6914" width="43.7109375" style="1" customWidth="1"/>
    <col min="6915" max="6915" width="15.140625" style="1" customWidth="1"/>
    <col min="6916" max="6916" width="20.42578125" style="1" customWidth="1"/>
    <col min="6917" max="6917" width="21" style="1" customWidth="1"/>
    <col min="6918" max="6918" width="5.85546875" style="1" customWidth="1"/>
    <col min="6919" max="6919" width="16.28515625" style="1" customWidth="1"/>
    <col min="6920" max="7168" width="9.140625" style="1"/>
    <col min="7169" max="7169" width="12.85546875" style="1" customWidth="1"/>
    <col min="7170" max="7170" width="43.7109375" style="1" customWidth="1"/>
    <col min="7171" max="7171" width="15.140625" style="1" customWidth="1"/>
    <col min="7172" max="7172" width="20.42578125" style="1" customWidth="1"/>
    <col min="7173" max="7173" width="21" style="1" customWidth="1"/>
    <col min="7174" max="7174" width="5.85546875" style="1" customWidth="1"/>
    <col min="7175" max="7175" width="16.28515625" style="1" customWidth="1"/>
    <col min="7176" max="7424" width="9.140625" style="1"/>
    <col min="7425" max="7425" width="12.85546875" style="1" customWidth="1"/>
    <col min="7426" max="7426" width="43.7109375" style="1" customWidth="1"/>
    <col min="7427" max="7427" width="15.140625" style="1" customWidth="1"/>
    <col min="7428" max="7428" width="20.42578125" style="1" customWidth="1"/>
    <col min="7429" max="7429" width="21" style="1" customWidth="1"/>
    <col min="7430" max="7430" width="5.85546875" style="1" customWidth="1"/>
    <col min="7431" max="7431" width="16.28515625" style="1" customWidth="1"/>
    <col min="7432" max="7680" width="9.140625" style="1"/>
    <col min="7681" max="7681" width="12.85546875" style="1" customWidth="1"/>
    <col min="7682" max="7682" width="43.7109375" style="1" customWidth="1"/>
    <col min="7683" max="7683" width="15.140625" style="1" customWidth="1"/>
    <col min="7684" max="7684" width="20.42578125" style="1" customWidth="1"/>
    <col min="7685" max="7685" width="21" style="1" customWidth="1"/>
    <col min="7686" max="7686" width="5.85546875" style="1" customWidth="1"/>
    <col min="7687" max="7687" width="16.28515625" style="1" customWidth="1"/>
    <col min="7688" max="7936" width="9.140625" style="1"/>
    <col min="7937" max="7937" width="12.85546875" style="1" customWidth="1"/>
    <col min="7938" max="7938" width="43.7109375" style="1" customWidth="1"/>
    <col min="7939" max="7939" width="15.140625" style="1" customWidth="1"/>
    <col min="7940" max="7940" width="20.42578125" style="1" customWidth="1"/>
    <col min="7941" max="7941" width="21" style="1" customWidth="1"/>
    <col min="7942" max="7942" width="5.85546875" style="1" customWidth="1"/>
    <col min="7943" max="7943" width="16.28515625" style="1" customWidth="1"/>
    <col min="7944" max="8192" width="9.140625" style="1"/>
    <col min="8193" max="8193" width="12.85546875" style="1" customWidth="1"/>
    <col min="8194" max="8194" width="43.7109375" style="1" customWidth="1"/>
    <col min="8195" max="8195" width="15.140625" style="1" customWidth="1"/>
    <col min="8196" max="8196" width="20.42578125" style="1" customWidth="1"/>
    <col min="8197" max="8197" width="21" style="1" customWidth="1"/>
    <col min="8198" max="8198" width="5.85546875" style="1" customWidth="1"/>
    <col min="8199" max="8199" width="16.28515625" style="1" customWidth="1"/>
    <col min="8200" max="8448" width="9.140625" style="1"/>
    <col min="8449" max="8449" width="12.85546875" style="1" customWidth="1"/>
    <col min="8450" max="8450" width="43.7109375" style="1" customWidth="1"/>
    <col min="8451" max="8451" width="15.140625" style="1" customWidth="1"/>
    <col min="8452" max="8452" width="20.42578125" style="1" customWidth="1"/>
    <col min="8453" max="8453" width="21" style="1" customWidth="1"/>
    <col min="8454" max="8454" width="5.85546875" style="1" customWidth="1"/>
    <col min="8455" max="8455" width="16.28515625" style="1" customWidth="1"/>
    <col min="8456" max="8704" width="9.140625" style="1"/>
    <col min="8705" max="8705" width="12.85546875" style="1" customWidth="1"/>
    <col min="8706" max="8706" width="43.7109375" style="1" customWidth="1"/>
    <col min="8707" max="8707" width="15.140625" style="1" customWidth="1"/>
    <col min="8708" max="8708" width="20.42578125" style="1" customWidth="1"/>
    <col min="8709" max="8709" width="21" style="1" customWidth="1"/>
    <col min="8710" max="8710" width="5.85546875" style="1" customWidth="1"/>
    <col min="8711" max="8711" width="16.28515625" style="1" customWidth="1"/>
    <col min="8712" max="8960" width="9.140625" style="1"/>
    <col min="8961" max="8961" width="12.85546875" style="1" customWidth="1"/>
    <col min="8962" max="8962" width="43.7109375" style="1" customWidth="1"/>
    <col min="8963" max="8963" width="15.140625" style="1" customWidth="1"/>
    <col min="8964" max="8964" width="20.42578125" style="1" customWidth="1"/>
    <col min="8965" max="8965" width="21" style="1" customWidth="1"/>
    <col min="8966" max="8966" width="5.85546875" style="1" customWidth="1"/>
    <col min="8967" max="8967" width="16.28515625" style="1" customWidth="1"/>
    <col min="8968" max="9216" width="9.140625" style="1"/>
    <col min="9217" max="9217" width="12.85546875" style="1" customWidth="1"/>
    <col min="9218" max="9218" width="43.7109375" style="1" customWidth="1"/>
    <col min="9219" max="9219" width="15.140625" style="1" customWidth="1"/>
    <col min="9220" max="9220" width="20.42578125" style="1" customWidth="1"/>
    <col min="9221" max="9221" width="21" style="1" customWidth="1"/>
    <col min="9222" max="9222" width="5.85546875" style="1" customWidth="1"/>
    <col min="9223" max="9223" width="16.28515625" style="1" customWidth="1"/>
    <col min="9224" max="9472" width="9.140625" style="1"/>
    <col min="9473" max="9473" width="12.85546875" style="1" customWidth="1"/>
    <col min="9474" max="9474" width="43.7109375" style="1" customWidth="1"/>
    <col min="9475" max="9475" width="15.140625" style="1" customWidth="1"/>
    <col min="9476" max="9476" width="20.42578125" style="1" customWidth="1"/>
    <col min="9477" max="9477" width="21" style="1" customWidth="1"/>
    <col min="9478" max="9478" width="5.85546875" style="1" customWidth="1"/>
    <col min="9479" max="9479" width="16.28515625" style="1" customWidth="1"/>
    <col min="9480" max="9728" width="9.140625" style="1"/>
    <col min="9729" max="9729" width="12.85546875" style="1" customWidth="1"/>
    <col min="9730" max="9730" width="43.7109375" style="1" customWidth="1"/>
    <col min="9731" max="9731" width="15.140625" style="1" customWidth="1"/>
    <col min="9732" max="9732" width="20.42578125" style="1" customWidth="1"/>
    <col min="9733" max="9733" width="21" style="1" customWidth="1"/>
    <col min="9734" max="9734" width="5.85546875" style="1" customWidth="1"/>
    <col min="9735" max="9735" width="16.28515625" style="1" customWidth="1"/>
    <col min="9736" max="9984" width="9.140625" style="1"/>
    <col min="9985" max="9985" width="12.85546875" style="1" customWidth="1"/>
    <col min="9986" max="9986" width="43.7109375" style="1" customWidth="1"/>
    <col min="9987" max="9987" width="15.140625" style="1" customWidth="1"/>
    <col min="9988" max="9988" width="20.42578125" style="1" customWidth="1"/>
    <col min="9989" max="9989" width="21" style="1" customWidth="1"/>
    <col min="9990" max="9990" width="5.85546875" style="1" customWidth="1"/>
    <col min="9991" max="9991" width="16.28515625" style="1" customWidth="1"/>
    <col min="9992" max="10240" width="9.140625" style="1"/>
    <col min="10241" max="10241" width="12.85546875" style="1" customWidth="1"/>
    <col min="10242" max="10242" width="43.7109375" style="1" customWidth="1"/>
    <col min="10243" max="10243" width="15.140625" style="1" customWidth="1"/>
    <col min="10244" max="10244" width="20.42578125" style="1" customWidth="1"/>
    <col min="10245" max="10245" width="21" style="1" customWidth="1"/>
    <col min="10246" max="10246" width="5.85546875" style="1" customWidth="1"/>
    <col min="10247" max="10247" width="16.28515625" style="1" customWidth="1"/>
    <col min="10248" max="10496" width="9.140625" style="1"/>
    <col min="10497" max="10497" width="12.85546875" style="1" customWidth="1"/>
    <col min="10498" max="10498" width="43.7109375" style="1" customWidth="1"/>
    <col min="10499" max="10499" width="15.140625" style="1" customWidth="1"/>
    <col min="10500" max="10500" width="20.42578125" style="1" customWidth="1"/>
    <col min="10501" max="10501" width="21" style="1" customWidth="1"/>
    <col min="10502" max="10502" width="5.85546875" style="1" customWidth="1"/>
    <col min="10503" max="10503" width="16.28515625" style="1" customWidth="1"/>
    <col min="10504" max="10752" width="9.140625" style="1"/>
    <col min="10753" max="10753" width="12.85546875" style="1" customWidth="1"/>
    <col min="10754" max="10754" width="43.7109375" style="1" customWidth="1"/>
    <col min="10755" max="10755" width="15.140625" style="1" customWidth="1"/>
    <col min="10756" max="10756" width="20.42578125" style="1" customWidth="1"/>
    <col min="10757" max="10757" width="21" style="1" customWidth="1"/>
    <col min="10758" max="10758" width="5.85546875" style="1" customWidth="1"/>
    <col min="10759" max="10759" width="16.28515625" style="1" customWidth="1"/>
    <col min="10760" max="11008" width="9.140625" style="1"/>
    <col min="11009" max="11009" width="12.85546875" style="1" customWidth="1"/>
    <col min="11010" max="11010" width="43.7109375" style="1" customWidth="1"/>
    <col min="11011" max="11011" width="15.140625" style="1" customWidth="1"/>
    <col min="11012" max="11012" width="20.42578125" style="1" customWidth="1"/>
    <col min="11013" max="11013" width="21" style="1" customWidth="1"/>
    <col min="11014" max="11014" width="5.85546875" style="1" customWidth="1"/>
    <col min="11015" max="11015" width="16.28515625" style="1" customWidth="1"/>
    <col min="11016" max="11264" width="9.140625" style="1"/>
    <col min="11265" max="11265" width="12.85546875" style="1" customWidth="1"/>
    <col min="11266" max="11266" width="43.7109375" style="1" customWidth="1"/>
    <col min="11267" max="11267" width="15.140625" style="1" customWidth="1"/>
    <col min="11268" max="11268" width="20.42578125" style="1" customWidth="1"/>
    <col min="11269" max="11269" width="21" style="1" customWidth="1"/>
    <col min="11270" max="11270" width="5.85546875" style="1" customWidth="1"/>
    <col min="11271" max="11271" width="16.28515625" style="1" customWidth="1"/>
    <col min="11272" max="11520" width="9.140625" style="1"/>
    <col min="11521" max="11521" width="12.85546875" style="1" customWidth="1"/>
    <col min="11522" max="11522" width="43.7109375" style="1" customWidth="1"/>
    <col min="11523" max="11523" width="15.140625" style="1" customWidth="1"/>
    <col min="11524" max="11524" width="20.42578125" style="1" customWidth="1"/>
    <col min="11525" max="11525" width="21" style="1" customWidth="1"/>
    <col min="11526" max="11526" width="5.85546875" style="1" customWidth="1"/>
    <col min="11527" max="11527" width="16.28515625" style="1" customWidth="1"/>
    <col min="11528" max="11776" width="9.140625" style="1"/>
    <col min="11777" max="11777" width="12.85546875" style="1" customWidth="1"/>
    <col min="11778" max="11778" width="43.7109375" style="1" customWidth="1"/>
    <col min="11779" max="11779" width="15.140625" style="1" customWidth="1"/>
    <col min="11780" max="11780" width="20.42578125" style="1" customWidth="1"/>
    <col min="11781" max="11781" width="21" style="1" customWidth="1"/>
    <col min="11782" max="11782" width="5.85546875" style="1" customWidth="1"/>
    <col min="11783" max="11783" width="16.28515625" style="1" customWidth="1"/>
    <col min="11784" max="12032" width="9.140625" style="1"/>
    <col min="12033" max="12033" width="12.85546875" style="1" customWidth="1"/>
    <col min="12034" max="12034" width="43.7109375" style="1" customWidth="1"/>
    <col min="12035" max="12035" width="15.140625" style="1" customWidth="1"/>
    <col min="12036" max="12036" width="20.42578125" style="1" customWidth="1"/>
    <col min="12037" max="12037" width="21" style="1" customWidth="1"/>
    <col min="12038" max="12038" width="5.85546875" style="1" customWidth="1"/>
    <col min="12039" max="12039" width="16.28515625" style="1" customWidth="1"/>
    <col min="12040" max="12288" width="9.140625" style="1"/>
    <col min="12289" max="12289" width="12.85546875" style="1" customWidth="1"/>
    <col min="12290" max="12290" width="43.7109375" style="1" customWidth="1"/>
    <col min="12291" max="12291" width="15.140625" style="1" customWidth="1"/>
    <col min="12292" max="12292" width="20.42578125" style="1" customWidth="1"/>
    <col min="12293" max="12293" width="21" style="1" customWidth="1"/>
    <col min="12294" max="12294" width="5.85546875" style="1" customWidth="1"/>
    <col min="12295" max="12295" width="16.28515625" style="1" customWidth="1"/>
    <col min="12296" max="12544" width="9.140625" style="1"/>
    <col min="12545" max="12545" width="12.85546875" style="1" customWidth="1"/>
    <col min="12546" max="12546" width="43.7109375" style="1" customWidth="1"/>
    <col min="12547" max="12547" width="15.140625" style="1" customWidth="1"/>
    <col min="12548" max="12548" width="20.42578125" style="1" customWidth="1"/>
    <col min="12549" max="12549" width="21" style="1" customWidth="1"/>
    <col min="12550" max="12550" width="5.85546875" style="1" customWidth="1"/>
    <col min="12551" max="12551" width="16.28515625" style="1" customWidth="1"/>
    <col min="12552" max="12800" width="9.140625" style="1"/>
    <col min="12801" max="12801" width="12.85546875" style="1" customWidth="1"/>
    <col min="12802" max="12802" width="43.7109375" style="1" customWidth="1"/>
    <col min="12803" max="12803" width="15.140625" style="1" customWidth="1"/>
    <col min="12804" max="12804" width="20.42578125" style="1" customWidth="1"/>
    <col min="12805" max="12805" width="21" style="1" customWidth="1"/>
    <col min="12806" max="12806" width="5.85546875" style="1" customWidth="1"/>
    <col min="12807" max="12807" width="16.28515625" style="1" customWidth="1"/>
    <col min="12808" max="13056" width="9.140625" style="1"/>
    <col min="13057" max="13057" width="12.85546875" style="1" customWidth="1"/>
    <col min="13058" max="13058" width="43.7109375" style="1" customWidth="1"/>
    <col min="13059" max="13059" width="15.140625" style="1" customWidth="1"/>
    <col min="13060" max="13060" width="20.42578125" style="1" customWidth="1"/>
    <col min="13061" max="13061" width="21" style="1" customWidth="1"/>
    <col min="13062" max="13062" width="5.85546875" style="1" customWidth="1"/>
    <col min="13063" max="13063" width="16.28515625" style="1" customWidth="1"/>
    <col min="13064" max="13312" width="9.140625" style="1"/>
    <col min="13313" max="13313" width="12.85546875" style="1" customWidth="1"/>
    <col min="13314" max="13314" width="43.7109375" style="1" customWidth="1"/>
    <col min="13315" max="13315" width="15.140625" style="1" customWidth="1"/>
    <col min="13316" max="13316" width="20.42578125" style="1" customWidth="1"/>
    <col min="13317" max="13317" width="21" style="1" customWidth="1"/>
    <col min="13318" max="13318" width="5.85546875" style="1" customWidth="1"/>
    <col min="13319" max="13319" width="16.28515625" style="1" customWidth="1"/>
    <col min="13320" max="13568" width="9.140625" style="1"/>
    <col min="13569" max="13569" width="12.85546875" style="1" customWidth="1"/>
    <col min="13570" max="13570" width="43.7109375" style="1" customWidth="1"/>
    <col min="13571" max="13571" width="15.140625" style="1" customWidth="1"/>
    <col min="13572" max="13572" width="20.42578125" style="1" customWidth="1"/>
    <col min="13573" max="13573" width="21" style="1" customWidth="1"/>
    <col min="13574" max="13574" width="5.85546875" style="1" customWidth="1"/>
    <col min="13575" max="13575" width="16.28515625" style="1" customWidth="1"/>
    <col min="13576" max="13824" width="9.140625" style="1"/>
    <col min="13825" max="13825" width="12.85546875" style="1" customWidth="1"/>
    <col min="13826" max="13826" width="43.7109375" style="1" customWidth="1"/>
    <col min="13827" max="13827" width="15.140625" style="1" customWidth="1"/>
    <col min="13828" max="13828" width="20.42578125" style="1" customWidth="1"/>
    <col min="13829" max="13829" width="21" style="1" customWidth="1"/>
    <col min="13830" max="13830" width="5.85546875" style="1" customWidth="1"/>
    <col min="13831" max="13831" width="16.28515625" style="1" customWidth="1"/>
    <col min="13832" max="14080" width="9.140625" style="1"/>
    <col min="14081" max="14081" width="12.85546875" style="1" customWidth="1"/>
    <col min="14082" max="14082" width="43.7109375" style="1" customWidth="1"/>
    <col min="14083" max="14083" width="15.140625" style="1" customWidth="1"/>
    <col min="14084" max="14084" width="20.42578125" style="1" customWidth="1"/>
    <col min="14085" max="14085" width="21" style="1" customWidth="1"/>
    <col min="14086" max="14086" width="5.85546875" style="1" customWidth="1"/>
    <col min="14087" max="14087" width="16.28515625" style="1" customWidth="1"/>
    <col min="14088" max="14336" width="9.140625" style="1"/>
    <col min="14337" max="14337" width="12.85546875" style="1" customWidth="1"/>
    <col min="14338" max="14338" width="43.7109375" style="1" customWidth="1"/>
    <col min="14339" max="14339" width="15.140625" style="1" customWidth="1"/>
    <col min="14340" max="14340" width="20.42578125" style="1" customWidth="1"/>
    <col min="14341" max="14341" width="21" style="1" customWidth="1"/>
    <col min="14342" max="14342" width="5.85546875" style="1" customWidth="1"/>
    <col min="14343" max="14343" width="16.28515625" style="1" customWidth="1"/>
    <col min="14344" max="14592" width="9.140625" style="1"/>
    <col min="14593" max="14593" width="12.85546875" style="1" customWidth="1"/>
    <col min="14594" max="14594" width="43.7109375" style="1" customWidth="1"/>
    <col min="14595" max="14595" width="15.140625" style="1" customWidth="1"/>
    <col min="14596" max="14596" width="20.42578125" style="1" customWidth="1"/>
    <col min="14597" max="14597" width="21" style="1" customWidth="1"/>
    <col min="14598" max="14598" width="5.85546875" style="1" customWidth="1"/>
    <col min="14599" max="14599" width="16.28515625" style="1" customWidth="1"/>
    <col min="14600" max="14848" width="9.140625" style="1"/>
    <col min="14849" max="14849" width="12.85546875" style="1" customWidth="1"/>
    <col min="14850" max="14850" width="43.7109375" style="1" customWidth="1"/>
    <col min="14851" max="14851" width="15.140625" style="1" customWidth="1"/>
    <col min="14852" max="14852" width="20.42578125" style="1" customWidth="1"/>
    <col min="14853" max="14853" width="21" style="1" customWidth="1"/>
    <col min="14854" max="14854" width="5.85546875" style="1" customWidth="1"/>
    <col min="14855" max="14855" width="16.28515625" style="1" customWidth="1"/>
    <col min="14856" max="15104" width="9.140625" style="1"/>
    <col min="15105" max="15105" width="12.85546875" style="1" customWidth="1"/>
    <col min="15106" max="15106" width="43.7109375" style="1" customWidth="1"/>
    <col min="15107" max="15107" width="15.140625" style="1" customWidth="1"/>
    <col min="15108" max="15108" width="20.42578125" style="1" customWidth="1"/>
    <col min="15109" max="15109" width="21" style="1" customWidth="1"/>
    <col min="15110" max="15110" width="5.85546875" style="1" customWidth="1"/>
    <col min="15111" max="15111" width="16.28515625" style="1" customWidth="1"/>
    <col min="15112" max="15360" width="9.140625" style="1"/>
    <col min="15361" max="15361" width="12.85546875" style="1" customWidth="1"/>
    <col min="15362" max="15362" width="43.7109375" style="1" customWidth="1"/>
    <col min="15363" max="15363" width="15.140625" style="1" customWidth="1"/>
    <col min="15364" max="15364" width="20.42578125" style="1" customWidth="1"/>
    <col min="15365" max="15365" width="21" style="1" customWidth="1"/>
    <col min="15366" max="15366" width="5.85546875" style="1" customWidth="1"/>
    <col min="15367" max="15367" width="16.28515625" style="1" customWidth="1"/>
    <col min="15368" max="15616" width="9.140625" style="1"/>
    <col min="15617" max="15617" width="12.85546875" style="1" customWidth="1"/>
    <col min="15618" max="15618" width="43.7109375" style="1" customWidth="1"/>
    <col min="15619" max="15619" width="15.140625" style="1" customWidth="1"/>
    <col min="15620" max="15620" width="20.42578125" style="1" customWidth="1"/>
    <col min="15621" max="15621" width="21" style="1" customWidth="1"/>
    <col min="15622" max="15622" width="5.85546875" style="1" customWidth="1"/>
    <col min="15623" max="15623" width="16.28515625" style="1" customWidth="1"/>
    <col min="15624" max="15872" width="9.140625" style="1"/>
    <col min="15873" max="15873" width="12.85546875" style="1" customWidth="1"/>
    <col min="15874" max="15874" width="43.7109375" style="1" customWidth="1"/>
    <col min="15875" max="15875" width="15.140625" style="1" customWidth="1"/>
    <col min="15876" max="15876" width="20.42578125" style="1" customWidth="1"/>
    <col min="15877" max="15877" width="21" style="1" customWidth="1"/>
    <col min="15878" max="15878" width="5.85546875" style="1" customWidth="1"/>
    <col min="15879" max="15879" width="16.28515625" style="1" customWidth="1"/>
    <col min="15880" max="16128" width="9.140625" style="1"/>
    <col min="16129" max="16129" width="12.85546875" style="1" customWidth="1"/>
    <col min="16130" max="16130" width="43.7109375" style="1" customWidth="1"/>
    <col min="16131" max="16131" width="15.140625" style="1" customWidth="1"/>
    <col min="16132" max="16132" width="20.42578125" style="1" customWidth="1"/>
    <col min="16133" max="16133" width="21" style="1" customWidth="1"/>
    <col min="16134" max="16134" width="5.85546875" style="1" customWidth="1"/>
    <col min="16135" max="16135" width="16.28515625" style="1" customWidth="1"/>
    <col min="16136" max="16384" width="9.140625" style="1"/>
  </cols>
  <sheetData>
    <row r="1" spans="1:12" ht="32.25" customHeight="1" thickBot="1" x14ac:dyDescent="0.25">
      <c r="A1" s="576" t="s">
        <v>604</v>
      </c>
      <c r="B1" s="577"/>
      <c r="C1" s="577"/>
      <c r="D1" s="578"/>
      <c r="E1" s="52"/>
      <c r="F1" s="52"/>
      <c r="G1" s="52"/>
      <c r="H1" s="52"/>
      <c r="I1" s="52"/>
      <c r="J1" s="52"/>
      <c r="K1" s="52"/>
      <c r="L1" s="52"/>
    </row>
    <row r="2" spans="1:12" ht="4.5" customHeight="1" thickBot="1" x14ac:dyDescent="0.25">
      <c r="A2" s="73"/>
      <c r="B2" s="74"/>
      <c r="C2" s="74"/>
      <c r="D2" s="75"/>
      <c r="E2" s="52"/>
      <c r="F2" s="52"/>
      <c r="G2" s="52"/>
      <c r="H2" s="52"/>
      <c r="I2" s="52"/>
      <c r="J2" s="52"/>
      <c r="K2" s="52"/>
      <c r="L2" s="52"/>
    </row>
    <row r="3" spans="1:12" ht="20.100000000000001" customHeight="1" thickBot="1" x14ac:dyDescent="0.25">
      <c r="A3" s="151" t="s">
        <v>87</v>
      </c>
      <c r="B3" s="579" t="s">
        <v>1047</v>
      </c>
      <c r="C3" s="579"/>
      <c r="D3" s="580"/>
      <c r="E3" s="52"/>
      <c r="F3" s="52"/>
      <c r="G3" s="52"/>
      <c r="H3" s="52"/>
      <c r="I3" s="52"/>
      <c r="J3" s="52"/>
      <c r="K3" s="52"/>
      <c r="L3" s="52"/>
    </row>
    <row r="4" spans="1:12" ht="4.5" customHeight="1" thickBot="1" x14ac:dyDescent="0.25">
      <c r="A4" s="76"/>
      <c r="B4" s="72"/>
      <c r="C4" s="72"/>
      <c r="D4" s="77"/>
      <c r="E4" s="52"/>
      <c r="F4" s="52"/>
      <c r="G4" s="52"/>
      <c r="H4" s="52"/>
      <c r="I4" s="52"/>
      <c r="J4" s="52"/>
      <c r="K4" s="52"/>
      <c r="L4" s="52"/>
    </row>
    <row r="5" spans="1:12" ht="20.100000000000001" customHeight="1" thickBot="1" x14ac:dyDescent="0.25">
      <c r="A5" s="152" t="s">
        <v>447</v>
      </c>
      <c r="B5" s="581" t="s">
        <v>898</v>
      </c>
      <c r="C5" s="582"/>
      <c r="D5" s="583"/>
      <c r="E5" s="52"/>
      <c r="F5" s="52"/>
      <c r="G5" s="52"/>
      <c r="H5" s="52"/>
      <c r="I5" s="52"/>
      <c r="J5" s="52"/>
      <c r="K5" s="52"/>
      <c r="L5" s="52"/>
    </row>
    <row r="6" spans="1:12" ht="4.5" customHeight="1" thickBot="1" x14ac:dyDescent="0.25">
      <c r="A6" s="76"/>
      <c r="B6" s="72"/>
      <c r="C6" s="74"/>
      <c r="D6" s="75"/>
      <c r="E6" s="52"/>
      <c r="F6" s="52"/>
      <c r="G6" s="52"/>
      <c r="H6" s="52"/>
      <c r="I6" s="52"/>
      <c r="J6" s="52"/>
      <c r="K6" s="52"/>
      <c r="L6" s="52"/>
    </row>
    <row r="7" spans="1:12" ht="20.100000000000001" customHeight="1" thickBot="1" x14ac:dyDescent="0.25">
      <c r="A7" s="78" t="s">
        <v>88</v>
      </c>
      <c r="B7" s="79" t="s">
        <v>1048</v>
      </c>
      <c r="C7" s="119" t="s">
        <v>605</v>
      </c>
      <c r="D7" s="120" t="s">
        <v>863</v>
      </c>
      <c r="E7" s="80"/>
      <c r="F7" s="52"/>
      <c r="G7" s="52"/>
      <c r="H7" s="52"/>
      <c r="I7" s="52"/>
      <c r="J7" s="52"/>
      <c r="K7" s="52"/>
      <c r="L7" s="52"/>
    </row>
    <row r="8" spans="1:12" ht="4.5" customHeight="1" thickBot="1" x14ac:dyDescent="0.25">
      <c r="A8" s="73"/>
      <c r="B8" s="74"/>
      <c r="C8" s="74"/>
      <c r="D8" s="75"/>
      <c r="E8" s="52"/>
      <c r="F8" s="52"/>
      <c r="G8" s="52"/>
      <c r="H8" s="52"/>
      <c r="I8" s="52"/>
      <c r="J8" s="52"/>
      <c r="K8" s="52"/>
      <c r="L8" s="52"/>
    </row>
    <row r="9" spans="1:12" s="7" customFormat="1" ht="20.100000000000001" customHeight="1" thickBot="1" x14ac:dyDescent="0.3">
      <c r="A9" s="156" t="s">
        <v>449</v>
      </c>
      <c r="B9" s="157" t="s">
        <v>579</v>
      </c>
      <c r="C9" s="157" t="s">
        <v>580</v>
      </c>
      <c r="D9" s="158" t="s">
        <v>581</v>
      </c>
      <c r="E9" s="81"/>
      <c r="F9" s="6"/>
      <c r="G9" s="6"/>
      <c r="H9" s="6"/>
      <c r="I9" s="6"/>
      <c r="J9" s="6"/>
      <c r="K9" s="6"/>
      <c r="L9" s="6"/>
    </row>
    <row r="10" spans="1:12" s="7" customFormat="1" ht="4.5" customHeight="1" thickBot="1" x14ac:dyDescent="0.25">
      <c r="A10" s="82"/>
      <c r="B10" s="83"/>
      <c r="C10" s="83"/>
      <c r="D10" s="84"/>
      <c r="E10" s="81"/>
      <c r="F10" s="6"/>
      <c r="G10" s="6"/>
      <c r="H10" s="6"/>
      <c r="I10" s="6"/>
      <c r="J10" s="6"/>
      <c r="K10" s="6"/>
      <c r="L10" s="6"/>
    </row>
    <row r="11" spans="1:12" s="7" customFormat="1" ht="20.100000000000001" customHeight="1" x14ac:dyDescent="0.2">
      <c r="A11" s="85"/>
      <c r="B11" s="86"/>
      <c r="C11" s="86"/>
      <c r="D11" s="87"/>
      <c r="E11" s="88"/>
      <c r="F11" s="6"/>
      <c r="G11" s="6"/>
      <c r="H11" s="6"/>
      <c r="I11" s="6"/>
      <c r="J11" s="6"/>
      <c r="K11" s="6"/>
      <c r="L11" s="6"/>
    </row>
    <row r="12" spans="1:12" s="7" customFormat="1" ht="20.100000000000001" customHeight="1" x14ac:dyDescent="0.25">
      <c r="A12" s="89" t="s">
        <v>582</v>
      </c>
      <c r="B12" s="90" t="s">
        <v>606</v>
      </c>
      <c r="C12" s="91"/>
      <c r="D12" s="92">
        <f>D22-D14</f>
        <v>704973.57742667513</v>
      </c>
      <c r="E12" s="93"/>
      <c r="F12" s="6"/>
      <c r="G12" s="6"/>
      <c r="H12" s="6"/>
      <c r="I12" s="6"/>
      <c r="J12" s="6"/>
      <c r="K12" s="6"/>
      <c r="L12" s="6"/>
    </row>
    <row r="13" spans="1:12" s="7" customFormat="1" ht="20.100000000000001" customHeight="1" x14ac:dyDescent="0.2">
      <c r="A13" s="94"/>
      <c r="B13" s="95"/>
      <c r="C13" s="96"/>
      <c r="D13" s="97"/>
      <c r="E13"/>
      <c r="F13" s="6"/>
      <c r="G13" s="6"/>
      <c r="H13" s="6"/>
      <c r="I13" s="6"/>
      <c r="J13" s="6"/>
      <c r="K13" s="6"/>
      <c r="L13" s="6"/>
    </row>
    <row r="14" spans="1:12" s="7" customFormat="1" ht="20.100000000000001" customHeight="1" x14ac:dyDescent="0.25">
      <c r="A14" s="89" t="s">
        <v>584</v>
      </c>
      <c r="B14" s="90" t="s">
        <v>585</v>
      </c>
      <c r="C14" s="98">
        <f>SUM(C15:C19)</f>
        <v>4.8099999999999997E-2</v>
      </c>
      <c r="D14" s="99">
        <f>SUM(D15:D19)</f>
        <v>35622.679981324793</v>
      </c>
      <c r="E14" s="100"/>
      <c r="F14" s="6"/>
      <c r="G14" s="6"/>
      <c r="H14" s="6"/>
      <c r="I14" s="6"/>
      <c r="J14" s="6"/>
      <c r="K14" s="6"/>
      <c r="L14" s="6"/>
    </row>
    <row r="15" spans="1:12" s="7" customFormat="1" ht="20.100000000000001" customHeight="1" x14ac:dyDescent="0.2">
      <c r="A15" s="94" t="s">
        <v>158</v>
      </c>
      <c r="B15" s="95" t="s">
        <v>586</v>
      </c>
      <c r="C15" s="101">
        <v>3.0700000000000002E-2</v>
      </c>
      <c r="D15" s="102">
        <f>C15*D$22</f>
        <v>22736.305102425598</v>
      </c>
      <c r="E15" s="103"/>
      <c r="F15" s="6"/>
      <c r="G15" s="6"/>
      <c r="H15" s="6"/>
      <c r="I15" s="6"/>
      <c r="J15" s="6"/>
      <c r="K15" s="6"/>
      <c r="L15" s="6"/>
    </row>
    <row r="16" spans="1:12" s="7" customFormat="1" ht="20.100000000000001" customHeight="1" x14ac:dyDescent="0.2">
      <c r="A16" s="94" t="s">
        <v>385</v>
      </c>
      <c r="B16" s="95" t="s">
        <v>1031</v>
      </c>
      <c r="C16" s="101">
        <v>1.6999999999999999E-3</v>
      </c>
      <c r="D16" s="102">
        <f t="shared" ref="D16:D19" si="0">C16*D$22</f>
        <v>1259.0136375935999</v>
      </c>
      <c r="E16" s="103"/>
      <c r="F16" s="6"/>
      <c r="G16" s="326"/>
      <c r="H16" s="6"/>
      <c r="I16" s="6"/>
      <c r="J16" s="6"/>
      <c r="K16" s="6"/>
      <c r="L16" s="6"/>
    </row>
    <row r="17" spans="1:12" s="7" customFormat="1" ht="20.100000000000001" customHeight="1" x14ac:dyDescent="0.2">
      <c r="A17" s="94" t="s">
        <v>376</v>
      </c>
      <c r="B17" s="95" t="s">
        <v>587</v>
      </c>
      <c r="C17" s="101">
        <v>5.5999999999999999E-3</v>
      </c>
      <c r="D17" s="102">
        <f t="shared" si="0"/>
        <v>4147.3390414848</v>
      </c>
      <c r="E17" s="103"/>
      <c r="F17" s="6"/>
      <c r="G17" s="326"/>
      <c r="H17" s="6"/>
      <c r="I17" s="6"/>
      <c r="J17" s="6"/>
      <c r="K17" s="6"/>
      <c r="L17" s="6"/>
    </row>
    <row r="18" spans="1:12" s="7" customFormat="1" ht="20.100000000000001" customHeight="1" x14ac:dyDescent="0.2">
      <c r="A18" s="94" t="s">
        <v>377</v>
      </c>
      <c r="B18" s="95" t="s">
        <v>1030</v>
      </c>
      <c r="C18" s="101">
        <v>1.6000000000000001E-3</v>
      </c>
      <c r="D18" s="102">
        <f t="shared" si="0"/>
        <v>1184.9540118528</v>
      </c>
      <c r="E18" s="103"/>
      <c r="F18" s="6"/>
      <c r="G18" s="326"/>
      <c r="H18" s="6"/>
      <c r="I18" s="6"/>
      <c r="J18" s="6"/>
      <c r="K18" s="6"/>
      <c r="L18" s="6"/>
    </row>
    <row r="19" spans="1:12" s="7" customFormat="1" ht="20.100000000000001" customHeight="1" x14ac:dyDescent="0.2">
      <c r="A19" s="94" t="s">
        <v>378</v>
      </c>
      <c r="B19" s="95" t="s">
        <v>588</v>
      </c>
      <c r="C19" s="101">
        <v>8.5000000000000006E-3</v>
      </c>
      <c r="D19" s="102">
        <f t="shared" si="0"/>
        <v>6295.0681879679996</v>
      </c>
      <c r="E19" s="103"/>
      <c r="F19" s="6"/>
      <c r="G19" s="326"/>
      <c r="H19" s="6"/>
      <c r="I19" s="6"/>
      <c r="J19" s="6"/>
      <c r="K19" s="6"/>
      <c r="L19" s="6"/>
    </row>
    <row r="20" spans="1:12" s="7" customFormat="1" ht="20.100000000000001" customHeight="1" x14ac:dyDescent="0.2">
      <c r="A20" s="573" t="s">
        <v>1032</v>
      </c>
      <c r="B20" s="574"/>
      <c r="C20" s="574"/>
      <c r="D20" s="575"/>
      <c r="E20"/>
      <c r="F20" s="6"/>
      <c r="G20" s="326"/>
      <c r="H20" s="6"/>
      <c r="I20" s="6"/>
      <c r="J20" s="6"/>
      <c r="K20" s="6"/>
      <c r="L20" s="6"/>
    </row>
    <row r="21" spans="1:12" s="7" customFormat="1" ht="20.100000000000001" customHeight="1" x14ac:dyDescent="0.2">
      <c r="A21" s="107"/>
      <c r="B21" s="108"/>
      <c r="C21" s="108"/>
      <c r="D21" s="109"/>
      <c r="E21"/>
      <c r="F21" s="6"/>
      <c r="G21" s="326"/>
      <c r="H21" s="6"/>
      <c r="I21" s="6"/>
      <c r="J21" s="6"/>
      <c r="K21" s="6"/>
      <c r="L21" s="6"/>
    </row>
    <row r="22" spans="1:12" s="7" customFormat="1" ht="20.100000000000001" customHeight="1" x14ac:dyDescent="0.25">
      <c r="A22" s="89" t="s">
        <v>589</v>
      </c>
      <c r="B22" s="90" t="s">
        <v>590</v>
      </c>
      <c r="C22" s="91"/>
      <c r="D22" s="99">
        <f>D33-D30-D24</f>
        <v>740596.25740799995</v>
      </c>
      <c r="E22" s="100"/>
      <c r="F22" s="6"/>
      <c r="G22" s="6"/>
      <c r="H22" s="6"/>
      <c r="I22" s="6"/>
      <c r="J22" s="6"/>
      <c r="K22" s="6"/>
      <c r="L22" s="6"/>
    </row>
    <row r="23" spans="1:12" s="7" customFormat="1" ht="20.100000000000001" customHeight="1" x14ac:dyDescent="0.2">
      <c r="A23" s="94"/>
      <c r="B23" s="95"/>
      <c r="C23" s="96"/>
      <c r="D23" s="97"/>
      <c r="E23"/>
      <c r="F23" s="6"/>
      <c r="G23" s="6"/>
      <c r="H23" s="6"/>
      <c r="I23" s="6"/>
      <c r="J23" s="6"/>
      <c r="K23" s="6"/>
      <c r="L23" s="6"/>
    </row>
    <row r="24" spans="1:12" s="7" customFormat="1" ht="20.100000000000001" customHeight="1" x14ac:dyDescent="0.25">
      <c r="A24" s="89" t="s">
        <v>591</v>
      </c>
      <c r="B24" s="90" t="s">
        <v>592</v>
      </c>
      <c r="C24" s="98">
        <f>SUM(C25:C27)</f>
        <v>5.6499999999999995E-2</v>
      </c>
      <c r="D24" s="99">
        <f>ROUND(SUM(D25:D27),2)</f>
        <v>46737.73</v>
      </c>
      <c r="E24" s="100"/>
      <c r="F24" s="6"/>
      <c r="G24" s="6"/>
      <c r="H24" s="6"/>
      <c r="I24" s="6"/>
      <c r="J24" s="6"/>
      <c r="K24" s="6"/>
      <c r="L24" s="6"/>
    </row>
    <row r="25" spans="1:12" s="7" customFormat="1" ht="20.100000000000001" customHeight="1" x14ac:dyDescent="0.2">
      <c r="A25" s="94" t="s">
        <v>162</v>
      </c>
      <c r="B25" s="95" t="s">
        <v>593</v>
      </c>
      <c r="C25" s="101">
        <v>0.03</v>
      </c>
      <c r="D25" s="102">
        <f>C25*D$33</f>
        <v>24816.493499999997</v>
      </c>
      <c r="E25" s="100"/>
      <c r="F25" s="6"/>
      <c r="G25" s="6"/>
      <c r="H25" s="6"/>
      <c r="I25" s="6"/>
      <c r="J25" s="6"/>
      <c r="K25" s="6"/>
      <c r="L25" s="6"/>
    </row>
    <row r="26" spans="1:12" s="7" customFormat="1" ht="20.100000000000001" customHeight="1" x14ac:dyDescent="0.2">
      <c r="A26" s="94" t="s">
        <v>251</v>
      </c>
      <c r="B26" s="95" t="s">
        <v>594</v>
      </c>
      <c r="C26" s="101">
        <v>6.4999999999999997E-3</v>
      </c>
      <c r="D26" s="102">
        <f>C26*D$33</f>
        <v>5376.9069249999993</v>
      </c>
      <c r="E26" s="100"/>
      <c r="F26" s="6"/>
      <c r="G26" s="6"/>
      <c r="H26" s="6"/>
      <c r="I26" s="6"/>
      <c r="J26" s="6"/>
      <c r="K26" s="6"/>
      <c r="L26" s="6"/>
    </row>
    <row r="27" spans="1:12" s="7" customFormat="1" ht="20.100000000000001" customHeight="1" x14ac:dyDescent="0.2">
      <c r="A27" s="94" t="s">
        <v>529</v>
      </c>
      <c r="B27" s="95" t="s">
        <v>858</v>
      </c>
      <c r="C27" s="101">
        <v>0.02</v>
      </c>
      <c r="D27" s="102">
        <f>C27*D$33</f>
        <v>16544.328999999998</v>
      </c>
      <c r="E27" s="100"/>
      <c r="F27" s="6"/>
      <c r="G27" s="6"/>
      <c r="H27" s="6"/>
      <c r="I27" s="6"/>
      <c r="J27" s="6"/>
      <c r="K27" s="6"/>
      <c r="L27" s="6"/>
    </row>
    <row r="28" spans="1:12" s="7" customFormat="1" ht="20.100000000000001" customHeight="1" x14ac:dyDescent="0.2">
      <c r="A28" s="573" t="s">
        <v>596</v>
      </c>
      <c r="B28" s="574"/>
      <c r="C28" s="574"/>
      <c r="D28" s="575"/>
      <c r="E28" s="100"/>
      <c r="F28" s="6"/>
      <c r="G28" s="6"/>
      <c r="H28" s="6"/>
      <c r="I28" s="6"/>
      <c r="J28" s="6"/>
      <c r="K28" s="6"/>
      <c r="L28" s="6"/>
    </row>
    <row r="29" spans="1:12" s="7" customFormat="1" ht="20.100000000000001" customHeight="1" x14ac:dyDescent="0.2">
      <c r="A29" s="107"/>
      <c r="B29" s="108"/>
      <c r="C29" s="108"/>
      <c r="D29" s="109"/>
      <c r="E29" s="100"/>
      <c r="F29" s="6"/>
      <c r="G29" s="6"/>
      <c r="H29" s="6"/>
      <c r="I29" s="6"/>
      <c r="J29" s="6"/>
      <c r="K29" s="6"/>
      <c r="L29" s="6"/>
    </row>
    <row r="30" spans="1:12" s="7" customFormat="1" ht="20.100000000000001" customHeight="1" x14ac:dyDescent="0.25">
      <c r="A30" s="89" t="s">
        <v>597</v>
      </c>
      <c r="B30" s="90" t="s">
        <v>607</v>
      </c>
      <c r="C30" s="98">
        <v>5.11E-2</v>
      </c>
      <c r="D30" s="99">
        <f>C30*(D$33-D24)</f>
        <v>39882.462591999996</v>
      </c>
      <c r="E30" s="100"/>
      <c r="F30" s="6"/>
      <c r="G30" s="6"/>
      <c r="H30" s="6"/>
      <c r="I30" s="6"/>
      <c r="J30" s="6"/>
      <c r="K30" s="6"/>
      <c r="L30" s="6"/>
    </row>
    <row r="31" spans="1:12" s="7" customFormat="1" ht="20.100000000000001" customHeight="1" x14ac:dyDescent="0.2">
      <c r="A31" s="573" t="s">
        <v>1033</v>
      </c>
      <c r="B31" s="574"/>
      <c r="C31" s="574"/>
      <c r="D31" s="575"/>
      <c r="E31"/>
      <c r="F31" s="6"/>
      <c r="G31" s="6"/>
      <c r="H31" s="6"/>
      <c r="I31" s="6"/>
      <c r="J31" s="6"/>
      <c r="K31" s="6"/>
      <c r="L31" s="6"/>
    </row>
    <row r="32" spans="1:12" s="7" customFormat="1" ht="20.100000000000001" customHeight="1" x14ac:dyDescent="0.2">
      <c r="A32" s="107"/>
      <c r="B32" s="108"/>
      <c r="C32" s="108"/>
      <c r="D32" s="109"/>
      <c r="E32"/>
      <c r="F32" s="6"/>
      <c r="G32" s="6"/>
      <c r="H32" s="6"/>
      <c r="I32" s="6"/>
      <c r="J32" s="6"/>
      <c r="K32" s="6"/>
      <c r="L32" s="6"/>
    </row>
    <row r="33" spans="1:12" s="7" customFormat="1" ht="20.100000000000001" customHeight="1" x14ac:dyDescent="0.25">
      <c r="A33" s="89" t="s">
        <v>599</v>
      </c>
      <c r="B33" s="90" t="s">
        <v>608</v>
      </c>
      <c r="C33" s="96"/>
      <c r="D33" s="99">
        <f>ORÇAMENTO!I540</f>
        <v>827216.45</v>
      </c>
      <c r="E33" s="100"/>
      <c r="F33" s="6"/>
      <c r="G33" s="118"/>
      <c r="H33" s="6"/>
      <c r="I33" s="6"/>
      <c r="J33" s="6"/>
      <c r="K33" s="6"/>
      <c r="L33" s="6"/>
    </row>
    <row r="34" spans="1:12" s="7" customFormat="1" ht="20.100000000000001" customHeight="1" x14ac:dyDescent="0.2">
      <c r="A34" s="94"/>
      <c r="B34" s="95"/>
      <c r="C34" s="96"/>
      <c r="D34" s="97"/>
      <c r="E34"/>
      <c r="F34" s="6"/>
      <c r="G34" s="6"/>
      <c r="H34" s="6"/>
      <c r="I34" s="6"/>
      <c r="J34" s="6"/>
      <c r="K34" s="6"/>
      <c r="L34" s="6"/>
    </row>
    <row r="35" spans="1:12" s="7" customFormat="1" ht="20.100000000000001" customHeight="1" x14ac:dyDescent="0.25">
      <c r="A35" s="89" t="s">
        <v>601</v>
      </c>
      <c r="B35" s="90" t="s">
        <v>602</v>
      </c>
      <c r="C35" s="98">
        <f>(1+C15+C16+C17+C18)*(1+C19)*(1+C30)/(1-C24)-1</f>
        <v>0.16800393244303136</v>
      </c>
      <c r="D35" s="97"/>
      <c r="E35"/>
      <c r="F35" s="6"/>
      <c r="G35" s="6">
        <v>16.8</v>
      </c>
      <c r="H35" s="6"/>
      <c r="I35" s="6"/>
      <c r="J35" s="6"/>
      <c r="K35" s="6"/>
      <c r="L35" s="6"/>
    </row>
    <row r="36" spans="1:12" s="7" customFormat="1" ht="20.100000000000001" customHeight="1" x14ac:dyDescent="0.2">
      <c r="A36" s="110"/>
      <c r="B36" s="111"/>
      <c r="C36" s="111"/>
      <c r="D36" s="112"/>
      <c r="E36"/>
      <c r="F36" s="6"/>
      <c r="G36" s="6"/>
      <c r="H36" s="6"/>
      <c r="I36" s="6"/>
      <c r="J36" s="6"/>
      <c r="K36" s="6"/>
      <c r="L36" s="6"/>
    </row>
    <row r="37" spans="1:12" s="7" customFormat="1" ht="20.100000000000001" customHeight="1" x14ac:dyDescent="0.25">
      <c r="A37" s="113" t="s">
        <v>856</v>
      </c>
      <c r="B37" s="111"/>
      <c r="C37" s="111"/>
      <c r="D37" s="112"/>
      <c r="E37"/>
      <c r="F37" s="6"/>
      <c r="G37" s="6"/>
      <c r="H37" s="6"/>
      <c r="I37" s="6"/>
      <c r="J37" s="6"/>
      <c r="K37" s="6"/>
      <c r="L37" s="6"/>
    </row>
    <row r="38" spans="1:12" s="7" customFormat="1" ht="20.100000000000001" customHeight="1" x14ac:dyDescent="0.25">
      <c r="A38" s="113" t="s">
        <v>603</v>
      </c>
      <c r="B38" s="111"/>
      <c r="C38" s="111"/>
      <c r="D38" s="112"/>
      <c r="E38"/>
      <c r="F38" s="6"/>
      <c r="G38" s="6"/>
      <c r="H38" s="6"/>
      <c r="I38" s="6"/>
      <c r="J38" s="6"/>
      <c r="K38" s="6"/>
      <c r="L38" s="6"/>
    </row>
    <row r="39" spans="1:12" s="7" customFormat="1" ht="20.100000000000001" customHeight="1" thickBot="1" x14ac:dyDescent="0.25">
      <c r="A39" s="114"/>
      <c r="B39" s="115"/>
      <c r="C39" s="116"/>
      <c r="D39" s="117"/>
      <c r="E39" s="6"/>
      <c r="F39" s="6"/>
      <c r="G39" s="6"/>
      <c r="H39" s="6"/>
      <c r="I39" s="6"/>
      <c r="J39" s="6"/>
      <c r="K39" s="6"/>
      <c r="L39" s="6"/>
    </row>
    <row r="40" spans="1:12" s="7" customFormat="1" x14ac:dyDescent="0.2">
      <c r="E40" s="6"/>
      <c r="F40" s="8"/>
      <c r="G40" s="6"/>
      <c r="H40" s="6"/>
      <c r="I40" s="6"/>
      <c r="J40" s="6"/>
      <c r="K40" s="6"/>
      <c r="L40" s="6"/>
    </row>
    <row r="41" spans="1:12" ht="15.95" customHeight="1" x14ac:dyDescent="0.2">
      <c r="E41" s="65"/>
      <c r="F41" s="65"/>
      <c r="G41" s="65"/>
      <c r="H41" s="65"/>
      <c r="I41" s="65"/>
      <c r="J41" s="65"/>
      <c r="K41" s="65"/>
      <c r="L41" s="65"/>
    </row>
    <row r="42" spans="1:12" ht="15.95" customHeight="1" x14ac:dyDescent="0.2">
      <c r="E42" s="65"/>
      <c r="F42" s="65"/>
      <c r="G42" s="65"/>
      <c r="H42" s="65"/>
      <c r="I42" s="65"/>
      <c r="J42" s="65"/>
      <c r="K42" s="65"/>
      <c r="L42" s="65"/>
    </row>
    <row r="43" spans="1:12" ht="15.95" customHeight="1" x14ac:dyDescent="0.2">
      <c r="E43" s="65"/>
      <c r="F43" s="65"/>
      <c r="G43" s="65"/>
      <c r="H43" s="65"/>
      <c r="I43" s="65"/>
      <c r="J43" s="65"/>
      <c r="K43" s="65"/>
      <c r="L43" s="65"/>
    </row>
    <row r="44" spans="1:12" ht="15.95" customHeight="1" x14ac:dyDescent="0.2">
      <c r="E44" s="65"/>
      <c r="F44" s="65"/>
      <c r="G44" s="65"/>
      <c r="H44" s="65"/>
      <c r="I44" s="65"/>
      <c r="J44" s="65"/>
      <c r="K44" s="65"/>
      <c r="L44" s="65"/>
    </row>
    <row r="45" spans="1:12" ht="15.95" customHeight="1" x14ac:dyDescent="0.2">
      <c r="E45" s="65"/>
      <c r="F45" s="65"/>
      <c r="G45" s="65"/>
      <c r="H45" s="65"/>
      <c r="I45" s="65"/>
      <c r="J45" s="65"/>
      <c r="K45" s="65"/>
      <c r="L45" s="65"/>
    </row>
    <row r="46" spans="1:12" ht="15.95" customHeight="1" x14ac:dyDescent="0.2">
      <c r="E46" s="65"/>
      <c r="F46" s="65"/>
      <c r="G46" s="65"/>
      <c r="H46" s="65"/>
      <c r="I46" s="65"/>
      <c r="J46" s="65"/>
      <c r="K46" s="65"/>
      <c r="L46" s="65"/>
    </row>
    <row r="47" spans="1:12" ht="15.95" customHeight="1" x14ac:dyDescent="0.2">
      <c r="E47" s="65"/>
      <c r="F47" s="65"/>
      <c r="G47" s="65"/>
      <c r="H47" s="65"/>
      <c r="I47" s="65"/>
      <c r="J47" s="65"/>
      <c r="K47" s="65"/>
      <c r="L47" s="65"/>
    </row>
    <row r="48" spans="1:12" ht="15.95" customHeight="1" x14ac:dyDescent="0.2">
      <c r="A48" s="1"/>
      <c r="B48" s="1"/>
      <c r="C48" s="1"/>
      <c r="D48" s="1"/>
      <c r="E48" s="65"/>
      <c r="F48" s="65"/>
      <c r="G48" s="65"/>
      <c r="H48" s="65"/>
      <c r="I48" s="65"/>
      <c r="J48" s="65"/>
      <c r="K48" s="65"/>
      <c r="L48" s="65"/>
    </row>
    <row r="49" spans="1:12" ht="15.95" customHeight="1" x14ac:dyDescent="0.2">
      <c r="A49" s="1"/>
      <c r="B49" s="1"/>
      <c r="C49" s="1"/>
      <c r="D49" s="1"/>
      <c r="E49" s="65"/>
      <c r="F49" s="65"/>
      <c r="G49" s="65"/>
      <c r="H49" s="65"/>
      <c r="I49" s="65"/>
      <c r="J49" s="65"/>
      <c r="K49" s="65"/>
      <c r="L49" s="65"/>
    </row>
    <row r="50" spans="1:12" ht="15.95" customHeight="1" x14ac:dyDescent="0.2">
      <c r="A50" s="1"/>
      <c r="B50" s="1"/>
      <c r="C50" s="1"/>
      <c r="D50" s="1"/>
      <c r="E50" s="65"/>
      <c r="F50" s="65"/>
      <c r="G50" s="65"/>
      <c r="H50" s="65"/>
      <c r="I50" s="65"/>
      <c r="J50" s="65"/>
      <c r="K50" s="65"/>
      <c r="L50" s="65"/>
    </row>
    <row r="51" spans="1:12" ht="15.95" customHeight="1" x14ac:dyDescent="0.2">
      <c r="A51" s="1"/>
      <c r="B51" s="1"/>
      <c r="C51" s="1"/>
      <c r="D51" s="1"/>
      <c r="E51" s="65"/>
      <c r="F51" s="65"/>
      <c r="G51" s="65"/>
      <c r="H51" s="65"/>
      <c r="I51" s="65"/>
      <c r="J51" s="65"/>
      <c r="K51" s="65"/>
      <c r="L51" s="65"/>
    </row>
    <row r="52" spans="1:12" ht="15.95" customHeight="1" x14ac:dyDescent="0.2">
      <c r="A52" s="1"/>
      <c r="B52" s="1"/>
      <c r="C52" s="1"/>
      <c r="D52" s="1"/>
      <c r="E52" s="65"/>
      <c r="F52" s="65"/>
      <c r="G52" s="65"/>
      <c r="H52" s="65"/>
      <c r="I52" s="65"/>
      <c r="J52" s="65"/>
      <c r="K52" s="65"/>
      <c r="L52" s="65"/>
    </row>
    <row r="53" spans="1:12" ht="15.95" customHeight="1" x14ac:dyDescent="0.2">
      <c r="A53" s="1"/>
      <c r="B53" s="1"/>
      <c r="C53" s="1"/>
      <c r="D53" s="1"/>
      <c r="E53" s="65"/>
      <c r="F53" s="65"/>
      <c r="G53" s="65"/>
      <c r="H53" s="65"/>
      <c r="I53" s="65"/>
      <c r="J53" s="65"/>
      <c r="K53" s="65"/>
      <c r="L53" s="65"/>
    </row>
    <row r="54" spans="1:12" ht="15.95" customHeight="1" x14ac:dyDescent="0.2">
      <c r="A54" s="1"/>
      <c r="B54" s="1"/>
      <c r="C54" s="1"/>
      <c r="D54" s="1"/>
      <c r="E54" s="65"/>
      <c r="F54" s="65"/>
      <c r="G54" s="65"/>
      <c r="H54" s="65"/>
      <c r="I54" s="65"/>
      <c r="J54" s="65"/>
      <c r="K54" s="65"/>
      <c r="L54" s="65"/>
    </row>
    <row r="55" spans="1:12" ht="15.95" customHeight="1" x14ac:dyDescent="0.2">
      <c r="A55" s="1"/>
      <c r="B55" s="1"/>
      <c r="C55" s="1"/>
      <c r="D55" s="1"/>
      <c r="E55" s="65"/>
      <c r="F55" s="65"/>
      <c r="G55" s="65"/>
      <c r="H55" s="65"/>
      <c r="I55" s="65"/>
      <c r="J55" s="65"/>
      <c r="K55" s="65"/>
      <c r="L55" s="65"/>
    </row>
    <row r="56" spans="1:12" ht="15.95" customHeight="1" x14ac:dyDescent="0.2">
      <c r="A56" s="1"/>
      <c r="B56" s="1"/>
      <c r="C56" s="1"/>
      <c r="D56" s="1"/>
      <c r="E56" s="65"/>
      <c r="F56" s="65"/>
      <c r="G56" s="65"/>
      <c r="H56" s="65"/>
      <c r="I56" s="65"/>
      <c r="J56" s="65"/>
      <c r="K56" s="65"/>
      <c r="L56" s="65"/>
    </row>
    <row r="57" spans="1:12" ht="15.95" customHeight="1" x14ac:dyDescent="0.2">
      <c r="A57" s="1"/>
      <c r="B57" s="1"/>
      <c r="C57" s="1"/>
      <c r="D57" s="1"/>
      <c r="E57" s="65"/>
      <c r="F57" s="65"/>
      <c r="G57" s="65"/>
      <c r="H57" s="65"/>
      <c r="I57" s="65"/>
      <c r="J57" s="65"/>
      <c r="K57" s="65"/>
      <c r="L57" s="65"/>
    </row>
    <row r="58" spans="1:12" ht="15.95" customHeight="1" x14ac:dyDescent="0.2">
      <c r="A58" s="1"/>
      <c r="B58" s="1"/>
      <c r="C58" s="1"/>
      <c r="D58" s="1"/>
      <c r="E58" s="65"/>
      <c r="F58" s="65"/>
      <c r="G58" s="65"/>
      <c r="H58" s="65"/>
      <c r="I58" s="65"/>
      <c r="J58" s="65"/>
      <c r="K58" s="65"/>
      <c r="L58" s="65"/>
    </row>
    <row r="59" spans="1:12" ht="15.95" customHeight="1" x14ac:dyDescent="0.2">
      <c r="A59" s="1"/>
      <c r="B59" s="1"/>
      <c r="C59" s="1"/>
      <c r="D59" s="1"/>
      <c r="E59" s="65"/>
      <c r="F59" s="65"/>
      <c r="G59" s="65"/>
      <c r="H59" s="65"/>
      <c r="I59" s="65"/>
      <c r="J59" s="65"/>
      <c r="K59" s="65"/>
      <c r="L59" s="65"/>
    </row>
    <row r="60" spans="1:12" ht="15.95" customHeight="1" x14ac:dyDescent="0.2">
      <c r="A60" s="1"/>
      <c r="B60" s="1"/>
      <c r="C60" s="1"/>
      <c r="D60" s="1"/>
      <c r="E60" s="65"/>
      <c r="F60" s="65"/>
      <c r="G60" s="65"/>
      <c r="H60" s="65"/>
      <c r="I60" s="65"/>
      <c r="J60" s="65"/>
      <c r="K60" s="65"/>
      <c r="L60" s="65"/>
    </row>
    <row r="61" spans="1:12" ht="15.95" customHeight="1" x14ac:dyDescent="0.2">
      <c r="A61" s="1"/>
      <c r="B61" s="1"/>
      <c r="C61" s="1"/>
      <c r="D61" s="1"/>
      <c r="E61" s="65"/>
      <c r="F61" s="65"/>
      <c r="G61" s="65"/>
      <c r="H61" s="65"/>
      <c r="I61" s="65"/>
      <c r="J61" s="65"/>
      <c r="K61" s="65"/>
      <c r="L61" s="65"/>
    </row>
    <row r="62" spans="1:12" ht="15.95" customHeight="1" x14ac:dyDescent="0.2">
      <c r="A62" s="1"/>
      <c r="B62" s="1"/>
      <c r="C62" s="1"/>
      <c r="D62" s="1"/>
      <c r="E62" s="65"/>
      <c r="F62" s="65"/>
      <c r="G62" s="65"/>
      <c r="H62" s="65"/>
      <c r="I62" s="65"/>
      <c r="J62" s="65"/>
      <c r="K62" s="65"/>
      <c r="L62" s="65"/>
    </row>
    <row r="63" spans="1:12" ht="15.95" customHeight="1" x14ac:dyDescent="0.2">
      <c r="A63" s="1"/>
      <c r="B63" s="1"/>
      <c r="C63" s="1"/>
      <c r="D63" s="1"/>
      <c r="E63" s="65"/>
      <c r="F63" s="65"/>
      <c r="G63" s="65"/>
      <c r="H63" s="65"/>
      <c r="I63" s="65"/>
      <c r="J63" s="65"/>
      <c r="K63" s="65"/>
      <c r="L63" s="65"/>
    </row>
    <row r="64" spans="1:12" ht="15.95" customHeight="1" x14ac:dyDescent="0.2">
      <c r="A64" s="1"/>
      <c r="B64" s="1"/>
      <c r="C64" s="1"/>
      <c r="D64" s="1"/>
      <c r="E64" s="65"/>
      <c r="F64" s="65"/>
      <c r="G64" s="65"/>
      <c r="H64" s="65"/>
      <c r="I64" s="65"/>
      <c r="J64" s="65"/>
      <c r="K64" s="65"/>
      <c r="L64" s="65"/>
    </row>
    <row r="65" spans="1:12" ht="15.95" customHeight="1" x14ac:dyDescent="0.2">
      <c r="A65" s="1"/>
      <c r="B65" s="1"/>
      <c r="C65" s="1"/>
      <c r="D65" s="1"/>
      <c r="E65" s="65"/>
      <c r="F65" s="65"/>
      <c r="G65" s="65"/>
      <c r="H65" s="65"/>
      <c r="I65" s="65"/>
      <c r="J65" s="65"/>
      <c r="K65" s="65"/>
      <c r="L65" s="65"/>
    </row>
    <row r="66" spans="1:12" ht="15.95" customHeight="1" x14ac:dyDescent="0.2">
      <c r="A66" s="1"/>
      <c r="B66" s="1"/>
      <c r="C66" s="1"/>
      <c r="D66" s="1"/>
      <c r="E66" s="65"/>
      <c r="F66" s="65"/>
      <c r="G66" s="65"/>
      <c r="H66" s="65"/>
      <c r="I66" s="65"/>
      <c r="J66" s="65"/>
      <c r="K66" s="65"/>
      <c r="L66" s="65"/>
    </row>
    <row r="67" spans="1:12" ht="15.95" customHeight="1" x14ac:dyDescent="0.2">
      <c r="A67" s="1"/>
      <c r="B67" s="1"/>
      <c r="C67" s="1"/>
      <c r="D67" s="1"/>
      <c r="E67" s="65"/>
      <c r="F67" s="65"/>
      <c r="G67" s="65"/>
      <c r="H67" s="65"/>
      <c r="I67" s="65"/>
      <c r="J67" s="65"/>
      <c r="K67" s="65"/>
      <c r="L67" s="65"/>
    </row>
    <row r="68" spans="1:12" ht="15.95" customHeight="1" x14ac:dyDescent="0.2">
      <c r="A68" s="1"/>
      <c r="B68" s="1"/>
      <c r="C68" s="1"/>
      <c r="D68" s="1"/>
      <c r="E68" s="65"/>
      <c r="F68" s="65"/>
      <c r="G68" s="65"/>
      <c r="H68" s="65"/>
      <c r="I68" s="65"/>
      <c r="J68" s="65"/>
      <c r="K68" s="65"/>
      <c r="L68" s="65"/>
    </row>
    <row r="69" spans="1:12" ht="15.95" customHeight="1" x14ac:dyDescent="0.2">
      <c r="A69" s="1"/>
      <c r="B69" s="1"/>
      <c r="C69" s="1"/>
      <c r="D69" s="1"/>
      <c r="E69" s="65"/>
      <c r="F69" s="65"/>
      <c r="G69" s="65"/>
      <c r="H69" s="65"/>
      <c r="I69" s="65"/>
      <c r="J69" s="65"/>
      <c r="K69" s="65"/>
      <c r="L69" s="65"/>
    </row>
    <row r="70" spans="1:12" ht="15.95" customHeight="1" x14ac:dyDescent="0.2">
      <c r="A70" s="1"/>
      <c r="B70" s="1"/>
      <c r="C70" s="1"/>
      <c r="D70" s="1"/>
      <c r="E70" s="65"/>
      <c r="F70" s="65"/>
      <c r="G70" s="65"/>
      <c r="H70" s="65"/>
      <c r="I70" s="65"/>
      <c r="J70" s="65"/>
      <c r="K70" s="65"/>
      <c r="L70" s="65"/>
    </row>
    <row r="71" spans="1:12" ht="15.95" customHeight="1" x14ac:dyDescent="0.2">
      <c r="A71" s="1"/>
      <c r="B71" s="1"/>
      <c r="C71" s="1"/>
      <c r="D71" s="1"/>
      <c r="E71" s="65"/>
      <c r="F71" s="65"/>
      <c r="G71" s="65"/>
      <c r="H71" s="65"/>
      <c r="I71" s="65"/>
      <c r="J71" s="65"/>
      <c r="K71" s="65"/>
      <c r="L71" s="65"/>
    </row>
    <row r="72" spans="1:12" ht="15.95" customHeight="1" x14ac:dyDescent="0.2">
      <c r="A72" s="1"/>
      <c r="B72" s="1"/>
      <c r="C72" s="1"/>
      <c r="D72" s="1"/>
      <c r="E72" s="65"/>
      <c r="F72" s="65"/>
      <c r="G72" s="65"/>
      <c r="H72" s="65"/>
      <c r="I72" s="65"/>
      <c r="J72" s="65"/>
      <c r="K72" s="65"/>
      <c r="L72" s="65"/>
    </row>
    <row r="73" spans="1:12" ht="15.95" customHeight="1" x14ac:dyDescent="0.2">
      <c r="A73" s="1"/>
      <c r="B73" s="1"/>
      <c r="C73" s="1"/>
      <c r="D73" s="1"/>
      <c r="E73" s="65"/>
      <c r="F73" s="65"/>
      <c r="G73" s="65"/>
      <c r="H73" s="65"/>
      <c r="I73" s="65"/>
      <c r="J73" s="65"/>
      <c r="K73" s="65"/>
      <c r="L73" s="65"/>
    </row>
    <row r="74" spans="1:12" ht="15.95" customHeight="1" x14ac:dyDescent="0.2">
      <c r="A74" s="1"/>
      <c r="B74" s="1"/>
      <c r="C74" s="1"/>
      <c r="D74" s="1"/>
      <c r="E74" s="65"/>
      <c r="F74" s="65"/>
      <c r="G74" s="65"/>
      <c r="H74" s="65"/>
      <c r="I74" s="65"/>
      <c r="J74" s="65"/>
      <c r="K74" s="65"/>
      <c r="L74" s="65"/>
    </row>
    <row r="75" spans="1:12" ht="15.95" customHeight="1" x14ac:dyDescent="0.2">
      <c r="A75" s="1"/>
      <c r="B75" s="1"/>
      <c r="C75" s="1"/>
      <c r="D75" s="1"/>
      <c r="E75" s="65"/>
      <c r="F75" s="65"/>
      <c r="G75" s="65"/>
      <c r="H75" s="65"/>
      <c r="I75" s="65"/>
      <c r="J75" s="65"/>
      <c r="K75" s="65"/>
      <c r="L75" s="65"/>
    </row>
    <row r="76" spans="1:12" ht="15.95" customHeight="1" x14ac:dyDescent="0.2">
      <c r="A76" s="1"/>
      <c r="B76" s="1"/>
      <c r="C76" s="1"/>
      <c r="D76" s="1"/>
      <c r="E76" s="65"/>
      <c r="F76" s="65"/>
      <c r="G76" s="65"/>
      <c r="H76" s="65"/>
      <c r="I76" s="65"/>
      <c r="J76" s="65"/>
      <c r="K76" s="65"/>
      <c r="L76" s="65"/>
    </row>
    <row r="77" spans="1:12" ht="15.95" customHeight="1" x14ac:dyDescent="0.2">
      <c r="A77" s="1"/>
      <c r="B77" s="1"/>
      <c r="C77" s="1"/>
      <c r="D77" s="1"/>
      <c r="E77" s="65"/>
      <c r="F77" s="65"/>
      <c r="G77" s="65"/>
      <c r="H77" s="65"/>
      <c r="I77" s="65"/>
      <c r="J77" s="65"/>
      <c r="K77" s="65"/>
      <c r="L77" s="65"/>
    </row>
    <row r="78" spans="1:12" ht="15.95" customHeight="1" x14ac:dyDescent="0.2">
      <c r="A78" s="1"/>
      <c r="B78" s="1"/>
      <c r="C78" s="1"/>
      <c r="D78" s="1"/>
      <c r="E78" s="65"/>
      <c r="F78" s="65"/>
      <c r="G78" s="65"/>
      <c r="H78" s="65"/>
      <c r="I78" s="65"/>
      <c r="J78" s="65"/>
      <c r="K78" s="65"/>
      <c r="L78" s="65"/>
    </row>
    <row r="79" spans="1:12" ht="15.95" customHeight="1" x14ac:dyDescent="0.2">
      <c r="A79" s="1"/>
      <c r="B79" s="1"/>
      <c r="C79" s="1"/>
      <c r="D79" s="1"/>
      <c r="E79" s="65"/>
      <c r="F79" s="65"/>
      <c r="G79" s="65"/>
      <c r="H79" s="65"/>
      <c r="I79" s="65"/>
      <c r="J79" s="65"/>
      <c r="K79" s="65"/>
      <c r="L79" s="65"/>
    </row>
    <row r="80" spans="1:12" ht="15.95" customHeight="1" x14ac:dyDescent="0.2">
      <c r="A80" s="1"/>
      <c r="B80" s="1"/>
      <c r="C80" s="1"/>
      <c r="D80" s="1"/>
      <c r="E80" s="65"/>
      <c r="F80" s="65"/>
      <c r="G80" s="65"/>
      <c r="H80" s="65"/>
      <c r="I80" s="65"/>
      <c r="J80" s="65"/>
      <c r="K80" s="65"/>
      <c r="L80" s="65"/>
    </row>
    <row r="81" spans="1:12" ht="15.95" customHeight="1" x14ac:dyDescent="0.2">
      <c r="A81" s="1"/>
      <c r="B81" s="1"/>
      <c r="C81" s="1"/>
      <c r="D81" s="1"/>
      <c r="E81" s="65"/>
      <c r="F81" s="65"/>
      <c r="G81" s="65"/>
      <c r="H81" s="65"/>
      <c r="I81" s="65"/>
      <c r="J81" s="65"/>
      <c r="K81" s="65"/>
      <c r="L81" s="65"/>
    </row>
    <row r="82" spans="1:12" ht="15.95" customHeight="1" x14ac:dyDescent="0.2">
      <c r="A82" s="1"/>
      <c r="B82" s="1"/>
      <c r="C82" s="1"/>
      <c r="D82" s="1"/>
      <c r="E82" s="65"/>
      <c r="F82" s="65"/>
      <c r="G82" s="65"/>
      <c r="H82" s="65"/>
      <c r="I82" s="65"/>
      <c r="J82" s="65"/>
      <c r="K82" s="65"/>
      <c r="L82" s="65"/>
    </row>
    <row r="83" spans="1:12" ht="15.95" customHeight="1" x14ac:dyDescent="0.2">
      <c r="A83" s="1"/>
      <c r="B83" s="1"/>
      <c r="C83" s="1"/>
      <c r="D83" s="1"/>
      <c r="E83" s="65"/>
      <c r="F83" s="65"/>
      <c r="G83" s="65"/>
      <c r="H83" s="65"/>
      <c r="I83" s="65"/>
      <c r="J83" s="65"/>
      <c r="K83" s="65"/>
      <c r="L83" s="65"/>
    </row>
    <row r="84" spans="1:12" ht="15.95" customHeight="1" x14ac:dyDescent="0.2">
      <c r="A84" s="1"/>
      <c r="B84" s="1"/>
      <c r="C84" s="1"/>
      <c r="D84" s="1"/>
      <c r="E84" s="65"/>
      <c r="F84" s="65"/>
      <c r="G84" s="65"/>
      <c r="H84" s="65"/>
      <c r="I84" s="65"/>
      <c r="J84" s="65"/>
      <c r="K84" s="65"/>
      <c r="L84" s="65"/>
    </row>
    <row r="85" spans="1:12" ht="15.95" customHeight="1" x14ac:dyDescent="0.2">
      <c r="A85" s="1"/>
      <c r="B85" s="1"/>
      <c r="C85" s="1"/>
      <c r="D85" s="1"/>
      <c r="E85" s="65"/>
      <c r="F85" s="65"/>
      <c r="G85" s="65"/>
      <c r="H85" s="65"/>
      <c r="I85" s="65"/>
      <c r="J85" s="65"/>
      <c r="K85" s="65"/>
      <c r="L85" s="65"/>
    </row>
    <row r="86" spans="1:12" ht="15.95" customHeight="1" x14ac:dyDescent="0.2">
      <c r="A86" s="1"/>
      <c r="B86" s="1"/>
      <c r="C86" s="1"/>
      <c r="D86" s="1"/>
      <c r="E86" s="65"/>
      <c r="F86" s="65"/>
      <c r="G86" s="65"/>
      <c r="H86" s="65"/>
      <c r="I86" s="65"/>
      <c r="J86" s="65"/>
      <c r="K86" s="65"/>
      <c r="L86" s="65"/>
    </row>
    <row r="87" spans="1:12" ht="15.95" customHeight="1" x14ac:dyDescent="0.2">
      <c r="A87" s="1"/>
      <c r="B87" s="1"/>
      <c r="C87" s="1"/>
      <c r="D87" s="1"/>
      <c r="E87" s="65"/>
      <c r="F87" s="65"/>
      <c r="G87" s="65"/>
      <c r="H87" s="65"/>
      <c r="I87" s="65"/>
      <c r="J87" s="65"/>
      <c r="K87" s="65"/>
      <c r="L87" s="65"/>
    </row>
    <row r="88" spans="1:12" ht="15.95" customHeight="1" x14ac:dyDescent="0.2">
      <c r="A88" s="1"/>
      <c r="B88" s="1"/>
      <c r="C88" s="1"/>
      <c r="D88" s="1"/>
      <c r="E88" s="65"/>
      <c r="F88" s="65"/>
      <c r="G88" s="65"/>
      <c r="H88" s="65"/>
      <c r="I88" s="65"/>
      <c r="J88" s="65"/>
      <c r="K88" s="65"/>
      <c r="L88" s="65"/>
    </row>
    <row r="89" spans="1:12" ht="15.95" customHeight="1" x14ac:dyDescent="0.2">
      <c r="A89" s="1"/>
      <c r="B89" s="1"/>
      <c r="C89" s="1"/>
      <c r="D89" s="1"/>
      <c r="E89" s="65"/>
      <c r="F89" s="65"/>
      <c r="G89" s="65"/>
      <c r="H89" s="65"/>
      <c r="I89" s="65"/>
      <c r="J89" s="65"/>
      <c r="K89" s="65"/>
      <c r="L89" s="65"/>
    </row>
    <row r="90" spans="1:12" ht="15.95" customHeight="1" x14ac:dyDescent="0.2">
      <c r="A90" s="1"/>
      <c r="B90" s="1"/>
      <c r="C90" s="1"/>
      <c r="D90" s="1"/>
      <c r="E90" s="65"/>
      <c r="F90" s="65"/>
      <c r="G90" s="65"/>
      <c r="H90" s="65"/>
      <c r="I90" s="65"/>
      <c r="J90" s="65"/>
      <c r="K90" s="65"/>
      <c r="L90" s="65"/>
    </row>
    <row r="91" spans="1:12" ht="15.95" customHeight="1" x14ac:dyDescent="0.2">
      <c r="A91" s="1"/>
      <c r="B91" s="1"/>
      <c r="C91" s="1"/>
      <c r="D91" s="1"/>
      <c r="E91" s="65"/>
      <c r="F91" s="65"/>
      <c r="G91" s="65"/>
      <c r="H91" s="65"/>
      <c r="I91" s="65"/>
      <c r="J91" s="65"/>
      <c r="K91" s="65"/>
      <c r="L91" s="65"/>
    </row>
    <row r="92" spans="1:12" ht="15.95" customHeight="1" x14ac:dyDescent="0.2">
      <c r="A92" s="1"/>
      <c r="B92" s="1"/>
      <c r="C92" s="1"/>
      <c r="D92" s="1"/>
      <c r="E92" s="65"/>
      <c r="F92" s="65"/>
      <c r="G92" s="65"/>
      <c r="H92" s="65"/>
      <c r="I92" s="65"/>
      <c r="J92" s="65"/>
      <c r="K92" s="65"/>
      <c r="L92" s="65"/>
    </row>
    <row r="93" spans="1:12" ht="15.95" customHeight="1" x14ac:dyDescent="0.2">
      <c r="A93" s="1"/>
      <c r="B93" s="1"/>
      <c r="C93" s="1"/>
      <c r="D93" s="1"/>
      <c r="E93" s="65"/>
      <c r="F93" s="65"/>
      <c r="G93" s="65"/>
      <c r="H93" s="65"/>
      <c r="I93" s="65"/>
      <c r="J93" s="65"/>
      <c r="K93" s="65"/>
      <c r="L93" s="65"/>
    </row>
    <row r="94" spans="1:12" ht="15.95" customHeight="1" x14ac:dyDescent="0.2">
      <c r="A94" s="1"/>
      <c r="B94" s="1"/>
      <c r="C94" s="1"/>
      <c r="D94" s="1"/>
      <c r="E94" s="65"/>
      <c r="F94" s="65"/>
      <c r="G94" s="65"/>
      <c r="H94" s="65"/>
      <c r="I94" s="65"/>
      <c r="J94" s="65"/>
      <c r="K94" s="65"/>
      <c r="L94" s="65"/>
    </row>
    <row r="95" spans="1:12" ht="15.95" customHeight="1" x14ac:dyDescent="0.2">
      <c r="A95" s="1"/>
      <c r="B95" s="1"/>
      <c r="C95" s="1"/>
      <c r="D95" s="1"/>
      <c r="E95" s="65"/>
      <c r="F95" s="65"/>
      <c r="G95" s="65"/>
      <c r="H95" s="65"/>
      <c r="I95" s="65"/>
      <c r="J95" s="65"/>
      <c r="K95" s="65"/>
      <c r="L95" s="65"/>
    </row>
    <row r="96" spans="1:12" ht="15.95" customHeight="1" x14ac:dyDescent="0.2">
      <c r="A96" s="1"/>
      <c r="B96" s="1"/>
      <c r="C96" s="1"/>
      <c r="D96" s="1"/>
      <c r="E96" s="65"/>
      <c r="F96" s="65"/>
      <c r="G96" s="65"/>
      <c r="H96" s="65"/>
      <c r="I96" s="65"/>
      <c r="J96" s="65"/>
      <c r="K96" s="65"/>
      <c r="L96" s="65"/>
    </row>
    <row r="97" spans="1:12" ht="15.95" customHeight="1" x14ac:dyDescent="0.2">
      <c r="A97" s="1"/>
      <c r="B97" s="1"/>
      <c r="C97" s="1"/>
      <c r="D97" s="1"/>
      <c r="E97" s="65"/>
      <c r="F97" s="65"/>
      <c r="G97" s="65"/>
      <c r="H97" s="65"/>
      <c r="I97" s="65"/>
      <c r="J97" s="65"/>
      <c r="K97" s="65"/>
      <c r="L97" s="65"/>
    </row>
    <row r="98" spans="1:12" ht="15.95" customHeight="1" x14ac:dyDescent="0.2">
      <c r="A98" s="1"/>
      <c r="B98" s="1"/>
      <c r="C98" s="1"/>
      <c r="D98" s="1"/>
      <c r="E98" s="65"/>
      <c r="F98" s="65"/>
      <c r="G98" s="65"/>
      <c r="H98" s="65"/>
      <c r="I98" s="65"/>
      <c r="J98" s="65"/>
      <c r="K98" s="65"/>
      <c r="L98" s="65"/>
    </row>
    <row r="99" spans="1:12" ht="15.95" customHeight="1" x14ac:dyDescent="0.2">
      <c r="A99" s="1"/>
      <c r="B99" s="1"/>
      <c r="C99" s="1"/>
      <c r="D99" s="1"/>
      <c r="E99" s="65"/>
      <c r="F99" s="65"/>
      <c r="G99" s="65"/>
      <c r="H99" s="65"/>
      <c r="I99" s="65"/>
      <c r="J99" s="65"/>
      <c r="K99" s="65"/>
      <c r="L99" s="65"/>
    </row>
    <row r="100" spans="1:12" ht="15.95" customHeight="1" x14ac:dyDescent="0.2">
      <c r="A100" s="1"/>
      <c r="B100" s="1"/>
      <c r="C100" s="1"/>
      <c r="D100" s="1"/>
      <c r="E100" s="65"/>
      <c r="F100" s="65"/>
      <c r="G100" s="65"/>
      <c r="H100" s="65"/>
      <c r="I100" s="65"/>
      <c r="J100" s="65"/>
      <c r="K100" s="65"/>
      <c r="L100" s="65"/>
    </row>
    <row r="101" spans="1:12" ht="15.95" customHeight="1" x14ac:dyDescent="0.2">
      <c r="A101" s="1"/>
      <c r="B101" s="1"/>
      <c r="C101" s="1"/>
      <c r="D101" s="1"/>
      <c r="E101" s="65"/>
      <c r="F101" s="65"/>
      <c r="G101" s="65"/>
      <c r="H101" s="65"/>
      <c r="I101" s="65"/>
      <c r="J101" s="65"/>
      <c r="K101" s="65"/>
      <c r="L101" s="65"/>
    </row>
    <row r="102" spans="1:12" ht="15.95" customHeight="1" x14ac:dyDescent="0.2">
      <c r="A102" s="1"/>
      <c r="B102" s="1"/>
      <c r="C102" s="1"/>
      <c r="D102" s="1"/>
      <c r="E102" s="65"/>
      <c r="F102" s="65"/>
      <c r="G102" s="65"/>
      <c r="H102" s="65"/>
      <c r="I102" s="65"/>
      <c r="J102" s="65"/>
      <c r="K102" s="65"/>
      <c r="L102" s="65"/>
    </row>
    <row r="103" spans="1:12" ht="15.95" customHeight="1" x14ac:dyDescent="0.2">
      <c r="A103" s="1"/>
      <c r="B103" s="1"/>
      <c r="C103" s="1"/>
      <c r="D103" s="1"/>
      <c r="E103" s="65"/>
      <c r="F103" s="65"/>
      <c r="G103" s="65"/>
      <c r="H103" s="65"/>
      <c r="I103" s="65"/>
      <c r="J103" s="65"/>
      <c r="K103" s="65"/>
      <c r="L103" s="65"/>
    </row>
    <row r="104" spans="1:12" ht="15.95" customHeight="1" x14ac:dyDescent="0.2">
      <c r="A104" s="1"/>
      <c r="B104" s="1"/>
      <c r="C104" s="1"/>
      <c r="D104" s="1"/>
      <c r="E104" s="65"/>
      <c r="F104" s="65"/>
      <c r="G104" s="65"/>
      <c r="H104" s="65"/>
      <c r="I104" s="65"/>
      <c r="J104" s="65"/>
      <c r="K104" s="65"/>
      <c r="L104" s="65"/>
    </row>
    <row r="105" spans="1:12" ht="15.95" customHeight="1" x14ac:dyDescent="0.2">
      <c r="A105" s="1"/>
      <c r="B105" s="1"/>
      <c r="C105" s="1"/>
      <c r="D105" s="1"/>
      <c r="E105" s="65"/>
      <c r="F105" s="65"/>
      <c r="G105" s="65"/>
      <c r="H105" s="65"/>
      <c r="I105" s="65"/>
      <c r="J105" s="65"/>
      <c r="K105" s="65"/>
      <c r="L105" s="65"/>
    </row>
    <row r="106" spans="1:12" ht="15.95" customHeight="1" x14ac:dyDescent="0.2">
      <c r="A106" s="1"/>
      <c r="B106" s="1"/>
      <c r="C106" s="1"/>
      <c r="D106" s="1"/>
      <c r="E106" s="65"/>
      <c r="F106" s="65"/>
      <c r="G106" s="65"/>
      <c r="H106" s="65"/>
      <c r="I106" s="65"/>
      <c r="J106" s="65"/>
      <c r="K106" s="65"/>
      <c r="L106" s="65"/>
    </row>
    <row r="107" spans="1:12" ht="15.95" customHeight="1" x14ac:dyDescent="0.2">
      <c r="A107" s="1"/>
      <c r="B107" s="1"/>
      <c r="C107" s="1"/>
      <c r="D107" s="1"/>
      <c r="E107" s="65"/>
      <c r="F107" s="65"/>
      <c r="G107" s="65"/>
      <c r="H107" s="65"/>
      <c r="I107" s="65"/>
      <c r="J107" s="65"/>
      <c r="K107" s="65"/>
      <c r="L107" s="65"/>
    </row>
    <row r="108" spans="1:12" ht="15.95" customHeight="1" x14ac:dyDescent="0.2">
      <c r="A108" s="1"/>
      <c r="B108" s="1"/>
      <c r="C108" s="1"/>
      <c r="D108" s="1"/>
      <c r="E108" s="65"/>
      <c r="F108" s="65"/>
      <c r="G108" s="65"/>
      <c r="H108" s="65"/>
      <c r="I108" s="65"/>
      <c r="J108" s="65"/>
      <c r="K108" s="65"/>
      <c r="L108" s="65"/>
    </row>
    <row r="109" spans="1:12" ht="15.95" customHeight="1" x14ac:dyDescent="0.2">
      <c r="A109" s="1"/>
      <c r="B109" s="1"/>
      <c r="C109" s="1"/>
      <c r="D109" s="1"/>
      <c r="E109" s="65"/>
      <c r="F109" s="65"/>
      <c r="G109" s="65"/>
      <c r="H109" s="65"/>
      <c r="I109" s="65"/>
      <c r="J109" s="65"/>
      <c r="K109" s="65"/>
      <c r="L109" s="65"/>
    </row>
    <row r="110" spans="1:12" ht="15.95" customHeight="1" x14ac:dyDescent="0.2">
      <c r="A110" s="1"/>
      <c r="B110" s="1"/>
      <c r="C110" s="1"/>
      <c r="D110" s="1"/>
      <c r="E110" s="65"/>
      <c r="F110" s="65"/>
      <c r="G110" s="65"/>
      <c r="H110" s="65"/>
      <c r="I110" s="65"/>
      <c r="J110" s="65"/>
      <c r="K110" s="65"/>
      <c r="L110" s="65"/>
    </row>
    <row r="111" spans="1:12" x14ac:dyDescent="0.2">
      <c r="A111" s="1"/>
      <c r="B111" s="1"/>
      <c r="C111" s="1"/>
      <c r="D111" s="1"/>
      <c r="E111" s="65"/>
      <c r="F111" s="65"/>
      <c r="G111" s="65"/>
      <c r="H111" s="65"/>
      <c r="I111" s="65"/>
      <c r="J111" s="65"/>
      <c r="K111" s="65"/>
      <c r="L111" s="65"/>
    </row>
    <row r="112" spans="1:12" x14ac:dyDescent="0.2">
      <c r="A112" s="1"/>
      <c r="B112" s="1"/>
      <c r="C112" s="1"/>
      <c r="D112" s="1"/>
      <c r="E112" s="65"/>
      <c r="F112" s="65"/>
      <c r="G112" s="65"/>
      <c r="H112" s="65"/>
      <c r="I112" s="65"/>
      <c r="J112" s="65"/>
      <c r="K112" s="65"/>
      <c r="L112" s="65"/>
    </row>
    <row r="113" spans="1:12" x14ac:dyDescent="0.2">
      <c r="A113" s="1"/>
      <c r="B113" s="1"/>
      <c r="C113" s="1"/>
      <c r="D113" s="1"/>
      <c r="E113" s="65"/>
      <c r="F113" s="65"/>
      <c r="G113" s="65"/>
      <c r="H113" s="65"/>
      <c r="I113" s="65"/>
      <c r="J113" s="65"/>
      <c r="K113" s="65"/>
      <c r="L113" s="65"/>
    </row>
    <row r="114" spans="1:12" x14ac:dyDescent="0.2">
      <c r="A114" s="1"/>
      <c r="B114" s="1"/>
      <c r="C114" s="1"/>
      <c r="D114" s="1"/>
      <c r="E114" s="65"/>
      <c r="F114" s="65"/>
      <c r="G114" s="65"/>
      <c r="H114" s="65"/>
      <c r="I114" s="65"/>
      <c r="J114" s="65"/>
      <c r="K114" s="65"/>
      <c r="L114" s="65"/>
    </row>
    <row r="115" spans="1:12" x14ac:dyDescent="0.2">
      <c r="A115" s="1"/>
      <c r="B115" s="1"/>
      <c r="C115" s="1"/>
      <c r="D115" s="1"/>
      <c r="E115" s="65"/>
      <c r="F115" s="65"/>
      <c r="G115" s="65"/>
      <c r="H115" s="65"/>
      <c r="I115" s="65"/>
      <c r="J115" s="65"/>
      <c r="K115" s="65"/>
      <c r="L115" s="65"/>
    </row>
    <row r="116" spans="1:12" x14ac:dyDescent="0.2">
      <c r="A116" s="1"/>
      <c r="B116" s="1"/>
      <c r="C116" s="1"/>
      <c r="D116" s="1"/>
      <c r="E116" s="65"/>
      <c r="F116" s="65"/>
      <c r="G116" s="65"/>
      <c r="H116" s="65"/>
      <c r="I116" s="65"/>
      <c r="J116" s="65"/>
      <c r="K116" s="65"/>
      <c r="L116" s="65"/>
    </row>
    <row r="117" spans="1:12" x14ac:dyDescent="0.2">
      <c r="A117" s="1"/>
      <c r="B117" s="1"/>
      <c r="C117" s="1"/>
      <c r="D117" s="1"/>
      <c r="E117" s="65"/>
      <c r="F117" s="65"/>
      <c r="G117" s="65"/>
      <c r="H117" s="65"/>
      <c r="I117" s="65"/>
      <c r="J117" s="65"/>
      <c r="K117" s="65"/>
      <c r="L117" s="65"/>
    </row>
    <row r="118" spans="1:12" x14ac:dyDescent="0.2">
      <c r="A118" s="1"/>
      <c r="B118" s="1"/>
      <c r="C118" s="1"/>
      <c r="D118" s="1"/>
      <c r="E118" s="65"/>
      <c r="F118" s="65"/>
      <c r="G118" s="65"/>
      <c r="H118" s="65"/>
      <c r="I118" s="65"/>
      <c r="J118" s="65"/>
      <c r="K118" s="65"/>
      <c r="L118" s="65"/>
    </row>
    <row r="119" spans="1:12" x14ac:dyDescent="0.2">
      <c r="A119" s="1"/>
      <c r="B119" s="1"/>
      <c r="C119" s="1"/>
      <c r="D119" s="1"/>
      <c r="E119" s="65"/>
      <c r="F119" s="65"/>
      <c r="G119" s="65"/>
      <c r="H119" s="65"/>
      <c r="I119" s="65"/>
      <c r="J119" s="65"/>
      <c r="K119" s="65"/>
      <c r="L119" s="65"/>
    </row>
    <row r="120" spans="1:12" x14ac:dyDescent="0.2">
      <c r="A120" s="1"/>
      <c r="B120" s="1"/>
      <c r="C120" s="1"/>
      <c r="D120" s="1"/>
      <c r="E120" s="65"/>
      <c r="F120" s="65"/>
      <c r="G120" s="65"/>
      <c r="H120" s="65"/>
      <c r="I120" s="65"/>
      <c r="J120" s="65"/>
      <c r="K120" s="65"/>
      <c r="L120" s="65"/>
    </row>
    <row r="121" spans="1:12" x14ac:dyDescent="0.2">
      <c r="A121" s="1"/>
      <c r="B121" s="1"/>
      <c r="C121" s="1"/>
      <c r="D121" s="1"/>
      <c r="E121" s="65"/>
      <c r="F121" s="65"/>
      <c r="G121" s="65"/>
      <c r="H121" s="65"/>
      <c r="I121" s="65"/>
      <c r="J121" s="65"/>
      <c r="K121" s="65"/>
      <c r="L121" s="65"/>
    </row>
    <row r="122" spans="1:12" x14ac:dyDescent="0.2">
      <c r="A122" s="1"/>
      <c r="B122" s="1"/>
      <c r="C122" s="1"/>
      <c r="D122" s="1"/>
      <c r="E122" s="65"/>
      <c r="F122" s="65"/>
      <c r="G122" s="65"/>
      <c r="H122" s="65"/>
      <c r="I122" s="65"/>
      <c r="J122" s="65"/>
      <c r="K122" s="65"/>
      <c r="L122" s="65"/>
    </row>
    <row r="123" spans="1:12" x14ac:dyDescent="0.2">
      <c r="A123" s="1"/>
      <c r="B123" s="1"/>
      <c r="C123" s="1"/>
      <c r="D123" s="1"/>
      <c r="E123" s="65"/>
      <c r="F123" s="65"/>
      <c r="G123" s="65"/>
      <c r="H123" s="65"/>
      <c r="I123" s="65"/>
      <c r="J123" s="65"/>
      <c r="K123" s="65"/>
      <c r="L123" s="65"/>
    </row>
    <row r="124" spans="1:12" x14ac:dyDescent="0.2">
      <c r="A124" s="1"/>
      <c r="B124" s="1"/>
      <c r="C124" s="1"/>
      <c r="D124" s="1"/>
      <c r="E124" s="65"/>
      <c r="F124" s="65"/>
      <c r="G124" s="65"/>
      <c r="H124" s="65"/>
      <c r="I124" s="65"/>
      <c r="J124" s="65"/>
      <c r="K124" s="65"/>
      <c r="L124" s="65"/>
    </row>
    <row r="125" spans="1:12" x14ac:dyDescent="0.2">
      <c r="A125" s="1"/>
      <c r="B125" s="1"/>
      <c r="C125" s="1"/>
      <c r="D125" s="1"/>
      <c r="E125" s="65"/>
      <c r="F125" s="65"/>
      <c r="G125" s="65"/>
      <c r="H125" s="65"/>
      <c r="I125" s="65"/>
      <c r="J125" s="65"/>
      <c r="K125" s="65"/>
      <c r="L125" s="65"/>
    </row>
    <row r="126" spans="1:12" x14ac:dyDescent="0.2">
      <c r="A126" s="1"/>
      <c r="B126" s="1"/>
      <c r="C126" s="1"/>
      <c r="D126" s="1"/>
      <c r="E126" s="65"/>
      <c r="F126" s="65"/>
      <c r="G126" s="65"/>
      <c r="H126" s="65"/>
      <c r="I126" s="65"/>
      <c r="J126" s="65"/>
      <c r="K126" s="65"/>
      <c r="L126" s="65"/>
    </row>
    <row r="127" spans="1:12" x14ac:dyDescent="0.2">
      <c r="A127" s="1"/>
      <c r="B127" s="1"/>
      <c r="C127" s="1"/>
      <c r="D127" s="1"/>
      <c r="E127" s="65"/>
      <c r="F127" s="65"/>
      <c r="G127" s="65"/>
      <c r="H127" s="65"/>
      <c r="I127" s="65"/>
      <c r="J127" s="65"/>
      <c r="K127" s="65"/>
      <c r="L127" s="65"/>
    </row>
    <row r="128" spans="1:12" x14ac:dyDescent="0.2">
      <c r="A128" s="1"/>
      <c r="B128" s="1"/>
      <c r="C128" s="1"/>
      <c r="D128" s="1"/>
      <c r="E128" s="65"/>
      <c r="F128" s="65"/>
      <c r="G128" s="65"/>
      <c r="H128" s="65"/>
      <c r="I128" s="65"/>
      <c r="J128" s="65"/>
      <c r="K128" s="65"/>
      <c r="L128" s="65"/>
    </row>
    <row r="129" spans="1:12" x14ac:dyDescent="0.2">
      <c r="A129" s="1"/>
      <c r="B129" s="1"/>
      <c r="C129" s="1"/>
      <c r="D129" s="1"/>
      <c r="E129" s="65"/>
      <c r="F129" s="65"/>
      <c r="G129" s="65"/>
      <c r="H129" s="65"/>
      <c r="I129" s="65"/>
      <c r="J129" s="65"/>
      <c r="K129" s="65"/>
      <c r="L129" s="65"/>
    </row>
    <row r="130" spans="1:12" x14ac:dyDescent="0.2">
      <c r="A130" s="1"/>
      <c r="B130" s="1"/>
      <c r="C130" s="1"/>
      <c r="D130" s="1"/>
      <c r="E130" s="65"/>
      <c r="F130" s="65"/>
      <c r="G130" s="65"/>
      <c r="H130" s="65"/>
      <c r="I130" s="65"/>
      <c r="J130" s="65"/>
      <c r="K130" s="65"/>
      <c r="L130" s="65"/>
    </row>
    <row r="131" spans="1:12" x14ac:dyDescent="0.2">
      <c r="A131" s="1"/>
      <c r="B131" s="1"/>
      <c r="C131" s="1"/>
      <c r="D131" s="1"/>
      <c r="E131" s="65"/>
      <c r="F131" s="65"/>
      <c r="G131" s="65"/>
      <c r="H131" s="65"/>
      <c r="I131" s="65"/>
      <c r="J131" s="65"/>
      <c r="K131" s="65"/>
      <c r="L131" s="65"/>
    </row>
    <row r="132" spans="1:12" x14ac:dyDescent="0.2">
      <c r="A132" s="1"/>
      <c r="B132" s="1"/>
      <c r="C132" s="1"/>
      <c r="D132" s="1"/>
      <c r="E132" s="65"/>
      <c r="F132" s="65"/>
      <c r="G132" s="65"/>
      <c r="H132" s="65"/>
      <c r="I132" s="65"/>
      <c r="J132" s="65"/>
      <c r="K132" s="65"/>
      <c r="L132" s="65"/>
    </row>
    <row r="133" spans="1:12" x14ac:dyDescent="0.2">
      <c r="A133" s="1"/>
      <c r="B133" s="1"/>
      <c r="C133" s="1"/>
      <c r="D133" s="1"/>
      <c r="E133" s="65"/>
      <c r="F133" s="65"/>
      <c r="G133" s="65"/>
      <c r="H133" s="65"/>
      <c r="I133" s="65"/>
      <c r="J133" s="65"/>
      <c r="K133" s="65"/>
      <c r="L133" s="65"/>
    </row>
    <row r="134" spans="1:12" x14ac:dyDescent="0.2">
      <c r="A134" s="1"/>
      <c r="B134" s="1"/>
      <c r="C134" s="1"/>
      <c r="D134" s="1"/>
      <c r="E134" s="65"/>
      <c r="F134" s="65"/>
      <c r="G134" s="65"/>
      <c r="H134" s="65"/>
      <c r="I134" s="65"/>
      <c r="J134" s="65"/>
      <c r="K134" s="65"/>
      <c r="L134" s="65"/>
    </row>
    <row r="135" spans="1:12" x14ac:dyDescent="0.2">
      <c r="A135" s="1"/>
      <c r="B135" s="1"/>
      <c r="C135" s="1"/>
      <c r="D135" s="1"/>
      <c r="E135" s="65"/>
      <c r="F135" s="65"/>
      <c r="G135" s="65"/>
      <c r="H135" s="65"/>
      <c r="I135" s="65"/>
      <c r="J135" s="65"/>
      <c r="K135" s="65"/>
      <c r="L135" s="65"/>
    </row>
    <row r="136" spans="1:12" x14ac:dyDescent="0.2">
      <c r="A136" s="1"/>
      <c r="B136" s="1"/>
      <c r="C136" s="1"/>
      <c r="D136" s="1"/>
      <c r="E136" s="65"/>
      <c r="F136" s="65"/>
      <c r="G136" s="65"/>
      <c r="H136" s="65"/>
      <c r="I136" s="65"/>
      <c r="J136" s="65"/>
      <c r="K136" s="65"/>
      <c r="L136" s="65"/>
    </row>
    <row r="137" spans="1:12" x14ac:dyDescent="0.2">
      <c r="A137" s="1"/>
      <c r="B137" s="1"/>
      <c r="C137" s="1"/>
      <c r="D137" s="1"/>
      <c r="E137" s="65"/>
      <c r="F137" s="65"/>
      <c r="G137" s="65"/>
      <c r="H137" s="65"/>
      <c r="I137" s="65"/>
      <c r="J137" s="65"/>
      <c r="K137" s="65"/>
      <c r="L137" s="65"/>
    </row>
    <row r="138" spans="1:12" x14ac:dyDescent="0.2">
      <c r="A138" s="1"/>
      <c r="B138" s="1"/>
      <c r="C138" s="1"/>
      <c r="D138" s="1"/>
      <c r="E138" s="65"/>
      <c r="F138" s="65"/>
      <c r="G138" s="65"/>
      <c r="H138" s="65"/>
      <c r="I138" s="65"/>
      <c r="J138" s="65"/>
      <c r="K138" s="65"/>
      <c r="L138" s="65"/>
    </row>
    <row r="139" spans="1:12" x14ac:dyDescent="0.2">
      <c r="A139" s="1"/>
      <c r="B139" s="1"/>
      <c r="C139" s="1"/>
      <c r="D139" s="1"/>
      <c r="E139" s="65"/>
      <c r="F139" s="65"/>
      <c r="G139" s="65"/>
      <c r="H139" s="65"/>
      <c r="I139" s="65"/>
      <c r="J139" s="65"/>
      <c r="K139" s="65"/>
      <c r="L139" s="65"/>
    </row>
    <row r="140" spans="1:12" x14ac:dyDescent="0.2">
      <c r="A140" s="1"/>
      <c r="B140" s="1"/>
      <c r="C140" s="1"/>
      <c r="D140" s="1"/>
      <c r="E140" s="65"/>
      <c r="F140" s="65"/>
      <c r="G140" s="65"/>
      <c r="H140" s="65"/>
      <c r="I140" s="65"/>
      <c r="J140" s="65"/>
      <c r="K140" s="65"/>
      <c r="L140" s="65"/>
    </row>
    <row r="141" spans="1:12" x14ac:dyDescent="0.2">
      <c r="A141" s="1"/>
      <c r="B141" s="1"/>
      <c r="C141" s="1"/>
      <c r="D141" s="1"/>
      <c r="E141" s="65"/>
      <c r="F141" s="65"/>
      <c r="G141" s="65"/>
      <c r="H141" s="65"/>
      <c r="I141" s="65"/>
      <c r="J141" s="65"/>
      <c r="K141" s="65"/>
      <c r="L141" s="65"/>
    </row>
    <row r="142" spans="1:12" x14ac:dyDescent="0.2">
      <c r="A142" s="1"/>
      <c r="B142" s="1"/>
      <c r="C142" s="1"/>
      <c r="D142" s="1"/>
      <c r="E142" s="65"/>
      <c r="F142" s="65"/>
      <c r="G142" s="65"/>
      <c r="H142" s="65"/>
      <c r="I142" s="65"/>
      <c r="J142" s="65"/>
      <c r="K142" s="65"/>
      <c r="L142" s="65"/>
    </row>
    <row r="143" spans="1:12" x14ac:dyDescent="0.2">
      <c r="A143" s="1"/>
      <c r="B143" s="1"/>
      <c r="C143" s="1"/>
      <c r="D143" s="1"/>
      <c r="E143" s="65"/>
      <c r="F143" s="65"/>
      <c r="G143" s="65"/>
      <c r="H143" s="65"/>
      <c r="I143" s="65"/>
      <c r="J143" s="65"/>
      <c r="K143" s="65"/>
      <c r="L143" s="65"/>
    </row>
    <row r="144" spans="1:12" x14ac:dyDescent="0.2">
      <c r="A144" s="1"/>
      <c r="B144" s="1"/>
      <c r="C144" s="1"/>
      <c r="D144" s="1"/>
      <c r="E144" s="65"/>
      <c r="F144" s="65"/>
      <c r="G144" s="65"/>
      <c r="H144" s="65"/>
      <c r="I144" s="65"/>
      <c r="J144" s="65"/>
      <c r="K144" s="65"/>
      <c r="L144" s="65"/>
    </row>
    <row r="145" spans="1:12" x14ac:dyDescent="0.2">
      <c r="A145" s="1"/>
      <c r="B145" s="1"/>
      <c r="C145" s="1"/>
      <c r="D145" s="1"/>
      <c r="E145" s="65"/>
      <c r="F145" s="65"/>
      <c r="G145" s="65"/>
      <c r="H145" s="65"/>
      <c r="I145" s="65"/>
      <c r="J145" s="65"/>
      <c r="K145" s="65"/>
      <c r="L145" s="65"/>
    </row>
    <row r="146" spans="1:12" x14ac:dyDescent="0.2">
      <c r="A146" s="1"/>
      <c r="B146" s="1"/>
      <c r="C146" s="1"/>
      <c r="D146" s="1"/>
      <c r="E146" s="65"/>
      <c r="F146" s="65"/>
      <c r="G146" s="65"/>
      <c r="H146" s="65"/>
      <c r="I146" s="65"/>
      <c r="J146" s="65"/>
      <c r="K146" s="65"/>
      <c r="L146" s="65"/>
    </row>
    <row r="147" spans="1:12" x14ac:dyDescent="0.2">
      <c r="A147" s="1"/>
      <c r="B147" s="1"/>
      <c r="C147" s="1"/>
      <c r="D147" s="1"/>
      <c r="E147" s="65"/>
      <c r="F147" s="65"/>
      <c r="G147" s="65"/>
      <c r="H147" s="65"/>
      <c r="I147" s="65"/>
      <c r="J147" s="65"/>
      <c r="K147" s="65"/>
      <c r="L147" s="65"/>
    </row>
    <row r="148" spans="1:12" x14ac:dyDescent="0.2">
      <c r="A148" s="1"/>
      <c r="B148" s="1"/>
      <c r="C148" s="1"/>
      <c r="D148" s="1"/>
      <c r="E148" s="65"/>
      <c r="F148" s="65"/>
      <c r="G148" s="65"/>
      <c r="H148" s="65"/>
      <c r="I148" s="65"/>
      <c r="J148" s="65"/>
      <c r="K148" s="65"/>
      <c r="L148" s="65"/>
    </row>
    <row r="149" spans="1:12" x14ac:dyDescent="0.2">
      <c r="A149" s="1"/>
      <c r="B149" s="1"/>
      <c r="C149" s="1"/>
      <c r="D149" s="1"/>
      <c r="E149" s="65"/>
      <c r="F149" s="65"/>
      <c r="G149" s="65"/>
      <c r="H149" s="65"/>
      <c r="I149" s="65"/>
      <c r="J149" s="65"/>
      <c r="K149" s="65"/>
      <c r="L149" s="65"/>
    </row>
    <row r="150" spans="1:12" x14ac:dyDescent="0.2">
      <c r="A150" s="1"/>
      <c r="B150" s="1"/>
      <c r="C150" s="1"/>
      <c r="D150" s="1"/>
      <c r="E150" s="65"/>
      <c r="F150" s="65"/>
      <c r="G150" s="65"/>
      <c r="H150" s="65"/>
      <c r="I150" s="65"/>
      <c r="J150" s="65"/>
      <c r="K150" s="65"/>
      <c r="L150" s="65"/>
    </row>
    <row r="151" spans="1:12" x14ac:dyDescent="0.2">
      <c r="A151" s="1"/>
      <c r="B151" s="1"/>
      <c r="C151" s="1"/>
      <c r="D151" s="1"/>
      <c r="E151" s="65"/>
      <c r="F151" s="65"/>
      <c r="G151" s="65"/>
      <c r="H151" s="65"/>
      <c r="I151" s="65"/>
      <c r="J151" s="65"/>
      <c r="K151" s="65"/>
      <c r="L151" s="65"/>
    </row>
    <row r="152" spans="1:12" x14ac:dyDescent="0.2">
      <c r="A152" s="1"/>
      <c r="B152" s="1"/>
      <c r="C152" s="1"/>
      <c r="D152" s="1"/>
      <c r="E152" s="65"/>
      <c r="F152" s="65"/>
      <c r="G152" s="65"/>
      <c r="H152" s="65"/>
      <c r="I152" s="65"/>
      <c r="J152" s="65"/>
      <c r="K152" s="65"/>
      <c r="L152" s="65"/>
    </row>
    <row r="153" spans="1:12" x14ac:dyDescent="0.2">
      <c r="A153" s="1"/>
      <c r="B153" s="1"/>
      <c r="C153" s="1"/>
      <c r="D153" s="1"/>
      <c r="E153" s="65"/>
      <c r="F153" s="65"/>
      <c r="G153" s="65"/>
      <c r="H153" s="65"/>
      <c r="I153" s="65"/>
      <c r="J153" s="65"/>
      <c r="K153" s="65"/>
      <c r="L153" s="65"/>
    </row>
    <row r="154" spans="1:12" x14ac:dyDescent="0.2">
      <c r="A154" s="1"/>
      <c r="B154" s="1"/>
      <c r="C154" s="1"/>
      <c r="D154" s="1"/>
      <c r="E154" s="65"/>
      <c r="F154" s="65"/>
      <c r="G154" s="65"/>
      <c r="H154" s="65"/>
      <c r="I154" s="65"/>
      <c r="J154" s="65"/>
      <c r="K154" s="65"/>
      <c r="L154" s="65"/>
    </row>
    <row r="155" spans="1:12" x14ac:dyDescent="0.2">
      <c r="A155" s="1"/>
      <c r="B155" s="1"/>
      <c r="C155" s="1"/>
      <c r="D155" s="1"/>
      <c r="E155" s="65"/>
      <c r="F155" s="65"/>
      <c r="G155" s="65"/>
      <c r="H155" s="65"/>
      <c r="I155" s="65"/>
      <c r="J155" s="65"/>
      <c r="K155" s="65"/>
      <c r="L155" s="65"/>
    </row>
    <row r="156" spans="1:12" x14ac:dyDescent="0.2">
      <c r="A156" s="1"/>
      <c r="B156" s="1"/>
      <c r="C156" s="1"/>
      <c r="D156" s="1"/>
      <c r="E156" s="65"/>
      <c r="F156" s="65"/>
      <c r="G156" s="65"/>
      <c r="H156" s="65"/>
      <c r="I156" s="65"/>
      <c r="J156" s="65"/>
      <c r="K156" s="65"/>
      <c r="L156" s="65"/>
    </row>
    <row r="157" spans="1:12" x14ac:dyDescent="0.2">
      <c r="A157" s="1"/>
      <c r="B157" s="1"/>
      <c r="C157" s="1"/>
      <c r="D157" s="1"/>
      <c r="E157" s="65"/>
      <c r="F157" s="65"/>
      <c r="G157" s="65"/>
      <c r="H157" s="65"/>
      <c r="I157" s="65"/>
      <c r="J157" s="65"/>
      <c r="K157" s="65"/>
      <c r="L157" s="65"/>
    </row>
    <row r="158" spans="1:12" x14ac:dyDescent="0.2">
      <c r="A158" s="1"/>
      <c r="B158" s="1"/>
      <c r="C158" s="1"/>
      <c r="D158" s="1"/>
      <c r="E158" s="65"/>
      <c r="F158" s="65"/>
      <c r="G158" s="65"/>
      <c r="H158" s="65"/>
      <c r="I158" s="65"/>
      <c r="J158" s="65"/>
      <c r="K158" s="65"/>
      <c r="L158" s="65"/>
    </row>
    <row r="159" spans="1:12" x14ac:dyDescent="0.2">
      <c r="A159" s="1"/>
      <c r="B159" s="1"/>
      <c r="C159" s="1"/>
      <c r="D159" s="1"/>
      <c r="E159" s="65"/>
      <c r="F159" s="65"/>
      <c r="G159" s="65"/>
      <c r="H159" s="65"/>
      <c r="I159" s="65"/>
      <c r="J159" s="65"/>
      <c r="K159" s="65"/>
      <c r="L159" s="65"/>
    </row>
    <row r="160" spans="1:12" x14ac:dyDescent="0.2">
      <c r="A160" s="1"/>
      <c r="B160" s="1"/>
      <c r="C160" s="1"/>
      <c r="D160" s="1"/>
      <c r="E160" s="65"/>
      <c r="F160" s="65"/>
      <c r="G160" s="65"/>
      <c r="H160" s="65"/>
      <c r="I160" s="65"/>
      <c r="J160" s="65"/>
      <c r="K160" s="65"/>
      <c r="L160" s="65"/>
    </row>
    <row r="161" spans="1:12" x14ac:dyDescent="0.2">
      <c r="A161" s="1"/>
      <c r="B161" s="1"/>
      <c r="C161" s="1"/>
      <c r="D161" s="1"/>
      <c r="E161" s="65"/>
      <c r="F161" s="65"/>
      <c r="G161" s="65"/>
      <c r="H161" s="65"/>
      <c r="I161" s="65"/>
      <c r="J161" s="65"/>
      <c r="K161" s="65"/>
      <c r="L161" s="65"/>
    </row>
    <row r="162" spans="1:12" x14ac:dyDescent="0.2">
      <c r="A162" s="1"/>
      <c r="B162" s="1"/>
      <c r="C162" s="1"/>
      <c r="D162" s="1"/>
      <c r="E162" s="65"/>
      <c r="F162" s="65"/>
      <c r="G162" s="65"/>
      <c r="H162" s="65"/>
      <c r="I162" s="65"/>
      <c r="J162" s="65"/>
      <c r="K162" s="65"/>
      <c r="L162" s="65"/>
    </row>
    <row r="163" spans="1:12" x14ac:dyDescent="0.2">
      <c r="A163" s="1"/>
      <c r="B163" s="1"/>
      <c r="C163" s="1"/>
      <c r="D163" s="1"/>
      <c r="E163" s="65"/>
      <c r="F163" s="65"/>
      <c r="G163" s="65"/>
      <c r="H163" s="65"/>
      <c r="I163" s="65"/>
      <c r="J163" s="65"/>
      <c r="K163" s="65"/>
      <c r="L163" s="65"/>
    </row>
    <row r="164" spans="1:12" x14ac:dyDescent="0.2">
      <c r="A164" s="1"/>
      <c r="B164" s="1"/>
      <c r="C164" s="1"/>
      <c r="D164" s="1"/>
      <c r="E164" s="65"/>
      <c r="F164" s="65"/>
      <c r="G164" s="65"/>
      <c r="H164" s="65"/>
      <c r="I164" s="65"/>
      <c r="J164" s="65"/>
      <c r="K164" s="65"/>
      <c r="L164" s="65"/>
    </row>
    <row r="165" spans="1:12" x14ac:dyDescent="0.2">
      <c r="A165" s="1"/>
      <c r="B165" s="1"/>
      <c r="C165" s="1"/>
      <c r="D165" s="1"/>
      <c r="E165" s="65"/>
      <c r="F165" s="65"/>
      <c r="G165" s="65"/>
      <c r="H165" s="65"/>
      <c r="I165" s="65"/>
      <c r="J165" s="65"/>
      <c r="K165" s="65"/>
      <c r="L165" s="65"/>
    </row>
    <row r="166" spans="1:12" x14ac:dyDescent="0.2">
      <c r="A166" s="1"/>
      <c r="B166" s="1"/>
      <c r="C166" s="1"/>
      <c r="D166" s="1"/>
      <c r="E166" s="65"/>
      <c r="F166" s="65"/>
      <c r="G166" s="65"/>
      <c r="H166" s="65"/>
      <c r="I166" s="65"/>
      <c r="J166" s="65"/>
      <c r="K166" s="65"/>
      <c r="L166" s="65"/>
    </row>
    <row r="167" spans="1:12" x14ac:dyDescent="0.2">
      <c r="A167" s="1"/>
      <c r="B167" s="1"/>
      <c r="C167" s="1"/>
      <c r="D167" s="1"/>
      <c r="E167" s="65"/>
      <c r="F167" s="65"/>
      <c r="G167" s="65"/>
      <c r="H167" s="65"/>
      <c r="I167" s="65"/>
      <c r="J167" s="65"/>
      <c r="K167" s="65"/>
      <c r="L167" s="65"/>
    </row>
    <row r="168" spans="1:12" x14ac:dyDescent="0.2">
      <c r="A168" s="1"/>
      <c r="B168" s="1"/>
      <c r="C168" s="1"/>
      <c r="D168" s="1"/>
      <c r="E168" s="65"/>
      <c r="F168" s="65"/>
      <c r="G168" s="65"/>
      <c r="H168" s="65"/>
      <c r="I168" s="65"/>
      <c r="J168" s="65"/>
      <c r="K168" s="65"/>
      <c r="L168" s="65"/>
    </row>
    <row r="169" spans="1:12" x14ac:dyDescent="0.2">
      <c r="A169" s="1"/>
      <c r="B169" s="1"/>
      <c r="C169" s="1"/>
      <c r="D169" s="1"/>
      <c r="E169" s="65"/>
      <c r="F169" s="65"/>
      <c r="G169" s="65"/>
      <c r="H169" s="65"/>
      <c r="I169" s="65"/>
      <c r="J169" s="65"/>
      <c r="K169" s="65"/>
      <c r="L169" s="65"/>
    </row>
    <row r="170" spans="1:12" x14ac:dyDescent="0.2">
      <c r="A170" s="1"/>
      <c r="B170" s="1"/>
      <c r="C170" s="1"/>
      <c r="D170" s="1"/>
      <c r="E170" s="65"/>
      <c r="F170" s="65"/>
      <c r="G170" s="65"/>
      <c r="H170" s="65"/>
      <c r="I170" s="65"/>
      <c r="J170" s="65"/>
      <c r="K170" s="65"/>
      <c r="L170" s="65"/>
    </row>
    <row r="171" spans="1:12" x14ac:dyDescent="0.2">
      <c r="A171" s="1"/>
      <c r="B171" s="1"/>
      <c r="C171" s="1"/>
      <c r="D171" s="1"/>
      <c r="E171" s="65"/>
      <c r="F171" s="65"/>
      <c r="G171" s="65"/>
      <c r="H171" s="65"/>
      <c r="I171" s="65"/>
      <c r="J171" s="65"/>
      <c r="K171" s="65"/>
      <c r="L171" s="65"/>
    </row>
    <row r="172" spans="1:12" x14ac:dyDescent="0.2">
      <c r="A172" s="1"/>
      <c r="B172" s="1"/>
      <c r="C172" s="1"/>
      <c r="D172" s="1"/>
      <c r="E172" s="65"/>
      <c r="F172" s="65"/>
      <c r="G172" s="65"/>
      <c r="H172" s="65"/>
      <c r="I172" s="65"/>
      <c r="J172" s="65"/>
      <c r="K172" s="65"/>
      <c r="L172" s="65"/>
    </row>
    <row r="173" spans="1:12" x14ac:dyDescent="0.2">
      <c r="A173" s="1"/>
      <c r="B173" s="1"/>
      <c r="C173" s="1"/>
      <c r="D173" s="1"/>
      <c r="E173" s="65"/>
      <c r="F173" s="65"/>
      <c r="G173" s="65"/>
      <c r="H173" s="65"/>
      <c r="I173" s="65"/>
      <c r="J173" s="65"/>
      <c r="K173" s="65"/>
      <c r="L173" s="65"/>
    </row>
    <row r="174" spans="1:12" x14ac:dyDescent="0.2">
      <c r="A174" s="1"/>
      <c r="B174" s="1"/>
      <c r="C174" s="1"/>
      <c r="D174" s="1"/>
      <c r="E174" s="65"/>
      <c r="F174" s="65"/>
      <c r="G174" s="65"/>
      <c r="H174" s="65"/>
      <c r="I174" s="65"/>
      <c r="J174" s="65"/>
      <c r="K174" s="65"/>
      <c r="L174" s="65"/>
    </row>
    <row r="175" spans="1:12" x14ac:dyDescent="0.2">
      <c r="A175" s="1"/>
      <c r="B175" s="1"/>
      <c r="C175" s="1"/>
      <c r="D175" s="1"/>
      <c r="E175" s="65"/>
      <c r="F175" s="65"/>
      <c r="G175" s="65"/>
      <c r="H175" s="65"/>
      <c r="I175" s="65"/>
      <c r="J175" s="65"/>
      <c r="K175" s="65"/>
      <c r="L175" s="65"/>
    </row>
    <row r="176" spans="1:12" x14ac:dyDescent="0.2">
      <c r="A176" s="1"/>
      <c r="B176" s="1"/>
      <c r="C176" s="1"/>
      <c r="D176" s="1"/>
      <c r="E176" s="65"/>
      <c r="F176" s="65"/>
      <c r="G176" s="65"/>
      <c r="H176" s="65"/>
      <c r="I176" s="65"/>
      <c r="J176" s="65"/>
      <c r="K176" s="65"/>
      <c r="L176" s="65"/>
    </row>
    <row r="177" spans="1:12" x14ac:dyDescent="0.2">
      <c r="A177" s="1"/>
      <c r="B177" s="1"/>
      <c r="C177" s="1"/>
      <c r="D177" s="1"/>
      <c r="E177" s="65"/>
      <c r="F177" s="65"/>
      <c r="G177" s="65"/>
      <c r="H177" s="65"/>
      <c r="I177" s="65"/>
      <c r="J177" s="65"/>
      <c r="K177" s="65"/>
      <c r="L177" s="65"/>
    </row>
    <row r="178" spans="1:12" x14ac:dyDescent="0.2">
      <c r="A178" s="1"/>
      <c r="B178" s="1"/>
      <c r="C178" s="1"/>
      <c r="D178" s="1"/>
      <c r="E178" s="65"/>
      <c r="F178" s="65"/>
      <c r="G178" s="65"/>
      <c r="H178" s="65"/>
      <c r="I178" s="65"/>
      <c r="J178" s="65"/>
      <c r="K178" s="65"/>
      <c r="L178" s="65"/>
    </row>
    <row r="179" spans="1:12" x14ac:dyDescent="0.2">
      <c r="A179" s="1"/>
      <c r="B179" s="1"/>
      <c r="C179" s="1"/>
      <c r="D179" s="1"/>
      <c r="E179" s="65"/>
      <c r="F179" s="65"/>
      <c r="G179" s="65"/>
      <c r="H179" s="65"/>
      <c r="I179" s="65"/>
      <c r="J179" s="65"/>
      <c r="K179" s="65"/>
      <c r="L179" s="65"/>
    </row>
    <row r="180" spans="1:12" x14ac:dyDescent="0.2">
      <c r="A180" s="1"/>
      <c r="B180" s="1"/>
      <c r="C180" s="1"/>
      <c r="D180" s="1"/>
      <c r="E180" s="65"/>
      <c r="F180" s="65"/>
      <c r="G180" s="65"/>
      <c r="H180" s="65"/>
      <c r="I180" s="65"/>
      <c r="J180" s="65"/>
      <c r="K180" s="65"/>
      <c r="L180" s="65"/>
    </row>
    <row r="181" spans="1:12" x14ac:dyDescent="0.2">
      <c r="A181" s="1"/>
      <c r="B181" s="1"/>
      <c r="C181" s="1"/>
      <c r="D181" s="1"/>
      <c r="E181" s="65"/>
      <c r="F181" s="65"/>
      <c r="G181" s="65"/>
      <c r="H181" s="65"/>
      <c r="I181" s="65"/>
      <c r="J181" s="65"/>
      <c r="K181" s="65"/>
      <c r="L181" s="65"/>
    </row>
    <row r="182" spans="1:12" x14ac:dyDescent="0.2">
      <c r="A182" s="1"/>
      <c r="B182" s="1"/>
      <c r="C182" s="1"/>
      <c r="D182" s="1"/>
      <c r="E182" s="65"/>
      <c r="F182" s="65"/>
      <c r="G182" s="65"/>
      <c r="H182" s="65"/>
      <c r="I182" s="65"/>
      <c r="J182" s="65"/>
      <c r="K182" s="65"/>
      <c r="L182" s="65"/>
    </row>
    <row r="183" spans="1:12" x14ac:dyDescent="0.2">
      <c r="A183" s="1"/>
      <c r="B183" s="1"/>
      <c r="C183" s="1"/>
      <c r="D183" s="1"/>
      <c r="E183" s="65"/>
      <c r="F183" s="65"/>
      <c r="G183" s="65"/>
      <c r="H183" s="65"/>
      <c r="I183" s="65"/>
      <c r="J183" s="65"/>
      <c r="K183" s="65"/>
      <c r="L183" s="65"/>
    </row>
    <row r="184" spans="1:12" x14ac:dyDescent="0.2">
      <c r="A184" s="1"/>
      <c r="B184" s="1"/>
      <c r="C184" s="1"/>
      <c r="D184" s="1"/>
      <c r="E184" s="65"/>
      <c r="F184" s="65"/>
      <c r="G184" s="65"/>
      <c r="H184" s="65"/>
      <c r="I184" s="65"/>
      <c r="J184" s="65"/>
      <c r="K184" s="65"/>
      <c r="L184" s="65"/>
    </row>
    <row r="185" spans="1:12" x14ac:dyDescent="0.2">
      <c r="A185" s="1"/>
      <c r="B185" s="1"/>
      <c r="C185" s="1"/>
      <c r="D185" s="1"/>
      <c r="E185" s="65"/>
      <c r="F185" s="65"/>
      <c r="G185" s="65"/>
      <c r="H185" s="65"/>
      <c r="I185" s="65"/>
      <c r="J185" s="65"/>
      <c r="K185" s="65"/>
      <c r="L185" s="65"/>
    </row>
    <row r="186" spans="1:12" x14ac:dyDescent="0.2">
      <c r="A186" s="1"/>
      <c r="B186" s="1"/>
      <c r="C186" s="1"/>
      <c r="D186" s="1"/>
      <c r="E186" s="65"/>
      <c r="F186" s="65"/>
      <c r="G186" s="65"/>
      <c r="H186" s="65"/>
      <c r="I186" s="65"/>
      <c r="J186" s="65"/>
      <c r="K186" s="65"/>
      <c r="L186" s="65"/>
    </row>
    <row r="187" spans="1:12" x14ac:dyDescent="0.2">
      <c r="A187" s="1"/>
      <c r="B187" s="1"/>
      <c r="C187" s="1"/>
      <c r="D187" s="1"/>
      <c r="E187" s="65"/>
      <c r="F187" s="65"/>
      <c r="G187" s="65"/>
      <c r="H187" s="65"/>
      <c r="I187" s="65"/>
      <c r="J187" s="65"/>
      <c r="K187" s="65"/>
      <c r="L187" s="65"/>
    </row>
    <row r="188" spans="1:12" x14ac:dyDescent="0.2">
      <c r="A188" s="1"/>
      <c r="B188" s="1"/>
      <c r="C188" s="1"/>
      <c r="D188" s="1"/>
      <c r="E188" s="65"/>
      <c r="F188" s="65"/>
      <c r="G188" s="65"/>
      <c r="H188" s="65"/>
      <c r="I188" s="65"/>
      <c r="J188" s="65"/>
      <c r="K188" s="65"/>
      <c r="L188" s="65"/>
    </row>
    <row r="189" spans="1:12" x14ac:dyDescent="0.2">
      <c r="A189" s="1"/>
      <c r="B189" s="1"/>
      <c r="C189" s="1"/>
      <c r="D189" s="1"/>
      <c r="E189" s="65"/>
      <c r="F189" s="65"/>
      <c r="G189" s="65"/>
      <c r="H189" s="65"/>
      <c r="I189" s="65"/>
      <c r="J189" s="65"/>
      <c r="K189" s="65"/>
      <c r="L189" s="65"/>
    </row>
    <row r="190" spans="1:12" x14ac:dyDescent="0.2">
      <c r="A190" s="1"/>
      <c r="B190" s="1"/>
      <c r="C190" s="1"/>
      <c r="D190" s="1"/>
      <c r="E190" s="65"/>
      <c r="F190" s="65"/>
      <c r="G190" s="65"/>
      <c r="H190" s="65"/>
      <c r="I190" s="65"/>
      <c r="J190" s="65"/>
      <c r="K190" s="65"/>
      <c r="L190" s="65"/>
    </row>
    <row r="191" spans="1:12" x14ac:dyDescent="0.2">
      <c r="A191" s="1"/>
      <c r="B191" s="1"/>
      <c r="C191" s="1"/>
      <c r="D191" s="1"/>
      <c r="E191" s="65"/>
      <c r="F191" s="65"/>
      <c r="G191" s="65"/>
      <c r="H191" s="65"/>
      <c r="I191" s="65"/>
      <c r="J191" s="65"/>
      <c r="K191" s="65"/>
      <c r="L191" s="65"/>
    </row>
    <row r="192" spans="1:12" x14ac:dyDescent="0.2">
      <c r="A192" s="1"/>
      <c r="B192" s="1"/>
      <c r="C192" s="1"/>
      <c r="D192" s="1"/>
      <c r="E192" s="65"/>
      <c r="F192" s="65"/>
      <c r="G192" s="65"/>
      <c r="H192" s="65"/>
      <c r="I192" s="65"/>
      <c r="J192" s="65"/>
      <c r="K192" s="65"/>
      <c r="L192" s="65"/>
    </row>
    <row r="193" spans="1:12" x14ac:dyDescent="0.2">
      <c r="A193" s="1"/>
      <c r="B193" s="1"/>
      <c r="C193" s="1"/>
      <c r="D193" s="1"/>
      <c r="E193" s="65"/>
      <c r="F193" s="65"/>
      <c r="G193" s="65"/>
      <c r="H193" s="65"/>
      <c r="I193" s="65"/>
      <c r="J193" s="65"/>
      <c r="K193" s="65"/>
      <c r="L193" s="65"/>
    </row>
    <row r="194" spans="1:12" x14ac:dyDescent="0.2">
      <c r="A194" s="1"/>
      <c r="B194" s="1"/>
      <c r="C194" s="1"/>
      <c r="D194" s="1"/>
      <c r="E194" s="65"/>
      <c r="F194" s="65"/>
      <c r="G194" s="65"/>
      <c r="H194" s="65"/>
      <c r="I194" s="65"/>
      <c r="J194" s="65"/>
      <c r="K194" s="65"/>
      <c r="L194" s="65"/>
    </row>
    <row r="195" spans="1:12" x14ac:dyDescent="0.2">
      <c r="A195" s="1"/>
      <c r="B195" s="1"/>
      <c r="C195" s="1"/>
      <c r="D195" s="1"/>
      <c r="E195" s="65"/>
      <c r="F195" s="65"/>
      <c r="G195" s="65"/>
      <c r="H195" s="65"/>
      <c r="I195" s="65"/>
      <c r="J195" s="65"/>
      <c r="K195" s="65"/>
      <c r="L195" s="65"/>
    </row>
    <row r="196" spans="1:12" x14ac:dyDescent="0.2">
      <c r="A196" s="1"/>
      <c r="B196" s="1"/>
      <c r="C196" s="1"/>
      <c r="D196" s="1"/>
      <c r="E196" s="65"/>
      <c r="F196" s="65"/>
      <c r="G196" s="65"/>
      <c r="H196" s="65"/>
      <c r="I196" s="65"/>
      <c r="J196" s="65"/>
      <c r="K196" s="65"/>
      <c r="L196" s="65"/>
    </row>
    <row r="197" spans="1:12" x14ac:dyDescent="0.2">
      <c r="A197" s="1"/>
      <c r="B197" s="1"/>
      <c r="C197" s="1"/>
      <c r="D197" s="1"/>
      <c r="E197" s="65"/>
      <c r="F197" s="65"/>
      <c r="G197" s="65"/>
      <c r="H197" s="65"/>
      <c r="I197" s="65"/>
      <c r="J197" s="65"/>
      <c r="K197" s="65"/>
      <c r="L197" s="65"/>
    </row>
    <row r="198" spans="1:12" x14ac:dyDescent="0.2">
      <c r="A198" s="1"/>
      <c r="B198" s="1"/>
      <c r="C198" s="1"/>
      <c r="D198" s="1"/>
      <c r="E198" s="65"/>
      <c r="F198" s="65"/>
      <c r="G198" s="65"/>
      <c r="H198" s="65"/>
      <c r="I198" s="65"/>
      <c r="J198" s="65"/>
      <c r="K198" s="65"/>
      <c r="L198" s="65"/>
    </row>
    <row r="199" spans="1:12" x14ac:dyDescent="0.2">
      <c r="A199" s="1"/>
      <c r="B199" s="1"/>
      <c r="C199" s="1"/>
      <c r="D199" s="1"/>
      <c r="E199" s="65"/>
      <c r="F199" s="65"/>
      <c r="G199" s="65"/>
      <c r="H199" s="65"/>
      <c r="I199" s="65"/>
      <c r="J199" s="65"/>
      <c r="K199" s="65"/>
      <c r="L199" s="65"/>
    </row>
    <row r="200" spans="1:12" x14ac:dyDescent="0.2">
      <c r="A200" s="1"/>
      <c r="B200" s="1"/>
      <c r="C200" s="1"/>
      <c r="D200" s="1"/>
      <c r="E200" s="65"/>
      <c r="F200" s="65"/>
      <c r="G200" s="65"/>
      <c r="H200" s="65"/>
      <c r="I200" s="65"/>
      <c r="J200" s="65"/>
      <c r="K200" s="65"/>
      <c r="L200" s="65"/>
    </row>
    <row r="201" spans="1:12" x14ac:dyDescent="0.2">
      <c r="A201" s="1"/>
      <c r="B201" s="1"/>
      <c r="C201" s="1"/>
      <c r="D201" s="1"/>
      <c r="E201" s="65"/>
      <c r="F201" s="65"/>
      <c r="G201" s="65"/>
      <c r="H201" s="65"/>
      <c r="I201" s="65"/>
      <c r="J201" s="65"/>
      <c r="K201" s="65"/>
      <c r="L201" s="65"/>
    </row>
    <row r="202" spans="1:12" x14ac:dyDescent="0.2">
      <c r="A202" s="1"/>
      <c r="B202" s="1"/>
      <c r="C202" s="1"/>
      <c r="D202" s="1"/>
      <c r="E202" s="65"/>
      <c r="F202" s="65"/>
      <c r="G202" s="65"/>
      <c r="H202" s="65"/>
      <c r="I202" s="65"/>
      <c r="J202" s="65"/>
      <c r="K202" s="65"/>
      <c r="L202" s="65"/>
    </row>
    <row r="203" spans="1:12" x14ac:dyDescent="0.2">
      <c r="A203" s="1"/>
      <c r="B203" s="1"/>
      <c r="C203" s="1"/>
      <c r="D203" s="1"/>
      <c r="E203" s="65"/>
      <c r="F203" s="65"/>
      <c r="G203" s="65"/>
      <c r="H203" s="65"/>
      <c r="I203" s="65"/>
      <c r="J203" s="65"/>
      <c r="K203" s="65"/>
      <c r="L203" s="65"/>
    </row>
    <row r="204" spans="1:12" x14ac:dyDescent="0.2">
      <c r="A204" s="1"/>
      <c r="B204" s="1"/>
      <c r="C204" s="1"/>
      <c r="D204" s="1"/>
      <c r="E204" s="65"/>
      <c r="F204" s="65"/>
      <c r="G204" s="65"/>
      <c r="H204" s="65"/>
      <c r="I204" s="65"/>
      <c r="J204" s="65"/>
      <c r="K204" s="65"/>
      <c r="L204" s="65"/>
    </row>
    <row r="205" spans="1:12" x14ac:dyDescent="0.2">
      <c r="A205" s="1"/>
      <c r="B205" s="1"/>
      <c r="C205" s="1"/>
      <c r="D205" s="1"/>
      <c r="E205" s="65"/>
      <c r="F205" s="65"/>
      <c r="G205" s="65"/>
      <c r="H205" s="65"/>
      <c r="I205" s="65"/>
      <c r="J205" s="65"/>
      <c r="K205" s="65"/>
      <c r="L205" s="65"/>
    </row>
    <row r="206" spans="1:12" x14ac:dyDescent="0.2">
      <c r="A206" s="1"/>
      <c r="B206" s="1"/>
      <c r="C206" s="1"/>
      <c r="D206" s="1"/>
      <c r="E206" s="65"/>
      <c r="F206" s="65"/>
      <c r="G206" s="65"/>
      <c r="H206" s="65"/>
      <c r="I206" s="65"/>
      <c r="J206" s="65"/>
      <c r="K206" s="65"/>
      <c r="L206" s="65"/>
    </row>
    <row r="207" spans="1:12" x14ac:dyDescent="0.2">
      <c r="A207" s="1"/>
      <c r="B207" s="1"/>
      <c r="C207" s="1"/>
      <c r="D207" s="1"/>
      <c r="E207" s="65"/>
      <c r="F207" s="65"/>
      <c r="G207" s="65"/>
      <c r="H207" s="65"/>
      <c r="I207" s="65"/>
      <c r="J207" s="65"/>
      <c r="K207" s="65"/>
      <c r="L207" s="65"/>
    </row>
    <row r="208" spans="1:12" x14ac:dyDescent="0.2">
      <c r="A208" s="1"/>
      <c r="B208" s="1"/>
      <c r="C208" s="1"/>
      <c r="D208" s="1"/>
      <c r="E208" s="65"/>
      <c r="F208" s="65"/>
      <c r="G208" s="65"/>
      <c r="H208" s="65"/>
      <c r="I208" s="65"/>
      <c r="J208" s="65"/>
      <c r="K208" s="65"/>
      <c r="L208" s="65"/>
    </row>
    <row r="209" spans="1:12" x14ac:dyDescent="0.2">
      <c r="A209" s="1"/>
      <c r="B209" s="1"/>
      <c r="C209" s="1"/>
      <c r="D209" s="1"/>
      <c r="E209" s="65"/>
      <c r="F209" s="65"/>
      <c r="G209" s="65"/>
      <c r="H209" s="65"/>
      <c r="I209" s="65"/>
      <c r="J209" s="65"/>
      <c r="K209" s="65"/>
      <c r="L209" s="65"/>
    </row>
    <row r="210" spans="1:12" x14ac:dyDescent="0.2">
      <c r="A210" s="1"/>
      <c r="B210" s="1"/>
      <c r="C210" s="1"/>
      <c r="D210" s="1"/>
      <c r="E210" s="65"/>
      <c r="F210" s="65"/>
      <c r="G210" s="65"/>
      <c r="H210" s="65"/>
      <c r="I210" s="65"/>
      <c r="J210" s="65"/>
      <c r="K210" s="65"/>
      <c r="L210" s="65"/>
    </row>
    <row r="211" spans="1:12" x14ac:dyDescent="0.2">
      <c r="A211" s="1"/>
      <c r="B211" s="1"/>
      <c r="C211" s="1"/>
      <c r="D211" s="1"/>
      <c r="E211" s="65"/>
      <c r="F211" s="65"/>
      <c r="G211" s="65"/>
      <c r="H211" s="65"/>
      <c r="I211" s="65"/>
      <c r="J211" s="65"/>
      <c r="K211" s="65"/>
      <c r="L211" s="65"/>
    </row>
    <row r="212" spans="1:12" x14ac:dyDescent="0.2">
      <c r="A212" s="1"/>
      <c r="B212" s="1"/>
      <c r="C212" s="1"/>
      <c r="D212" s="1"/>
      <c r="E212" s="65"/>
      <c r="F212" s="65"/>
      <c r="G212" s="65"/>
      <c r="H212" s="65"/>
      <c r="I212" s="65"/>
      <c r="J212" s="65"/>
      <c r="K212" s="65"/>
      <c r="L212" s="65"/>
    </row>
    <row r="213" spans="1:12" x14ac:dyDescent="0.2">
      <c r="A213" s="1"/>
      <c r="B213" s="1"/>
      <c r="C213" s="1"/>
      <c r="D213" s="1"/>
      <c r="E213" s="65"/>
      <c r="F213" s="65"/>
      <c r="G213" s="65"/>
      <c r="H213" s="65"/>
      <c r="I213" s="65"/>
      <c r="J213" s="65"/>
      <c r="K213" s="65"/>
      <c r="L213" s="65"/>
    </row>
    <row r="214" spans="1:12" x14ac:dyDescent="0.2">
      <c r="A214" s="1"/>
      <c r="B214" s="1"/>
      <c r="C214" s="1"/>
      <c r="D214" s="1"/>
      <c r="E214" s="65"/>
      <c r="F214" s="65"/>
      <c r="G214" s="65"/>
      <c r="H214" s="65"/>
      <c r="I214" s="65"/>
      <c r="J214" s="65"/>
      <c r="K214" s="65"/>
      <c r="L214" s="65"/>
    </row>
    <row r="215" spans="1:12" x14ac:dyDescent="0.2">
      <c r="A215" s="1"/>
      <c r="B215" s="1"/>
      <c r="C215" s="1"/>
      <c r="D215" s="1"/>
      <c r="E215" s="65"/>
      <c r="F215" s="65"/>
      <c r="G215" s="65"/>
      <c r="H215" s="65"/>
      <c r="I215" s="65"/>
      <c r="J215" s="65"/>
      <c r="K215" s="65"/>
      <c r="L215" s="65"/>
    </row>
    <row r="216" spans="1:12" x14ac:dyDescent="0.2">
      <c r="A216" s="1"/>
      <c r="B216" s="1"/>
      <c r="C216" s="1"/>
      <c r="D216" s="1"/>
      <c r="E216" s="65"/>
      <c r="F216" s="65"/>
      <c r="G216" s="65"/>
      <c r="H216" s="65"/>
      <c r="I216" s="65"/>
      <c r="J216" s="65"/>
      <c r="K216" s="65"/>
      <c r="L216" s="65"/>
    </row>
    <row r="217" spans="1:12" x14ac:dyDescent="0.2">
      <c r="A217" s="1"/>
      <c r="B217" s="1"/>
      <c r="C217" s="1"/>
      <c r="D217" s="1"/>
      <c r="E217" s="65"/>
      <c r="F217" s="65"/>
      <c r="G217" s="65"/>
      <c r="H217" s="65"/>
      <c r="I217" s="65"/>
      <c r="J217" s="65"/>
      <c r="K217" s="65"/>
      <c r="L217" s="65"/>
    </row>
    <row r="218" spans="1:12" x14ac:dyDescent="0.2">
      <c r="A218" s="1"/>
      <c r="B218" s="1"/>
      <c r="C218" s="1"/>
      <c r="D218" s="1"/>
      <c r="E218" s="65"/>
      <c r="F218" s="65"/>
      <c r="G218" s="65"/>
      <c r="H218" s="65"/>
      <c r="I218" s="65"/>
      <c r="J218" s="65"/>
      <c r="K218" s="65"/>
      <c r="L218" s="65"/>
    </row>
    <row r="219" spans="1:12" x14ac:dyDescent="0.2">
      <c r="A219" s="1"/>
      <c r="B219" s="1"/>
      <c r="C219" s="1"/>
      <c r="D219" s="1"/>
      <c r="E219" s="65"/>
      <c r="F219" s="65"/>
      <c r="G219" s="65"/>
      <c r="H219" s="65"/>
      <c r="I219" s="65"/>
      <c r="J219" s="65"/>
      <c r="K219" s="65"/>
      <c r="L219" s="65"/>
    </row>
    <row r="220" spans="1:12" x14ac:dyDescent="0.2">
      <c r="A220" s="1"/>
      <c r="B220" s="1"/>
      <c r="C220" s="1"/>
      <c r="D220" s="1"/>
      <c r="E220" s="65"/>
      <c r="F220" s="65"/>
      <c r="G220" s="65"/>
      <c r="H220" s="65"/>
      <c r="I220" s="65"/>
      <c r="J220" s="65"/>
      <c r="K220" s="65"/>
      <c r="L220" s="65"/>
    </row>
    <row r="221" spans="1:12" x14ac:dyDescent="0.2">
      <c r="A221" s="1"/>
      <c r="B221" s="1"/>
      <c r="C221" s="1"/>
      <c r="D221" s="1"/>
      <c r="E221" s="65"/>
      <c r="F221" s="65"/>
      <c r="G221" s="65"/>
      <c r="H221" s="65"/>
      <c r="I221" s="65"/>
      <c r="J221" s="65"/>
      <c r="K221" s="65"/>
      <c r="L221" s="65"/>
    </row>
    <row r="222" spans="1:12" x14ac:dyDescent="0.2">
      <c r="A222" s="1"/>
      <c r="B222" s="1"/>
      <c r="C222" s="1"/>
      <c r="D222" s="1"/>
      <c r="E222" s="65"/>
      <c r="F222" s="65"/>
      <c r="G222" s="65"/>
      <c r="H222" s="65"/>
      <c r="I222" s="65"/>
      <c r="J222" s="65"/>
      <c r="K222" s="65"/>
      <c r="L222" s="65"/>
    </row>
    <row r="223" spans="1:12" x14ac:dyDescent="0.2">
      <c r="A223" s="1"/>
      <c r="B223" s="1"/>
      <c r="C223" s="1"/>
      <c r="D223" s="1"/>
      <c r="E223" s="65"/>
      <c r="F223" s="65"/>
      <c r="G223" s="65"/>
      <c r="H223" s="65"/>
      <c r="I223" s="65"/>
      <c r="J223" s="65"/>
      <c r="K223" s="65"/>
      <c r="L223" s="65"/>
    </row>
    <row r="224" spans="1:12" x14ac:dyDescent="0.2">
      <c r="A224" s="1"/>
      <c r="B224" s="1"/>
      <c r="C224" s="1"/>
      <c r="D224" s="1"/>
      <c r="E224" s="65"/>
      <c r="F224" s="65"/>
      <c r="G224" s="65"/>
      <c r="H224" s="65"/>
      <c r="I224" s="65"/>
      <c r="J224" s="65"/>
      <c r="K224" s="65"/>
      <c r="L224" s="65"/>
    </row>
    <row r="225" spans="1:12" x14ac:dyDescent="0.2">
      <c r="A225" s="1"/>
      <c r="B225" s="1"/>
      <c r="C225" s="1"/>
      <c r="D225" s="1"/>
      <c r="E225" s="65"/>
      <c r="F225" s="65"/>
      <c r="G225" s="65"/>
      <c r="H225" s="65"/>
      <c r="I225" s="65"/>
      <c r="J225" s="65"/>
      <c r="K225" s="65"/>
      <c r="L225" s="65"/>
    </row>
    <row r="226" spans="1:12" x14ac:dyDescent="0.2">
      <c r="A226" s="1"/>
      <c r="B226" s="1"/>
      <c r="C226" s="1"/>
      <c r="D226" s="1"/>
      <c r="E226" s="65"/>
      <c r="F226" s="65"/>
      <c r="G226" s="65"/>
      <c r="H226" s="65"/>
      <c r="I226" s="65"/>
      <c r="J226" s="65"/>
      <c r="K226" s="65"/>
      <c r="L226" s="65"/>
    </row>
    <row r="227" spans="1:12" x14ac:dyDescent="0.2">
      <c r="A227" s="1"/>
      <c r="B227" s="1"/>
      <c r="C227" s="1"/>
      <c r="D227" s="1"/>
      <c r="E227" s="65"/>
      <c r="F227" s="65"/>
      <c r="G227" s="65"/>
      <c r="H227" s="65"/>
      <c r="I227" s="65"/>
      <c r="J227" s="65"/>
      <c r="K227" s="65"/>
      <c r="L227" s="65"/>
    </row>
    <row r="228" spans="1:12" x14ac:dyDescent="0.2">
      <c r="A228" s="1"/>
      <c r="B228" s="1"/>
      <c r="C228" s="1"/>
      <c r="D228" s="1"/>
      <c r="E228" s="65"/>
      <c r="F228" s="65"/>
      <c r="G228" s="65"/>
      <c r="H228" s="65"/>
      <c r="I228" s="65"/>
      <c r="J228" s="65"/>
      <c r="K228" s="65"/>
      <c r="L228" s="65"/>
    </row>
    <row r="229" spans="1:12" x14ac:dyDescent="0.2">
      <c r="A229" s="1"/>
      <c r="B229" s="1"/>
      <c r="C229" s="1"/>
      <c r="D229" s="1"/>
      <c r="E229" s="65"/>
      <c r="F229" s="65"/>
      <c r="G229" s="65"/>
      <c r="H229" s="65"/>
      <c r="I229" s="65"/>
      <c r="J229" s="65"/>
      <c r="K229" s="65"/>
      <c r="L229" s="65"/>
    </row>
    <row r="230" spans="1:12" x14ac:dyDescent="0.2">
      <c r="A230" s="1"/>
      <c r="B230" s="1"/>
      <c r="C230" s="1"/>
      <c r="D230" s="1"/>
      <c r="E230" s="65"/>
      <c r="F230" s="65"/>
      <c r="G230" s="65"/>
      <c r="H230" s="65"/>
      <c r="I230" s="65"/>
      <c r="J230" s="65"/>
      <c r="K230" s="65"/>
      <c r="L230" s="65"/>
    </row>
    <row r="231" spans="1:12" x14ac:dyDescent="0.2">
      <c r="A231" s="1"/>
      <c r="B231" s="1"/>
      <c r="C231" s="1"/>
      <c r="D231" s="1"/>
      <c r="E231" s="65"/>
      <c r="F231" s="65"/>
      <c r="G231" s="65"/>
      <c r="H231" s="65"/>
      <c r="I231" s="65"/>
      <c r="J231" s="65"/>
      <c r="K231" s="65"/>
      <c r="L231" s="65"/>
    </row>
    <row r="232" spans="1:12" x14ac:dyDescent="0.2">
      <c r="A232" s="1"/>
      <c r="B232" s="1"/>
      <c r="C232" s="1"/>
      <c r="D232" s="1"/>
      <c r="E232" s="65"/>
      <c r="F232" s="65"/>
      <c r="G232" s="65"/>
      <c r="H232" s="65"/>
      <c r="I232" s="65"/>
      <c r="J232" s="65"/>
      <c r="K232" s="65"/>
      <c r="L232" s="65"/>
    </row>
    <row r="233" spans="1:12" x14ac:dyDescent="0.2">
      <c r="A233" s="1"/>
      <c r="B233" s="1"/>
      <c r="C233" s="1"/>
      <c r="D233" s="1"/>
      <c r="E233" s="65"/>
      <c r="F233" s="65"/>
      <c r="G233" s="65"/>
      <c r="H233" s="65"/>
      <c r="I233" s="65"/>
      <c r="J233" s="65"/>
      <c r="K233" s="65"/>
      <c r="L233" s="65"/>
    </row>
    <row r="234" spans="1:12" x14ac:dyDescent="0.2">
      <c r="A234" s="1"/>
      <c r="B234" s="1"/>
      <c r="C234" s="1"/>
      <c r="D234" s="1"/>
      <c r="E234" s="65"/>
      <c r="F234" s="65"/>
      <c r="G234" s="65"/>
      <c r="H234" s="65"/>
      <c r="I234" s="65"/>
      <c r="J234" s="65"/>
      <c r="K234" s="65"/>
      <c r="L234" s="65"/>
    </row>
    <row r="235" spans="1:12" x14ac:dyDescent="0.2">
      <c r="A235" s="1"/>
      <c r="B235" s="1"/>
      <c r="C235" s="1"/>
      <c r="D235" s="1"/>
      <c r="E235" s="65"/>
      <c r="F235" s="65"/>
      <c r="G235" s="65"/>
      <c r="H235" s="65"/>
      <c r="I235" s="65"/>
      <c r="J235" s="65"/>
      <c r="K235" s="65"/>
      <c r="L235" s="65"/>
    </row>
    <row r="236" spans="1:12" x14ac:dyDescent="0.2">
      <c r="A236" s="1"/>
      <c r="B236" s="1"/>
      <c r="C236" s="1"/>
      <c r="D236" s="1"/>
      <c r="E236" s="65"/>
      <c r="F236" s="65"/>
      <c r="G236" s="65"/>
      <c r="H236" s="65"/>
      <c r="I236" s="65"/>
      <c r="J236" s="65"/>
      <c r="K236" s="65"/>
      <c r="L236" s="65"/>
    </row>
    <row r="237" spans="1:12" x14ac:dyDescent="0.2">
      <c r="A237" s="1"/>
      <c r="B237" s="1"/>
      <c r="C237" s="1"/>
      <c r="D237" s="1"/>
      <c r="E237" s="65"/>
      <c r="F237" s="65"/>
      <c r="G237" s="65"/>
      <c r="H237" s="65"/>
      <c r="I237" s="65"/>
      <c r="J237" s="65"/>
      <c r="K237" s="65"/>
      <c r="L237" s="65"/>
    </row>
    <row r="238" spans="1:12" x14ac:dyDescent="0.2">
      <c r="A238" s="1"/>
      <c r="B238" s="1"/>
      <c r="C238" s="1"/>
      <c r="D238" s="1"/>
      <c r="E238" s="65"/>
      <c r="F238" s="65"/>
      <c r="G238" s="65"/>
      <c r="H238" s="65"/>
      <c r="I238" s="65"/>
      <c r="J238" s="65"/>
      <c r="K238" s="65"/>
      <c r="L238" s="65"/>
    </row>
    <row r="239" spans="1:12" x14ac:dyDescent="0.2">
      <c r="A239" s="1"/>
      <c r="B239" s="1"/>
      <c r="C239" s="1"/>
      <c r="D239" s="1"/>
      <c r="E239" s="65"/>
      <c r="F239" s="65"/>
      <c r="G239" s="65"/>
      <c r="H239" s="65"/>
      <c r="I239" s="65"/>
      <c r="J239" s="65"/>
      <c r="K239" s="65"/>
      <c r="L239" s="65"/>
    </row>
    <row r="240" spans="1:12" x14ac:dyDescent="0.2">
      <c r="A240" s="1"/>
      <c r="B240" s="1"/>
      <c r="C240" s="1"/>
      <c r="D240" s="1"/>
      <c r="E240" s="65"/>
      <c r="F240" s="65"/>
      <c r="G240" s="65"/>
      <c r="H240" s="65"/>
      <c r="I240" s="65"/>
      <c r="J240" s="65"/>
      <c r="K240" s="65"/>
      <c r="L240" s="65"/>
    </row>
    <row r="241" spans="1:12" x14ac:dyDescent="0.2">
      <c r="A241" s="1"/>
      <c r="B241" s="1"/>
      <c r="C241" s="1"/>
      <c r="D241" s="1"/>
      <c r="E241" s="65"/>
      <c r="F241" s="65"/>
      <c r="G241" s="65"/>
      <c r="H241" s="65"/>
      <c r="I241" s="65"/>
      <c r="J241" s="65"/>
      <c r="K241" s="65"/>
      <c r="L241" s="65"/>
    </row>
    <row r="242" spans="1:12" x14ac:dyDescent="0.2">
      <c r="A242" s="1"/>
      <c r="B242" s="1"/>
      <c r="C242" s="1"/>
      <c r="D242" s="1"/>
      <c r="E242" s="65"/>
      <c r="F242" s="65"/>
      <c r="G242" s="65"/>
      <c r="H242" s="65"/>
      <c r="I242" s="65"/>
      <c r="J242" s="65"/>
      <c r="K242" s="65"/>
      <c r="L242" s="65"/>
    </row>
    <row r="243" spans="1:12" x14ac:dyDescent="0.2">
      <c r="A243" s="1"/>
      <c r="B243" s="1"/>
      <c r="C243" s="1"/>
      <c r="D243" s="1"/>
      <c r="E243" s="65"/>
      <c r="F243" s="65"/>
      <c r="G243" s="65"/>
      <c r="H243" s="65"/>
      <c r="I243" s="65"/>
      <c r="J243" s="65"/>
      <c r="K243" s="65"/>
      <c r="L243" s="65"/>
    </row>
    <row r="244" spans="1:12" x14ac:dyDescent="0.2">
      <c r="A244" s="1"/>
      <c r="B244" s="1"/>
      <c r="C244" s="1"/>
      <c r="D244" s="1"/>
      <c r="E244" s="65"/>
      <c r="F244" s="65"/>
      <c r="G244" s="65"/>
      <c r="H244" s="65"/>
      <c r="I244" s="65"/>
      <c r="J244" s="65"/>
      <c r="K244" s="65"/>
      <c r="L244" s="65"/>
    </row>
    <row r="245" spans="1:12" x14ac:dyDescent="0.2">
      <c r="A245" s="1"/>
      <c r="B245" s="1"/>
      <c r="C245" s="1"/>
      <c r="D245" s="1"/>
      <c r="E245" s="65"/>
      <c r="F245" s="65"/>
      <c r="G245" s="65"/>
      <c r="H245" s="65"/>
      <c r="I245" s="65"/>
      <c r="J245" s="65"/>
      <c r="K245" s="65"/>
      <c r="L245" s="65"/>
    </row>
    <row r="246" spans="1:12" x14ac:dyDescent="0.2">
      <c r="A246" s="1"/>
      <c r="B246" s="1"/>
      <c r="C246" s="1"/>
      <c r="D246" s="1"/>
      <c r="E246" s="65"/>
      <c r="F246" s="65"/>
      <c r="G246" s="65"/>
      <c r="H246" s="65"/>
      <c r="I246" s="65"/>
      <c r="J246" s="65"/>
      <c r="K246" s="65"/>
      <c r="L246" s="65"/>
    </row>
    <row r="247" spans="1:12" x14ac:dyDescent="0.2">
      <c r="A247" s="1"/>
      <c r="B247" s="1"/>
      <c r="C247" s="1"/>
      <c r="D247" s="1"/>
      <c r="E247" s="65"/>
      <c r="F247" s="65"/>
      <c r="G247" s="65"/>
      <c r="H247" s="65"/>
      <c r="I247" s="65"/>
      <c r="J247" s="65"/>
      <c r="K247" s="65"/>
      <c r="L247" s="65"/>
    </row>
    <row r="248" spans="1:12" x14ac:dyDescent="0.2">
      <c r="A248" s="1"/>
      <c r="B248" s="1"/>
      <c r="C248" s="1"/>
      <c r="D248" s="1"/>
      <c r="E248" s="65"/>
      <c r="F248" s="65"/>
      <c r="G248" s="65"/>
      <c r="H248" s="65"/>
      <c r="I248" s="65"/>
      <c r="J248" s="65"/>
      <c r="K248" s="65"/>
      <c r="L248" s="65"/>
    </row>
    <row r="249" spans="1:12" x14ac:dyDescent="0.2">
      <c r="A249" s="1"/>
      <c r="B249" s="1"/>
      <c r="C249" s="1"/>
      <c r="D249" s="1"/>
      <c r="E249" s="65"/>
      <c r="F249" s="65"/>
      <c r="G249" s="65"/>
      <c r="H249" s="65"/>
      <c r="I249" s="65"/>
      <c r="J249" s="65"/>
      <c r="K249" s="65"/>
      <c r="L249" s="65"/>
    </row>
    <row r="250" spans="1:12" x14ac:dyDescent="0.2">
      <c r="A250" s="1"/>
      <c r="B250" s="1"/>
      <c r="C250" s="1"/>
      <c r="D250" s="1"/>
      <c r="E250" s="65"/>
      <c r="F250" s="65"/>
      <c r="G250" s="65"/>
      <c r="H250" s="65"/>
      <c r="I250" s="65"/>
      <c r="J250" s="65"/>
      <c r="K250" s="65"/>
      <c r="L250" s="65"/>
    </row>
    <row r="251" spans="1:12" x14ac:dyDescent="0.2">
      <c r="A251" s="1"/>
      <c r="B251" s="1"/>
      <c r="C251" s="1"/>
      <c r="D251" s="1"/>
      <c r="E251" s="65"/>
      <c r="F251" s="65"/>
      <c r="G251" s="65"/>
      <c r="H251" s="65"/>
      <c r="I251" s="65"/>
      <c r="J251" s="65"/>
      <c r="K251" s="65"/>
      <c r="L251" s="65"/>
    </row>
    <row r="252" spans="1:12" x14ac:dyDescent="0.2">
      <c r="A252" s="1"/>
      <c r="B252" s="1"/>
      <c r="C252" s="1"/>
      <c r="D252" s="1"/>
      <c r="E252" s="65"/>
      <c r="F252" s="65"/>
      <c r="G252" s="65"/>
      <c r="H252" s="65"/>
      <c r="I252" s="65"/>
      <c r="J252" s="65"/>
      <c r="K252" s="65"/>
      <c r="L252" s="65"/>
    </row>
    <row r="253" spans="1:12" x14ac:dyDescent="0.2">
      <c r="A253" s="1"/>
      <c r="B253" s="1"/>
      <c r="C253" s="1"/>
      <c r="D253" s="1"/>
      <c r="E253" s="65"/>
      <c r="F253" s="65"/>
      <c r="G253" s="65"/>
      <c r="H253" s="65"/>
      <c r="I253" s="65"/>
      <c r="J253" s="65"/>
      <c r="K253" s="65"/>
      <c r="L253" s="65"/>
    </row>
  </sheetData>
  <mergeCells count="6">
    <mergeCell ref="A31:D31"/>
    <mergeCell ref="A1:D1"/>
    <mergeCell ref="B3:D3"/>
    <mergeCell ref="B5:D5"/>
    <mergeCell ref="A20:D20"/>
    <mergeCell ref="A28:D28"/>
  </mergeCells>
  <printOptions horizontalCentered="1" verticalCentered="1"/>
  <pageMargins left="0.51181102362204722" right="0.51181102362204722" top="0.98425196850393704" bottom="0.78740157480314965" header="0.31496062992125984" footer="0.31496062992125984"/>
  <pageSetup paperSize="9" orientation="portrait" r:id="rId1"/>
  <headerFooter>
    <oddHeader>&amp;L&amp;G&amp;R&amp;G</oddHeader>
    <oddFooter>&amp;C&amp;K03+000
Rua Nilton Baldo, 744 – Bairro Jardim Paquetá - CEP 31.330-660 – Belo Horizonte / Minas Gerais.
Endereço Eletrônico: ottawaeng@terra.com.br – Telefax (31) 3418-2175 – CNPJ: 04.472.311/0001-04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208"/>
  <sheetViews>
    <sheetView workbookViewId="0">
      <selection activeCell="B16" sqref="B16"/>
    </sheetView>
  </sheetViews>
  <sheetFormatPr defaultRowHeight="14.25" x14ac:dyDescent="0.2"/>
  <cols>
    <col min="1" max="1" width="12.85546875" style="10" customWidth="1"/>
    <col min="2" max="2" width="66.28515625" style="1" customWidth="1"/>
    <col min="3" max="3" width="11" style="2" customWidth="1"/>
    <col min="4" max="4" width="14.140625" style="45" customWidth="1"/>
    <col min="5" max="7" width="13.85546875" style="45" customWidth="1"/>
    <col min="8" max="8" width="13.28515625" style="5" customWidth="1"/>
    <col min="9" max="9" width="17.85546875" style="48" customWidth="1"/>
    <col min="10" max="10" width="9.140625" style="48"/>
    <col min="11" max="11" width="13.28515625" style="48" customWidth="1"/>
    <col min="12" max="45" width="9.140625" style="48"/>
    <col min="46" max="16384" width="9.140625" style="7"/>
  </cols>
  <sheetData>
    <row r="1" spans="1:45" ht="15" x14ac:dyDescent="0.2">
      <c r="A1" s="589" t="s">
        <v>616</v>
      </c>
      <c r="B1" s="590"/>
      <c r="C1" s="590"/>
      <c r="D1" s="590"/>
      <c r="E1" s="590"/>
      <c r="F1" s="590"/>
      <c r="G1" s="590"/>
      <c r="H1" s="591"/>
      <c r="I1" s="47"/>
      <c r="J1" s="47"/>
      <c r="K1" s="47"/>
      <c r="L1" s="47"/>
      <c r="M1" s="47"/>
      <c r="N1" s="47"/>
      <c r="O1" s="4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</row>
    <row r="2" spans="1:45" ht="15" thickBot="1" x14ac:dyDescent="0.25">
      <c r="A2" s="66"/>
      <c r="B2" s="67"/>
      <c r="C2" s="68"/>
      <c r="D2" s="43"/>
      <c r="E2" s="69"/>
      <c r="F2" s="69"/>
      <c r="G2" s="69"/>
      <c r="H2" s="70"/>
      <c r="I2" s="47"/>
      <c r="J2" s="47"/>
      <c r="K2" s="47"/>
      <c r="L2" s="47"/>
      <c r="M2" s="47"/>
      <c r="N2" s="47"/>
      <c r="O2" s="4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</row>
    <row r="3" spans="1:45" ht="15.75" thickBot="1" x14ac:dyDescent="0.25">
      <c r="A3" s="121" t="s">
        <v>862</v>
      </c>
      <c r="B3" s="122"/>
      <c r="C3" s="123"/>
      <c r="D3" s="124"/>
      <c r="E3" s="125"/>
      <c r="F3" s="125" t="s">
        <v>52</v>
      </c>
      <c r="G3" s="592" t="s">
        <v>863</v>
      </c>
      <c r="H3" s="593"/>
      <c r="I3" s="47"/>
      <c r="J3" s="47"/>
      <c r="K3" s="47"/>
      <c r="L3" s="47"/>
      <c r="M3" s="47"/>
      <c r="N3" s="47"/>
      <c r="O3" s="4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</row>
    <row r="4" spans="1:45" ht="15" thickBot="1" x14ac:dyDescent="0.25">
      <c r="A4" s="66"/>
      <c r="B4" s="67"/>
      <c r="C4" s="68"/>
      <c r="D4" s="43"/>
      <c r="E4" s="69"/>
      <c r="F4" s="69"/>
      <c r="G4" s="69"/>
      <c r="H4" s="70"/>
      <c r="I4" s="47"/>
      <c r="J4" s="47"/>
      <c r="K4" s="47"/>
      <c r="L4" s="47"/>
      <c r="M4" s="47"/>
      <c r="N4" s="47"/>
      <c r="O4" s="4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45" ht="15" thickBot="1" x14ac:dyDescent="0.25">
      <c r="A5" s="594" t="s">
        <v>899</v>
      </c>
      <c r="B5" s="595"/>
      <c r="C5" s="595"/>
      <c r="D5" s="595"/>
      <c r="E5" s="595"/>
      <c r="F5" s="595"/>
      <c r="G5" s="595"/>
      <c r="H5" s="596"/>
      <c r="I5" s="47"/>
      <c r="J5" s="47"/>
      <c r="K5" s="47"/>
      <c r="L5" s="47"/>
      <c r="M5" s="47"/>
      <c r="N5" s="47"/>
      <c r="O5" s="4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</row>
    <row r="6" spans="1:45" ht="15" thickBot="1" x14ac:dyDescent="0.25">
      <c r="A6" s="66"/>
      <c r="B6" s="67"/>
      <c r="C6" s="68"/>
      <c r="D6" s="43"/>
      <c r="E6" s="69"/>
      <c r="F6" s="69"/>
      <c r="G6" s="69"/>
      <c r="H6" s="70"/>
      <c r="I6" s="47"/>
      <c r="J6" s="47"/>
      <c r="K6" s="47"/>
      <c r="L6" s="47"/>
      <c r="M6" s="47"/>
      <c r="N6" s="47"/>
      <c r="O6" s="4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</row>
    <row r="7" spans="1:45" ht="15" thickBot="1" x14ac:dyDescent="0.25">
      <c r="A7" s="594" t="s">
        <v>864</v>
      </c>
      <c r="B7" s="595"/>
      <c r="C7" s="595"/>
      <c r="D7" s="595"/>
      <c r="E7" s="595"/>
      <c r="F7" s="595"/>
      <c r="G7" s="595"/>
      <c r="H7" s="596"/>
      <c r="I7" s="47"/>
      <c r="J7" s="47"/>
      <c r="K7" s="47"/>
      <c r="L7" s="47"/>
      <c r="M7" s="47"/>
      <c r="N7" s="47"/>
      <c r="O7" s="4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</row>
    <row r="8" spans="1:45" ht="15" thickBot="1" x14ac:dyDescent="0.25">
      <c r="A8" s="66"/>
      <c r="B8" s="67"/>
      <c r="C8" s="68"/>
      <c r="D8" s="43"/>
      <c r="E8" s="69"/>
      <c r="F8" s="69"/>
      <c r="G8" s="69"/>
      <c r="H8" s="70"/>
      <c r="I8" s="47"/>
      <c r="J8" s="47"/>
      <c r="K8" s="47"/>
      <c r="L8" s="47"/>
      <c r="M8" s="47"/>
      <c r="N8" s="47"/>
      <c r="O8" s="4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</row>
    <row r="9" spans="1:45" x14ac:dyDescent="0.2">
      <c r="A9" s="597" t="s">
        <v>69</v>
      </c>
      <c r="B9" s="564" t="s">
        <v>48</v>
      </c>
      <c r="C9" s="602" t="s">
        <v>434</v>
      </c>
      <c r="D9" s="605" t="s">
        <v>51</v>
      </c>
      <c r="E9" s="584" t="s">
        <v>617</v>
      </c>
      <c r="F9" s="584" t="s">
        <v>618</v>
      </c>
      <c r="G9" s="584" t="s">
        <v>619</v>
      </c>
      <c r="H9" s="584" t="s">
        <v>620</v>
      </c>
      <c r="I9" s="47"/>
      <c r="J9" s="47"/>
      <c r="K9" s="47"/>
      <c r="L9" s="47"/>
      <c r="M9" s="47"/>
      <c r="N9" s="47"/>
      <c r="O9" s="4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</row>
    <row r="10" spans="1:45" x14ac:dyDescent="0.2">
      <c r="A10" s="598"/>
      <c r="B10" s="600"/>
      <c r="C10" s="603"/>
      <c r="D10" s="606"/>
      <c r="E10" s="585"/>
      <c r="F10" s="585"/>
      <c r="G10" s="585"/>
      <c r="H10" s="585"/>
      <c r="I10" s="47"/>
      <c r="J10" s="47"/>
      <c r="K10" s="47"/>
      <c r="L10" s="47"/>
      <c r="M10" s="47"/>
      <c r="N10" s="47"/>
      <c r="O10" s="4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</row>
    <row r="11" spans="1:45" ht="15.75" thickBot="1" x14ac:dyDescent="0.25">
      <c r="A11" s="599"/>
      <c r="B11" s="601"/>
      <c r="C11" s="604"/>
      <c r="D11" s="607"/>
      <c r="E11" s="586"/>
      <c r="F11" s="586"/>
      <c r="G11" s="586"/>
      <c r="H11" s="586"/>
      <c r="I11" s="587"/>
      <c r="J11" s="588"/>
      <c r="K11" s="588"/>
      <c r="L11" s="588"/>
      <c r="M11" s="47"/>
      <c r="N11" s="47"/>
      <c r="O11" s="4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</row>
    <row r="12" spans="1:45" ht="30" x14ac:dyDescent="0.2">
      <c r="A12" s="191"/>
      <c r="B12" s="192"/>
      <c r="C12" s="193"/>
      <c r="D12" s="194"/>
      <c r="E12" s="194" t="s">
        <v>854</v>
      </c>
      <c r="F12" s="194" t="s">
        <v>621</v>
      </c>
      <c r="G12" s="205" t="s">
        <v>792</v>
      </c>
      <c r="H12" s="195"/>
      <c r="I12" s="164"/>
      <c r="J12" s="47"/>
      <c r="K12" s="47"/>
      <c r="L12" s="47"/>
      <c r="M12" s="47"/>
      <c r="N12" s="47"/>
      <c r="O12" s="4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</row>
    <row r="13" spans="1:45" ht="15" x14ac:dyDescent="0.2">
      <c r="A13" s="196" t="s">
        <v>622</v>
      </c>
      <c r="B13" s="174" t="s">
        <v>104</v>
      </c>
      <c r="C13" s="175"/>
      <c r="D13" s="176"/>
      <c r="E13" s="176"/>
      <c r="F13" s="176"/>
      <c r="G13" s="176"/>
      <c r="H13" s="197"/>
      <c r="I13" s="47"/>
      <c r="J13" s="47"/>
      <c r="K13" s="47"/>
      <c r="L13" s="47"/>
      <c r="M13" s="47"/>
      <c r="O13" s="4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</row>
    <row r="14" spans="1:45" x14ac:dyDescent="0.2">
      <c r="A14" s="198" t="s">
        <v>165</v>
      </c>
      <c r="B14" s="177" t="s">
        <v>576</v>
      </c>
      <c r="C14" s="184" t="s">
        <v>63</v>
      </c>
      <c r="D14" s="178">
        <v>54</v>
      </c>
      <c r="E14" s="178">
        <v>173</v>
      </c>
      <c r="F14" s="178">
        <v>192.42</v>
      </c>
      <c r="G14" s="178">
        <v>217.6</v>
      </c>
      <c r="H14" s="181">
        <f>MIN(E14:G14)</f>
        <v>173</v>
      </c>
      <c r="I14" s="165"/>
      <c r="J14" s="47"/>
      <c r="K14" s="47"/>
      <c r="L14" s="47"/>
      <c r="M14" s="47"/>
      <c r="O14" s="4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</row>
    <row r="15" spans="1:45" x14ac:dyDescent="0.2">
      <c r="A15" s="198" t="s">
        <v>154</v>
      </c>
      <c r="B15" s="177" t="s">
        <v>577</v>
      </c>
      <c r="C15" s="184" t="s">
        <v>63</v>
      </c>
      <c r="D15" s="178">
        <v>48</v>
      </c>
      <c r="E15" s="178">
        <v>214.2</v>
      </c>
      <c r="F15" s="178">
        <v>236.29</v>
      </c>
      <c r="G15" s="178">
        <v>289</v>
      </c>
      <c r="H15" s="181">
        <f t="shared" ref="H15:H78" si="0">MIN(E15:G15)</f>
        <v>214.2</v>
      </c>
      <c r="I15" s="47"/>
      <c r="J15" s="47"/>
      <c r="K15" s="47"/>
      <c r="L15" s="47"/>
      <c r="M15" s="47"/>
      <c r="O15" s="4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</row>
    <row r="16" spans="1:45" x14ac:dyDescent="0.2">
      <c r="A16" s="198" t="s">
        <v>155</v>
      </c>
      <c r="B16" s="177" t="s">
        <v>623</v>
      </c>
      <c r="C16" s="184" t="s">
        <v>63</v>
      </c>
      <c r="D16" s="178">
        <v>36</v>
      </c>
      <c r="E16" s="178">
        <v>263</v>
      </c>
      <c r="F16" s="178">
        <v>286.69</v>
      </c>
      <c r="G16" s="178">
        <v>392</v>
      </c>
      <c r="H16" s="181">
        <f t="shared" si="0"/>
        <v>263</v>
      </c>
      <c r="I16" s="47"/>
      <c r="J16" s="47"/>
      <c r="K16" s="47"/>
      <c r="L16" s="47"/>
      <c r="M16" s="47"/>
      <c r="O16" s="4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</row>
    <row r="17" spans="1:45" x14ac:dyDescent="0.2">
      <c r="A17" s="198" t="s">
        <v>156</v>
      </c>
      <c r="B17" s="177" t="s">
        <v>569</v>
      </c>
      <c r="C17" s="184" t="s">
        <v>63</v>
      </c>
      <c r="D17" s="178">
        <v>18</v>
      </c>
      <c r="E17" s="178">
        <v>313</v>
      </c>
      <c r="F17" s="178">
        <v>384.01</v>
      </c>
      <c r="G17" s="178">
        <v>542.9</v>
      </c>
      <c r="H17" s="181">
        <f t="shared" si="0"/>
        <v>313</v>
      </c>
      <c r="I17" s="47"/>
      <c r="J17" s="47"/>
      <c r="K17" s="47"/>
      <c r="L17" s="47"/>
      <c r="M17" s="47"/>
      <c r="O17" s="4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</row>
    <row r="18" spans="1:45" x14ac:dyDescent="0.2">
      <c r="A18" s="198" t="s">
        <v>157</v>
      </c>
      <c r="B18" s="199" t="s">
        <v>561</v>
      </c>
      <c r="C18" s="184" t="s">
        <v>63</v>
      </c>
      <c r="D18" s="178">
        <v>42</v>
      </c>
      <c r="E18" s="178">
        <v>376</v>
      </c>
      <c r="F18" s="178">
        <v>479.98</v>
      </c>
      <c r="G18" s="178">
        <v>685.3</v>
      </c>
      <c r="H18" s="181">
        <f t="shared" si="0"/>
        <v>376</v>
      </c>
      <c r="I18" s="47"/>
      <c r="J18" s="47"/>
      <c r="K18" s="47"/>
      <c r="L18" s="47"/>
      <c r="M18" s="47"/>
      <c r="O18" s="4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</row>
    <row r="19" spans="1:45" ht="15" x14ac:dyDescent="0.2">
      <c r="A19" s="196" t="s">
        <v>511</v>
      </c>
      <c r="B19" s="174" t="s">
        <v>227</v>
      </c>
      <c r="C19" s="175"/>
      <c r="D19" s="176"/>
      <c r="E19" s="176"/>
      <c r="F19" s="176"/>
      <c r="G19" s="176"/>
      <c r="H19" s="197">
        <f t="shared" si="0"/>
        <v>0</v>
      </c>
      <c r="I19" s="47"/>
      <c r="J19" s="47"/>
      <c r="K19" s="47"/>
      <c r="L19" s="47"/>
      <c r="M19" s="47"/>
      <c r="O19" s="4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</row>
    <row r="20" spans="1:45" x14ac:dyDescent="0.2">
      <c r="A20" s="198" t="s">
        <v>158</v>
      </c>
      <c r="B20" s="177" t="s">
        <v>172</v>
      </c>
      <c r="C20" s="184" t="s">
        <v>65</v>
      </c>
      <c r="D20" s="178">
        <v>2</v>
      </c>
      <c r="E20" s="178">
        <v>316.25</v>
      </c>
      <c r="F20" s="178">
        <v>289.45</v>
      </c>
      <c r="G20" s="178">
        <v>280</v>
      </c>
      <c r="H20" s="181">
        <f t="shared" si="0"/>
        <v>280</v>
      </c>
      <c r="I20" s="47"/>
      <c r="J20" s="47"/>
      <c r="K20" s="47"/>
      <c r="L20" s="47"/>
      <c r="M20" s="47"/>
      <c r="O20" s="4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</row>
    <row r="21" spans="1:45" s="48" customFormat="1" x14ac:dyDescent="0.2">
      <c r="A21" s="198" t="s">
        <v>385</v>
      </c>
      <c r="B21" s="177" t="s">
        <v>173</v>
      </c>
      <c r="C21" s="184" t="s">
        <v>65</v>
      </c>
      <c r="D21" s="178">
        <v>2</v>
      </c>
      <c r="E21" s="178">
        <v>360</v>
      </c>
      <c r="F21" s="178">
        <v>354.84</v>
      </c>
      <c r="G21" s="178">
        <v>362</v>
      </c>
      <c r="H21" s="181">
        <f t="shared" si="0"/>
        <v>354.84</v>
      </c>
      <c r="I21" s="47"/>
      <c r="J21" s="47"/>
      <c r="K21" s="47"/>
      <c r="L21" s="47"/>
      <c r="M21" s="47"/>
      <c r="O21" s="47"/>
    </row>
    <row r="22" spans="1:45" s="48" customFormat="1" x14ac:dyDescent="0.2">
      <c r="A22" s="198" t="s">
        <v>376</v>
      </c>
      <c r="B22" s="177" t="s">
        <v>174</v>
      </c>
      <c r="C22" s="184" t="s">
        <v>65</v>
      </c>
      <c r="D22" s="178">
        <v>2</v>
      </c>
      <c r="E22" s="178">
        <v>541</v>
      </c>
      <c r="F22" s="178">
        <v>1287.92</v>
      </c>
      <c r="G22" s="178">
        <v>397.8</v>
      </c>
      <c r="H22" s="181">
        <f t="shared" si="0"/>
        <v>397.8</v>
      </c>
      <c r="I22" s="47"/>
      <c r="J22" s="47"/>
      <c r="K22" s="47"/>
      <c r="L22" s="47"/>
      <c r="M22" s="47"/>
      <c r="O22" s="47"/>
    </row>
    <row r="23" spans="1:45" s="48" customFormat="1" x14ac:dyDescent="0.2">
      <c r="A23" s="198" t="s">
        <v>377</v>
      </c>
      <c r="B23" s="177" t="s">
        <v>175</v>
      </c>
      <c r="C23" s="184" t="s">
        <v>65</v>
      </c>
      <c r="D23" s="178">
        <v>2</v>
      </c>
      <c r="E23" s="178">
        <v>1195</v>
      </c>
      <c r="F23" s="178">
        <v>1296.46</v>
      </c>
      <c r="G23" s="178">
        <v>2300</v>
      </c>
      <c r="H23" s="181">
        <f t="shared" si="0"/>
        <v>1195</v>
      </c>
      <c r="I23" s="47"/>
      <c r="J23" s="47"/>
      <c r="K23" s="47"/>
      <c r="L23" s="47"/>
      <c r="M23" s="47"/>
      <c r="O23" s="47"/>
    </row>
    <row r="24" spans="1:45" s="48" customFormat="1" x14ac:dyDescent="0.2">
      <c r="A24" s="198" t="s">
        <v>378</v>
      </c>
      <c r="B24" s="177" t="s">
        <v>176</v>
      </c>
      <c r="C24" s="184" t="s">
        <v>65</v>
      </c>
      <c r="D24" s="178">
        <v>3</v>
      </c>
      <c r="E24" s="178">
        <v>1087.9000000000001</v>
      </c>
      <c r="F24" s="178">
        <v>3419.62</v>
      </c>
      <c r="G24" s="178">
        <v>900</v>
      </c>
      <c r="H24" s="181">
        <f t="shared" si="0"/>
        <v>900</v>
      </c>
      <c r="I24" s="47"/>
      <c r="J24" s="47"/>
      <c r="K24" s="47"/>
      <c r="L24" s="47"/>
      <c r="M24" s="47"/>
      <c r="O24" s="47"/>
    </row>
    <row r="25" spans="1:45" s="48" customFormat="1" ht="28.5" x14ac:dyDescent="0.2">
      <c r="A25" s="198" t="s">
        <v>624</v>
      </c>
      <c r="B25" s="177" t="s">
        <v>177</v>
      </c>
      <c r="C25" s="184" t="s">
        <v>65</v>
      </c>
      <c r="D25" s="178">
        <v>2</v>
      </c>
      <c r="E25" s="178">
        <v>1290</v>
      </c>
      <c r="F25" s="180"/>
      <c r="G25" s="178">
        <v>1800</v>
      </c>
      <c r="H25" s="181">
        <f t="shared" si="0"/>
        <v>1290</v>
      </c>
      <c r="I25" s="159"/>
      <c r="J25" s="159"/>
      <c r="K25" s="159"/>
      <c r="L25" s="159"/>
      <c r="M25" s="159"/>
      <c r="O25" s="159"/>
    </row>
    <row r="26" spans="1:45" s="48" customFormat="1" x14ac:dyDescent="0.2">
      <c r="A26" s="198" t="s">
        <v>625</v>
      </c>
      <c r="B26" s="177" t="s">
        <v>242</v>
      </c>
      <c r="C26" s="184" t="s">
        <v>64</v>
      </c>
      <c r="D26" s="178">
        <v>1</v>
      </c>
      <c r="E26" s="178">
        <v>423.12</v>
      </c>
      <c r="F26" s="178">
        <v>1287.92</v>
      </c>
      <c r="G26" s="178">
        <v>354.44</v>
      </c>
      <c r="H26" s="181">
        <f t="shared" si="0"/>
        <v>354.44</v>
      </c>
      <c r="I26" s="47"/>
      <c r="J26" s="47"/>
      <c r="K26" s="47"/>
      <c r="L26" s="47"/>
      <c r="M26" s="47"/>
      <c r="O26" s="47"/>
    </row>
    <row r="27" spans="1:45" s="48" customFormat="1" x14ac:dyDescent="0.2">
      <c r="A27" s="198" t="s">
        <v>626</v>
      </c>
      <c r="B27" s="188" t="s">
        <v>440</v>
      </c>
      <c r="C27" s="184" t="s">
        <v>64</v>
      </c>
      <c r="D27" s="178">
        <v>1</v>
      </c>
      <c r="E27" s="178">
        <v>341.55</v>
      </c>
      <c r="F27" s="178">
        <v>352.19</v>
      </c>
      <c r="G27" s="178">
        <v>336.9</v>
      </c>
      <c r="H27" s="181">
        <f t="shared" si="0"/>
        <v>336.9</v>
      </c>
      <c r="I27" s="47"/>
      <c r="J27" s="47"/>
      <c r="K27" s="47"/>
      <c r="L27" s="47"/>
      <c r="M27" s="47"/>
      <c r="O27" s="47"/>
    </row>
    <row r="28" spans="1:45" s="48" customFormat="1" x14ac:dyDescent="0.2">
      <c r="A28" s="198" t="s">
        <v>627</v>
      </c>
      <c r="B28" s="177" t="s">
        <v>243</v>
      </c>
      <c r="C28" s="184" t="s">
        <v>64</v>
      </c>
      <c r="D28" s="178">
        <v>1</v>
      </c>
      <c r="E28" s="178">
        <v>395.04</v>
      </c>
      <c r="F28" s="178">
        <v>1287.92</v>
      </c>
      <c r="G28" s="178">
        <v>374.48</v>
      </c>
      <c r="H28" s="181">
        <f t="shared" si="0"/>
        <v>374.48</v>
      </c>
      <c r="I28" s="47"/>
      <c r="J28" s="47"/>
      <c r="K28" s="47"/>
      <c r="L28" s="47"/>
      <c r="M28" s="47"/>
      <c r="O28" s="47"/>
    </row>
    <row r="29" spans="1:45" s="48" customFormat="1" x14ac:dyDescent="0.2">
      <c r="A29" s="198" t="s">
        <v>628</v>
      </c>
      <c r="B29" s="177" t="s">
        <v>178</v>
      </c>
      <c r="C29" s="184" t="s">
        <v>64</v>
      </c>
      <c r="D29" s="178">
        <v>1</v>
      </c>
      <c r="E29" s="178">
        <v>527.04</v>
      </c>
      <c r="F29" s="178">
        <v>886.88</v>
      </c>
      <c r="G29" s="178">
        <v>362</v>
      </c>
      <c r="H29" s="181">
        <f t="shared" si="0"/>
        <v>362</v>
      </c>
      <c r="I29" s="47"/>
      <c r="J29" s="47"/>
      <c r="K29" s="47"/>
      <c r="L29" s="47"/>
      <c r="M29" s="47"/>
      <c r="O29" s="47"/>
    </row>
    <row r="30" spans="1:45" s="48" customFormat="1" x14ac:dyDescent="0.2">
      <c r="A30" s="198" t="s">
        <v>629</v>
      </c>
      <c r="B30" s="188" t="s">
        <v>230</v>
      </c>
      <c r="C30" s="184" t="s">
        <v>64</v>
      </c>
      <c r="D30" s="178">
        <v>1</v>
      </c>
      <c r="E30" s="178">
        <v>180</v>
      </c>
      <c r="F30" s="178">
        <v>233.46</v>
      </c>
      <c r="G30" s="178">
        <v>189.55</v>
      </c>
      <c r="H30" s="181">
        <f t="shared" si="0"/>
        <v>180</v>
      </c>
      <c r="I30" s="47"/>
      <c r="J30" s="47"/>
      <c r="K30" s="47"/>
      <c r="L30" s="47"/>
      <c r="M30" s="47"/>
      <c r="O30" s="47"/>
    </row>
    <row r="31" spans="1:45" s="48" customFormat="1" x14ac:dyDescent="0.2">
      <c r="A31" s="198" t="s">
        <v>630</v>
      </c>
      <c r="B31" s="177" t="s">
        <v>214</v>
      </c>
      <c r="C31" s="184" t="s">
        <v>64</v>
      </c>
      <c r="D31" s="178">
        <v>1</v>
      </c>
      <c r="E31" s="178">
        <v>378</v>
      </c>
      <c r="F31" s="178">
        <v>605.08000000000004</v>
      </c>
      <c r="G31" s="178">
        <v>692.9</v>
      </c>
      <c r="H31" s="181">
        <f t="shared" si="0"/>
        <v>378</v>
      </c>
    </row>
    <row r="32" spans="1:45" s="48" customFormat="1" x14ac:dyDescent="0.2">
      <c r="A32" s="198" t="s">
        <v>631</v>
      </c>
      <c r="B32" s="177" t="s">
        <v>179</v>
      </c>
      <c r="C32" s="184" t="s">
        <v>64</v>
      </c>
      <c r="D32" s="178">
        <v>2</v>
      </c>
      <c r="E32" s="187">
        <v>2.69</v>
      </c>
      <c r="F32" s="187">
        <v>22.08</v>
      </c>
      <c r="G32" s="187">
        <v>1.5</v>
      </c>
      <c r="H32" s="181">
        <f t="shared" si="0"/>
        <v>1.5</v>
      </c>
      <c r="I32" s="47"/>
      <c r="J32" s="47"/>
      <c r="K32" s="47"/>
      <c r="L32" s="47"/>
      <c r="M32" s="47"/>
      <c r="N32" s="47"/>
      <c r="P32" s="47"/>
    </row>
    <row r="33" spans="1:45" s="48" customFormat="1" x14ac:dyDescent="0.2">
      <c r="A33" s="198" t="s">
        <v>632</v>
      </c>
      <c r="B33" s="177" t="s">
        <v>180</v>
      </c>
      <c r="C33" s="184" t="s">
        <v>64</v>
      </c>
      <c r="D33" s="178">
        <v>19</v>
      </c>
      <c r="E33" s="187">
        <v>3.91</v>
      </c>
      <c r="F33" s="187">
        <v>35.08</v>
      </c>
      <c r="G33" s="187">
        <v>3.68</v>
      </c>
      <c r="H33" s="181">
        <f t="shared" si="0"/>
        <v>3.68</v>
      </c>
      <c r="I33" s="47"/>
      <c r="J33" s="47"/>
      <c r="K33" s="47"/>
      <c r="L33" s="47"/>
      <c r="M33" s="47"/>
      <c r="N33" s="47"/>
      <c r="P33" s="47"/>
    </row>
    <row r="34" spans="1:45" s="48" customFormat="1" x14ac:dyDescent="0.2">
      <c r="A34" s="198" t="s">
        <v>633</v>
      </c>
      <c r="B34" s="177" t="s">
        <v>14</v>
      </c>
      <c r="C34" s="184" t="s">
        <v>64</v>
      </c>
      <c r="D34" s="178">
        <v>168</v>
      </c>
      <c r="E34" s="187">
        <v>4.9000000000000004</v>
      </c>
      <c r="F34" s="189"/>
      <c r="G34" s="187">
        <v>4.3</v>
      </c>
      <c r="H34" s="181">
        <f t="shared" si="0"/>
        <v>4.3</v>
      </c>
      <c r="I34" s="47"/>
      <c r="J34" s="47"/>
      <c r="K34" s="47"/>
      <c r="L34" s="47"/>
      <c r="M34" s="47"/>
      <c r="N34" s="47"/>
      <c r="P34" s="47"/>
    </row>
    <row r="35" spans="1:45" ht="15" x14ac:dyDescent="0.2">
      <c r="A35" s="196" t="s">
        <v>518</v>
      </c>
      <c r="B35" s="174" t="s">
        <v>183</v>
      </c>
      <c r="C35" s="175"/>
      <c r="D35" s="176"/>
      <c r="E35" s="176"/>
      <c r="F35" s="176"/>
      <c r="G35" s="176"/>
      <c r="H35" s="197">
        <f t="shared" si="0"/>
        <v>0</v>
      </c>
      <c r="I35" s="47"/>
      <c r="J35" s="47"/>
      <c r="K35" s="47"/>
      <c r="L35" s="47"/>
      <c r="M35" s="47"/>
      <c r="O35" s="4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</row>
    <row r="36" spans="1:45" x14ac:dyDescent="0.2">
      <c r="A36" s="200" t="s">
        <v>159</v>
      </c>
      <c r="B36" s="172" t="s">
        <v>1</v>
      </c>
      <c r="C36" s="171" t="s">
        <v>64</v>
      </c>
      <c r="D36" s="173">
        <v>14</v>
      </c>
      <c r="E36" s="173">
        <v>54.04</v>
      </c>
      <c r="F36" s="173">
        <v>82.82</v>
      </c>
      <c r="G36" s="173">
        <v>65.900000000000006</v>
      </c>
      <c r="H36" s="181">
        <f t="shared" si="0"/>
        <v>54.04</v>
      </c>
      <c r="I36" s="47"/>
      <c r="J36" s="47"/>
      <c r="K36" s="47"/>
      <c r="L36" s="47"/>
      <c r="M36" s="47"/>
      <c r="O36" s="4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</row>
    <row r="37" spans="1:45" s="48" customFormat="1" x14ac:dyDescent="0.2">
      <c r="A37" s="200" t="s">
        <v>161</v>
      </c>
      <c r="B37" s="177" t="s">
        <v>2</v>
      </c>
      <c r="C37" s="184" t="s">
        <v>64</v>
      </c>
      <c r="D37" s="178">
        <v>2</v>
      </c>
      <c r="E37" s="178">
        <v>1249</v>
      </c>
      <c r="F37" s="178">
        <v>1114.6600000000001</v>
      </c>
      <c r="G37" s="178">
        <v>2100</v>
      </c>
      <c r="H37" s="181">
        <f t="shared" si="0"/>
        <v>1114.6600000000001</v>
      </c>
      <c r="I37" s="47"/>
      <c r="J37" s="47"/>
      <c r="K37" s="47"/>
      <c r="L37" s="47"/>
      <c r="M37" s="47"/>
      <c r="O37" s="47"/>
    </row>
    <row r="38" spans="1:45" s="48" customFormat="1" x14ac:dyDescent="0.2">
      <c r="A38" s="200" t="s">
        <v>523</v>
      </c>
      <c r="B38" s="177" t="s">
        <v>3</v>
      </c>
      <c r="C38" s="184" t="s">
        <v>64</v>
      </c>
      <c r="D38" s="178">
        <v>2</v>
      </c>
      <c r="E38" s="178">
        <v>2896</v>
      </c>
      <c r="F38" s="178">
        <v>2531.3000000000002</v>
      </c>
      <c r="G38" s="178">
        <v>5000</v>
      </c>
      <c r="H38" s="181">
        <f t="shared" si="0"/>
        <v>2531.3000000000002</v>
      </c>
      <c r="I38" s="47"/>
      <c r="J38" s="47"/>
      <c r="K38" s="47"/>
      <c r="L38" s="47"/>
      <c r="M38" s="47"/>
      <c r="O38" s="47"/>
    </row>
    <row r="39" spans="1:45" s="48" customFormat="1" x14ac:dyDescent="0.2">
      <c r="A39" s="200" t="s">
        <v>634</v>
      </c>
      <c r="B39" s="177" t="s">
        <v>236</v>
      </c>
      <c r="C39" s="184" t="s">
        <v>64</v>
      </c>
      <c r="D39" s="178">
        <v>14</v>
      </c>
      <c r="E39" s="178">
        <v>209</v>
      </c>
      <c r="F39" s="178">
        <v>232.64</v>
      </c>
      <c r="G39" s="178">
        <v>240.9</v>
      </c>
      <c r="H39" s="181">
        <f t="shared" si="0"/>
        <v>209</v>
      </c>
      <c r="I39" s="47"/>
      <c r="J39" s="47"/>
      <c r="K39" s="47"/>
      <c r="L39" s="47"/>
      <c r="M39" s="47"/>
      <c r="O39" s="47"/>
    </row>
    <row r="40" spans="1:45" s="48" customFormat="1" x14ac:dyDescent="0.2">
      <c r="A40" s="200" t="s">
        <v>635</v>
      </c>
      <c r="B40" s="177" t="s">
        <v>234</v>
      </c>
      <c r="C40" s="184" t="s">
        <v>63</v>
      </c>
      <c r="D40" s="178">
        <f>28*2.81</f>
        <v>78.680000000000007</v>
      </c>
      <c r="E40" s="178">
        <v>460.84</v>
      </c>
      <c r="F40" s="178">
        <v>866.81</v>
      </c>
      <c r="G40" s="178">
        <v>403</v>
      </c>
      <c r="H40" s="181">
        <f t="shared" si="0"/>
        <v>403</v>
      </c>
      <c r="I40" s="47"/>
      <c r="J40" s="47"/>
      <c r="K40" s="47"/>
      <c r="L40" s="47"/>
      <c r="M40" s="47"/>
      <c r="O40" s="47"/>
    </row>
    <row r="41" spans="1:45" s="48" customFormat="1" x14ac:dyDescent="0.2">
      <c r="A41" s="200" t="s">
        <v>636</v>
      </c>
      <c r="B41" s="177" t="s">
        <v>186</v>
      </c>
      <c r="C41" s="184" t="s">
        <v>64</v>
      </c>
      <c r="D41" s="178">
        <v>14</v>
      </c>
      <c r="E41" s="178">
        <v>156.08000000000001</v>
      </c>
      <c r="F41" s="178">
        <v>905.16</v>
      </c>
      <c r="G41" s="178">
        <v>123</v>
      </c>
      <c r="H41" s="181">
        <f t="shared" si="0"/>
        <v>123</v>
      </c>
      <c r="I41" s="47"/>
      <c r="J41" s="47"/>
      <c r="K41" s="47"/>
      <c r="L41" s="47"/>
      <c r="M41" s="47"/>
      <c r="O41" s="47"/>
    </row>
    <row r="42" spans="1:45" s="48" customFormat="1" x14ac:dyDescent="0.2">
      <c r="A42" s="200" t="s">
        <v>637</v>
      </c>
      <c r="B42" s="177" t="s">
        <v>187</v>
      </c>
      <c r="C42" s="184" t="s">
        <v>64</v>
      </c>
      <c r="D42" s="178">
        <v>14</v>
      </c>
      <c r="E42" s="178">
        <v>965</v>
      </c>
      <c r="F42" s="178">
        <v>1239.9000000000001</v>
      </c>
      <c r="G42" s="178">
        <v>841.55</v>
      </c>
      <c r="H42" s="181">
        <f t="shared" si="0"/>
        <v>841.55</v>
      </c>
      <c r="I42" s="47"/>
      <c r="J42" s="47"/>
      <c r="K42" s="47"/>
      <c r="L42" s="47"/>
      <c r="M42" s="47"/>
      <c r="O42" s="47"/>
    </row>
    <row r="43" spans="1:45" s="48" customFormat="1" x14ac:dyDescent="0.2">
      <c r="A43" s="200" t="s">
        <v>638</v>
      </c>
      <c r="B43" s="172" t="s">
        <v>425</v>
      </c>
      <c r="C43" s="171" t="s">
        <v>64</v>
      </c>
      <c r="D43" s="173">
        <v>2</v>
      </c>
      <c r="E43" s="178">
        <v>2890</v>
      </c>
      <c r="F43" s="180"/>
      <c r="G43" s="178"/>
      <c r="H43" s="181">
        <f t="shared" si="0"/>
        <v>2890</v>
      </c>
      <c r="I43" s="47"/>
      <c r="J43" s="47"/>
      <c r="K43" s="47"/>
      <c r="L43" s="47"/>
      <c r="M43" s="47"/>
      <c r="O43" s="47"/>
    </row>
    <row r="44" spans="1:45" s="48" customFormat="1" x14ac:dyDescent="0.2">
      <c r="A44" s="200" t="s">
        <v>639</v>
      </c>
      <c r="B44" s="188" t="s">
        <v>441</v>
      </c>
      <c r="C44" s="184" t="s">
        <v>64</v>
      </c>
      <c r="D44" s="178">
        <v>2</v>
      </c>
      <c r="E44" s="202"/>
      <c r="F44" s="180"/>
      <c r="G44" s="178"/>
      <c r="H44" s="181">
        <f t="shared" si="0"/>
        <v>0</v>
      </c>
      <c r="I44" s="47"/>
      <c r="J44" s="47"/>
      <c r="K44" s="47"/>
      <c r="L44" s="47"/>
      <c r="M44" s="47"/>
      <c r="O44" s="47"/>
    </row>
    <row r="45" spans="1:45" s="48" customFormat="1" x14ac:dyDescent="0.2">
      <c r="A45" s="200" t="s">
        <v>640</v>
      </c>
      <c r="B45" s="177" t="s">
        <v>5</v>
      </c>
      <c r="C45" s="184" t="s">
        <v>64</v>
      </c>
      <c r="D45" s="178">
        <v>42</v>
      </c>
      <c r="E45" s="178">
        <v>199.99</v>
      </c>
      <c r="F45" s="178">
        <v>363.31</v>
      </c>
      <c r="G45" s="178">
        <v>295</v>
      </c>
      <c r="H45" s="181">
        <f t="shared" si="0"/>
        <v>199.99</v>
      </c>
      <c r="I45" s="47"/>
      <c r="J45" s="47"/>
      <c r="K45" s="47"/>
      <c r="L45" s="47"/>
      <c r="M45" s="47"/>
      <c r="O45" s="47"/>
    </row>
    <row r="46" spans="1:45" s="48" customFormat="1" x14ac:dyDescent="0.2">
      <c r="A46" s="200" t="s">
        <v>641</v>
      </c>
      <c r="B46" s="177" t="s">
        <v>237</v>
      </c>
      <c r="C46" s="184" t="s">
        <v>64</v>
      </c>
      <c r="D46" s="178">
        <v>2</v>
      </c>
      <c r="E46" s="178">
        <v>91.2</v>
      </c>
      <c r="F46" s="178">
        <v>115.54</v>
      </c>
      <c r="G46" s="178">
        <v>70</v>
      </c>
      <c r="H46" s="181">
        <f t="shared" si="0"/>
        <v>70</v>
      </c>
      <c r="I46" s="47"/>
      <c r="J46" s="47"/>
      <c r="K46" s="47"/>
      <c r="L46" s="47"/>
      <c r="M46" s="47"/>
      <c r="O46" s="47"/>
    </row>
    <row r="47" spans="1:45" s="48" customFormat="1" x14ac:dyDescent="0.2">
      <c r="A47" s="200" t="s">
        <v>642</v>
      </c>
      <c r="B47" s="188" t="s">
        <v>442</v>
      </c>
      <c r="C47" s="184" t="s">
        <v>64</v>
      </c>
      <c r="D47" s="178">
        <v>14</v>
      </c>
      <c r="E47" s="178">
        <v>396</v>
      </c>
      <c r="F47" s="178">
        <v>356.17</v>
      </c>
      <c r="G47" s="178">
        <v>250</v>
      </c>
      <c r="H47" s="181">
        <f t="shared" si="0"/>
        <v>250</v>
      </c>
      <c r="I47" s="47"/>
      <c r="J47" s="47"/>
      <c r="K47" s="47"/>
      <c r="L47" s="47"/>
      <c r="M47" s="47"/>
      <c r="O47" s="47"/>
    </row>
    <row r="48" spans="1:45" x14ac:dyDescent="0.2">
      <c r="A48" s="200" t="s">
        <v>643</v>
      </c>
      <c r="B48" s="172" t="s">
        <v>9</v>
      </c>
      <c r="C48" s="171" t="s">
        <v>64</v>
      </c>
      <c r="D48" s="173">
        <v>14</v>
      </c>
      <c r="E48" s="178">
        <v>153</v>
      </c>
      <c r="F48" s="173">
        <v>288.52</v>
      </c>
      <c r="G48" s="173">
        <v>248.9</v>
      </c>
      <c r="H48" s="181">
        <f t="shared" si="0"/>
        <v>153</v>
      </c>
      <c r="I48" s="47"/>
      <c r="J48" s="47"/>
      <c r="K48" s="47"/>
      <c r="L48" s="47"/>
      <c r="M48" s="47"/>
      <c r="O48" s="4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</row>
    <row r="49" spans="1:45" s="48" customFormat="1" x14ac:dyDescent="0.2">
      <c r="A49" s="200" t="s">
        <v>644</v>
      </c>
      <c r="B49" s="185" t="s">
        <v>573</v>
      </c>
      <c r="C49" s="184" t="s">
        <v>64</v>
      </c>
      <c r="D49" s="178">
        <v>14</v>
      </c>
      <c r="E49" s="173">
        <v>420</v>
      </c>
      <c r="F49" s="178">
        <v>454.77</v>
      </c>
      <c r="G49" s="178">
        <v>600</v>
      </c>
      <c r="H49" s="181">
        <f t="shared" si="0"/>
        <v>420</v>
      </c>
      <c r="I49" s="47"/>
      <c r="J49" s="47"/>
      <c r="K49" s="47"/>
      <c r="L49" s="47"/>
      <c r="M49" s="47"/>
      <c r="O49" s="47"/>
    </row>
    <row r="50" spans="1:45" s="48" customFormat="1" x14ac:dyDescent="0.2">
      <c r="A50" s="200" t="s">
        <v>645</v>
      </c>
      <c r="B50" s="177" t="s">
        <v>233</v>
      </c>
      <c r="C50" s="184" t="s">
        <v>64</v>
      </c>
      <c r="D50" s="178">
        <v>2</v>
      </c>
      <c r="E50" s="178">
        <v>902</v>
      </c>
      <c r="F50" s="178">
        <v>971.14</v>
      </c>
      <c r="G50" s="178">
        <v>1400</v>
      </c>
      <c r="H50" s="181">
        <f t="shared" si="0"/>
        <v>902</v>
      </c>
      <c r="I50" s="47"/>
      <c r="J50" s="47"/>
      <c r="K50" s="47"/>
      <c r="L50" s="47"/>
      <c r="M50" s="47"/>
      <c r="O50" s="47"/>
    </row>
    <row r="51" spans="1:45" s="48" customFormat="1" x14ac:dyDescent="0.2">
      <c r="A51" s="200" t="s">
        <v>646</v>
      </c>
      <c r="B51" s="177" t="s">
        <v>221</v>
      </c>
      <c r="C51" s="184" t="s">
        <v>64</v>
      </c>
      <c r="D51" s="178">
        <v>2</v>
      </c>
      <c r="E51" s="178">
        <v>249.68</v>
      </c>
      <c r="F51" s="178">
        <v>387.58</v>
      </c>
      <c r="G51" s="178">
        <v>414.9</v>
      </c>
      <c r="H51" s="181">
        <f t="shared" si="0"/>
        <v>249.68</v>
      </c>
      <c r="I51" s="47"/>
      <c r="J51" s="47"/>
      <c r="K51" s="47"/>
      <c r="L51" s="47"/>
      <c r="M51" s="47"/>
      <c r="O51" s="47"/>
    </row>
    <row r="52" spans="1:45" s="48" customFormat="1" x14ac:dyDescent="0.2">
      <c r="A52" s="200" t="s">
        <v>647</v>
      </c>
      <c r="B52" s="188" t="s">
        <v>570</v>
      </c>
      <c r="C52" s="184" t="s">
        <v>63</v>
      </c>
      <c r="D52" s="178">
        <f>24+57.42</f>
        <v>81.42</v>
      </c>
      <c r="E52" s="178">
        <v>173</v>
      </c>
      <c r="F52" s="178">
        <v>192.42</v>
      </c>
      <c r="G52" s="178">
        <v>217.8</v>
      </c>
      <c r="H52" s="181">
        <f t="shared" si="0"/>
        <v>173</v>
      </c>
      <c r="I52" s="47"/>
      <c r="J52" s="47"/>
      <c r="K52" s="47"/>
      <c r="L52" s="47"/>
      <c r="M52" s="47"/>
      <c r="O52" s="47"/>
    </row>
    <row r="53" spans="1:45" s="48" customFormat="1" x14ac:dyDescent="0.2">
      <c r="A53" s="200" t="s">
        <v>648</v>
      </c>
      <c r="B53" s="177" t="s">
        <v>571</v>
      </c>
      <c r="C53" s="184" t="s">
        <v>64</v>
      </c>
      <c r="D53" s="178">
        <f>2*3.6</f>
        <v>7.2</v>
      </c>
      <c r="E53" s="178">
        <v>1065.5999999999999</v>
      </c>
      <c r="F53" s="178">
        <v>1905.12</v>
      </c>
      <c r="G53" s="178">
        <v>1323</v>
      </c>
      <c r="H53" s="181">
        <f t="shared" si="0"/>
        <v>1065.5999999999999</v>
      </c>
      <c r="I53" s="47"/>
      <c r="J53" s="47"/>
      <c r="K53" s="47"/>
      <c r="L53" s="47"/>
      <c r="M53" s="47"/>
      <c r="O53" s="47"/>
    </row>
    <row r="54" spans="1:45" s="48" customFormat="1" x14ac:dyDescent="0.2">
      <c r="A54" s="200" t="s">
        <v>649</v>
      </c>
      <c r="B54" s="177" t="s">
        <v>214</v>
      </c>
      <c r="C54" s="184" t="s">
        <v>64</v>
      </c>
      <c r="D54" s="178">
        <v>2</v>
      </c>
      <c r="E54" s="178">
        <v>378</v>
      </c>
      <c r="F54" s="178">
        <v>605.08000000000004</v>
      </c>
      <c r="G54" s="178">
        <v>698</v>
      </c>
      <c r="H54" s="181">
        <f t="shared" si="0"/>
        <v>378</v>
      </c>
    </row>
    <row r="55" spans="1:45" s="48" customFormat="1" x14ac:dyDescent="0.2">
      <c r="A55" s="200" t="s">
        <v>650</v>
      </c>
      <c r="B55" s="177" t="s">
        <v>235</v>
      </c>
      <c r="C55" s="184" t="s">
        <v>64</v>
      </c>
      <c r="D55" s="178">
        <v>14</v>
      </c>
      <c r="E55" s="178">
        <v>393.01</v>
      </c>
      <c r="F55" s="178">
        <v>784.12</v>
      </c>
      <c r="G55" s="178">
        <v>297.14999999999998</v>
      </c>
      <c r="H55" s="181">
        <f t="shared" si="0"/>
        <v>297.14999999999998</v>
      </c>
      <c r="I55" s="47"/>
      <c r="J55" s="47"/>
      <c r="K55" s="47"/>
      <c r="L55" s="47"/>
      <c r="M55" s="47"/>
      <c r="O55" s="47"/>
    </row>
    <row r="56" spans="1:45" s="48" customFormat="1" x14ac:dyDescent="0.2">
      <c r="A56" s="200" t="s">
        <v>651</v>
      </c>
      <c r="B56" s="177" t="s">
        <v>238</v>
      </c>
      <c r="C56" s="184" t="s">
        <v>64</v>
      </c>
      <c r="D56" s="178">
        <v>12</v>
      </c>
      <c r="E56" s="178">
        <v>917.49</v>
      </c>
      <c r="F56" s="178">
        <v>1376.32</v>
      </c>
      <c r="G56" s="178">
        <v>632.66999999999996</v>
      </c>
      <c r="H56" s="181">
        <f t="shared" si="0"/>
        <v>632.66999999999996</v>
      </c>
      <c r="I56" s="47"/>
      <c r="J56" s="47"/>
      <c r="K56" s="47"/>
      <c r="L56" s="47"/>
      <c r="M56" s="47"/>
      <c r="O56" s="47"/>
    </row>
    <row r="57" spans="1:45" s="48" customFormat="1" x14ac:dyDescent="0.2">
      <c r="A57" s="200" t="s">
        <v>652</v>
      </c>
      <c r="B57" s="177" t="s">
        <v>164</v>
      </c>
      <c r="C57" s="184" t="s">
        <v>64</v>
      </c>
      <c r="D57" s="178">
        <v>2</v>
      </c>
      <c r="E57" s="178">
        <v>265.8</v>
      </c>
      <c r="F57" s="178">
        <v>746.85</v>
      </c>
      <c r="G57" s="178">
        <v>130.46</v>
      </c>
      <c r="H57" s="181">
        <f t="shared" si="0"/>
        <v>130.46</v>
      </c>
      <c r="I57" s="47"/>
      <c r="J57" s="47"/>
      <c r="K57" s="47"/>
      <c r="L57" s="47"/>
      <c r="M57" s="47"/>
      <c r="O57" s="47"/>
    </row>
    <row r="58" spans="1:45" s="48" customFormat="1" x14ac:dyDescent="0.2">
      <c r="A58" s="200" t="s">
        <v>653</v>
      </c>
      <c r="B58" s="177" t="s">
        <v>572</v>
      </c>
      <c r="C58" s="184" t="s">
        <v>64</v>
      </c>
      <c r="D58" s="178">
        <f>2*0.25</f>
        <v>0.5</v>
      </c>
      <c r="E58" s="178">
        <v>93</v>
      </c>
      <c r="F58" s="178">
        <v>522.47</v>
      </c>
      <c r="G58" s="178">
        <v>53.72</v>
      </c>
      <c r="H58" s="181">
        <f t="shared" si="0"/>
        <v>53.72</v>
      </c>
      <c r="I58" s="47"/>
      <c r="J58" s="47"/>
      <c r="K58" s="47"/>
      <c r="L58" s="47"/>
      <c r="M58" s="47"/>
      <c r="O58" s="47"/>
    </row>
    <row r="59" spans="1:45" s="160" customFormat="1" x14ac:dyDescent="0.2">
      <c r="A59" s="200" t="s">
        <v>654</v>
      </c>
      <c r="B59" s="177" t="s">
        <v>655</v>
      </c>
      <c r="C59" s="184" t="s">
        <v>64</v>
      </c>
      <c r="D59" s="178">
        <v>2</v>
      </c>
      <c r="E59" s="187">
        <v>50.44</v>
      </c>
      <c r="F59" s="187">
        <v>259.63</v>
      </c>
      <c r="G59" s="187">
        <v>50</v>
      </c>
      <c r="H59" s="181">
        <f t="shared" si="0"/>
        <v>50</v>
      </c>
      <c r="I59" s="47"/>
      <c r="J59" s="47"/>
      <c r="K59" s="47"/>
      <c r="L59" s="47"/>
      <c r="M59" s="47"/>
      <c r="N59" s="47"/>
      <c r="O59" s="48"/>
      <c r="P59" s="47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</row>
    <row r="60" spans="1:45" s="160" customFormat="1" x14ac:dyDescent="0.2">
      <c r="A60" s="200" t="s">
        <v>656</v>
      </c>
      <c r="B60" s="177" t="s">
        <v>657</v>
      </c>
      <c r="C60" s="184" t="s">
        <v>64</v>
      </c>
      <c r="D60" s="178">
        <v>28</v>
      </c>
      <c r="E60" s="187">
        <v>2.69</v>
      </c>
      <c r="F60" s="187">
        <v>22.42</v>
      </c>
      <c r="G60" s="187">
        <v>2.1</v>
      </c>
      <c r="H60" s="181">
        <f t="shared" si="0"/>
        <v>2.1</v>
      </c>
      <c r="I60" s="47"/>
      <c r="J60" s="47"/>
      <c r="K60" s="47"/>
      <c r="L60" s="47"/>
      <c r="M60" s="47"/>
      <c r="N60" s="47"/>
      <c r="O60" s="48"/>
      <c r="P60" s="47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</row>
    <row r="61" spans="1:45" s="160" customFormat="1" x14ac:dyDescent="0.2">
      <c r="A61" s="200" t="s">
        <v>658</v>
      </c>
      <c r="B61" s="177" t="s">
        <v>659</v>
      </c>
      <c r="C61" s="184" t="s">
        <v>64</v>
      </c>
      <c r="D61" s="178">
        <v>70</v>
      </c>
      <c r="E61" s="187">
        <v>1.96</v>
      </c>
      <c r="F61" s="187">
        <v>16.02</v>
      </c>
      <c r="G61" s="187">
        <v>1.5</v>
      </c>
      <c r="H61" s="181">
        <f t="shared" si="0"/>
        <v>1.5</v>
      </c>
      <c r="I61" s="47"/>
      <c r="J61" s="47"/>
      <c r="K61" s="47"/>
      <c r="L61" s="47"/>
      <c r="M61" s="47"/>
      <c r="N61" s="47"/>
      <c r="O61" s="48"/>
      <c r="P61" s="47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</row>
    <row r="62" spans="1:45" s="160" customFormat="1" x14ac:dyDescent="0.2">
      <c r="A62" s="200" t="s">
        <v>660</v>
      </c>
      <c r="B62" s="177" t="s">
        <v>13</v>
      </c>
      <c r="C62" s="184" t="s">
        <v>64</v>
      </c>
      <c r="D62" s="178">
        <v>560</v>
      </c>
      <c r="E62" s="187">
        <v>2.5499999999999998</v>
      </c>
      <c r="F62" s="187">
        <v>6.44</v>
      </c>
      <c r="G62" s="187">
        <v>2.56</v>
      </c>
      <c r="H62" s="181">
        <f t="shared" si="0"/>
        <v>2.5499999999999998</v>
      </c>
      <c r="I62" s="47"/>
      <c r="J62" s="47"/>
      <c r="K62" s="47"/>
      <c r="L62" s="47"/>
      <c r="M62" s="47"/>
      <c r="N62" s="47"/>
      <c r="O62" s="48"/>
      <c r="P62" s="47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</row>
    <row r="63" spans="1:45" s="160" customFormat="1" x14ac:dyDescent="0.2">
      <c r="A63" s="200" t="s">
        <v>661</v>
      </c>
      <c r="B63" s="177" t="s">
        <v>14</v>
      </c>
      <c r="C63" s="184" t="s">
        <v>64</v>
      </c>
      <c r="D63" s="178">
        <v>224</v>
      </c>
      <c r="E63" s="187">
        <v>4.9000000000000004</v>
      </c>
      <c r="F63" s="187">
        <v>9.76</v>
      </c>
      <c r="G63" s="187">
        <v>4.68</v>
      </c>
      <c r="H63" s="181">
        <f t="shared" si="0"/>
        <v>4.68</v>
      </c>
      <c r="I63" s="47"/>
      <c r="J63" s="47"/>
      <c r="K63" s="47"/>
      <c r="L63" s="47"/>
      <c r="M63" s="47"/>
      <c r="N63" s="47"/>
      <c r="O63" s="48"/>
      <c r="P63" s="47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</row>
    <row r="64" spans="1:45" s="160" customFormat="1" x14ac:dyDescent="0.2">
      <c r="A64" s="200" t="s">
        <v>662</v>
      </c>
      <c r="B64" s="188" t="s">
        <v>443</v>
      </c>
      <c r="C64" s="184" t="s">
        <v>64</v>
      </c>
      <c r="D64" s="178">
        <v>40</v>
      </c>
      <c r="E64" s="187">
        <v>12</v>
      </c>
      <c r="F64" s="187">
        <v>21.56</v>
      </c>
      <c r="G64" s="187">
        <v>22</v>
      </c>
      <c r="H64" s="181">
        <f t="shared" si="0"/>
        <v>12</v>
      </c>
      <c r="I64" s="47"/>
      <c r="J64" s="47"/>
      <c r="K64" s="47"/>
      <c r="L64" s="47"/>
      <c r="M64" s="47"/>
      <c r="N64" s="47"/>
      <c r="O64" s="48"/>
      <c r="P64" s="47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</row>
    <row r="65" spans="1:45" x14ac:dyDescent="0.2">
      <c r="A65" s="200"/>
      <c r="B65" s="172"/>
      <c r="C65" s="171"/>
      <c r="D65" s="173"/>
      <c r="E65" s="178"/>
      <c r="F65" s="178"/>
      <c r="G65" s="178"/>
      <c r="H65" s="181">
        <f t="shared" si="0"/>
        <v>0</v>
      </c>
      <c r="I65" s="47"/>
      <c r="J65" s="47"/>
      <c r="K65" s="47"/>
      <c r="L65" s="47"/>
      <c r="M65" s="47"/>
      <c r="O65" s="4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</row>
    <row r="66" spans="1:45" ht="15" x14ac:dyDescent="0.2">
      <c r="A66" s="196" t="s">
        <v>524</v>
      </c>
      <c r="B66" s="174" t="s">
        <v>194</v>
      </c>
      <c r="C66" s="175"/>
      <c r="D66" s="176"/>
      <c r="E66" s="176"/>
      <c r="F66" s="176"/>
      <c r="G66" s="176"/>
      <c r="H66" s="197">
        <f t="shared" si="0"/>
        <v>0</v>
      </c>
      <c r="I66" s="47"/>
      <c r="J66" s="47"/>
      <c r="K66" s="47"/>
      <c r="L66" s="47"/>
      <c r="M66" s="47"/>
      <c r="O66" s="4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</row>
    <row r="67" spans="1:45" s="48" customFormat="1" x14ac:dyDescent="0.2">
      <c r="A67" s="198" t="s">
        <v>162</v>
      </c>
      <c r="B67" s="177" t="s">
        <v>244</v>
      </c>
      <c r="C67" s="184" t="s">
        <v>64</v>
      </c>
      <c r="D67" s="178">
        <v>1</v>
      </c>
      <c r="E67" s="178">
        <v>773.2</v>
      </c>
      <c r="F67" s="178">
        <v>1445.9</v>
      </c>
      <c r="G67" s="178">
        <v>693.1</v>
      </c>
      <c r="H67" s="181">
        <f t="shared" si="0"/>
        <v>693.1</v>
      </c>
      <c r="I67" s="50"/>
      <c r="J67" s="49"/>
      <c r="K67" s="49"/>
      <c r="L67" s="49"/>
      <c r="M67" s="49"/>
      <c r="O67" s="49"/>
    </row>
    <row r="68" spans="1:45" s="48" customFormat="1" x14ac:dyDescent="0.2">
      <c r="A68" s="198" t="s">
        <v>251</v>
      </c>
      <c r="B68" s="177" t="s">
        <v>245</v>
      </c>
      <c r="C68" s="184" t="s">
        <v>64</v>
      </c>
      <c r="D68" s="178">
        <v>1</v>
      </c>
      <c r="E68" s="178">
        <v>1647</v>
      </c>
      <c r="F68" s="178">
        <v>1954.83</v>
      </c>
      <c r="G68" s="178">
        <v>2670</v>
      </c>
      <c r="H68" s="181">
        <f t="shared" si="0"/>
        <v>1647</v>
      </c>
      <c r="I68" s="50"/>
      <c r="J68" s="49"/>
      <c r="K68" s="49"/>
      <c r="L68" s="49"/>
      <c r="M68" s="49"/>
      <c r="O68" s="49"/>
    </row>
    <row r="69" spans="1:45" s="48" customFormat="1" x14ac:dyDescent="0.2">
      <c r="A69" s="198" t="s">
        <v>529</v>
      </c>
      <c r="B69" s="179" t="s">
        <v>418</v>
      </c>
      <c r="C69" s="184" t="s">
        <v>64</v>
      </c>
      <c r="D69" s="178">
        <v>2</v>
      </c>
      <c r="E69" s="178">
        <v>3450</v>
      </c>
      <c r="F69" s="178">
        <v>2841.59</v>
      </c>
      <c r="G69" s="178">
        <v>8100</v>
      </c>
      <c r="H69" s="181">
        <f t="shared" si="0"/>
        <v>2841.59</v>
      </c>
      <c r="I69" s="50"/>
      <c r="J69" s="49"/>
      <c r="K69" s="49"/>
      <c r="L69" s="49"/>
      <c r="M69" s="49"/>
      <c r="O69" s="49"/>
    </row>
    <row r="70" spans="1:45" s="48" customFormat="1" x14ac:dyDescent="0.2">
      <c r="A70" s="198" t="s">
        <v>530</v>
      </c>
      <c r="B70" s="177" t="s">
        <v>246</v>
      </c>
      <c r="C70" s="184" t="s">
        <v>64</v>
      </c>
      <c r="D70" s="178">
        <v>2</v>
      </c>
      <c r="E70" s="178">
        <v>677.4</v>
      </c>
      <c r="F70" s="178">
        <v>1386.74</v>
      </c>
      <c r="G70" s="178">
        <v>831.7</v>
      </c>
      <c r="H70" s="181">
        <f t="shared" si="0"/>
        <v>677.4</v>
      </c>
      <c r="I70" s="50"/>
      <c r="J70" s="49"/>
      <c r="K70" s="49"/>
      <c r="L70" s="49"/>
      <c r="M70" s="49"/>
      <c r="O70" s="49"/>
    </row>
    <row r="71" spans="1:45" s="48" customFormat="1" x14ac:dyDescent="0.2">
      <c r="A71" s="198" t="s">
        <v>609</v>
      </c>
      <c r="B71" s="177" t="s">
        <v>247</v>
      </c>
      <c r="C71" s="184" t="s">
        <v>64</v>
      </c>
      <c r="D71" s="178">
        <v>1</v>
      </c>
      <c r="E71" s="178">
        <v>1216</v>
      </c>
      <c r="F71" s="178">
        <v>2263.31</v>
      </c>
      <c r="G71" s="178">
        <v>1800</v>
      </c>
      <c r="H71" s="181">
        <f t="shared" si="0"/>
        <v>1216</v>
      </c>
      <c r="I71" s="50"/>
      <c r="J71" s="49"/>
      <c r="K71" s="49"/>
      <c r="L71" s="49"/>
      <c r="M71" s="49"/>
      <c r="O71" s="49"/>
    </row>
    <row r="72" spans="1:45" s="48" customFormat="1" x14ac:dyDescent="0.2">
      <c r="A72" s="198" t="s">
        <v>610</v>
      </c>
      <c r="B72" s="177" t="s">
        <v>663</v>
      </c>
      <c r="C72" s="184" t="s">
        <v>64</v>
      </c>
      <c r="D72" s="178">
        <v>5</v>
      </c>
      <c r="E72" s="187">
        <v>9.32</v>
      </c>
      <c r="F72" s="187">
        <v>172.69</v>
      </c>
      <c r="G72" s="187">
        <v>12</v>
      </c>
      <c r="H72" s="181">
        <f t="shared" si="0"/>
        <v>9.32</v>
      </c>
      <c r="I72" s="49"/>
      <c r="J72" s="50"/>
      <c r="K72" s="49"/>
      <c r="L72" s="49"/>
      <c r="M72" s="49"/>
      <c r="N72" s="49"/>
      <c r="P72" s="49"/>
    </row>
    <row r="73" spans="1:45" s="48" customFormat="1" x14ac:dyDescent="0.2">
      <c r="A73" s="198" t="s">
        <v>611</v>
      </c>
      <c r="B73" s="177" t="s">
        <v>14</v>
      </c>
      <c r="C73" s="184" t="s">
        <v>64</v>
      </c>
      <c r="D73" s="178">
        <v>80</v>
      </c>
      <c r="E73" s="187">
        <v>4.9000000000000004</v>
      </c>
      <c r="F73" s="187">
        <v>9.76</v>
      </c>
      <c r="G73" s="187">
        <v>4.68</v>
      </c>
      <c r="H73" s="181">
        <f t="shared" si="0"/>
        <v>4.68</v>
      </c>
      <c r="I73" s="49"/>
      <c r="J73" s="50"/>
      <c r="K73" s="49"/>
      <c r="L73" s="49"/>
      <c r="M73" s="49"/>
      <c r="N73" s="49"/>
      <c r="P73" s="49"/>
    </row>
    <row r="74" spans="1:45" ht="15" x14ac:dyDescent="0.2">
      <c r="A74" s="196" t="s">
        <v>531</v>
      </c>
      <c r="B74" s="174" t="s">
        <v>195</v>
      </c>
      <c r="C74" s="175"/>
      <c r="D74" s="176"/>
      <c r="E74" s="176"/>
      <c r="F74" s="176"/>
      <c r="G74" s="176"/>
      <c r="H74" s="197">
        <f t="shared" si="0"/>
        <v>0</v>
      </c>
      <c r="I74" s="47"/>
      <c r="J74" s="47"/>
      <c r="K74" s="47"/>
      <c r="L74" s="47"/>
      <c r="M74" s="47"/>
      <c r="O74" s="4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</row>
    <row r="75" spans="1:45" s="48" customFormat="1" x14ac:dyDescent="0.2">
      <c r="A75" s="198" t="s">
        <v>54</v>
      </c>
      <c r="B75" s="177" t="s">
        <v>244</v>
      </c>
      <c r="C75" s="184" t="s">
        <v>64</v>
      </c>
      <c r="D75" s="178">
        <v>1</v>
      </c>
      <c r="E75" s="178">
        <v>1044.43</v>
      </c>
      <c r="F75" s="178">
        <v>1445.9</v>
      </c>
      <c r="G75" s="178">
        <v>693.1</v>
      </c>
      <c r="H75" s="181">
        <f t="shared" si="0"/>
        <v>693.1</v>
      </c>
      <c r="I75" s="50"/>
      <c r="J75" s="49"/>
      <c r="K75" s="49"/>
      <c r="L75" s="49"/>
      <c r="M75" s="49"/>
      <c r="O75" s="49"/>
    </row>
    <row r="76" spans="1:45" s="48" customFormat="1" x14ac:dyDescent="0.2">
      <c r="A76" s="198" t="s">
        <v>55</v>
      </c>
      <c r="B76" s="177" t="s">
        <v>245</v>
      </c>
      <c r="C76" s="184" t="s">
        <v>64</v>
      </c>
      <c r="D76" s="178">
        <v>1</v>
      </c>
      <c r="E76" s="178">
        <v>1894.28</v>
      </c>
      <c r="F76" s="178">
        <v>1954.83</v>
      </c>
      <c r="G76" s="178">
        <v>2670</v>
      </c>
      <c r="H76" s="181">
        <f t="shared" si="0"/>
        <v>1894.28</v>
      </c>
      <c r="I76" s="50"/>
      <c r="J76" s="49"/>
      <c r="K76" s="49"/>
      <c r="L76" s="49"/>
      <c r="M76" s="49"/>
      <c r="O76" s="49"/>
    </row>
    <row r="77" spans="1:45" s="48" customFormat="1" x14ac:dyDescent="0.2">
      <c r="A77" s="198" t="s">
        <v>56</v>
      </c>
      <c r="B77" s="179" t="s">
        <v>418</v>
      </c>
      <c r="C77" s="184" t="s">
        <v>64</v>
      </c>
      <c r="D77" s="178">
        <v>2</v>
      </c>
      <c r="E77" s="178">
        <v>4036.5</v>
      </c>
      <c r="F77" s="178">
        <v>2841.59</v>
      </c>
      <c r="G77" s="178">
        <v>8100</v>
      </c>
      <c r="H77" s="181">
        <f t="shared" si="0"/>
        <v>2841.59</v>
      </c>
      <c r="I77" s="50"/>
      <c r="J77" s="49"/>
      <c r="K77" s="49"/>
      <c r="L77" s="49"/>
      <c r="M77" s="49"/>
      <c r="O77" s="49"/>
    </row>
    <row r="78" spans="1:45" s="48" customFormat="1" x14ac:dyDescent="0.2">
      <c r="A78" s="198" t="s">
        <v>57</v>
      </c>
      <c r="B78" s="177" t="s">
        <v>246</v>
      </c>
      <c r="C78" s="184" t="s">
        <v>64</v>
      </c>
      <c r="D78" s="178">
        <v>1</v>
      </c>
      <c r="E78" s="178">
        <v>779.93</v>
      </c>
      <c r="F78" s="178">
        <v>1386.74</v>
      </c>
      <c r="G78" s="178">
        <v>831.7</v>
      </c>
      <c r="H78" s="181">
        <f t="shared" si="0"/>
        <v>779.93</v>
      </c>
      <c r="I78" s="50"/>
      <c r="J78" s="49"/>
      <c r="K78" s="49"/>
      <c r="L78" s="49"/>
      <c r="M78" s="49"/>
      <c r="O78" s="49"/>
    </row>
    <row r="79" spans="1:45" s="48" customFormat="1" x14ac:dyDescent="0.2">
      <c r="A79" s="198" t="s">
        <v>664</v>
      </c>
      <c r="B79" s="177" t="s">
        <v>16</v>
      </c>
      <c r="C79" s="184" t="s">
        <v>64</v>
      </c>
      <c r="D79" s="178">
        <v>1</v>
      </c>
      <c r="E79" s="178">
        <v>690</v>
      </c>
      <c r="F79" s="178">
        <v>640.54</v>
      </c>
      <c r="G79" s="178">
        <v>1000</v>
      </c>
      <c r="H79" s="181">
        <f t="shared" ref="H79:H130" si="1">MIN(E79:G79)</f>
        <v>640.54</v>
      </c>
      <c r="I79" s="49"/>
      <c r="J79" s="49"/>
      <c r="K79" s="49"/>
      <c r="L79" s="49"/>
      <c r="M79" s="49"/>
      <c r="O79" s="49"/>
    </row>
    <row r="80" spans="1:45" s="48" customFormat="1" x14ac:dyDescent="0.2">
      <c r="A80" s="198" t="s">
        <v>665</v>
      </c>
      <c r="B80" s="177" t="s">
        <v>246</v>
      </c>
      <c r="C80" s="184" t="s">
        <v>64</v>
      </c>
      <c r="D80" s="178">
        <v>1</v>
      </c>
      <c r="E80" s="178">
        <v>779.93</v>
      </c>
      <c r="F80" s="178">
        <v>1386.74</v>
      </c>
      <c r="G80" s="178">
        <v>831.7</v>
      </c>
      <c r="H80" s="181">
        <f t="shared" si="1"/>
        <v>779.93</v>
      </c>
      <c r="I80" s="50"/>
      <c r="J80" s="49"/>
      <c r="K80" s="49"/>
      <c r="L80" s="49"/>
      <c r="M80" s="49"/>
      <c r="O80" s="49"/>
    </row>
    <row r="81" spans="1:45" s="48" customFormat="1" x14ac:dyDescent="0.2">
      <c r="A81" s="198" t="s">
        <v>666</v>
      </c>
      <c r="B81" s="177" t="s">
        <v>247</v>
      </c>
      <c r="C81" s="184" t="s">
        <v>64</v>
      </c>
      <c r="D81" s="178">
        <v>3</v>
      </c>
      <c r="E81" s="178">
        <v>1216.3599999999999</v>
      </c>
      <c r="F81" s="178">
        <v>2341.0100000000002</v>
      </c>
      <c r="G81" s="178">
        <v>1800</v>
      </c>
      <c r="H81" s="181">
        <f t="shared" si="1"/>
        <v>1216.3599999999999</v>
      </c>
      <c r="I81" s="50"/>
      <c r="J81" s="49"/>
      <c r="K81" s="49"/>
      <c r="L81" s="49"/>
      <c r="M81" s="49"/>
      <c r="O81" s="49"/>
    </row>
    <row r="82" spans="1:45" s="48" customFormat="1" x14ac:dyDescent="0.2">
      <c r="A82" s="198" t="s">
        <v>667</v>
      </c>
      <c r="B82" s="177" t="s">
        <v>196</v>
      </c>
      <c r="C82" s="184" t="s">
        <v>64</v>
      </c>
      <c r="D82" s="178">
        <v>2</v>
      </c>
      <c r="E82" s="178">
        <v>173.7</v>
      </c>
      <c r="F82" s="178">
        <v>288.52</v>
      </c>
      <c r="G82" s="178">
        <v>248</v>
      </c>
      <c r="H82" s="181">
        <f t="shared" si="1"/>
        <v>173.7</v>
      </c>
      <c r="I82" s="49"/>
      <c r="J82" s="49"/>
      <c r="K82" s="49"/>
      <c r="L82" s="49"/>
      <c r="M82" s="49"/>
      <c r="O82" s="49"/>
    </row>
    <row r="83" spans="1:45" s="48" customFormat="1" x14ac:dyDescent="0.2">
      <c r="A83" s="198" t="s">
        <v>668</v>
      </c>
      <c r="B83" s="177" t="s">
        <v>197</v>
      </c>
      <c r="C83" s="184" t="s">
        <v>64</v>
      </c>
      <c r="D83" s="178">
        <v>2</v>
      </c>
      <c r="E83" s="178">
        <v>164.6</v>
      </c>
      <c r="F83" s="178">
        <v>228.32</v>
      </c>
      <c r="G83" s="178">
        <v>213</v>
      </c>
      <c r="H83" s="181">
        <f t="shared" si="1"/>
        <v>164.6</v>
      </c>
      <c r="I83" s="49"/>
      <c r="J83" s="49"/>
      <c r="K83" s="49"/>
      <c r="L83" s="49"/>
      <c r="M83" s="49"/>
      <c r="O83" s="49"/>
    </row>
    <row r="84" spans="1:45" s="48" customFormat="1" x14ac:dyDescent="0.2">
      <c r="A84" s="198" t="s">
        <v>669</v>
      </c>
      <c r="B84" s="177" t="s">
        <v>250</v>
      </c>
      <c r="C84" s="184" t="s">
        <v>64</v>
      </c>
      <c r="D84" s="178">
        <v>1</v>
      </c>
      <c r="E84" s="178">
        <v>423.77</v>
      </c>
      <c r="F84" s="178">
        <v>351.25</v>
      </c>
      <c r="G84" s="178">
        <v>200</v>
      </c>
      <c r="H84" s="181">
        <f t="shared" si="1"/>
        <v>200</v>
      </c>
      <c r="I84" s="49"/>
      <c r="J84" s="49"/>
      <c r="K84" s="49"/>
      <c r="L84" s="49"/>
      <c r="M84" s="49"/>
      <c r="O84" s="49"/>
    </row>
    <row r="85" spans="1:45" s="48" customFormat="1" x14ac:dyDescent="0.2">
      <c r="A85" s="198" t="s">
        <v>670</v>
      </c>
      <c r="B85" s="177" t="s">
        <v>198</v>
      </c>
      <c r="C85" s="184" t="s">
        <v>64</v>
      </c>
      <c r="D85" s="178">
        <v>1</v>
      </c>
      <c r="E85" s="178">
        <v>307.18</v>
      </c>
      <c r="F85" s="178">
        <v>746.85</v>
      </c>
      <c r="G85" s="178">
        <v>200</v>
      </c>
      <c r="H85" s="181">
        <f t="shared" si="1"/>
        <v>200</v>
      </c>
      <c r="I85" s="49"/>
      <c r="J85" s="49"/>
      <c r="K85" s="49"/>
      <c r="L85" s="49"/>
      <c r="M85" s="49"/>
      <c r="O85" s="49"/>
    </row>
    <row r="86" spans="1:45" s="48" customFormat="1" x14ac:dyDescent="0.2">
      <c r="A86" s="198" t="s">
        <v>671</v>
      </c>
      <c r="B86" s="177" t="s">
        <v>672</v>
      </c>
      <c r="C86" s="184" t="s">
        <v>64</v>
      </c>
      <c r="D86" s="178">
        <v>5</v>
      </c>
      <c r="E86" s="178">
        <v>8.33</v>
      </c>
      <c r="F86" s="178">
        <v>60.39</v>
      </c>
      <c r="G86" s="178">
        <v>5.6</v>
      </c>
      <c r="H86" s="181">
        <f t="shared" si="1"/>
        <v>5.6</v>
      </c>
      <c r="I86" s="49"/>
      <c r="J86" s="49"/>
      <c r="K86" s="49"/>
      <c r="L86" s="49"/>
      <c r="M86" s="49"/>
      <c r="N86" s="49"/>
      <c r="P86" s="49"/>
    </row>
    <row r="87" spans="1:45" s="48" customFormat="1" x14ac:dyDescent="0.2">
      <c r="A87" s="198" t="s">
        <v>673</v>
      </c>
      <c r="B87" s="177" t="s">
        <v>657</v>
      </c>
      <c r="C87" s="184" t="s">
        <v>64</v>
      </c>
      <c r="D87" s="178">
        <v>1</v>
      </c>
      <c r="E87" s="178">
        <v>2.69</v>
      </c>
      <c r="F87" s="178">
        <v>22.42</v>
      </c>
      <c r="G87" s="178">
        <v>2.1</v>
      </c>
      <c r="H87" s="181">
        <f t="shared" si="1"/>
        <v>2.1</v>
      </c>
      <c r="I87" s="49"/>
      <c r="J87" s="49"/>
      <c r="K87" s="49"/>
      <c r="L87" s="49"/>
      <c r="M87" s="49"/>
      <c r="N87" s="49"/>
      <c r="P87" s="49"/>
    </row>
    <row r="88" spans="1:45" s="48" customFormat="1" x14ac:dyDescent="0.2">
      <c r="A88" s="198" t="s">
        <v>674</v>
      </c>
      <c r="B88" s="177" t="s">
        <v>14</v>
      </c>
      <c r="C88" s="184" t="s">
        <v>64</v>
      </c>
      <c r="D88" s="178">
        <v>88</v>
      </c>
      <c r="E88" s="178">
        <v>4.9000000000000004</v>
      </c>
      <c r="F88" s="178">
        <v>9.76</v>
      </c>
      <c r="G88" s="178">
        <v>4.68</v>
      </c>
      <c r="H88" s="181">
        <f t="shared" si="1"/>
        <v>4.68</v>
      </c>
      <c r="I88" s="49"/>
      <c r="J88" s="49"/>
      <c r="K88" s="49"/>
      <c r="L88" s="49"/>
      <c r="M88" s="49"/>
      <c r="N88" s="49"/>
      <c r="P88" s="49"/>
    </row>
    <row r="89" spans="1:45" x14ac:dyDescent="0.2">
      <c r="A89" s="198"/>
      <c r="B89" s="177"/>
      <c r="C89" s="184"/>
      <c r="D89" s="178"/>
      <c r="E89" s="178"/>
      <c r="F89" s="178"/>
      <c r="G89" s="178"/>
      <c r="H89" s="181">
        <f t="shared" si="1"/>
        <v>0</v>
      </c>
      <c r="I89" s="49"/>
      <c r="J89" s="49"/>
      <c r="K89" s="49"/>
      <c r="L89" s="49"/>
      <c r="M89" s="49"/>
      <c r="O89" s="49"/>
    </row>
    <row r="90" spans="1:45" ht="15" x14ac:dyDescent="0.2">
      <c r="A90" s="196" t="s">
        <v>675</v>
      </c>
      <c r="B90" s="174" t="s">
        <v>199</v>
      </c>
      <c r="C90" s="175"/>
      <c r="D90" s="176"/>
      <c r="E90" s="176"/>
      <c r="F90" s="176"/>
      <c r="G90" s="176"/>
      <c r="H90" s="197">
        <f t="shared" si="1"/>
        <v>0</v>
      </c>
      <c r="I90" s="47"/>
      <c r="J90" s="47"/>
      <c r="K90" s="47"/>
      <c r="L90" s="47"/>
      <c r="M90" s="47"/>
      <c r="O90" s="4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</row>
    <row r="91" spans="1:45" x14ac:dyDescent="0.2">
      <c r="A91" s="201" t="s">
        <v>535</v>
      </c>
      <c r="B91" s="177" t="s">
        <v>21</v>
      </c>
      <c r="C91" s="184" t="s">
        <v>64</v>
      </c>
      <c r="D91" s="178">
        <v>3</v>
      </c>
      <c r="E91" s="178">
        <v>696</v>
      </c>
      <c r="F91" s="178">
        <v>690.67</v>
      </c>
      <c r="G91" s="178">
        <v>1000</v>
      </c>
      <c r="H91" s="181">
        <f t="shared" si="1"/>
        <v>690.67</v>
      </c>
      <c r="I91" s="49"/>
      <c r="J91" s="49"/>
      <c r="K91" s="49"/>
      <c r="L91" s="49"/>
      <c r="M91" s="49"/>
      <c r="O91" s="49"/>
    </row>
    <row r="92" spans="1:45" s="48" customFormat="1" x14ac:dyDescent="0.2">
      <c r="A92" s="201" t="s">
        <v>536</v>
      </c>
      <c r="B92" s="190" t="s">
        <v>225</v>
      </c>
      <c r="C92" s="184" t="s">
        <v>64</v>
      </c>
      <c r="D92" s="178">
        <v>3</v>
      </c>
      <c r="E92" s="178">
        <v>322</v>
      </c>
      <c r="F92" s="178">
        <v>886.88</v>
      </c>
      <c r="G92" s="178">
        <v>258.64999999999998</v>
      </c>
      <c r="H92" s="181">
        <f t="shared" si="1"/>
        <v>258.64999999999998</v>
      </c>
      <c r="I92" s="49"/>
      <c r="J92" s="49"/>
      <c r="K92" s="49"/>
      <c r="L92" s="49"/>
      <c r="M92" s="49"/>
      <c r="O92" s="49"/>
    </row>
    <row r="93" spans="1:45" s="160" customFormat="1" x14ac:dyDescent="0.2">
      <c r="A93" s="201" t="s">
        <v>537</v>
      </c>
      <c r="B93" s="177" t="s">
        <v>657</v>
      </c>
      <c r="C93" s="184" t="s">
        <v>64</v>
      </c>
      <c r="D93" s="178">
        <v>3</v>
      </c>
      <c r="E93" s="178">
        <v>2.69</v>
      </c>
      <c r="F93" s="178">
        <v>22.42</v>
      </c>
      <c r="G93" s="178">
        <v>2.1</v>
      </c>
      <c r="H93" s="181">
        <f t="shared" si="1"/>
        <v>2.1</v>
      </c>
      <c r="I93" s="49"/>
      <c r="J93" s="49"/>
      <c r="K93" s="49"/>
      <c r="L93" s="49"/>
      <c r="M93" s="49"/>
      <c r="N93" s="49"/>
      <c r="O93" s="48"/>
      <c r="P93" s="49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</row>
    <row r="94" spans="1:45" s="160" customFormat="1" x14ac:dyDescent="0.2">
      <c r="A94" s="201" t="s">
        <v>538</v>
      </c>
      <c r="B94" s="177" t="s">
        <v>14</v>
      </c>
      <c r="C94" s="184" t="s">
        <v>64</v>
      </c>
      <c r="D94" s="178">
        <v>24</v>
      </c>
      <c r="E94" s="178">
        <v>4.9000000000000004</v>
      </c>
      <c r="F94" s="178">
        <v>9.76</v>
      </c>
      <c r="G94" s="178">
        <v>4.68</v>
      </c>
      <c r="H94" s="181">
        <f t="shared" si="1"/>
        <v>4.68</v>
      </c>
      <c r="I94" s="49"/>
      <c r="J94" s="49"/>
      <c r="K94" s="49"/>
      <c r="L94" s="49"/>
      <c r="M94" s="49"/>
      <c r="N94" s="49"/>
      <c r="O94" s="48"/>
      <c r="P94" s="49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</row>
    <row r="95" spans="1:45" ht="15" x14ac:dyDescent="0.2">
      <c r="A95" s="196" t="s">
        <v>539</v>
      </c>
      <c r="B95" s="174" t="s">
        <v>226</v>
      </c>
      <c r="C95" s="175"/>
      <c r="D95" s="176"/>
      <c r="E95" s="176"/>
      <c r="F95" s="176"/>
      <c r="G95" s="176"/>
      <c r="H95" s="197">
        <f t="shared" si="1"/>
        <v>0</v>
      </c>
      <c r="I95" s="47"/>
      <c r="J95" s="47"/>
      <c r="K95" s="47"/>
      <c r="L95" s="47"/>
      <c r="M95" s="47"/>
      <c r="O95" s="4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</row>
    <row r="96" spans="1:45" x14ac:dyDescent="0.2">
      <c r="A96" s="198" t="s">
        <v>540</v>
      </c>
      <c r="B96" s="177" t="s">
        <v>24</v>
      </c>
      <c r="C96" s="184" t="s">
        <v>64</v>
      </c>
      <c r="D96" s="178">
        <v>1</v>
      </c>
      <c r="E96" s="178">
        <v>264.5</v>
      </c>
      <c r="F96" s="178">
        <v>225.87</v>
      </c>
      <c r="G96" s="178">
        <v>158.69999999999999</v>
      </c>
      <c r="H96" s="181">
        <f t="shared" si="1"/>
        <v>158.69999999999999</v>
      </c>
      <c r="I96" s="49"/>
      <c r="J96" s="49"/>
      <c r="K96" s="49"/>
      <c r="L96" s="49"/>
      <c r="M96" s="49"/>
      <c r="O96" s="49"/>
    </row>
    <row r="97" spans="1:45" x14ac:dyDescent="0.2">
      <c r="A97" s="198" t="s">
        <v>541</v>
      </c>
      <c r="B97" s="177" t="s">
        <v>25</v>
      </c>
      <c r="C97" s="184" t="s">
        <v>64</v>
      </c>
      <c r="D97" s="178">
        <v>3</v>
      </c>
      <c r="E97" s="178">
        <v>150</v>
      </c>
      <c r="F97" s="178">
        <v>149.80000000000001</v>
      </c>
      <c r="G97" s="178">
        <v>138</v>
      </c>
      <c r="H97" s="181">
        <f t="shared" si="1"/>
        <v>138</v>
      </c>
      <c r="I97" s="49"/>
      <c r="J97" s="49"/>
      <c r="K97" s="49"/>
      <c r="L97" s="49"/>
      <c r="M97" s="49"/>
      <c r="O97" s="49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</row>
    <row r="98" spans="1:45" x14ac:dyDescent="0.2">
      <c r="A98" s="198" t="s">
        <v>542</v>
      </c>
      <c r="B98" s="177" t="s">
        <v>26</v>
      </c>
      <c r="C98" s="184" t="s">
        <v>64</v>
      </c>
      <c r="D98" s="178">
        <v>2</v>
      </c>
      <c r="E98" s="178">
        <v>141</v>
      </c>
      <c r="F98" s="178">
        <v>183.04</v>
      </c>
      <c r="G98" s="178">
        <v>135</v>
      </c>
      <c r="H98" s="181">
        <f t="shared" si="1"/>
        <v>135</v>
      </c>
      <c r="I98" s="49"/>
      <c r="J98" s="49"/>
      <c r="K98" s="49"/>
      <c r="L98" s="49"/>
      <c r="M98" s="49"/>
      <c r="O98" s="49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</row>
    <row r="99" spans="1:45" x14ac:dyDescent="0.2">
      <c r="A99" s="198" t="s">
        <v>543</v>
      </c>
      <c r="B99" s="177" t="s">
        <v>27</v>
      </c>
      <c r="C99" s="184" t="s">
        <v>64</v>
      </c>
      <c r="D99" s="178">
        <v>2</v>
      </c>
      <c r="E99" s="178">
        <v>490</v>
      </c>
      <c r="F99" s="178">
        <v>477.71</v>
      </c>
      <c r="G99" s="178">
        <v>3000</v>
      </c>
      <c r="H99" s="181">
        <f t="shared" si="1"/>
        <v>477.71</v>
      </c>
      <c r="I99" s="49"/>
      <c r="J99" s="49"/>
      <c r="K99" s="49"/>
      <c r="L99" s="49"/>
      <c r="M99" s="49"/>
      <c r="O99" s="49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</row>
    <row r="100" spans="1:45" x14ac:dyDescent="0.2">
      <c r="A100" s="198" t="s">
        <v>676</v>
      </c>
      <c r="B100" s="179" t="s">
        <v>28</v>
      </c>
      <c r="C100" s="184" t="s">
        <v>64</v>
      </c>
      <c r="D100" s="178">
        <v>3</v>
      </c>
      <c r="E100" s="178">
        <v>470</v>
      </c>
      <c r="F100" s="180"/>
      <c r="G100" s="178"/>
      <c r="H100" s="181">
        <f t="shared" si="1"/>
        <v>470</v>
      </c>
      <c r="I100" s="49"/>
      <c r="J100" s="49"/>
      <c r="K100" s="49"/>
      <c r="L100" s="49"/>
      <c r="M100" s="49"/>
      <c r="O100" s="49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</row>
    <row r="101" spans="1:45" x14ac:dyDescent="0.2">
      <c r="A101" s="198" t="s">
        <v>677</v>
      </c>
      <c r="B101" s="177" t="s">
        <v>4</v>
      </c>
      <c r="C101" s="184" t="s">
        <v>64</v>
      </c>
      <c r="D101" s="178">
        <v>1</v>
      </c>
      <c r="E101" s="178">
        <v>209</v>
      </c>
      <c r="F101" s="178">
        <v>232.64</v>
      </c>
      <c r="G101" s="178">
        <v>240</v>
      </c>
      <c r="H101" s="181">
        <f t="shared" si="1"/>
        <v>209</v>
      </c>
      <c r="I101" s="49"/>
      <c r="J101" s="49"/>
      <c r="K101" s="49"/>
      <c r="L101" s="49"/>
      <c r="M101" s="49"/>
      <c r="O101" s="49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</row>
    <row r="102" spans="1:45" x14ac:dyDescent="0.2">
      <c r="A102" s="198" t="s">
        <v>678</v>
      </c>
      <c r="B102" s="177" t="s">
        <v>29</v>
      </c>
      <c r="C102" s="184" t="s">
        <v>64</v>
      </c>
      <c r="D102" s="178">
        <v>3</v>
      </c>
      <c r="E102" s="178">
        <v>538</v>
      </c>
      <c r="F102" s="178">
        <v>1579.62</v>
      </c>
      <c r="G102" s="178">
        <v>430</v>
      </c>
      <c r="H102" s="181">
        <f t="shared" si="1"/>
        <v>430</v>
      </c>
      <c r="I102" s="49"/>
      <c r="J102" s="49"/>
      <c r="K102" s="49"/>
      <c r="L102" s="49"/>
      <c r="M102" s="49"/>
      <c r="O102" s="49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</row>
    <row r="103" spans="1:45" x14ac:dyDescent="0.2">
      <c r="A103" s="198" t="s">
        <v>679</v>
      </c>
      <c r="B103" s="177" t="s">
        <v>31</v>
      </c>
      <c r="C103" s="184" t="s">
        <v>64</v>
      </c>
      <c r="D103" s="178">
        <v>1</v>
      </c>
      <c r="E103" s="178">
        <v>55</v>
      </c>
      <c r="F103" s="178">
        <v>75.319999999999993</v>
      </c>
      <c r="G103" s="178">
        <v>46</v>
      </c>
      <c r="H103" s="181">
        <f t="shared" si="1"/>
        <v>46</v>
      </c>
      <c r="I103" s="49"/>
      <c r="J103" s="49"/>
      <c r="K103" s="49"/>
      <c r="L103" s="49"/>
      <c r="M103" s="49"/>
      <c r="O103" s="49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</row>
    <row r="104" spans="1:45" x14ac:dyDescent="0.2">
      <c r="A104" s="198" t="s">
        <v>680</v>
      </c>
      <c r="B104" s="172" t="s">
        <v>32</v>
      </c>
      <c r="C104" s="171" t="s">
        <v>64</v>
      </c>
      <c r="D104" s="173">
        <v>1</v>
      </c>
      <c r="E104" s="178">
        <v>187</v>
      </c>
      <c r="F104" s="178">
        <v>204.8</v>
      </c>
      <c r="G104" s="178">
        <v>250</v>
      </c>
      <c r="H104" s="181">
        <f t="shared" si="1"/>
        <v>187</v>
      </c>
      <c r="I104" s="49"/>
      <c r="J104" s="49"/>
      <c r="K104" s="49"/>
      <c r="L104" s="49"/>
      <c r="M104" s="49"/>
      <c r="O104" s="49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</row>
    <row r="105" spans="1:45" s="48" customFormat="1" x14ac:dyDescent="0.2">
      <c r="A105" s="198" t="s">
        <v>681</v>
      </c>
      <c r="B105" s="177" t="s">
        <v>380</v>
      </c>
      <c r="C105" s="184" t="s">
        <v>65</v>
      </c>
      <c r="D105" s="178">
        <v>1</v>
      </c>
      <c r="E105" s="178">
        <v>224</v>
      </c>
      <c r="F105" s="178">
        <v>632.13</v>
      </c>
      <c r="G105" s="178">
        <v>187.2</v>
      </c>
      <c r="H105" s="181">
        <f t="shared" si="1"/>
        <v>187.2</v>
      </c>
      <c r="I105" s="49"/>
      <c r="J105" s="49"/>
      <c r="K105" s="49"/>
      <c r="L105" s="49"/>
      <c r="M105" s="49"/>
      <c r="O105" s="49"/>
    </row>
    <row r="106" spans="1:45" s="48" customFormat="1" x14ac:dyDescent="0.2">
      <c r="A106" s="198" t="s">
        <v>682</v>
      </c>
      <c r="B106" s="177" t="s">
        <v>381</v>
      </c>
      <c r="C106" s="184" t="s">
        <v>65</v>
      </c>
      <c r="D106" s="178">
        <v>2</v>
      </c>
      <c r="E106" s="178">
        <v>506.81</v>
      </c>
      <c r="F106" s="178">
        <v>1057.1199999999999</v>
      </c>
      <c r="G106" s="178">
        <v>335</v>
      </c>
      <c r="H106" s="181">
        <f t="shared" si="1"/>
        <v>335</v>
      </c>
      <c r="I106" s="49"/>
      <c r="J106" s="49"/>
      <c r="K106" s="49"/>
      <c r="L106" s="49"/>
      <c r="M106" s="49"/>
      <c r="O106" s="49"/>
    </row>
    <row r="107" spans="1:45" s="48" customFormat="1" x14ac:dyDescent="0.2">
      <c r="A107" s="198" t="s">
        <v>683</v>
      </c>
      <c r="B107" s="177" t="s">
        <v>382</v>
      </c>
      <c r="C107" s="184" t="s">
        <v>65</v>
      </c>
      <c r="D107" s="178">
        <v>2</v>
      </c>
      <c r="E107" s="178">
        <v>366.91</v>
      </c>
      <c r="F107" s="178">
        <v>981.14</v>
      </c>
      <c r="G107" s="178">
        <v>235</v>
      </c>
      <c r="H107" s="181">
        <f t="shared" si="1"/>
        <v>235</v>
      </c>
      <c r="I107" s="49"/>
      <c r="J107" s="49"/>
      <c r="K107" s="49"/>
      <c r="L107" s="49"/>
      <c r="M107" s="49"/>
      <c r="O107" s="49"/>
    </row>
    <row r="108" spans="1:45" s="48" customFormat="1" x14ac:dyDescent="0.2">
      <c r="A108" s="198" t="s">
        <v>684</v>
      </c>
      <c r="B108" s="177" t="s">
        <v>383</v>
      </c>
      <c r="C108" s="184" t="s">
        <v>65</v>
      </c>
      <c r="D108" s="178">
        <v>1</v>
      </c>
      <c r="E108" s="178">
        <v>252</v>
      </c>
      <c r="F108" s="178">
        <v>905.16</v>
      </c>
      <c r="G108" s="178">
        <v>151</v>
      </c>
      <c r="H108" s="181">
        <f t="shared" si="1"/>
        <v>151</v>
      </c>
      <c r="I108" s="49"/>
      <c r="J108" s="49"/>
      <c r="K108" s="49"/>
      <c r="L108" s="49"/>
      <c r="M108" s="49"/>
      <c r="O108" s="49"/>
    </row>
    <row r="109" spans="1:45" s="48" customFormat="1" x14ac:dyDescent="0.2">
      <c r="A109" s="198" t="s">
        <v>685</v>
      </c>
      <c r="B109" s="177" t="s">
        <v>386</v>
      </c>
      <c r="C109" s="184" t="s">
        <v>65</v>
      </c>
      <c r="D109" s="178">
        <v>1</v>
      </c>
      <c r="E109" s="178">
        <v>260.56</v>
      </c>
      <c r="F109" s="178">
        <v>905.16</v>
      </c>
      <c r="G109" s="178">
        <v>156.72999999999999</v>
      </c>
      <c r="H109" s="181">
        <f t="shared" si="1"/>
        <v>156.72999999999999</v>
      </c>
      <c r="I109" s="49"/>
      <c r="J109" s="49"/>
      <c r="K109" s="49"/>
      <c r="L109" s="49"/>
      <c r="M109" s="49"/>
      <c r="O109" s="49"/>
    </row>
    <row r="110" spans="1:45" s="48" customFormat="1" x14ac:dyDescent="0.2">
      <c r="A110" s="198" t="s">
        <v>686</v>
      </c>
      <c r="B110" s="177" t="s">
        <v>387</v>
      </c>
      <c r="C110" s="184" t="s">
        <v>65</v>
      </c>
      <c r="D110" s="178">
        <v>2</v>
      </c>
      <c r="E110" s="178">
        <v>299.7</v>
      </c>
      <c r="F110" s="178">
        <v>708.09</v>
      </c>
      <c r="G110" s="178">
        <v>1.5</v>
      </c>
      <c r="H110" s="181">
        <f t="shared" si="1"/>
        <v>1.5</v>
      </c>
      <c r="I110" s="49"/>
      <c r="J110" s="49"/>
      <c r="K110" s="49"/>
      <c r="L110" s="49"/>
      <c r="M110" s="49"/>
      <c r="O110" s="49"/>
    </row>
    <row r="111" spans="1:45" s="48" customFormat="1" x14ac:dyDescent="0.2">
      <c r="A111" s="198" t="s">
        <v>687</v>
      </c>
      <c r="B111" s="177" t="s">
        <v>659</v>
      </c>
      <c r="C111" s="184" t="s">
        <v>64</v>
      </c>
      <c r="D111" s="178">
        <v>27</v>
      </c>
      <c r="E111" s="178">
        <v>1.96</v>
      </c>
      <c r="F111" s="178">
        <v>16.02</v>
      </c>
      <c r="G111" s="178">
        <v>1.5</v>
      </c>
      <c r="H111" s="181">
        <f t="shared" si="1"/>
        <v>1.5</v>
      </c>
      <c r="I111" s="49"/>
      <c r="J111" s="49"/>
      <c r="K111" s="49"/>
      <c r="L111" s="49"/>
      <c r="M111" s="49"/>
      <c r="N111" s="49"/>
      <c r="P111" s="49"/>
    </row>
    <row r="112" spans="1:45" s="48" customFormat="1" x14ac:dyDescent="0.2">
      <c r="A112" s="198" t="s">
        <v>688</v>
      </c>
      <c r="B112" s="177" t="s">
        <v>13</v>
      </c>
      <c r="C112" s="184" t="s">
        <v>64</v>
      </c>
      <c r="D112" s="178">
        <v>216</v>
      </c>
      <c r="E112" s="178">
        <v>3.18</v>
      </c>
      <c r="F112" s="178">
        <v>6.44</v>
      </c>
      <c r="G112" s="178">
        <v>2.56</v>
      </c>
      <c r="H112" s="181">
        <f t="shared" si="1"/>
        <v>2.56</v>
      </c>
      <c r="I112" s="49"/>
      <c r="J112" s="49"/>
      <c r="K112" s="49"/>
      <c r="L112" s="49"/>
      <c r="M112" s="49"/>
      <c r="N112" s="49"/>
      <c r="P112" s="49"/>
    </row>
    <row r="113" spans="1:45" ht="15" x14ac:dyDescent="0.2">
      <c r="A113" s="196" t="s">
        <v>544</v>
      </c>
      <c r="B113" s="174" t="s">
        <v>411</v>
      </c>
      <c r="C113" s="175"/>
      <c r="D113" s="176"/>
      <c r="E113" s="176"/>
      <c r="F113" s="176"/>
      <c r="G113" s="176"/>
      <c r="H113" s="197">
        <f t="shared" si="1"/>
        <v>0</v>
      </c>
      <c r="I113" s="47"/>
      <c r="J113" s="47"/>
      <c r="K113" s="47"/>
      <c r="L113" s="47"/>
      <c r="M113" s="47"/>
      <c r="O113" s="4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</row>
    <row r="114" spans="1:45" ht="28.5" x14ac:dyDescent="0.2">
      <c r="A114" s="200" t="s">
        <v>546</v>
      </c>
      <c r="B114" s="177" t="s">
        <v>437</v>
      </c>
      <c r="C114" s="184" t="s">
        <v>64</v>
      </c>
      <c r="D114" s="178">
        <v>3</v>
      </c>
      <c r="E114" s="178">
        <v>660</v>
      </c>
      <c r="F114" s="178">
        <v>375.44</v>
      </c>
      <c r="G114" s="178">
        <v>390</v>
      </c>
      <c r="H114" s="181">
        <f t="shared" si="1"/>
        <v>375.44</v>
      </c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</row>
    <row r="115" spans="1:45" x14ac:dyDescent="0.2">
      <c r="A115" s="200" t="s">
        <v>547</v>
      </c>
      <c r="B115" s="172" t="s">
        <v>46</v>
      </c>
      <c r="C115" s="171" t="s">
        <v>64</v>
      </c>
      <c r="D115" s="173">
        <v>3</v>
      </c>
      <c r="E115" s="173">
        <v>198</v>
      </c>
      <c r="F115" s="173">
        <v>270.10000000000002</v>
      </c>
      <c r="G115" s="173">
        <v>200</v>
      </c>
      <c r="H115" s="181">
        <f t="shared" si="1"/>
        <v>198</v>
      </c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</row>
    <row r="116" spans="1:45" x14ac:dyDescent="0.2">
      <c r="A116" s="200" t="s">
        <v>548</v>
      </c>
      <c r="B116" s="172" t="s">
        <v>9</v>
      </c>
      <c r="C116" s="171" t="s">
        <v>64</v>
      </c>
      <c r="D116" s="173">
        <v>5</v>
      </c>
      <c r="E116" s="173">
        <v>153</v>
      </c>
      <c r="F116" s="173">
        <v>288.52</v>
      </c>
      <c r="G116" s="173">
        <v>248</v>
      </c>
      <c r="H116" s="181">
        <f t="shared" si="1"/>
        <v>153</v>
      </c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</row>
    <row r="117" spans="1:45" s="48" customFormat="1" x14ac:dyDescent="0.2">
      <c r="A117" s="200" t="s">
        <v>549</v>
      </c>
      <c r="B117" s="177" t="s">
        <v>211</v>
      </c>
      <c r="C117" s="184" t="s">
        <v>64</v>
      </c>
      <c r="D117" s="178">
        <v>1</v>
      </c>
      <c r="E117" s="178">
        <v>1979.8</v>
      </c>
      <c r="F117" s="178">
        <v>2436.48</v>
      </c>
      <c r="G117" s="178">
        <v>2100</v>
      </c>
      <c r="H117" s="181">
        <f t="shared" si="1"/>
        <v>1979.8</v>
      </c>
      <c r="I117" s="47"/>
      <c r="J117" s="47"/>
      <c r="K117" s="47"/>
      <c r="L117" s="47"/>
      <c r="M117" s="47"/>
      <c r="O117" s="47"/>
    </row>
    <row r="118" spans="1:45" s="48" customFormat="1" x14ac:dyDescent="0.2">
      <c r="A118" s="200" t="s">
        <v>689</v>
      </c>
      <c r="B118" s="177" t="s">
        <v>212</v>
      </c>
      <c r="C118" s="184" t="s">
        <v>64</v>
      </c>
      <c r="D118" s="178">
        <v>1</v>
      </c>
      <c r="E118" s="178">
        <v>2248</v>
      </c>
      <c r="F118" s="178">
        <v>2907.9</v>
      </c>
      <c r="G118" s="178">
        <v>2200</v>
      </c>
      <c r="H118" s="181">
        <f t="shared" si="1"/>
        <v>2200</v>
      </c>
      <c r="I118" s="47"/>
      <c r="J118" s="47"/>
      <c r="K118" s="47"/>
      <c r="L118" s="47"/>
      <c r="M118" s="47"/>
      <c r="O118" s="47"/>
    </row>
    <row r="119" spans="1:45" s="48" customFormat="1" x14ac:dyDescent="0.2">
      <c r="A119" s="200" t="s">
        <v>690</v>
      </c>
      <c r="B119" s="177" t="s">
        <v>213</v>
      </c>
      <c r="C119" s="184" t="s">
        <v>64</v>
      </c>
      <c r="D119" s="178">
        <v>1</v>
      </c>
      <c r="E119" s="178">
        <v>1443.6</v>
      </c>
      <c r="F119" s="178">
        <v>2271.63</v>
      </c>
      <c r="G119" s="178">
        <v>1296.1099999999999</v>
      </c>
      <c r="H119" s="181">
        <f t="shared" si="1"/>
        <v>1296.1099999999999</v>
      </c>
      <c r="I119" s="47"/>
      <c r="J119" s="47"/>
      <c r="K119" s="47"/>
      <c r="L119" s="47"/>
      <c r="M119" s="47"/>
      <c r="O119" s="47"/>
    </row>
    <row r="120" spans="1:45" s="48" customFormat="1" x14ac:dyDescent="0.2">
      <c r="A120" s="200" t="s">
        <v>691</v>
      </c>
      <c r="B120" s="177" t="s">
        <v>214</v>
      </c>
      <c r="C120" s="184" t="s">
        <v>64</v>
      </c>
      <c r="D120" s="178">
        <v>3</v>
      </c>
      <c r="E120" s="178">
        <v>378</v>
      </c>
      <c r="F120" s="178">
        <v>605.08000000000004</v>
      </c>
      <c r="G120" s="178">
        <v>698</v>
      </c>
      <c r="H120" s="181">
        <f t="shared" si="1"/>
        <v>378</v>
      </c>
    </row>
    <row r="121" spans="1:45" s="48" customFormat="1" x14ac:dyDescent="0.2">
      <c r="A121" s="200" t="s">
        <v>692</v>
      </c>
      <c r="B121" s="177" t="s">
        <v>215</v>
      </c>
      <c r="C121" s="184" t="s">
        <v>64</v>
      </c>
      <c r="D121" s="178">
        <v>1</v>
      </c>
      <c r="E121" s="178">
        <v>705.25</v>
      </c>
      <c r="F121" s="178">
        <v>603.83000000000004</v>
      </c>
      <c r="G121" s="178">
        <v>921.9</v>
      </c>
      <c r="H121" s="181">
        <f t="shared" si="1"/>
        <v>603.83000000000004</v>
      </c>
    </row>
    <row r="122" spans="1:45" s="48" customFormat="1" x14ac:dyDescent="0.2">
      <c r="A122" s="200" t="s">
        <v>693</v>
      </c>
      <c r="B122" s="177" t="s">
        <v>216</v>
      </c>
      <c r="C122" s="184" t="s">
        <v>64</v>
      </c>
      <c r="D122" s="178">
        <v>2</v>
      </c>
      <c r="E122" s="178">
        <v>360</v>
      </c>
      <c r="F122" s="178">
        <v>601.37</v>
      </c>
      <c r="G122" s="178">
        <v>762</v>
      </c>
      <c r="H122" s="181">
        <f t="shared" si="1"/>
        <v>360</v>
      </c>
    </row>
    <row r="123" spans="1:45" s="48" customFormat="1" x14ac:dyDescent="0.2">
      <c r="A123" s="200" t="s">
        <v>694</v>
      </c>
      <c r="B123" s="185" t="s">
        <v>574</v>
      </c>
      <c r="C123" s="184" t="s">
        <v>64</v>
      </c>
      <c r="D123" s="178">
        <v>1</v>
      </c>
      <c r="E123" s="178">
        <v>1489.62</v>
      </c>
      <c r="F123" s="178">
        <v>2373.42</v>
      </c>
      <c r="G123" s="178">
        <v>2670</v>
      </c>
      <c r="H123" s="181">
        <f t="shared" si="1"/>
        <v>1489.62</v>
      </c>
    </row>
    <row r="124" spans="1:45" s="48" customFormat="1" x14ac:dyDescent="0.2">
      <c r="A124" s="200" t="s">
        <v>695</v>
      </c>
      <c r="B124" s="172" t="s">
        <v>217</v>
      </c>
      <c r="C124" s="171" t="s">
        <v>64</v>
      </c>
      <c r="D124" s="173">
        <v>1</v>
      </c>
      <c r="E124" s="178">
        <v>186</v>
      </c>
      <c r="F124" s="178">
        <v>532.08000000000004</v>
      </c>
      <c r="G124" s="178">
        <v>162</v>
      </c>
      <c r="H124" s="181">
        <f t="shared" si="1"/>
        <v>162</v>
      </c>
      <c r="I124" s="47"/>
      <c r="J124" s="47"/>
      <c r="K124" s="47"/>
      <c r="L124" s="47"/>
      <c r="M124" s="47"/>
      <c r="O124" s="47"/>
    </row>
    <row r="125" spans="1:45" s="48" customFormat="1" x14ac:dyDescent="0.2">
      <c r="A125" s="200" t="s">
        <v>696</v>
      </c>
      <c r="B125" s="188" t="s">
        <v>444</v>
      </c>
      <c r="C125" s="184" t="s">
        <v>64</v>
      </c>
      <c r="D125" s="178">
        <v>2</v>
      </c>
      <c r="E125" s="178">
        <v>234</v>
      </c>
      <c r="F125" s="178">
        <v>419.25</v>
      </c>
      <c r="G125" s="178">
        <v>570</v>
      </c>
      <c r="H125" s="181">
        <f t="shared" si="1"/>
        <v>234</v>
      </c>
    </row>
    <row r="126" spans="1:45" s="48" customFormat="1" x14ac:dyDescent="0.2">
      <c r="A126" s="200" t="s">
        <v>697</v>
      </c>
      <c r="B126" s="177" t="s">
        <v>218</v>
      </c>
      <c r="C126" s="184" t="s">
        <v>64</v>
      </c>
      <c r="D126" s="178">
        <v>1</v>
      </c>
      <c r="E126" s="178">
        <v>1010</v>
      </c>
      <c r="F126" s="178">
        <v>1418.71</v>
      </c>
      <c r="G126" s="178">
        <v>910.56</v>
      </c>
      <c r="H126" s="181">
        <f t="shared" si="1"/>
        <v>910.56</v>
      </c>
      <c r="I126" s="47"/>
      <c r="J126" s="47"/>
      <c r="K126" s="47"/>
      <c r="L126" s="47"/>
      <c r="M126" s="47"/>
      <c r="O126" s="47"/>
    </row>
    <row r="127" spans="1:45" s="48" customFormat="1" x14ac:dyDescent="0.2">
      <c r="A127" s="200" t="s">
        <v>698</v>
      </c>
      <c r="B127" s="177" t="s">
        <v>219</v>
      </c>
      <c r="C127" s="184" t="s">
        <v>64</v>
      </c>
      <c r="D127" s="178">
        <v>1</v>
      </c>
      <c r="E127" s="178">
        <v>117</v>
      </c>
      <c r="F127" s="178">
        <v>228.32</v>
      </c>
      <c r="G127" s="178">
        <v>234.37</v>
      </c>
      <c r="H127" s="181">
        <f t="shared" si="1"/>
        <v>117</v>
      </c>
      <c r="I127" s="47"/>
      <c r="J127" s="47"/>
      <c r="K127" s="47"/>
      <c r="L127" s="47"/>
      <c r="M127" s="47"/>
      <c r="O127" s="47"/>
    </row>
    <row r="128" spans="1:45" s="48" customFormat="1" x14ac:dyDescent="0.2">
      <c r="A128" s="200" t="s">
        <v>699</v>
      </c>
      <c r="B128" s="188" t="s">
        <v>9</v>
      </c>
      <c r="C128" s="184" t="s">
        <v>64</v>
      </c>
      <c r="D128" s="178">
        <v>1</v>
      </c>
      <c r="E128" s="178">
        <v>153</v>
      </c>
      <c r="F128" s="178">
        <v>288.52</v>
      </c>
      <c r="G128" s="178">
        <v>248</v>
      </c>
      <c r="H128" s="181">
        <f t="shared" si="1"/>
        <v>153</v>
      </c>
    </row>
    <row r="129" spans="1:45" s="48" customFormat="1" x14ac:dyDescent="0.2">
      <c r="A129" s="200" t="s">
        <v>700</v>
      </c>
      <c r="B129" s="188" t="s">
        <v>220</v>
      </c>
      <c r="C129" s="184" t="s">
        <v>64</v>
      </c>
      <c r="D129" s="178">
        <v>1</v>
      </c>
      <c r="E129" s="178">
        <v>264</v>
      </c>
      <c r="F129" s="178">
        <v>242.17</v>
      </c>
      <c r="G129" s="178">
        <v>315</v>
      </c>
      <c r="H129" s="181">
        <f t="shared" si="1"/>
        <v>242.17</v>
      </c>
    </row>
    <row r="130" spans="1:45" s="48" customFormat="1" x14ac:dyDescent="0.2">
      <c r="A130" s="200" t="s">
        <v>701</v>
      </c>
      <c r="B130" s="177" t="s">
        <v>221</v>
      </c>
      <c r="C130" s="184" t="s">
        <v>64</v>
      </c>
      <c r="D130" s="178">
        <v>1</v>
      </c>
      <c r="E130" s="178">
        <v>249.18</v>
      </c>
      <c r="F130" s="178">
        <v>387.58</v>
      </c>
      <c r="G130" s="178">
        <v>414.98</v>
      </c>
      <c r="H130" s="181">
        <f t="shared" si="1"/>
        <v>249.18</v>
      </c>
      <c r="I130" s="47"/>
      <c r="J130" s="47"/>
      <c r="K130" s="47"/>
      <c r="L130" s="47"/>
      <c r="M130" s="47"/>
      <c r="O130" s="47"/>
    </row>
    <row r="131" spans="1:45" x14ac:dyDescent="0.2">
      <c r="A131" s="203"/>
      <c r="B131" s="204"/>
      <c r="C131" s="204"/>
      <c r="D131" s="204"/>
      <c r="E131" s="204"/>
      <c r="F131" s="204"/>
      <c r="G131" s="204"/>
      <c r="H131" s="204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</row>
    <row r="132" spans="1:45" x14ac:dyDescent="0.2">
      <c r="A132" s="203"/>
      <c r="B132" s="204"/>
      <c r="C132" s="204"/>
      <c r="D132" s="204"/>
      <c r="E132" s="204"/>
      <c r="F132" s="204"/>
      <c r="G132" s="204"/>
      <c r="H132" s="204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</row>
    <row r="133" spans="1:45" x14ac:dyDescent="0.2">
      <c r="A133" s="203"/>
      <c r="B133" s="204"/>
      <c r="C133" s="204"/>
      <c r="D133" s="204"/>
      <c r="E133" s="204"/>
      <c r="F133" s="204"/>
      <c r="G133" s="204"/>
      <c r="H133" s="204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</row>
    <row r="134" spans="1:45" x14ac:dyDescent="0.2">
      <c r="A134" s="203"/>
      <c r="B134" s="204"/>
      <c r="C134" s="204"/>
      <c r="D134" s="204"/>
      <c r="E134" s="204"/>
      <c r="F134" s="204"/>
      <c r="G134" s="204"/>
      <c r="H134" s="204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</row>
    <row r="135" spans="1:45" x14ac:dyDescent="0.2">
      <c r="A135" s="203"/>
      <c r="B135" s="204"/>
      <c r="C135" s="204"/>
      <c r="D135" s="204"/>
      <c r="E135" s="204"/>
      <c r="F135" s="204"/>
      <c r="G135" s="204"/>
      <c r="H135" s="204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</row>
    <row r="136" spans="1:45" x14ac:dyDescent="0.2">
      <c r="A136" s="203"/>
      <c r="B136" s="204"/>
      <c r="C136" s="204"/>
      <c r="D136" s="204"/>
      <c r="E136" s="204"/>
      <c r="F136" s="204"/>
      <c r="G136" s="204"/>
      <c r="H136" s="204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</row>
    <row r="137" spans="1:45" x14ac:dyDescent="0.2">
      <c r="A137" s="203"/>
      <c r="B137" s="204"/>
      <c r="C137" s="204"/>
      <c r="D137" s="204"/>
      <c r="E137" s="204"/>
      <c r="F137" s="204"/>
      <c r="G137" s="204"/>
      <c r="H137" s="204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</row>
    <row r="138" spans="1:45" x14ac:dyDescent="0.2">
      <c r="A138" s="203"/>
      <c r="B138" s="204"/>
      <c r="C138" s="204"/>
      <c r="D138" s="204"/>
      <c r="E138" s="204"/>
      <c r="F138" s="204"/>
      <c r="G138" s="204"/>
      <c r="H138" s="204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</row>
    <row r="139" spans="1:45" x14ac:dyDescent="0.2">
      <c r="A139" s="203"/>
      <c r="B139" s="204"/>
      <c r="C139" s="204"/>
      <c r="D139" s="204"/>
      <c r="E139" s="204"/>
      <c r="F139" s="204"/>
      <c r="G139" s="204"/>
      <c r="H139" s="204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</row>
    <row r="140" spans="1:45" x14ac:dyDescent="0.2">
      <c r="A140" s="203"/>
      <c r="B140" s="204"/>
      <c r="C140" s="204"/>
      <c r="D140" s="204"/>
      <c r="E140" s="204"/>
      <c r="F140" s="204"/>
      <c r="G140" s="204"/>
      <c r="H140" s="204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</row>
    <row r="141" spans="1:45" x14ac:dyDescent="0.2">
      <c r="A141" s="203"/>
      <c r="B141" s="204"/>
      <c r="C141" s="204"/>
      <c r="D141" s="204"/>
      <c r="E141" s="204"/>
      <c r="F141" s="204"/>
      <c r="G141" s="204"/>
      <c r="H141" s="204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</row>
    <row r="142" spans="1:45" x14ac:dyDescent="0.2">
      <c r="A142" s="203"/>
      <c r="B142" s="204"/>
      <c r="C142" s="204"/>
      <c r="D142" s="204"/>
      <c r="E142" s="204"/>
      <c r="F142" s="204"/>
      <c r="G142" s="204"/>
      <c r="H142" s="204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</row>
    <row r="143" spans="1:45" x14ac:dyDescent="0.2">
      <c r="A143" s="203"/>
      <c r="B143" s="204"/>
      <c r="C143" s="204"/>
      <c r="D143" s="204"/>
      <c r="E143" s="204"/>
      <c r="F143" s="204"/>
      <c r="G143" s="204"/>
      <c r="H143" s="204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</row>
    <row r="144" spans="1:45" x14ac:dyDescent="0.2">
      <c r="A144" s="203"/>
      <c r="B144" s="204"/>
      <c r="C144" s="204"/>
      <c r="D144" s="204"/>
      <c r="E144" s="204"/>
      <c r="F144" s="204"/>
      <c r="G144" s="204"/>
      <c r="H144" s="204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</row>
    <row r="145" spans="1:45" x14ac:dyDescent="0.2">
      <c r="A145" s="203"/>
      <c r="B145" s="204"/>
      <c r="C145" s="204"/>
      <c r="D145" s="204"/>
      <c r="E145" s="204"/>
      <c r="F145" s="204"/>
      <c r="G145" s="204"/>
      <c r="H145" s="204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</row>
    <row r="146" spans="1:45" x14ac:dyDescent="0.2">
      <c r="A146" s="203"/>
      <c r="B146" s="204"/>
      <c r="C146" s="204"/>
      <c r="D146" s="204"/>
      <c r="E146" s="204"/>
      <c r="F146" s="204"/>
      <c r="G146" s="204"/>
      <c r="H146" s="204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</row>
    <row r="147" spans="1:45" x14ac:dyDescent="0.2">
      <c r="A147" s="9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</row>
    <row r="148" spans="1:45" x14ac:dyDescent="0.2">
      <c r="A148" s="9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</row>
    <row r="149" spans="1:45" x14ac:dyDescent="0.2">
      <c r="A149" s="9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</row>
    <row r="150" spans="1:45" x14ac:dyDescent="0.2">
      <c r="A150" s="9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</row>
    <row r="151" spans="1:45" x14ac:dyDescent="0.2">
      <c r="A151" s="9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</row>
    <row r="152" spans="1:45" x14ac:dyDescent="0.2">
      <c r="A152" s="9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</row>
    <row r="153" spans="1:45" x14ac:dyDescent="0.2">
      <c r="A153" s="9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</row>
    <row r="154" spans="1:45" x14ac:dyDescent="0.2">
      <c r="A154" s="9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</row>
    <row r="155" spans="1:45" x14ac:dyDescent="0.2">
      <c r="A155" s="9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</row>
    <row r="156" spans="1:45" x14ac:dyDescent="0.2">
      <c r="A156" s="9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</row>
    <row r="157" spans="1:45" x14ac:dyDescent="0.2">
      <c r="A157" s="9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</row>
    <row r="158" spans="1:45" x14ac:dyDescent="0.2">
      <c r="A158" s="9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</row>
    <row r="159" spans="1:45" x14ac:dyDescent="0.2">
      <c r="A159" s="9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</row>
    <row r="160" spans="1:45" x14ac:dyDescent="0.2">
      <c r="A160" s="9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</row>
    <row r="161" spans="1:45" x14ac:dyDescent="0.2">
      <c r="A161" s="9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</row>
    <row r="162" spans="1:45" x14ac:dyDescent="0.2">
      <c r="A162" s="9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</row>
    <row r="163" spans="1:45" x14ac:dyDescent="0.2">
      <c r="A163" s="9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</row>
    <row r="164" spans="1:45" x14ac:dyDescent="0.2">
      <c r="A164" s="9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</row>
    <row r="165" spans="1:45" x14ac:dyDescent="0.2">
      <c r="A165" s="9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</row>
    <row r="166" spans="1:45" x14ac:dyDescent="0.2">
      <c r="A166" s="9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</row>
    <row r="167" spans="1:45" x14ac:dyDescent="0.2">
      <c r="A167" s="9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</row>
    <row r="168" spans="1:45" x14ac:dyDescent="0.2">
      <c r="A168" s="9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</row>
    <row r="169" spans="1:45" x14ac:dyDescent="0.2">
      <c r="A169" s="9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</row>
    <row r="170" spans="1:45" x14ac:dyDescent="0.2">
      <c r="A170" s="9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</row>
    <row r="171" spans="1:45" x14ac:dyDescent="0.2">
      <c r="A171" s="9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</row>
    <row r="172" spans="1:45" x14ac:dyDescent="0.2">
      <c r="A172" s="9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</row>
    <row r="173" spans="1:45" x14ac:dyDescent="0.2">
      <c r="A173" s="9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</row>
    <row r="174" spans="1:45" x14ac:dyDescent="0.2">
      <c r="A174" s="9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</row>
    <row r="175" spans="1:45" x14ac:dyDescent="0.2">
      <c r="A175" s="9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</row>
    <row r="176" spans="1:45" x14ac:dyDescent="0.2">
      <c r="A176" s="9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</row>
    <row r="177" spans="1:45" x14ac:dyDescent="0.2">
      <c r="A177" s="9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</row>
    <row r="178" spans="1:45" x14ac:dyDescent="0.2">
      <c r="A178" s="9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</row>
    <row r="179" spans="1:45" x14ac:dyDescent="0.2">
      <c r="A179" s="9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</row>
    <row r="180" spans="1:45" x14ac:dyDescent="0.2">
      <c r="A180" s="9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</row>
    <row r="181" spans="1:45" x14ac:dyDescent="0.2">
      <c r="A181" s="9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</row>
    <row r="182" spans="1:45" x14ac:dyDescent="0.2">
      <c r="A182" s="9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</row>
    <row r="183" spans="1:45" x14ac:dyDescent="0.2">
      <c r="A183" s="9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</row>
    <row r="184" spans="1:45" x14ac:dyDescent="0.2">
      <c r="A184" s="9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</row>
    <row r="185" spans="1:45" x14ac:dyDescent="0.2">
      <c r="A185" s="9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</row>
    <row r="186" spans="1:45" x14ac:dyDescent="0.2">
      <c r="A186" s="9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</row>
    <row r="187" spans="1:45" x14ac:dyDescent="0.2">
      <c r="A187" s="9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</row>
    <row r="188" spans="1:45" x14ac:dyDescent="0.2">
      <c r="A188" s="9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</row>
    <row r="189" spans="1:45" x14ac:dyDescent="0.2">
      <c r="A189" s="9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</row>
    <row r="190" spans="1:45" x14ac:dyDescent="0.2">
      <c r="A190" s="9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</row>
    <row r="191" spans="1:45" x14ac:dyDescent="0.2">
      <c r="A191" s="9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</row>
    <row r="192" spans="1:45" x14ac:dyDescent="0.2">
      <c r="A192" s="9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</row>
    <row r="193" spans="1:45" x14ac:dyDescent="0.2">
      <c r="A193" s="9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</row>
    <row r="194" spans="1:45" x14ac:dyDescent="0.2">
      <c r="A194" s="9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</row>
    <row r="195" spans="1:45" x14ac:dyDescent="0.2">
      <c r="A195" s="9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</row>
    <row r="196" spans="1:45" x14ac:dyDescent="0.2">
      <c r="A196" s="9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</row>
    <row r="197" spans="1:45" x14ac:dyDescent="0.2">
      <c r="A197" s="9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</row>
    <row r="198" spans="1:45" x14ac:dyDescent="0.2">
      <c r="A198" s="9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</row>
    <row r="199" spans="1:45" x14ac:dyDescent="0.2">
      <c r="A199" s="9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</row>
    <row r="200" spans="1:45" x14ac:dyDescent="0.2">
      <c r="A200" s="9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</row>
    <row r="201" spans="1:45" x14ac:dyDescent="0.2">
      <c r="A201" s="9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</row>
    <row r="202" spans="1:45" x14ac:dyDescent="0.2">
      <c r="A202" s="9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</row>
    <row r="203" spans="1:45" x14ac:dyDescent="0.2">
      <c r="A203" s="9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</row>
    <row r="204" spans="1:45" x14ac:dyDescent="0.2">
      <c r="A204" s="9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</row>
    <row r="205" spans="1:45" x14ac:dyDescent="0.2">
      <c r="A205" s="9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</row>
    <row r="206" spans="1:45" x14ac:dyDescent="0.2">
      <c r="A206" s="9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</row>
    <row r="207" spans="1:45" x14ac:dyDescent="0.2">
      <c r="A207" s="9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</row>
    <row r="208" spans="1:45" x14ac:dyDescent="0.2">
      <c r="A208" s="9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</row>
  </sheetData>
  <mergeCells count="13">
    <mergeCell ref="G9:G11"/>
    <mergeCell ref="H9:H11"/>
    <mergeCell ref="I11:L11"/>
    <mergeCell ref="A1:H1"/>
    <mergeCell ref="G3:H3"/>
    <mergeCell ref="A5:H5"/>
    <mergeCell ref="A7:H7"/>
    <mergeCell ref="A9:A11"/>
    <mergeCell ref="B9:B11"/>
    <mergeCell ref="C9:C11"/>
    <mergeCell ref="D9:D11"/>
    <mergeCell ref="E9:E11"/>
    <mergeCell ref="F9:F11"/>
  </mergeCells>
  <pageMargins left="0.511811024" right="0.511811024" top="0.78740157499999996" bottom="0.78740157499999996" header="0.31496062000000002" footer="0.31496062000000002"/>
  <pageSetup paperSize="9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N13"/>
  <sheetViews>
    <sheetView workbookViewId="0">
      <selection activeCell="B12" sqref="B12"/>
    </sheetView>
  </sheetViews>
  <sheetFormatPr defaultRowHeight="12.75" x14ac:dyDescent="0.2"/>
  <cols>
    <col min="2" max="2" width="19.140625" bestFit="1" customWidth="1"/>
    <col min="14" max="14" width="10.28515625" bestFit="1" customWidth="1"/>
  </cols>
  <sheetData>
    <row r="4" spans="2:14" x14ac:dyDescent="0.2">
      <c r="C4" t="s">
        <v>1366</v>
      </c>
    </row>
    <row r="6" spans="2:14" x14ac:dyDescent="0.2">
      <c r="B6" s="353"/>
      <c r="C6" s="354" t="s">
        <v>1368</v>
      </c>
      <c r="D6" s="354" t="s">
        <v>1367</v>
      </c>
      <c r="E6" s="354" t="s">
        <v>1369</v>
      </c>
      <c r="F6" s="354" t="s">
        <v>1370</v>
      </c>
      <c r="G6" s="354" t="s">
        <v>1371</v>
      </c>
      <c r="H6" s="354" t="s">
        <v>1372</v>
      </c>
      <c r="I6" s="354" t="s">
        <v>1373</v>
      </c>
      <c r="J6" s="354" t="s">
        <v>1374</v>
      </c>
      <c r="K6" s="354" t="s">
        <v>1375</v>
      </c>
      <c r="L6" s="354" t="s">
        <v>1376</v>
      </c>
      <c r="M6" s="354" t="s">
        <v>1377</v>
      </c>
      <c r="N6" s="355" t="s">
        <v>1385</v>
      </c>
    </row>
    <row r="7" spans="2:14" x14ac:dyDescent="0.2">
      <c r="B7" s="353" t="s">
        <v>1378</v>
      </c>
      <c r="C7" s="356">
        <f>8954+906</f>
        <v>9860</v>
      </c>
      <c r="D7" s="356">
        <f>231+2302</f>
        <v>2533</v>
      </c>
      <c r="E7" s="356">
        <f>714+7130</f>
        <v>7844</v>
      </c>
      <c r="F7" s="356">
        <f>263+2616</f>
        <v>2879</v>
      </c>
      <c r="G7" s="356">
        <f>282+2771</f>
        <v>3053</v>
      </c>
      <c r="H7" s="356">
        <f>333+3308</f>
        <v>3641</v>
      </c>
      <c r="I7" s="356">
        <f>60+612</f>
        <v>672</v>
      </c>
      <c r="J7" s="356">
        <f>67+679</f>
        <v>746</v>
      </c>
      <c r="K7" s="356">
        <f>41+417</f>
        <v>458</v>
      </c>
      <c r="L7" s="356">
        <f>62+629</f>
        <v>691</v>
      </c>
      <c r="M7" s="356">
        <f>214+2103</f>
        <v>2317</v>
      </c>
      <c r="N7" s="357">
        <f>SUM(C7:M7)</f>
        <v>34694</v>
      </c>
    </row>
    <row r="8" spans="2:14" x14ac:dyDescent="0.2">
      <c r="B8" s="353" t="s">
        <v>1379</v>
      </c>
      <c r="C8" s="356">
        <v>8954</v>
      </c>
      <c r="D8" s="356">
        <v>2302</v>
      </c>
      <c r="E8" s="356">
        <v>7130</v>
      </c>
      <c r="F8" s="356">
        <v>2616</v>
      </c>
      <c r="G8" s="356">
        <v>2771</v>
      </c>
      <c r="H8" s="356">
        <v>3308</v>
      </c>
      <c r="I8" s="356">
        <v>62</v>
      </c>
      <c r="J8" s="356">
        <v>679</v>
      </c>
      <c r="K8" s="356">
        <v>417</v>
      </c>
      <c r="L8" s="356">
        <v>629</v>
      </c>
      <c r="M8" s="356">
        <v>2103</v>
      </c>
      <c r="N8" s="357">
        <f t="shared" ref="N8:N13" si="0">SUM(C8:M8)</f>
        <v>30971</v>
      </c>
    </row>
    <row r="9" spans="2:14" x14ac:dyDescent="0.2">
      <c r="B9" s="353" t="s">
        <v>1383</v>
      </c>
      <c r="C9" s="356">
        <v>3544</v>
      </c>
      <c r="D9" s="356">
        <v>1853</v>
      </c>
      <c r="E9" s="356">
        <v>2403</v>
      </c>
      <c r="F9" s="356">
        <v>1605</v>
      </c>
      <c r="G9" s="356">
        <v>2098</v>
      </c>
      <c r="H9" s="356">
        <v>5443</v>
      </c>
      <c r="I9" s="356">
        <v>568</v>
      </c>
      <c r="J9" s="356">
        <v>572</v>
      </c>
      <c r="K9" s="356">
        <v>389</v>
      </c>
      <c r="L9" s="356">
        <v>442</v>
      </c>
      <c r="M9" s="356">
        <v>1936</v>
      </c>
      <c r="N9" s="357">
        <f t="shared" si="0"/>
        <v>20853</v>
      </c>
    </row>
    <row r="10" spans="2:14" x14ac:dyDescent="0.2">
      <c r="B10" s="353" t="s">
        <v>1380</v>
      </c>
      <c r="C10" s="356">
        <v>4591</v>
      </c>
      <c r="D10" s="356">
        <v>2407</v>
      </c>
      <c r="E10" s="356">
        <v>4868</v>
      </c>
      <c r="F10" s="356">
        <v>4265</v>
      </c>
      <c r="G10" s="356">
        <v>2501</v>
      </c>
      <c r="H10" s="356">
        <v>0</v>
      </c>
      <c r="I10" s="356">
        <v>0</v>
      </c>
      <c r="J10" s="356">
        <v>460</v>
      </c>
      <c r="K10" s="356">
        <v>39</v>
      </c>
      <c r="L10" s="356">
        <v>749</v>
      </c>
      <c r="M10" s="356">
        <v>423</v>
      </c>
      <c r="N10" s="357">
        <f t="shared" si="0"/>
        <v>20303</v>
      </c>
    </row>
    <row r="11" spans="2:14" x14ac:dyDescent="0.2">
      <c r="B11" s="353" t="s">
        <v>1381</v>
      </c>
      <c r="C11" s="356">
        <v>4253</v>
      </c>
      <c r="D11" s="356">
        <v>0</v>
      </c>
      <c r="E11" s="356">
        <v>2358</v>
      </c>
      <c r="F11" s="356">
        <v>0</v>
      </c>
      <c r="G11" s="356">
        <v>2390</v>
      </c>
      <c r="H11" s="356">
        <v>0</v>
      </c>
      <c r="I11" s="356">
        <v>0</v>
      </c>
      <c r="J11" s="356">
        <v>0</v>
      </c>
      <c r="K11" s="356">
        <v>0</v>
      </c>
      <c r="L11" s="356">
        <v>0</v>
      </c>
      <c r="M11" s="356">
        <v>0</v>
      </c>
      <c r="N11" s="357">
        <f t="shared" si="0"/>
        <v>9001</v>
      </c>
    </row>
    <row r="12" spans="2:14" x14ac:dyDescent="0.2">
      <c r="B12" s="353" t="s">
        <v>1382</v>
      </c>
      <c r="C12" s="356">
        <v>2735</v>
      </c>
      <c r="D12" s="356">
        <v>0</v>
      </c>
      <c r="E12" s="356">
        <v>5857</v>
      </c>
      <c r="F12" s="356">
        <v>0</v>
      </c>
      <c r="G12" s="356">
        <v>0</v>
      </c>
      <c r="H12" s="356">
        <v>0</v>
      </c>
      <c r="I12" s="356">
        <v>0</v>
      </c>
      <c r="J12" s="356">
        <v>0</v>
      </c>
      <c r="K12" s="356">
        <v>0</v>
      </c>
      <c r="L12" s="356">
        <v>0</v>
      </c>
      <c r="M12" s="356">
        <v>0</v>
      </c>
      <c r="N12" s="357">
        <f t="shared" si="0"/>
        <v>8592</v>
      </c>
    </row>
    <row r="13" spans="2:14" x14ac:dyDescent="0.2">
      <c r="B13" s="353" t="s">
        <v>1384</v>
      </c>
      <c r="C13" s="356">
        <v>2628</v>
      </c>
      <c r="D13" s="356">
        <v>0</v>
      </c>
      <c r="E13" s="356">
        <v>0</v>
      </c>
      <c r="F13" s="356">
        <v>0</v>
      </c>
      <c r="G13" s="356">
        <v>0</v>
      </c>
      <c r="H13" s="356">
        <v>0</v>
      </c>
      <c r="I13" s="356">
        <v>0</v>
      </c>
      <c r="J13" s="356">
        <v>0</v>
      </c>
      <c r="K13" s="356">
        <v>0</v>
      </c>
      <c r="L13" s="356">
        <v>0</v>
      </c>
      <c r="M13" s="356">
        <v>0</v>
      </c>
      <c r="N13" s="357">
        <f t="shared" si="0"/>
        <v>2628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360"/>
  <sheetViews>
    <sheetView topLeftCell="A319" workbookViewId="0">
      <selection activeCell="D343" sqref="D343"/>
    </sheetView>
  </sheetViews>
  <sheetFormatPr defaultRowHeight="12.75" x14ac:dyDescent="0.2"/>
  <cols>
    <col min="1" max="2" width="8.140625" bestFit="1" customWidth="1"/>
    <col min="3" max="3" width="6" customWidth="1"/>
    <col min="4" max="4" width="8.7109375" bestFit="1" customWidth="1"/>
    <col min="5" max="5" width="10.140625" bestFit="1" customWidth="1"/>
    <col min="6" max="7" width="8" bestFit="1" customWidth="1"/>
    <col min="8" max="8" width="4" bestFit="1" customWidth="1"/>
    <col min="9" max="9" width="7" customWidth="1"/>
    <col min="10" max="10" width="9" customWidth="1"/>
    <col min="11" max="13" width="5" customWidth="1"/>
    <col min="14" max="14" width="3" customWidth="1"/>
    <col min="15" max="16" width="3" bestFit="1" customWidth="1"/>
    <col min="17" max="17" width="12.140625" style="363" customWidth="1"/>
    <col min="18" max="18" width="2.7109375" customWidth="1"/>
    <col min="19" max="20" width="2" bestFit="1" customWidth="1"/>
    <col min="21" max="21" width="14.85546875" customWidth="1"/>
    <col min="22" max="22" width="16.42578125" customWidth="1"/>
    <col min="23" max="23" width="14.85546875" customWidth="1"/>
    <col min="24" max="24" width="25.85546875" customWidth="1"/>
    <col min="25" max="25" width="6" customWidth="1"/>
    <col min="26" max="26" width="5" bestFit="1" customWidth="1"/>
  </cols>
  <sheetData>
    <row r="2" spans="1:26" x14ac:dyDescent="0.2">
      <c r="A2" t="s">
        <v>1392</v>
      </c>
      <c r="B2" t="s">
        <v>1393</v>
      </c>
      <c r="C2" t="s">
        <v>1394</v>
      </c>
      <c r="D2" t="s">
        <v>1395</v>
      </c>
      <c r="E2" s="358">
        <v>42217</v>
      </c>
    </row>
    <row r="3" spans="1:26" x14ac:dyDescent="0.2">
      <c r="E3" t="s">
        <v>1396</v>
      </c>
      <c r="F3" t="s">
        <v>1397</v>
      </c>
    </row>
    <row r="4" spans="1:26" x14ac:dyDescent="0.2">
      <c r="A4" t="s">
        <v>1398</v>
      </c>
      <c r="B4" t="s">
        <v>1399</v>
      </c>
      <c r="C4">
        <v>50</v>
      </c>
      <c r="D4">
        <v>296.76</v>
      </c>
      <c r="E4">
        <v>296.5</v>
      </c>
      <c r="F4">
        <v>296.20999999999998</v>
      </c>
      <c r="G4">
        <v>296.06</v>
      </c>
      <c r="H4">
        <v>150</v>
      </c>
      <c r="I4">
        <v>0.3</v>
      </c>
      <c r="J4" t="s">
        <v>1394</v>
      </c>
      <c r="K4">
        <v>0.34</v>
      </c>
      <c r="L4">
        <v>0.86</v>
      </c>
      <c r="M4">
        <v>0.34</v>
      </c>
      <c r="N4">
        <v>0.86</v>
      </c>
      <c r="O4">
        <v>25</v>
      </c>
      <c r="P4">
        <v>25</v>
      </c>
      <c r="Q4" s="364">
        <f>D4-F4</f>
        <v>0.55000000000001137</v>
      </c>
      <c r="R4">
        <v>0</v>
      </c>
      <c r="S4">
        <v>0</v>
      </c>
      <c r="T4">
        <v>0</v>
      </c>
      <c r="U4">
        <v>0</v>
      </c>
      <c r="V4" s="359">
        <v>215197143395</v>
      </c>
      <c r="W4" s="359">
        <v>800381603084</v>
      </c>
      <c r="X4" s="359">
        <v>21524547657</v>
      </c>
      <c r="Y4" t="s">
        <v>1401</v>
      </c>
      <c r="Z4">
        <v>0.66</v>
      </c>
    </row>
    <row r="5" spans="1:26" x14ac:dyDescent="0.2">
      <c r="A5" t="s">
        <v>1399</v>
      </c>
      <c r="B5" t="s">
        <v>1402</v>
      </c>
      <c r="C5">
        <v>46</v>
      </c>
      <c r="D5">
        <v>296.5</v>
      </c>
      <c r="E5">
        <v>296.60000000000002</v>
      </c>
      <c r="F5">
        <v>296.06</v>
      </c>
      <c r="G5">
        <v>295.92200000000003</v>
      </c>
      <c r="H5">
        <v>150</v>
      </c>
      <c r="I5">
        <v>0.3</v>
      </c>
      <c r="J5" t="s">
        <v>1394</v>
      </c>
      <c r="K5">
        <v>0</v>
      </c>
      <c r="L5">
        <v>0</v>
      </c>
      <c r="M5">
        <v>0.34</v>
      </c>
      <c r="N5">
        <v>0.86</v>
      </c>
      <c r="O5">
        <v>25</v>
      </c>
      <c r="P5">
        <v>25</v>
      </c>
      <c r="Q5" s="364">
        <f t="shared" ref="Q5:Q65" si="0">D5-F5</f>
        <v>0.43999999999999773</v>
      </c>
      <c r="R5">
        <v>0</v>
      </c>
      <c r="S5">
        <v>0</v>
      </c>
      <c r="T5">
        <v>0</v>
      </c>
      <c r="U5">
        <v>0</v>
      </c>
      <c r="V5" s="359">
        <v>21524547657</v>
      </c>
      <c r="W5" s="359">
        <v>8003828833345</v>
      </c>
      <c r="X5" s="359">
        <v>215289808669</v>
      </c>
      <c r="Y5" t="s">
        <v>1403</v>
      </c>
      <c r="Z5">
        <v>0.66</v>
      </c>
    </row>
    <row r="6" spans="1:26" x14ac:dyDescent="0.2">
      <c r="A6" t="s">
        <v>1402</v>
      </c>
      <c r="B6" t="s">
        <v>1404</v>
      </c>
      <c r="C6">
        <v>67</v>
      </c>
      <c r="D6">
        <v>296.60000000000002</v>
      </c>
      <c r="E6">
        <v>296.48</v>
      </c>
      <c r="F6">
        <v>295.92200000000003</v>
      </c>
      <c r="G6">
        <v>295.721</v>
      </c>
      <c r="H6">
        <v>150</v>
      </c>
      <c r="I6">
        <v>0.3</v>
      </c>
      <c r="J6" t="s">
        <v>1394</v>
      </c>
      <c r="K6">
        <v>0</v>
      </c>
      <c r="L6">
        <v>0</v>
      </c>
      <c r="M6">
        <v>0.34</v>
      </c>
      <c r="N6">
        <v>0.86</v>
      </c>
      <c r="O6">
        <v>25</v>
      </c>
      <c r="P6">
        <v>25</v>
      </c>
      <c r="Q6" s="364">
        <f t="shared" si="0"/>
        <v>0.67799999999999727</v>
      </c>
      <c r="R6">
        <v>0</v>
      </c>
      <c r="S6">
        <v>0</v>
      </c>
      <c r="T6">
        <v>0</v>
      </c>
      <c r="U6">
        <v>0</v>
      </c>
      <c r="V6" s="359">
        <v>215289808669</v>
      </c>
      <c r="W6" s="359">
        <v>8003841107914</v>
      </c>
      <c r="X6" s="359">
        <v>215353423844</v>
      </c>
      <c r="Y6" t="s">
        <v>1405</v>
      </c>
      <c r="Z6">
        <v>0.66</v>
      </c>
    </row>
    <row r="7" spans="1:26" x14ac:dyDescent="0.2">
      <c r="A7" t="s">
        <v>1404</v>
      </c>
      <c r="B7" t="s">
        <v>1406</v>
      </c>
      <c r="C7">
        <v>76.959999999999994</v>
      </c>
      <c r="D7">
        <v>296.48</v>
      </c>
      <c r="E7">
        <v>295.33</v>
      </c>
      <c r="F7">
        <v>295.721</v>
      </c>
      <c r="G7">
        <v>295.298</v>
      </c>
      <c r="H7">
        <v>150</v>
      </c>
      <c r="I7">
        <v>0.55000000000000004</v>
      </c>
      <c r="J7" t="s">
        <v>1407</v>
      </c>
      <c r="K7" t="s">
        <v>1408</v>
      </c>
      <c r="L7">
        <v>0</v>
      </c>
      <c r="M7">
        <v>0.34</v>
      </c>
      <c r="N7">
        <v>0.86</v>
      </c>
      <c r="O7">
        <v>24</v>
      </c>
      <c r="P7">
        <v>24</v>
      </c>
      <c r="Q7" s="364">
        <f t="shared" si="0"/>
        <v>0.75900000000001455</v>
      </c>
      <c r="R7">
        <v>0</v>
      </c>
      <c r="S7">
        <v>0</v>
      </c>
      <c r="T7">
        <v>0</v>
      </c>
      <c r="U7">
        <v>0</v>
      </c>
      <c r="V7" s="359">
        <v>215353423844</v>
      </c>
      <c r="W7" s="359">
        <v>8003862134314</v>
      </c>
      <c r="X7" s="359">
        <v>21542762316</v>
      </c>
      <c r="Y7" t="s">
        <v>1409</v>
      </c>
      <c r="Z7">
        <v>1.19</v>
      </c>
    </row>
    <row r="8" spans="1:26" x14ac:dyDescent="0.2">
      <c r="A8" t="s">
        <v>1406</v>
      </c>
      <c r="B8" t="s">
        <v>1410</v>
      </c>
      <c r="C8">
        <v>30</v>
      </c>
      <c r="D8">
        <v>295.33</v>
      </c>
      <c r="E8">
        <v>295.47399999999999</v>
      </c>
      <c r="F8">
        <v>295.298</v>
      </c>
      <c r="G8">
        <v>295.13299999999998</v>
      </c>
      <c r="H8">
        <v>150</v>
      </c>
      <c r="I8">
        <v>0.55000000000000004</v>
      </c>
      <c r="J8" t="s">
        <v>1407</v>
      </c>
      <c r="K8" t="s">
        <v>1408</v>
      </c>
      <c r="L8">
        <v>0</v>
      </c>
      <c r="M8">
        <v>0.34</v>
      </c>
      <c r="N8">
        <v>0.86</v>
      </c>
      <c r="O8">
        <v>24</v>
      </c>
      <c r="P8">
        <v>24</v>
      </c>
      <c r="Q8" s="364">
        <f t="shared" si="0"/>
        <v>3.1999999999982265E-2</v>
      </c>
      <c r="R8">
        <v>0</v>
      </c>
      <c r="S8">
        <v>0</v>
      </c>
      <c r="T8">
        <v>0</v>
      </c>
      <c r="U8">
        <v>0</v>
      </c>
      <c r="V8" s="359">
        <v>21542762316</v>
      </c>
      <c r="W8" s="359">
        <v>8003882572111</v>
      </c>
      <c r="X8" s="359">
        <v>215456469968</v>
      </c>
      <c r="Y8" t="s">
        <v>1411</v>
      </c>
      <c r="Z8">
        <v>1.19</v>
      </c>
    </row>
    <row r="9" spans="1:26" x14ac:dyDescent="0.2">
      <c r="A9" t="s">
        <v>1410</v>
      </c>
      <c r="B9" t="s">
        <v>1412</v>
      </c>
      <c r="C9">
        <v>20</v>
      </c>
      <c r="D9">
        <v>295.47399999999999</v>
      </c>
      <c r="E9">
        <v>295.28300000000002</v>
      </c>
      <c r="F9">
        <v>295.13299999999998</v>
      </c>
      <c r="G9">
        <v>295.07299999999998</v>
      </c>
      <c r="H9">
        <v>150</v>
      </c>
      <c r="I9">
        <v>0.3</v>
      </c>
      <c r="J9" t="s">
        <v>1394</v>
      </c>
      <c r="K9">
        <v>0</v>
      </c>
      <c r="L9">
        <v>0</v>
      </c>
      <c r="M9">
        <v>0.34</v>
      </c>
      <c r="N9">
        <v>0.86</v>
      </c>
      <c r="O9">
        <v>25</v>
      </c>
      <c r="P9">
        <v>25</v>
      </c>
      <c r="Q9" s="364">
        <f t="shared" si="0"/>
        <v>0.34100000000000819</v>
      </c>
      <c r="R9">
        <v>0</v>
      </c>
      <c r="S9">
        <v>0</v>
      </c>
      <c r="T9">
        <v>0</v>
      </c>
      <c r="U9">
        <v>0</v>
      </c>
      <c r="V9" s="359">
        <v>215456469968</v>
      </c>
      <c r="W9" s="359">
        <v>8003890809931</v>
      </c>
      <c r="X9" s="359">
        <v>215476466032</v>
      </c>
      <c r="Y9" t="s">
        <v>1413</v>
      </c>
      <c r="Z9">
        <v>0.66</v>
      </c>
    </row>
    <row r="10" spans="1:26" x14ac:dyDescent="0.2">
      <c r="A10" t="s">
        <v>1412</v>
      </c>
      <c r="B10" t="s">
        <v>1414</v>
      </c>
      <c r="C10">
        <v>20.010000000000002</v>
      </c>
      <c r="D10">
        <v>295.28300000000002</v>
      </c>
      <c r="E10">
        <v>296.16699999999997</v>
      </c>
      <c r="F10">
        <v>295.07299999999998</v>
      </c>
      <c r="G10">
        <v>295.01299999999998</v>
      </c>
      <c r="H10">
        <v>150</v>
      </c>
      <c r="I10">
        <v>0.3</v>
      </c>
      <c r="J10" t="s">
        <v>1394</v>
      </c>
      <c r="K10">
        <v>0</v>
      </c>
      <c r="L10">
        <v>0</v>
      </c>
      <c r="M10">
        <v>0.34</v>
      </c>
      <c r="N10">
        <v>0.86</v>
      </c>
      <c r="O10">
        <v>25</v>
      </c>
      <c r="P10">
        <v>25</v>
      </c>
      <c r="Q10" s="364">
        <f t="shared" si="0"/>
        <v>0.21000000000003638</v>
      </c>
      <c r="R10">
        <v>0</v>
      </c>
      <c r="S10">
        <v>0</v>
      </c>
      <c r="T10">
        <v>0</v>
      </c>
      <c r="U10">
        <v>0</v>
      </c>
      <c r="V10" s="359">
        <v>215476466032</v>
      </c>
      <c r="W10" s="359">
        <v>8003890413168</v>
      </c>
      <c r="X10" s="359">
        <v>21549646967</v>
      </c>
      <c r="Y10" t="s">
        <v>1415</v>
      </c>
      <c r="Z10">
        <v>0.66</v>
      </c>
    </row>
    <row r="11" spans="1:26" x14ac:dyDescent="0.2">
      <c r="A11" t="s">
        <v>1414</v>
      </c>
      <c r="B11" t="s">
        <v>1416</v>
      </c>
      <c r="C11">
        <v>16</v>
      </c>
      <c r="D11">
        <v>296.16699999999997</v>
      </c>
      <c r="E11">
        <v>296.92399999999998</v>
      </c>
      <c r="F11">
        <v>295.01299999999998</v>
      </c>
      <c r="G11">
        <v>294.96499999999997</v>
      </c>
      <c r="H11">
        <v>150</v>
      </c>
      <c r="I11">
        <v>0.3</v>
      </c>
      <c r="J11" t="s">
        <v>1394</v>
      </c>
      <c r="K11">
        <v>0.43</v>
      </c>
      <c r="L11">
        <v>1.1100000000000001</v>
      </c>
      <c r="M11">
        <v>0.77</v>
      </c>
      <c r="N11">
        <v>1.97</v>
      </c>
      <c r="O11">
        <v>25</v>
      </c>
      <c r="P11">
        <v>28</v>
      </c>
      <c r="Q11" s="364">
        <f t="shared" si="0"/>
        <v>1.1539999999999964</v>
      </c>
      <c r="R11">
        <v>0</v>
      </c>
      <c r="S11">
        <v>0</v>
      </c>
      <c r="T11">
        <v>0</v>
      </c>
      <c r="U11">
        <v>0</v>
      </c>
      <c r="V11" s="359">
        <v>21549646967</v>
      </c>
      <c r="W11" s="359">
        <v>8003890655376</v>
      </c>
      <c r="X11" s="359">
        <v>215511447887</v>
      </c>
      <c r="Y11" t="s">
        <v>1417</v>
      </c>
      <c r="Z11">
        <v>0.75</v>
      </c>
    </row>
    <row r="12" spans="1:26" x14ac:dyDescent="0.2">
      <c r="A12" t="s">
        <v>1416</v>
      </c>
      <c r="B12" t="s">
        <v>1418</v>
      </c>
      <c r="C12">
        <v>16</v>
      </c>
      <c r="D12">
        <v>296.92399999999998</v>
      </c>
      <c r="E12">
        <v>296.04700000000003</v>
      </c>
      <c r="F12">
        <v>294.96499999999997</v>
      </c>
      <c r="G12">
        <v>294.91699999999997</v>
      </c>
      <c r="H12">
        <v>150</v>
      </c>
      <c r="I12">
        <v>0.3</v>
      </c>
      <c r="J12" t="s">
        <v>1394</v>
      </c>
      <c r="K12">
        <v>0.52</v>
      </c>
      <c r="L12">
        <v>1.34</v>
      </c>
      <c r="M12">
        <v>1.29</v>
      </c>
      <c r="N12">
        <v>3.31</v>
      </c>
      <c r="O12">
        <v>25</v>
      </c>
      <c r="P12">
        <v>37</v>
      </c>
      <c r="Q12" s="364">
        <f t="shared" si="0"/>
        <v>1.9590000000000032</v>
      </c>
      <c r="R12">
        <v>0</v>
      </c>
      <c r="S12">
        <v>0</v>
      </c>
      <c r="T12">
        <v>0</v>
      </c>
      <c r="U12">
        <v>0</v>
      </c>
      <c r="V12" s="359">
        <v>215511447887</v>
      </c>
      <c r="W12" s="359">
        <v>8003885029277</v>
      </c>
      <c r="X12" s="359">
        <v>215526426105</v>
      </c>
      <c r="Y12" t="s">
        <v>1419</v>
      </c>
      <c r="Z12">
        <v>0.93</v>
      </c>
    </row>
    <row r="13" spans="1:26" x14ac:dyDescent="0.2">
      <c r="A13" t="s">
        <v>1418</v>
      </c>
      <c r="B13" t="s">
        <v>1420</v>
      </c>
      <c r="C13">
        <v>50</v>
      </c>
      <c r="D13">
        <v>296.04700000000003</v>
      </c>
      <c r="E13">
        <v>295.726</v>
      </c>
      <c r="F13">
        <v>294.91699999999997</v>
      </c>
      <c r="G13">
        <v>294.767</v>
      </c>
      <c r="H13">
        <v>150</v>
      </c>
      <c r="I13">
        <v>0.3</v>
      </c>
      <c r="J13" t="s">
        <v>1394</v>
      </c>
      <c r="K13">
        <v>0</v>
      </c>
      <c r="L13">
        <v>0</v>
      </c>
      <c r="M13">
        <v>1.29</v>
      </c>
      <c r="N13">
        <v>3.31</v>
      </c>
      <c r="O13">
        <v>25</v>
      </c>
      <c r="P13">
        <v>37</v>
      </c>
      <c r="Q13" s="364">
        <f t="shared" si="0"/>
        <v>1.1300000000000523</v>
      </c>
      <c r="R13">
        <v>0</v>
      </c>
      <c r="S13">
        <v>0</v>
      </c>
      <c r="T13">
        <v>0</v>
      </c>
      <c r="U13">
        <v>0</v>
      </c>
      <c r="V13" s="359">
        <v>215526426105</v>
      </c>
      <c r="W13" s="359">
        <v>8003879403179</v>
      </c>
      <c r="X13" s="359">
        <v>215571386021</v>
      </c>
      <c r="Y13" t="s">
        <v>1421</v>
      </c>
      <c r="Z13">
        <v>0.93</v>
      </c>
    </row>
    <row r="14" spans="1:26" x14ac:dyDescent="0.2">
      <c r="A14" t="s">
        <v>1420</v>
      </c>
      <c r="B14" t="s">
        <v>1422</v>
      </c>
      <c r="C14">
        <v>33</v>
      </c>
      <c r="D14">
        <v>295.726</v>
      </c>
      <c r="E14">
        <v>295.60000000000002</v>
      </c>
      <c r="F14">
        <v>294.767</v>
      </c>
      <c r="G14">
        <v>294.66800000000001</v>
      </c>
      <c r="H14">
        <v>150</v>
      </c>
      <c r="I14">
        <v>0.3</v>
      </c>
      <c r="J14" t="s">
        <v>1394</v>
      </c>
      <c r="K14">
        <v>0</v>
      </c>
      <c r="L14">
        <v>0</v>
      </c>
      <c r="M14">
        <v>1.29</v>
      </c>
      <c r="N14">
        <v>3.31</v>
      </c>
      <c r="O14">
        <v>25</v>
      </c>
      <c r="P14">
        <v>37</v>
      </c>
      <c r="Q14" s="364">
        <f t="shared" si="0"/>
        <v>0.95900000000000318</v>
      </c>
      <c r="R14">
        <v>0</v>
      </c>
      <c r="S14">
        <v>0</v>
      </c>
      <c r="T14">
        <v>0</v>
      </c>
      <c r="U14">
        <v>0</v>
      </c>
      <c r="V14" s="359">
        <v>215571386021</v>
      </c>
      <c r="W14" s="359">
        <v>8003901280244</v>
      </c>
      <c r="X14" s="359">
        <v>215602270845</v>
      </c>
      <c r="Y14" t="s">
        <v>1423</v>
      </c>
      <c r="Z14">
        <v>0.93</v>
      </c>
    </row>
    <row r="15" spans="1:26" x14ac:dyDescent="0.2">
      <c r="A15" t="s">
        <v>1422</v>
      </c>
      <c r="B15" t="s">
        <v>1424</v>
      </c>
      <c r="C15">
        <v>80</v>
      </c>
      <c r="D15">
        <v>295.60000000000002</v>
      </c>
      <c r="E15">
        <v>295.5</v>
      </c>
      <c r="F15">
        <v>294.66800000000001</v>
      </c>
      <c r="G15">
        <v>294.428</v>
      </c>
      <c r="H15">
        <v>150</v>
      </c>
      <c r="I15">
        <v>0.3</v>
      </c>
      <c r="J15" t="s">
        <v>1394</v>
      </c>
      <c r="K15">
        <v>0</v>
      </c>
      <c r="L15">
        <v>0</v>
      </c>
      <c r="M15">
        <v>1.29</v>
      </c>
      <c r="N15">
        <v>3.31</v>
      </c>
      <c r="O15">
        <v>25</v>
      </c>
      <c r="P15">
        <v>37</v>
      </c>
      <c r="Q15" s="364">
        <f t="shared" si="0"/>
        <v>0.93200000000001637</v>
      </c>
      <c r="R15">
        <v>0</v>
      </c>
      <c r="S15">
        <v>0</v>
      </c>
      <c r="T15">
        <v>0</v>
      </c>
      <c r="U15">
        <v>0</v>
      </c>
      <c r="V15" s="359">
        <v>215602270845</v>
      </c>
      <c r="W15" s="359">
        <v>8003912904687</v>
      </c>
      <c r="X15" s="359">
        <v>215679719697</v>
      </c>
      <c r="Y15" t="s">
        <v>1425</v>
      </c>
      <c r="Z15">
        <v>0.93</v>
      </c>
    </row>
    <row r="16" spans="1:26" x14ac:dyDescent="0.2">
      <c r="A16" t="s">
        <v>1424</v>
      </c>
      <c r="B16" t="s">
        <v>1426</v>
      </c>
      <c r="C16">
        <v>72.92</v>
      </c>
      <c r="D16">
        <v>295.5</v>
      </c>
      <c r="E16">
        <v>295.39999999999998</v>
      </c>
      <c r="F16">
        <v>294.428</v>
      </c>
      <c r="G16">
        <v>294.209</v>
      </c>
      <c r="H16">
        <v>150</v>
      </c>
      <c r="I16">
        <v>0.3</v>
      </c>
      <c r="J16" t="s">
        <v>1394</v>
      </c>
      <c r="K16">
        <v>0</v>
      </c>
      <c r="L16">
        <v>0</v>
      </c>
      <c r="M16">
        <v>1.29</v>
      </c>
      <c r="N16">
        <v>3.31</v>
      </c>
      <c r="O16">
        <v>25</v>
      </c>
      <c r="P16">
        <v>37</v>
      </c>
      <c r="Q16" s="364">
        <f t="shared" si="0"/>
        <v>1.0720000000000027</v>
      </c>
      <c r="R16">
        <v>0</v>
      </c>
      <c r="S16">
        <v>0</v>
      </c>
      <c r="T16">
        <v>0</v>
      </c>
      <c r="U16">
        <v>0</v>
      </c>
      <c r="V16" s="359">
        <v>215679719697</v>
      </c>
      <c r="W16" s="359">
        <v>8003892870021</v>
      </c>
      <c r="X16" s="359">
        <v>21575181895</v>
      </c>
      <c r="Y16" t="s">
        <v>1427</v>
      </c>
      <c r="Z16">
        <v>0.93</v>
      </c>
    </row>
    <row r="17" spans="1:26" x14ac:dyDescent="0.2">
      <c r="A17" t="s">
        <v>1426</v>
      </c>
      <c r="B17" t="s">
        <v>1428</v>
      </c>
      <c r="C17">
        <v>18</v>
      </c>
      <c r="D17">
        <v>295.39999999999998</v>
      </c>
      <c r="E17">
        <v>295.35000000000002</v>
      </c>
      <c r="F17">
        <v>294.209</v>
      </c>
      <c r="G17">
        <v>294.15499999999997</v>
      </c>
      <c r="H17">
        <v>150</v>
      </c>
      <c r="I17">
        <v>0.3</v>
      </c>
      <c r="J17" t="s">
        <v>1394</v>
      </c>
      <c r="K17">
        <v>0</v>
      </c>
      <c r="L17">
        <v>0</v>
      </c>
      <c r="M17">
        <v>1.29</v>
      </c>
      <c r="N17">
        <v>3.31</v>
      </c>
      <c r="O17">
        <v>25</v>
      </c>
      <c r="P17">
        <v>37</v>
      </c>
      <c r="Q17" s="364">
        <f t="shared" si="0"/>
        <v>1.1909999999999741</v>
      </c>
      <c r="R17">
        <v>0</v>
      </c>
      <c r="S17">
        <v>0</v>
      </c>
      <c r="T17">
        <v>0</v>
      </c>
      <c r="U17">
        <v>0</v>
      </c>
      <c r="V17" s="359">
        <v>21575181895</v>
      </c>
      <c r="W17" s="359">
        <v>8003903793884</v>
      </c>
      <c r="X17" s="359">
        <v>215769626968</v>
      </c>
      <c r="Y17" t="s">
        <v>1429</v>
      </c>
      <c r="Z17">
        <v>0.93</v>
      </c>
    </row>
    <row r="18" spans="1:26" x14ac:dyDescent="0.2">
      <c r="A18" t="s">
        <v>1428</v>
      </c>
      <c r="B18" t="s">
        <v>1430</v>
      </c>
      <c r="C18">
        <v>75</v>
      </c>
      <c r="D18">
        <v>295.35000000000002</v>
      </c>
      <c r="E18">
        <v>295</v>
      </c>
      <c r="F18">
        <v>294.15499999999997</v>
      </c>
      <c r="G18">
        <v>293.93</v>
      </c>
      <c r="H18">
        <v>150</v>
      </c>
      <c r="I18">
        <v>0.3</v>
      </c>
      <c r="J18" t="s">
        <v>1394</v>
      </c>
      <c r="K18">
        <v>0</v>
      </c>
      <c r="L18">
        <v>0</v>
      </c>
      <c r="M18">
        <v>1.29</v>
      </c>
      <c r="N18">
        <v>3.31</v>
      </c>
      <c r="O18">
        <v>25</v>
      </c>
      <c r="P18">
        <v>37</v>
      </c>
      <c r="Q18" s="364">
        <f t="shared" si="0"/>
        <v>1.19500000000005</v>
      </c>
      <c r="R18">
        <v>0</v>
      </c>
      <c r="S18">
        <v>0</v>
      </c>
      <c r="T18">
        <v>0</v>
      </c>
      <c r="U18">
        <v>0</v>
      </c>
      <c r="V18" s="359">
        <v>215769626968</v>
      </c>
      <c r="W18" s="359">
        <v>8003901171958</v>
      </c>
      <c r="X18" s="359">
        <v>215839664191</v>
      </c>
      <c r="Y18" t="s">
        <v>1431</v>
      </c>
      <c r="Z18">
        <v>0.93</v>
      </c>
    </row>
    <row r="19" spans="1:26" x14ac:dyDescent="0.2">
      <c r="A19" t="s">
        <v>1430</v>
      </c>
      <c r="B19" t="s">
        <v>1432</v>
      </c>
      <c r="C19">
        <v>34</v>
      </c>
      <c r="D19">
        <v>295</v>
      </c>
      <c r="E19">
        <v>295</v>
      </c>
      <c r="F19">
        <v>293.93</v>
      </c>
      <c r="G19">
        <v>293.82799999999997</v>
      </c>
      <c r="H19">
        <v>150</v>
      </c>
      <c r="I19">
        <v>0.3</v>
      </c>
      <c r="J19" t="s">
        <v>1394</v>
      </c>
      <c r="K19">
        <v>0</v>
      </c>
      <c r="L19">
        <v>0</v>
      </c>
      <c r="M19">
        <v>1.29</v>
      </c>
      <c r="N19">
        <v>3.31</v>
      </c>
      <c r="O19">
        <v>25</v>
      </c>
      <c r="P19">
        <v>37</v>
      </c>
      <c r="Q19" s="364">
        <f t="shared" si="0"/>
        <v>1.0699999999999932</v>
      </c>
      <c r="R19">
        <v>0</v>
      </c>
      <c r="S19">
        <v>0</v>
      </c>
      <c r="T19">
        <v>0</v>
      </c>
      <c r="U19">
        <v>0</v>
      </c>
      <c r="V19" s="359">
        <v>215839664191</v>
      </c>
      <c r="W19" s="359">
        <v>8003928000813</v>
      </c>
      <c r="X19" s="359">
        <v>215873631689</v>
      </c>
      <c r="Y19" t="s">
        <v>1433</v>
      </c>
      <c r="Z19">
        <v>0.93</v>
      </c>
    </row>
    <row r="20" spans="1:26" x14ac:dyDescent="0.2">
      <c r="A20" t="s">
        <v>1432</v>
      </c>
      <c r="B20" t="s">
        <v>1434</v>
      </c>
      <c r="C20">
        <v>34.590000000000003</v>
      </c>
      <c r="D20">
        <v>295</v>
      </c>
      <c r="E20">
        <v>295</v>
      </c>
      <c r="F20">
        <v>293.82799999999997</v>
      </c>
      <c r="G20">
        <v>293.72399999999999</v>
      </c>
      <c r="H20">
        <v>150</v>
      </c>
      <c r="I20">
        <v>0.3</v>
      </c>
      <c r="J20" t="s">
        <v>1394</v>
      </c>
      <c r="K20">
        <v>0</v>
      </c>
      <c r="L20">
        <v>0</v>
      </c>
      <c r="M20">
        <v>1.29</v>
      </c>
      <c r="N20">
        <v>3.31</v>
      </c>
      <c r="O20">
        <v>25</v>
      </c>
      <c r="P20">
        <v>37</v>
      </c>
      <c r="Q20" s="364">
        <f t="shared" si="0"/>
        <v>1.1720000000000255</v>
      </c>
      <c r="R20">
        <v>0</v>
      </c>
      <c r="S20">
        <v>0</v>
      </c>
      <c r="T20">
        <v>0</v>
      </c>
      <c r="U20">
        <v>0</v>
      </c>
      <c r="V20" s="359">
        <v>215873631689</v>
      </c>
      <c r="W20" s="359">
        <v>8003929487098</v>
      </c>
      <c r="X20" s="359">
        <v>215907182727</v>
      </c>
      <c r="Y20" t="s">
        <v>1435</v>
      </c>
      <c r="Z20">
        <v>0.93</v>
      </c>
    </row>
    <row r="21" spans="1:26" x14ac:dyDescent="0.2">
      <c r="A21" t="s">
        <v>1434</v>
      </c>
      <c r="B21" t="s">
        <v>1436</v>
      </c>
      <c r="C21">
        <v>39.49</v>
      </c>
      <c r="D21">
        <v>295</v>
      </c>
      <c r="E21">
        <v>294.7</v>
      </c>
      <c r="F21">
        <v>293.72399999999999</v>
      </c>
      <c r="G21">
        <v>293.60599999999999</v>
      </c>
      <c r="H21">
        <v>150</v>
      </c>
      <c r="I21">
        <v>0.3</v>
      </c>
      <c r="J21" t="s">
        <v>1394</v>
      </c>
      <c r="K21">
        <v>0</v>
      </c>
      <c r="L21">
        <v>0</v>
      </c>
      <c r="M21">
        <v>1.29</v>
      </c>
      <c r="N21">
        <v>3.31</v>
      </c>
      <c r="O21">
        <v>25</v>
      </c>
      <c r="P21">
        <v>37</v>
      </c>
      <c r="Q21" s="364">
        <f t="shared" si="0"/>
        <v>1.2760000000000105</v>
      </c>
      <c r="R21">
        <v>0</v>
      </c>
      <c r="S21">
        <v>0</v>
      </c>
      <c r="T21">
        <v>0</v>
      </c>
      <c r="U21">
        <v>0</v>
      </c>
      <c r="V21" s="359">
        <v>215907182727</v>
      </c>
      <c r="W21" s="359">
        <v>8003921076838</v>
      </c>
      <c r="X21" s="359">
        <v>215943417082</v>
      </c>
      <c r="Y21" t="s">
        <v>1437</v>
      </c>
      <c r="Z21">
        <v>0.93</v>
      </c>
    </row>
    <row r="22" spans="1:26" x14ac:dyDescent="0.2">
      <c r="A22" t="s">
        <v>1436</v>
      </c>
      <c r="B22" t="s">
        <v>1438</v>
      </c>
      <c r="C22">
        <v>30.26</v>
      </c>
      <c r="D22">
        <v>294.7</v>
      </c>
      <c r="E22">
        <v>294.63099999999997</v>
      </c>
      <c r="F22">
        <v>293.60599999999999</v>
      </c>
      <c r="G22">
        <v>293.51499999999999</v>
      </c>
      <c r="H22">
        <v>150</v>
      </c>
      <c r="I22">
        <v>0.3</v>
      </c>
      <c r="J22" t="s">
        <v>1394</v>
      </c>
      <c r="K22">
        <v>0</v>
      </c>
      <c r="L22">
        <v>0</v>
      </c>
      <c r="M22">
        <v>1.29</v>
      </c>
      <c r="N22">
        <v>3.31</v>
      </c>
      <c r="O22">
        <v>25</v>
      </c>
      <c r="P22">
        <v>37</v>
      </c>
      <c r="Q22" s="364">
        <f t="shared" si="0"/>
        <v>1.0939999999999941</v>
      </c>
      <c r="R22">
        <v>0</v>
      </c>
      <c r="S22">
        <v>0</v>
      </c>
      <c r="T22">
        <v>0</v>
      </c>
      <c r="U22">
        <v>0</v>
      </c>
      <c r="V22" s="359">
        <v>215943417082</v>
      </c>
      <c r="W22" s="359">
        <v>8003905360655</v>
      </c>
      <c r="X22" s="359">
        <v>215965114686</v>
      </c>
      <c r="Y22" t="s">
        <v>1439</v>
      </c>
      <c r="Z22">
        <v>0.93</v>
      </c>
    </row>
    <row r="23" spans="1:26" x14ac:dyDescent="0.2">
      <c r="A23" t="s">
        <v>1438</v>
      </c>
      <c r="B23" t="s">
        <v>1440</v>
      </c>
      <c r="C23">
        <v>75.19</v>
      </c>
      <c r="D23">
        <v>294.63099999999997</v>
      </c>
      <c r="E23">
        <v>294.572</v>
      </c>
      <c r="F23">
        <v>293.51499999999999</v>
      </c>
      <c r="G23">
        <v>293.28899999999999</v>
      </c>
      <c r="H23">
        <v>150</v>
      </c>
      <c r="I23">
        <v>0.3</v>
      </c>
      <c r="J23" t="s">
        <v>1394</v>
      </c>
      <c r="K23">
        <v>0</v>
      </c>
      <c r="L23">
        <v>0</v>
      </c>
      <c r="M23">
        <v>1.29</v>
      </c>
      <c r="N23">
        <v>3.31</v>
      </c>
      <c r="O23">
        <v>25</v>
      </c>
      <c r="P23">
        <v>37</v>
      </c>
      <c r="Q23" s="364">
        <f t="shared" si="0"/>
        <v>1.1159999999999854</v>
      </c>
      <c r="R23">
        <v>0</v>
      </c>
      <c r="S23">
        <v>0</v>
      </c>
      <c r="T23">
        <v>0</v>
      </c>
      <c r="U23">
        <v>0</v>
      </c>
      <c r="V23" s="359">
        <v>215965114686</v>
      </c>
      <c r="W23" s="359">
        <v>8003884268153</v>
      </c>
      <c r="X23" s="359">
        <v>216021758073</v>
      </c>
      <c r="Y23" t="s">
        <v>1441</v>
      </c>
      <c r="Z23">
        <v>0.93</v>
      </c>
    </row>
    <row r="24" spans="1:26" x14ac:dyDescent="0.2">
      <c r="A24" t="s">
        <v>1440</v>
      </c>
      <c r="B24" t="s">
        <v>1442</v>
      </c>
      <c r="C24">
        <v>70</v>
      </c>
      <c r="D24">
        <v>294.572</v>
      </c>
      <c r="E24">
        <v>294.56</v>
      </c>
      <c r="F24">
        <v>293.28899999999999</v>
      </c>
      <c r="G24">
        <v>293.07900000000001</v>
      </c>
      <c r="H24">
        <v>150</v>
      </c>
      <c r="I24">
        <v>0.3</v>
      </c>
      <c r="J24" t="s">
        <v>1394</v>
      </c>
      <c r="K24">
        <v>0</v>
      </c>
      <c r="L24">
        <v>0</v>
      </c>
      <c r="M24">
        <v>1.29</v>
      </c>
      <c r="N24">
        <v>3.31</v>
      </c>
      <c r="O24">
        <v>25</v>
      </c>
      <c r="P24">
        <v>37</v>
      </c>
      <c r="Q24" s="364">
        <f t="shared" si="0"/>
        <v>1.2830000000000155</v>
      </c>
      <c r="R24">
        <v>0</v>
      </c>
      <c r="S24">
        <v>0</v>
      </c>
      <c r="T24">
        <v>0</v>
      </c>
      <c r="U24">
        <v>0</v>
      </c>
      <c r="V24" s="359">
        <v>216021758073</v>
      </c>
      <c r="W24" s="359">
        <v>8003834818051</v>
      </c>
      <c r="X24" s="359">
        <v>216075955425</v>
      </c>
      <c r="Y24" t="s">
        <v>1443</v>
      </c>
      <c r="Z24">
        <v>0.93</v>
      </c>
    </row>
    <row r="25" spans="1:26" x14ac:dyDescent="0.2">
      <c r="A25" t="s">
        <v>1442</v>
      </c>
      <c r="B25" t="s">
        <v>1444</v>
      </c>
      <c r="C25">
        <v>66</v>
      </c>
      <c r="D25">
        <v>294.56</v>
      </c>
      <c r="E25">
        <v>294.55</v>
      </c>
      <c r="F25">
        <v>293.07900000000001</v>
      </c>
      <c r="G25">
        <v>292.88099999999997</v>
      </c>
      <c r="H25">
        <v>150</v>
      </c>
      <c r="I25">
        <v>0.3</v>
      </c>
      <c r="J25" t="s">
        <v>1394</v>
      </c>
      <c r="K25">
        <v>0</v>
      </c>
      <c r="L25">
        <v>0</v>
      </c>
      <c r="M25">
        <v>1.29</v>
      </c>
      <c r="N25">
        <v>3.31</v>
      </c>
      <c r="O25">
        <v>25</v>
      </c>
      <c r="P25">
        <v>37</v>
      </c>
      <c r="Q25" s="364">
        <f t="shared" si="0"/>
        <v>1.4809999999999945</v>
      </c>
      <c r="R25">
        <v>0</v>
      </c>
      <c r="S25">
        <v>0</v>
      </c>
      <c r="T25">
        <v>0</v>
      </c>
      <c r="U25">
        <v>0</v>
      </c>
      <c r="V25" s="359">
        <v>216075955425</v>
      </c>
      <c r="W25" s="359">
        <v>8003790524018</v>
      </c>
      <c r="X25" s="359">
        <v>216136481531</v>
      </c>
      <c r="Y25" t="s">
        <v>1445</v>
      </c>
      <c r="Z25">
        <v>0.93</v>
      </c>
    </row>
    <row r="26" spans="1:26" x14ac:dyDescent="0.2">
      <c r="A26" t="s">
        <v>1444</v>
      </c>
      <c r="B26" t="s">
        <v>1446</v>
      </c>
      <c r="C26">
        <v>53.98</v>
      </c>
      <c r="D26">
        <v>294.55</v>
      </c>
      <c r="E26">
        <v>294.512</v>
      </c>
      <c r="F26">
        <v>292.88099999999997</v>
      </c>
      <c r="G26">
        <v>292.71899999999999</v>
      </c>
      <c r="H26">
        <v>150</v>
      </c>
      <c r="I26">
        <v>0.3</v>
      </c>
      <c r="J26" t="s">
        <v>1394</v>
      </c>
      <c r="K26">
        <v>0</v>
      </c>
      <c r="L26">
        <v>0</v>
      </c>
      <c r="M26">
        <v>1.29</v>
      </c>
      <c r="N26">
        <v>3.31</v>
      </c>
      <c r="O26">
        <v>25</v>
      </c>
      <c r="P26">
        <v>37</v>
      </c>
      <c r="Q26" s="364">
        <f t="shared" si="0"/>
        <v>1.6690000000000396</v>
      </c>
      <c r="R26">
        <v>0</v>
      </c>
      <c r="S26">
        <v>0</v>
      </c>
      <c r="T26">
        <v>0</v>
      </c>
      <c r="U26">
        <v>0</v>
      </c>
      <c r="V26" s="359">
        <v>216136481531</v>
      </c>
      <c r="W26" s="359">
        <v>8003764206903</v>
      </c>
      <c r="X26" s="359">
        <v>216186821115</v>
      </c>
      <c r="Y26" t="s">
        <v>1447</v>
      </c>
      <c r="Z26">
        <v>0.93</v>
      </c>
    </row>
    <row r="27" spans="1:26" x14ac:dyDescent="0.2">
      <c r="A27" t="s">
        <v>1446</v>
      </c>
      <c r="B27" t="s">
        <v>1448</v>
      </c>
      <c r="C27">
        <v>80</v>
      </c>
      <c r="D27">
        <v>294.512</v>
      </c>
      <c r="E27">
        <v>294.47199999999998</v>
      </c>
      <c r="F27">
        <v>292.71899999999999</v>
      </c>
      <c r="G27">
        <v>292.47899999999998</v>
      </c>
      <c r="H27">
        <v>150</v>
      </c>
      <c r="I27">
        <v>0.3</v>
      </c>
      <c r="J27" t="s">
        <v>1394</v>
      </c>
      <c r="K27">
        <v>0</v>
      </c>
      <c r="L27">
        <v>0</v>
      </c>
      <c r="M27">
        <v>1.29</v>
      </c>
      <c r="N27">
        <v>3.31</v>
      </c>
      <c r="O27">
        <v>25</v>
      </c>
      <c r="P27">
        <v>37</v>
      </c>
      <c r="Q27" s="364">
        <f t="shared" si="0"/>
        <v>1.7930000000000064</v>
      </c>
      <c r="R27">
        <v>0</v>
      </c>
      <c r="S27">
        <v>0</v>
      </c>
      <c r="T27">
        <v>0</v>
      </c>
      <c r="U27">
        <v>0</v>
      </c>
      <c r="V27" s="359">
        <v>216186821115</v>
      </c>
      <c r="W27" s="359">
        <v>8003744722136</v>
      </c>
      <c r="X27" s="359">
        <v>21625918267</v>
      </c>
      <c r="Y27" t="s">
        <v>1449</v>
      </c>
      <c r="Z27">
        <v>0.93</v>
      </c>
    </row>
    <row r="28" spans="1:26" x14ac:dyDescent="0.2">
      <c r="A28" t="s">
        <v>1448</v>
      </c>
      <c r="B28" t="s">
        <v>1450</v>
      </c>
      <c r="C28">
        <v>30</v>
      </c>
      <c r="D28">
        <v>294.47199999999998</v>
      </c>
      <c r="E28">
        <v>294.39999999999998</v>
      </c>
      <c r="F28">
        <v>292.47899999999998</v>
      </c>
      <c r="G28">
        <v>292.38900000000001</v>
      </c>
      <c r="H28">
        <v>150</v>
      </c>
      <c r="I28">
        <v>0.3</v>
      </c>
      <c r="J28" t="s">
        <v>1394</v>
      </c>
      <c r="K28">
        <v>0</v>
      </c>
      <c r="L28">
        <v>0</v>
      </c>
      <c r="M28">
        <v>1.29</v>
      </c>
      <c r="N28">
        <v>3.31</v>
      </c>
      <c r="O28">
        <v>25</v>
      </c>
      <c r="P28">
        <v>37</v>
      </c>
      <c r="Q28" s="364">
        <f t="shared" si="0"/>
        <v>1.992999999999995</v>
      </c>
      <c r="R28">
        <v>0</v>
      </c>
      <c r="S28">
        <v>0</v>
      </c>
      <c r="T28">
        <v>0</v>
      </c>
      <c r="U28">
        <v>0</v>
      </c>
      <c r="V28" s="359">
        <v>21625918267</v>
      </c>
      <c r="W28" s="359">
        <v>8003710599999</v>
      </c>
      <c r="X28" s="359">
        <v>216284306005</v>
      </c>
      <c r="Y28" t="s">
        <v>1451</v>
      </c>
      <c r="Z28">
        <v>0.93</v>
      </c>
    </row>
    <row r="29" spans="1:26" x14ac:dyDescent="0.2">
      <c r="A29" t="s">
        <v>1450</v>
      </c>
      <c r="B29" t="s">
        <v>1452</v>
      </c>
      <c r="C29">
        <v>80</v>
      </c>
      <c r="D29">
        <v>294.39999999999998</v>
      </c>
      <c r="E29">
        <v>294.226</v>
      </c>
      <c r="F29">
        <v>292.38900000000001</v>
      </c>
      <c r="G29">
        <v>292.149</v>
      </c>
      <c r="H29">
        <v>150</v>
      </c>
      <c r="I29">
        <v>0.3</v>
      </c>
      <c r="J29" t="s">
        <v>1394</v>
      </c>
      <c r="K29">
        <v>1.1599999999999999</v>
      </c>
      <c r="L29">
        <v>2.99</v>
      </c>
      <c r="M29">
        <v>2.4500000000000002</v>
      </c>
      <c r="N29">
        <v>6.3</v>
      </c>
      <c r="O29">
        <v>32</v>
      </c>
      <c r="P29">
        <v>54</v>
      </c>
      <c r="Q29" s="364">
        <f t="shared" si="0"/>
        <v>2.0109999999999673</v>
      </c>
      <c r="R29">
        <v>0</v>
      </c>
      <c r="S29">
        <v>0</v>
      </c>
      <c r="T29">
        <v>0</v>
      </c>
      <c r="U29">
        <v>0</v>
      </c>
      <c r="V29" s="359">
        <v>216284306005</v>
      </c>
      <c r="W29" s="359">
        <v>8003694204327</v>
      </c>
      <c r="X29" s="359">
        <v>216352944928</v>
      </c>
      <c r="Y29" t="s">
        <v>1453</v>
      </c>
      <c r="Z29">
        <v>1.19</v>
      </c>
    </row>
    <row r="30" spans="1:26" x14ac:dyDescent="0.2">
      <c r="A30" t="s">
        <v>1452</v>
      </c>
      <c r="B30" t="s">
        <v>1454</v>
      </c>
      <c r="C30">
        <v>78</v>
      </c>
      <c r="D30">
        <v>294.226</v>
      </c>
      <c r="E30">
        <v>294.12299999999999</v>
      </c>
      <c r="F30">
        <v>292.149</v>
      </c>
      <c r="G30">
        <v>291.91500000000002</v>
      </c>
      <c r="H30">
        <v>150</v>
      </c>
      <c r="I30">
        <v>0.3</v>
      </c>
      <c r="J30" t="s">
        <v>1394</v>
      </c>
      <c r="K30">
        <v>0</v>
      </c>
      <c r="L30">
        <v>0</v>
      </c>
      <c r="M30">
        <v>2.4500000000000002</v>
      </c>
      <c r="N30">
        <v>6.3</v>
      </c>
      <c r="O30">
        <v>32</v>
      </c>
      <c r="P30">
        <v>54</v>
      </c>
      <c r="Q30" s="364">
        <f t="shared" si="0"/>
        <v>2.0769999999999982</v>
      </c>
      <c r="R30">
        <v>0</v>
      </c>
      <c r="S30">
        <v>0</v>
      </c>
      <c r="T30">
        <v>0</v>
      </c>
      <c r="U30">
        <v>0</v>
      </c>
      <c r="V30" s="359">
        <v>216352944928</v>
      </c>
      <c r="W30" s="359">
        <v>8003653110554</v>
      </c>
      <c r="X30" s="359">
        <v>216420859788</v>
      </c>
      <c r="Y30" t="s">
        <v>1455</v>
      </c>
      <c r="Z30">
        <v>1.19</v>
      </c>
    </row>
    <row r="31" spans="1:26" x14ac:dyDescent="0.2">
      <c r="A31" t="s">
        <v>1454</v>
      </c>
      <c r="B31" t="s">
        <v>1456</v>
      </c>
      <c r="C31">
        <v>60</v>
      </c>
      <c r="D31">
        <v>294.12299999999999</v>
      </c>
      <c r="E31">
        <v>294.09500000000003</v>
      </c>
      <c r="F31">
        <v>291.91500000000002</v>
      </c>
      <c r="G31">
        <v>291.73500000000001</v>
      </c>
      <c r="H31">
        <v>150</v>
      </c>
      <c r="I31">
        <v>0.3</v>
      </c>
      <c r="J31" t="s">
        <v>1394</v>
      </c>
      <c r="K31">
        <v>0.57999999999999996</v>
      </c>
      <c r="L31">
        <v>1.49</v>
      </c>
      <c r="M31">
        <v>3.03</v>
      </c>
      <c r="N31">
        <v>7.79</v>
      </c>
      <c r="O31">
        <v>36</v>
      </c>
      <c r="P31">
        <v>62</v>
      </c>
      <c r="Q31" s="364">
        <f t="shared" si="0"/>
        <v>2.20799999999997</v>
      </c>
      <c r="R31">
        <v>0</v>
      </c>
      <c r="S31">
        <v>0</v>
      </c>
      <c r="T31">
        <v>0</v>
      </c>
      <c r="U31">
        <v>0</v>
      </c>
      <c r="V31" s="359">
        <v>216420859788</v>
      </c>
      <c r="W31" s="359">
        <v>8003614749483</v>
      </c>
      <c r="X31" s="359">
        <v>216465824855</v>
      </c>
      <c r="Y31" t="s">
        <v>1457</v>
      </c>
      <c r="Z31">
        <v>1.28</v>
      </c>
    </row>
    <row r="32" spans="1:26" x14ac:dyDescent="0.2">
      <c r="A32" t="s">
        <v>1456</v>
      </c>
      <c r="B32" t="s">
        <v>1458</v>
      </c>
      <c r="C32">
        <v>53</v>
      </c>
      <c r="D32">
        <v>294.09500000000003</v>
      </c>
      <c r="E32">
        <v>294.08100000000002</v>
      </c>
      <c r="F32">
        <v>291.73500000000001</v>
      </c>
      <c r="G32">
        <v>291.577</v>
      </c>
      <c r="H32">
        <v>150</v>
      </c>
      <c r="I32">
        <v>0.3</v>
      </c>
      <c r="J32" t="s">
        <v>1394</v>
      </c>
      <c r="K32">
        <v>0</v>
      </c>
      <c r="L32">
        <v>0</v>
      </c>
      <c r="M32">
        <v>3.03</v>
      </c>
      <c r="N32">
        <v>7.79</v>
      </c>
      <c r="O32">
        <v>36</v>
      </c>
      <c r="P32">
        <v>62</v>
      </c>
      <c r="Q32" s="364">
        <f t="shared" si="0"/>
        <v>2.3600000000000136</v>
      </c>
      <c r="R32">
        <v>0</v>
      </c>
      <c r="S32">
        <v>0</v>
      </c>
      <c r="T32">
        <v>0</v>
      </c>
      <c r="U32">
        <v>0</v>
      </c>
      <c r="V32" s="359">
        <v>216465824855</v>
      </c>
      <c r="W32" s="359">
        <v>8003592883007</v>
      </c>
      <c r="X32" s="359">
        <v>216516521953</v>
      </c>
      <c r="Y32" t="s">
        <v>1459</v>
      </c>
      <c r="Z32">
        <v>1.28</v>
      </c>
    </row>
    <row r="33" spans="1:26" x14ac:dyDescent="0.2">
      <c r="A33" t="s">
        <v>1458</v>
      </c>
      <c r="B33" t="s">
        <v>1460</v>
      </c>
      <c r="C33">
        <v>60.92</v>
      </c>
      <c r="D33">
        <v>294.08100000000002</v>
      </c>
      <c r="E33">
        <v>294.39999999999998</v>
      </c>
      <c r="F33">
        <v>291.577</v>
      </c>
      <c r="G33">
        <v>291.363</v>
      </c>
      <c r="H33">
        <v>150</v>
      </c>
      <c r="I33">
        <v>0.35</v>
      </c>
      <c r="J33" t="s">
        <v>1407</v>
      </c>
      <c r="K33" t="s">
        <v>1408</v>
      </c>
      <c r="L33">
        <v>0</v>
      </c>
      <c r="M33">
        <v>3.03</v>
      </c>
      <c r="N33">
        <v>7.79</v>
      </c>
      <c r="O33">
        <v>39</v>
      </c>
      <c r="P33">
        <v>71</v>
      </c>
      <c r="Q33" s="364">
        <f t="shared" si="0"/>
        <v>2.5040000000000191</v>
      </c>
      <c r="R33">
        <v>0</v>
      </c>
      <c r="S33">
        <v>0</v>
      </c>
      <c r="T33">
        <v>0</v>
      </c>
      <c r="U33">
        <v>0</v>
      </c>
      <c r="V33" s="359">
        <v>216516521953</v>
      </c>
      <c r="W33" s="359">
        <v>8003577429712</v>
      </c>
      <c r="X33" s="359">
        <v>216572242835</v>
      </c>
      <c r="Y33" t="s">
        <v>1461</v>
      </c>
      <c r="Z33">
        <v>1.57</v>
      </c>
    </row>
    <row r="34" spans="1:26" x14ac:dyDescent="0.2">
      <c r="A34" t="s">
        <v>1460</v>
      </c>
      <c r="B34" t="s">
        <v>1462</v>
      </c>
      <c r="C34">
        <v>55</v>
      </c>
      <c r="D34">
        <v>294.39999999999998</v>
      </c>
      <c r="E34">
        <v>292.84199999999998</v>
      </c>
      <c r="F34">
        <v>290.94</v>
      </c>
      <c r="G34">
        <v>290.77499999999998</v>
      </c>
      <c r="H34">
        <v>200</v>
      </c>
      <c r="I34">
        <v>0.3</v>
      </c>
      <c r="J34" t="s">
        <v>1394</v>
      </c>
      <c r="K34">
        <v>3.02</v>
      </c>
      <c r="L34">
        <v>7.76</v>
      </c>
      <c r="M34">
        <v>6.05</v>
      </c>
      <c r="N34">
        <v>15.55</v>
      </c>
      <c r="O34">
        <v>34</v>
      </c>
      <c r="P34">
        <v>59</v>
      </c>
      <c r="Q34" s="364">
        <f t="shared" si="0"/>
        <v>3.4599999999999795</v>
      </c>
      <c r="R34">
        <v>0</v>
      </c>
      <c r="S34">
        <v>0</v>
      </c>
      <c r="T34">
        <v>0</v>
      </c>
      <c r="U34">
        <v>0</v>
      </c>
      <c r="V34" s="359">
        <v>216572242835</v>
      </c>
      <c r="W34" s="359">
        <v>8003552790367</v>
      </c>
      <c r="X34" s="359">
        <v>216605305441</v>
      </c>
      <c r="Y34" t="s">
        <v>1463</v>
      </c>
      <c r="Z34">
        <v>1.66</v>
      </c>
    </row>
    <row r="35" spans="1:26" x14ac:dyDescent="0.2">
      <c r="A35" t="s">
        <v>1462</v>
      </c>
      <c r="B35" t="s">
        <v>1464</v>
      </c>
      <c r="C35">
        <v>52</v>
      </c>
      <c r="D35">
        <v>292.84199999999998</v>
      </c>
      <c r="E35">
        <v>293.32600000000002</v>
      </c>
      <c r="F35">
        <v>290.72500000000002</v>
      </c>
      <c r="G35">
        <v>290.56900000000002</v>
      </c>
      <c r="H35">
        <v>250</v>
      </c>
      <c r="I35">
        <v>0.3</v>
      </c>
      <c r="J35" t="s">
        <v>1394</v>
      </c>
      <c r="K35">
        <v>3.35</v>
      </c>
      <c r="L35">
        <v>8.6300000000000008</v>
      </c>
      <c r="M35">
        <v>9.4</v>
      </c>
      <c r="N35">
        <v>24.18</v>
      </c>
      <c r="O35">
        <v>32</v>
      </c>
      <c r="P35">
        <v>54</v>
      </c>
      <c r="Q35" s="364">
        <f t="shared" si="0"/>
        <v>2.1169999999999618</v>
      </c>
      <c r="R35">
        <v>0</v>
      </c>
      <c r="S35">
        <v>0</v>
      </c>
      <c r="T35">
        <v>0</v>
      </c>
      <c r="U35">
        <v>0</v>
      </c>
      <c r="V35" s="359">
        <v>216605305441</v>
      </c>
      <c r="W35" s="359">
        <v>8003508837392</v>
      </c>
      <c r="X35" s="359">
        <v>216636564633</v>
      </c>
      <c r="Y35" t="s">
        <v>1465</v>
      </c>
      <c r="Z35">
        <v>1.97</v>
      </c>
    </row>
    <row r="36" spans="1:26" x14ac:dyDescent="0.2">
      <c r="A36" t="s">
        <v>1464</v>
      </c>
      <c r="B36" t="s">
        <v>1466</v>
      </c>
      <c r="C36">
        <v>53</v>
      </c>
      <c r="D36">
        <v>293.32600000000002</v>
      </c>
      <c r="E36">
        <v>293.45</v>
      </c>
      <c r="F36">
        <v>290.56900000000002</v>
      </c>
      <c r="G36">
        <v>290.41000000000003</v>
      </c>
      <c r="H36">
        <v>250</v>
      </c>
      <c r="I36">
        <v>0.3</v>
      </c>
      <c r="J36" t="s">
        <v>1394</v>
      </c>
      <c r="K36">
        <v>0</v>
      </c>
      <c r="L36">
        <v>0</v>
      </c>
      <c r="M36">
        <v>9.4</v>
      </c>
      <c r="N36">
        <v>24.18</v>
      </c>
      <c r="O36">
        <v>32</v>
      </c>
      <c r="P36">
        <v>54</v>
      </c>
      <c r="Q36" s="364">
        <f t="shared" si="0"/>
        <v>2.757000000000005</v>
      </c>
      <c r="R36">
        <v>0</v>
      </c>
      <c r="S36">
        <v>0</v>
      </c>
      <c r="T36">
        <v>0</v>
      </c>
      <c r="U36">
        <v>0</v>
      </c>
      <c r="V36" s="359">
        <v>216636564633</v>
      </c>
      <c r="W36" s="359">
        <v>8003467281851</v>
      </c>
      <c r="X36" s="359">
        <v>216668424963</v>
      </c>
      <c r="Y36" t="s">
        <v>1467</v>
      </c>
      <c r="Z36">
        <v>1.97</v>
      </c>
    </row>
    <row r="37" spans="1:26" x14ac:dyDescent="0.2">
      <c r="A37" t="s">
        <v>1466</v>
      </c>
      <c r="B37" t="s">
        <v>1468</v>
      </c>
      <c r="C37">
        <v>50</v>
      </c>
      <c r="D37">
        <v>293.45</v>
      </c>
      <c r="E37">
        <v>293.42099999999999</v>
      </c>
      <c r="F37">
        <v>290.41000000000003</v>
      </c>
      <c r="G37">
        <v>290.26</v>
      </c>
      <c r="H37">
        <v>250</v>
      </c>
      <c r="I37">
        <v>0.3</v>
      </c>
      <c r="J37" t="s">
        <v>1394</v>
      </c>
      <c r="K37">
        <v>0</v>
      </c>
      <c r="L37">
        <v>0</v>
      </c>
      <c r="M37">
        <v>9.4</v>
      </c>
      <c r="N37">
        <v>24.18</v>
      </c>
      <c r="O37">
        <v>32</v>
      </c>
      <c r="P37">
        <v>54</v>
      </c>
      <c r="Q37" s="364">
        <f t="shared" si="0"/>
        <v>3.0399999999999636</v>
      </c>
      <c r="R37">
        <v>0</v>
      </c>
      <c r="S37">
        <v>0</v>
      </c>
      <c r="T37">
        <v>0</v>
      </c>
      <c r="U37">
        <v>0</v>
      </c>
      <c r="V37" s="359">
        <v>216668424963</v>
      </c>
      <c r="W37" s="359">
        <v>8003424927166</v>
      </c>
      <c r="X37" s="359">
        <v>216685243472</v>
      </c>
      <c r="Y37" t="s">
        <v>1469</v>
      </c>
      <c r="Z37">
        <v>1.97</v>
      </c>
    </row>
    <row r="38" spans="1:26" x14ac:dyDescent="0.2">
      <c r="A38" t="s">
        <v>1468</v>
      </c>
      <c r="B38" t="s">
        <v>1470</v>
      </c>
      <c r="C38">
        <v>49.87</v>
      </c>
      <c r="D38">
        <v>293.42099999999999</v>
      </c>
      <c r="E38">
        <v>293.334</v>
      </c>
      <c r="F38">
        <v>290.26</v>
      </c>
      <c r="G38">
        <v>290.11</v>
      </c>
      <c r="H38">
        <v>250</v>
      </c>
      <c r="I38">
        <v>0.3</v>
      </c>
      <c r="J38" t="s">
        <v>1394</v>
      </c>
      <c r="K38">
        <v>0</v>
      </c>
      <c r="L38">
        <v>0</v>
      </c>
      <c r="M38">
        <v>9.4</v>
      </c>
      <c r="N38">
        <v>24.18</v>
      </c>
      <c r="O38">
        <v>32</v>
      </c>
      <c r="P38">
        <v>54</v>
      </c>
      <c r="Q38" s="364">
        <f t="shared" si="0"/>
        <v>3.1610000000000014</v>
      </c>
      <c r="R38">
        <v>0</v>
      </c>
      <c r="S38">
        <v>0</v>
      </c>
      <c r="T38">
        <v>0</v>
      </c>
      <c r="U38">
        <v>0</v>
      </c>
      <c r="V38" s="359">
        <v>216685243472</v>
      </c>
      <c r="W38" s="359">
        <v>8003377840674</v>
      </c>
      <c r="X38" s="359">
        <v>216702016891</v>
      </c>
      <c r="Y38" t="s">
        <v>1471</v>
      </c>
      <c r="Z38">
        <v>1.97</v>
      </c>
    </row>
    <row r="39" spans="1:26" x14ac:dyDescent="0.2">
      <c r="A39" t="s">
        <v>1470</v>
      </c>
      <c r="B39" t="s">
        <v>1472</v>
      </c>
      <c r="C39">
        <v>80.13</v>
      </c>
      <c r="D39">
        <v>293.334</v>
      </c>
      <c r="E39">
        <v>291.87700000000001</v>
      </c>
      <c r="F39">
        <v>290.11</v>
      </c>
      <c r="G39">
        <v>289.87</v>
      </c>
      <c r="H39">
        <v>250</v>
      </c>
      <c r="I39">
        <v>0.3</v>
      </c>
      <c r="J39" t="s">
        <v>1394</v>
      </c>
      <c r="K39">
        <v>0</v>
      </c>
      <c r="L39">
        <v>0</v>
      </c>
      <c r="M39">
        <v>9.4</v>
      </c>
      <c r="N39">
        <v>24.18</v>
      </c>
      <c r="O39">
        <v>32</v>
      </c>
      <c r="P39">
        <v>54</v>
      </c>
      <c r="Q39" s="364">
        <f t="shared" si="0"/>
        <v>3.2239999999999895</v>
      </c>
      <c r="R39">
        <v>0</v>
      </c>
      <c r="S39">
        <v>0</v>
      </c>
      <c r="T39">
        <v>0</v>
      </c>
      <c r="U39">
        <v>0</v>
      </c>
      <c r="V39" s="359">
        <v>216702016891</v>
      </c>
      <c r="W39" s="359">
        <v>8003330880421</v>
      </c>
      <c r="X39" s="359">
        <v>216737287009</v>
      </c>
      <c r="Y39" t="s">
        <v>1473</v>
      </c>
      <c r="Z39">
        <v>1.97</v>
      </c>
    </row>
    <row r="40" spans="1:26" x14ac:dyDescent="0.2">
      <c r="A40" t="s">
        <v>1472</v>
      </c>
      <c r="B40" t="s">
        <v>1474</v>
      </c>
      <c r="C40">
        <v>80</v>
      </c>
      <c r="D40">
        <v>291.87700000000001</v>
      </c>
      <c r="E40">
        <v>292.32499999999999</v>
      </c>
      <c r="F40">
        <v>289.87</v>
      </c>
      <c r="G40">
        <v>289.63</v>
      </c>
      <c r="H40">
        <v>250</v>
      </c>
      <c r="I40">
        <v>0.3</v>
      </c>
      <c r="J40" t="s">
        <v>1394</v>
      </c>
      <c r="K40">
        <v>0</v>
      </c>
      <c r="L40">
        <v>0</v>
      </c>
      <c r="M40">
        <v>9.4</v>
      </c>
      <c r="N40">
        <v>24.18</v>
      </c>
      <c r="O40">
        <v>32</v>
      </c>
      <c r="P40">
        <v>54</v>
      </c>
      <c r="Q40" s="364">
        <f t="shared" si="0"/>
        <v>2.007000000000005</v>
      </c>
      <c r="R40">
        <v>0</v>
      </c>
      <c r="S40">
        <v>0</v>
      </c>
      <c r="T40">
        <v>0</v>
      </c>
      <c r="U40">
        <v>0</v>
      </c>
      <c r="V40" s="359">
        <v>216737287009</v>
      </c>
      <c r="W40" s="359">
        <v>8003258926628</v>
      </c>
      <c r="X40" s="359">
        <v>216770950159</v>
      </c>
      <c r="Y40" t="s">
        <v>1475</v>
      </c>
      <c r="Z40">
        <v>1.97</v>
      </c>
    </row>
    <row r="41" spans="1:26" x14ac:dyDescent="0.2">
      <c r="A41" t="s">
        <v>1474</v>
      </c>
      <c r="B41" t="s">
        <v>1476</v>
      </c>
      <c r="C41">
        <v>80</v>
      </c>
      <c r="D41">
        <v>292.32499999999999</v>
      </c>
      <c r="E41">
        <v>292.48200000000003</v>
      </c>
      <c r="F41">
        <v>289.63</v>
      </c>
      <c r="G41">
        <v>289.39</v>
      </c>
      <c r="H41">
        <v>250</v>
      </c>
      <c r="I41">
        <v>0.3</v>
      </c>
      <c r="J41" t="s">
        <v>1394</v>
      </c>
      <c r="K41">
        <v>0</v>
      </c>
      <c r="L41">
        <v>0</v>
      </c>
      <c r="M41">
        <v>9.4</v>
      </c>
      <c r="N41">
        <v>24.18</v>
      </c>
      <c r="O41">
        <v>32</v>
      </c>
      <c r="P41">
        <v>54</v>
      </c>
      <c r="Q41" s="364">
        <f t="shared" si="0"/>
        <v>2.6949999999999932</v>
      </c>
      <c r="R41">
        <v>0</v>
      </c>
      <c r="S41">
        <v>0</v>
      </c>
      <c r="T41">
        <v>0</v>
      </c>
      <c r="U41">
        <v>0</v>
      </c>
      <c r="V41" s="359">
        <v>216770950159</v>
      </c>
      <c r="W41" s="359">
        <v>8003186353958</v>
      </c>
      <c r="X41" s="359">
        <v>21680366076</v>
      </c>
      <c r="Y41" t="s">
        <v>1477</v>
      </c>
      <c r="Z41">
        <v>1.97</v>
      </c>
    </row>
    <row r="42" spans="1:26" x14ac:dyDescent="0.2">
      <c r="A42" t="s">
        <v>1476</v>
      </c>
      <c r="B42" t="s">
        <v>1478</v>
      </c>
      <c r="C42">
        <v>80</v>
      </c>
      <c r="D42">
        <v>292.48200000000003</v>
      </c>
      <c r="E42">
        <v>292.22399999999999</v>
      </c>
      <c r="F42">
        <v>289.39</v>
      </c>
      <c r="G42">
        <v>289.14999999999998</v>
      </c>
      <c r="H42">
        <v>250</v>
      </c>
      <c r="I42">
        <v>0.3</v>
      </c>
      <c r="J42" t="s">
        <v>1394</v>
      </c>
      <c r="K42">
        <v>0</v>
      </c>
      <c r="L42">
        <v>0</v>
      </c>
      <c r="M42">
        <v>9.4</v>
      </c>
      <c r="N42">
        <v>24.18</v>
      </c>
      <c r="O42">
        <v>32</v>
      </c>
      <c r="P42">
        <v>54</v>
      </c>
      <c r="Q42" s="364">
        <f t="shared" si="0"/>
        <v>3.0920000000000414</v>
      </c>
      <c r="R42">
        <v>0</v>
      </c>
      <c r="S42">
        <v>0</v>
      </c>
      <c r="T42">
        <v>0</v>
      </c>
      <c r="U42">
        <v>0</v>
      </c>
      <c r="V42" s="359">
        <v>21680366076</v>
      </c>
      <c r="W42" s="359">
        <v>8003113346996</v>
      </c>
      <c r="X42" s="359">
        <v>216836371361</v>
      </c>
      <c r="Y42" t="s">
        <v>1479</v>
      </c>
      <c r="Z42">
        <v>1.97</v>
      </c>
    </row>
    <row r="43" spans="1:26" x14ac:dyDescent="0.2">
      <c r="A43" t="s">
        <v>1478</v>
      </c>
      <c r="B43" t="s">
        <v>1480</v>
      </c>
      <c r="C43">
        <v>80</v>
      </c>
      <c r="D43">
        <v>292.22399999999999</v>
      </c>
      <c r="E43">
        <v>292.48599999999999</v>
      </c>
      <c r="F43">
        <v>289.14999999999998</v>
      </c>
      <c r="G43">
        <v>288.91000000000003</v>
      </c>
      <c r="H43">
        <v>250</v>
      </c>
      <c r="I43">
        <v>0.3</v>
      </c>
      <c r="J43" t="s">
        <v>1394</v>
      </c>
      <c r="K43">
        <v>0</v>
      </c>
      <c r="L43">
        <v>0</v>
      </c>
      <c r="M43">
        <v>9.4</v>
      </c>
      <c r="N43">
        <v>24.18</v>
      </c>
      <c r="O43">
        <v>32</v>
      </c>
      <c r="P43">
        <v>54</v>
      </c>
      <c r="Q43" s="364">
        <f t="shared" si="0"/>
        <v>3.0740000000000123</v>
      </c>
      <c r="R43">
        <v>0</v>
      </c>
      <c r="S43">
        <v>0</v>
      </c>
      <c r="T43">
        <v>0</v>
      </c>
      <c r="U43">
        <v>0</v>
      </c>
      <c r="V43" s="359">
        <v>216836371361</v>
      </c>
      <c r="W43" s="359">
        <v>8003040340034</v>
      </c>
      <c r="X43" s="359">
        <v>216870282363</v>
      </c>
      <c r="Y43" t="s">
        <v>1481</v>
      </c>
      <c r="Z43">
        <v>1.97</v>
      </c>
    </row>
    <row r="44" spans="1:26" x14ac:dyDescent="0.2">
      <c r="A44" t="s">
        <v>1480</v>
      </c>
      <c r="B44" t="s">
        <v>1482</v>
      </c>
      <c r="C44">
        <v>60</v>
      </c>
      <c r="D44">
        <v>292.48599999999999</v>
      </c>
      <c r="E44">
        <v>289.495</v>
      </c>
      <c r="F44">
        <v>288.91000000000003</v>
      </c>
      <c r="G44">
        <v>288.73</v>
      </c>
      <c r="H44">
        <v>250</v>
      </c>
      <c r="I44">
        <v>0.3</v>
      </c>
      <c r="J44" t="s">
        <v>1394</v>
      </c>
      <c r="K44">
        <v>0</v>
      </c>
      <c r="L44">
        <v>0</v>
      </c>
      <c r="M44">
        <v>9.4</v>
      </c>
      <c r="N44">
        <v>24.18</v>
      </c>
      <c r="O44">
        <v>32</v>
      </c>
      <c r="P44">
        <v>54</v>
      </c>
      <c r="Q44" s="364">
        <f t="shared" si="0"/>
        <v>3.575999999999965</v>
      </c>
      <c r="R44">
        <v>0</v>
      </c>
      <c r="S44">
        <v>0</v>
      </c>
      <c r="T44">
        <v>0</v>
      </c>
      <c r="U44">
        <v>0</v>
      </c>
      <c r="V44" s="359">
        <v>216870282363</v>
      </c>
      <c r="W44" s="359">
        <v>8002967882846</v>
      </c>
      <c r="X44" s="359">
        <v>216900289056</v>
      </c>
      <c r="Y44" t="s">
        <v>1483</v>
      </c>
      <c r="Z44">
        <v>1.97</v>
      </c>
    </row>
    <row r="45" spans="1:26" x14ac:dyDescent="0.2">
      <c r="A45" t="s">
        <v>1482</v>
      </c>
      <c r="B45" t="s">
        <v>1484</v>
      </c>
      <c r="C45">
        <v>22</v>
      </c>
      <c r="D45">
        <v>289.495</v>
      </c>
      <c r="E45">
        <v>290.41000000000003</v>
      </c>
      <c r="F45">
        <v>287.89499999999998</v>
      </c>
      <c r="G45">
        <v>287.82900000000001</v>
      </c>
      <c r="H45">
        <v>300</v>
      </c>
      <c r="I45">
        <v>0.3</v>
      </c>
      <c r="J45" t="s">
        <v>1407</v>
      </c>
      <c r="K45" t="s">
        <v>1485</v>
      </c>
      <c r="L45">
        <v>13.48</v>
      </c>
      <c r="M45">
        <v>14.65</v>
      </c>
      <c r="N45">
        <v>37.659999999999997</v>
      </c>
      <c r="O45">
        <v>35</v>
      </c>
      <c r="P45">
        <v>62</v>
      </c>
      <c r="Q45" s="364">
        <f t="shared" si="0"/>
        <v>1.6000000000000227</v>
      </c>
      <c r="R45">
        <v>0</v>
      </c>
      <c r="S45">
        <v>0</v>
      </c>
      <c r="T45">
        <v>0</v>
      </c>
      <c r="U45">
        <v>0</v>
      </c>
      <c r="V45" s="359">
        <v>216900289056</v>
      </c>
      <c r="W45" s="359">
        <v>8002915925187</v>
      </c>
      <c r="X45" s="359">
        <v>216920731306</v>
      </c>
      <c r="Y45" t="s">
        <v>1486</v>
      </c>
      <c r="Z45">
        <v>2.5499999999999998</v>
      </c>
    </row>
    <row r="46" spans="1:26" x14ac:dyDescent="0.2">
      <c r="A46" t="s">
        <v>1484</v>
      </c>
      <c r="B46" t="s">
        <v>1487</v>
      </c>
      <c r="C46">
        <v>59</v>
      </c>
      <c r="D46">
        <v>290.41000000000003</v>
      </c>
      <c r="E46">
        <v>289.47800000000001</v>
      </c>
      <c r="F46">
        <v>287.82900000000001</v>
      </c>
      <c r="G46">
        <v>287.65199999999999</v>
      </c>
      <c r="H46">
        <v>300</v>
      </c>
      <c r="I46">
        <v>0.3</v>
      </c>
      <c r="J46" t="s">
        <v>1394</v>
      </c>
      <c r="K46">
        <v>3.64</v>
      </c>
      <c r="L46">
        <v>9.3699999999999992</v>
      </c>
      <c r="M46">
        <v>18.29</v>
      </c>
      <c r="N46">
        <v>47.03</v>
      </c>
      <c r="O46">
        <v>35</v>
      </c>
      <c r="P46">
        <v>60</v>
      </c>
      <c r="Q46" s="364">
        <f t="shared" si="0"/>
        <v>2.5810000000000173</v>
      </c>
      <c r="R46">
        <v>0</v>
      </c>
      <c r="S46">
        <v>0</v>
      </c>
      <c r="T46">
        <v>0</v>
      </c>
      <c r="U46">
        <v>0</v>
      </c>
      <c r="V46" s="359">
        <v>216920731306</v>
      </c>
      <c r="W46" s="359">
        <v>8002907801567</v>
      </c>
      <c r="X46" s="359">
        <v>216919325357</v>
      </c>
      <c r="Y46" t="s">
        <v>1488</v>
      </c>
      <c r="Z46">
        <v>2.5099999999999998</v>
      </c>
    </row>
    <row r="47" spans="1:26" x14ac:dyDescent="0.2">
      <c r="A47" t="s">
        <v>1487</v>
      </c>
      <c r="B47" t="s">
        <v>1489</v>
      </c>
      <c r="C47">
        <v>17.559999999999999</v>
      </c>
      <c r="D47">
        <v>289.47800000000001</v>
      </c>
      <c r="E47">
        <v>289.721</v>
      </c>
      <c r="F47">
        <v>287.65199999999999</v>
      </c>
      <c r="G47">
        <v>287.59899999999999</v>
      </c>
      <c r="H47">
        <v>300</v>
      </c>
      <c r="I47">
        <v>0.3</v>
      </c>
      <c r="J47" t="s">
        <v>1394</v>
      </c>
      <c r="K47">
        <v>0</v>
      </c>
      <c r="L47">
        <v>0</v>
      </c>
      <c r="M47">
        <v>18.29</v>
      </c>
      <c r="N47">
        <v>47.03</v>
      </c>
      <c r="O47">
        <v>35</v>
      </c>
      <c r="P47">
        <v>60</v>
      </c>
      <c r="Q47" s="364">
        <f t="shared" si="0"/>
        <v>1.8260000000000218</v>
      </c>
      <c r="R47">
        <v>0</v>
      </c>
      <c r="S47">
        <v>0</v>
      </c>
      <c r="T47">
        <v>0</v>
      </c>
      <c r="U47">
        <v>0</v>
      </c>
      <c r="V47" s="359">
        <v>216919325357</v>
      </c>
      <c r="W47" s="359">
        <v>8002848818321</v>
      </c>
      <c r="X47" s="359">
        <v>216936887179</v>
      </c>
      <c r="Y47" t="s">
        <v>1490</v>
      </c>
      <c r="Z47">
        <v>2.5099999999999998</v>
      </c>
    </row>
    <row r="48" spans="1:26" x14ac:dyDescent="0.2">
      <c r="A48" t="s">
        <v>1489</v>
      </c>
      <c r="B48" t="s">
        <v>1491</v>
      </c>
      <c r="C48">
        <v>80</v>
      </c>
      <c r="D48">
        <v>289.721</v>
      </c>
      <c r="E48">
        <v>292.69099999999997</v>
      </c>
      <c r="F48">
        <v>287.59899999999999</v>
      </c>
      <c r="G48">
        <v>287.35899999999998</v>
      </c>
      <c r="H48">
        <v>300</v>
      </c>
      <c r="I48">
        <v>0.3</v>
      </c>
      <c r="J48" t="s">
        <v>1394</v>
      </c>
      <c r="K48">
        <v>0</v>
      </c>
      <c r="L48">
        <v>0</v>
      </c>
      <c r="M48">
        <v>18.29</v>
      </c>
      <c r="N48">
        <v>47.03</v>
      </c>
      <c r="O48">
        <v>35</v>
      </c>
      <c r="P48">
        <v>60</v>
      </c>
      <c r="Q48" s="364">
        <f t="shared" si="0"/>
        <v>2.1220000000000141</v>
      </c>
      <c r="R48">
        <v>0</v>
      </c>
      <c r="S48">
        <v>0</v>
      </c>
      <c r="T48">
        <v>0</v>
      </c>
      <c r="U48">
        <v>0</v>
      </c>
      <c r="V48" s="359">
        <v>216936887179</v>
      </c>
      <c r="W48" s="359">
        <v>800284856686</v>
      </c>
      <c r="X48" s="359">
        <v>216954729801</v>
      </c>
      <c r="Y48" t="s">
        <v>1492</v>
      </c>
      <c r="Z48">
        <v>2.5099999999999998</v>
      </c>
    </row>
    <row r="49" spans="1:26" x14ac:dyDescent="0.2">
      <c r="A49" t="s">
        <v>1491</v>
      </c>
      <c r="B49" t="s">
        <v>1493</v>
      </c>
      <c r="C49">
        <v>80</v>
      </c>
      <c r="D49">
        <v>292.69099999999997</v>
      </c>
      <c r="E49">
        <v>292.108</v>
      </c>
      <c r="F49">
        <v>287.35899999999998</v>
      </c>
      <c r="G49">
        <v>287.11900000000003</v>
      </c>
      <c r="H49">
        <v>300</v>
      </c>
      <c r="I49">
        <v>0.3</v>
      </c>
      <c r="J49" t="s">
        <v>1394</v>
      </c>
      <c r="K49">
        <v>0</v>
      </c>
      <c r="L49">
        <v>0</v>
      </c>
      <c r="M49">
        <v>18.29</v>
      </c>
      <c r="N49">
        <v>47.03</v>
      </c>
      <c r="O49">
        <v>35</v>
      </c>
      <c r="P49">
        <v>60</v>
      </c>
      <c r="Q49" s="364">
        <f t="shared" si="0"/>
        <v>5.3319999999999936</v>
      </c>
      <c r="R49">
        <v>0</v>
      </c>
      <c r="S49">
        <v>0</v>
      </c>
      <c r="T49">
        <v>0</v>
      </c>
      <c r="U49">
        <v>0</v>
      </c>
      <c r="V49" s="359">
        <v>216954729801</v>
      </c>
      <c r="W49" s="359">
        <v>8002769808314</v>
      </c>
      <c r="X49" s="359">
        <v>216972677568</v>
      </c>
      <c r="Y49" t="s">
        <v>1494</v>
      </c>
      <c r="Z49">
        <v>2.5099999999999998</v>
      </c>
    </row>
    <row r="50" spans="1:26" x14ac:dyDescent="0.2">
      <c r="A50" t="s">
        <v>1493</v>
      </c>
      <c r="B50" t="s">
        <v>1495</v>
      </c>
      <c r="C50">
        <v>80</v>
      </c>
      <c r="D50">
        <v>292.108</v>
      </c>
      <c r="E50">
        <v>290.06700000000001</v>
      </c>
      <c r="F50">
        <v>287.11900000000003</v>
      </c>
      <c r="G50">
        <v>286.87900000000002</v>
      </c>
      <c r="H50">
        <v>300</v>
      </c>
      <c r="I50">
        <v>0.3</v>
      </c>
      <c r="J50" t="s">
        <v>1394</v>
      </c>
      <c r="K50">
        <v>0</v>
      </c>
      <c r="L50">
        <v>0</v>
      </c>
      <c r="M50">
        <v>18.29</v>
      </c>
      <c r="N50">
        <v>47.03</v>
      </c>
      <c r="O50">
        <v>35</v>
      </c>
      <c r="P50">
        <v>60</v>
      </c>
      <c r="Q50" s="364">
        <f t="shared" si="0"/>
        <v>4.9889999999999759</v>
      </c>
      <c r="R50">
        <v>0</v>
      </c>
      <c r="S50">
        <v>0</v>
      </c>
      <c r="T50">
        <v>0</v>
      </c>
      <c r="U50">
        <v>0</v>
      </c>
      <c r="V50" s="359">
        <v>216972677568</v>
      </c>
      <c r="W50" s="359">
        <v>800269184757</v>
      </c>
      <c r="X50" s="359">
        <v>216992087043</v>
      </c>
      <c r="Y50" t="s">
        <v>1496</v>
      </c>
      <c r="Z50">
        <v>2.5099999999999998</v>
      </c>
    </row>
    <row r="51" spans="1:26" x14ac:dyDescent="0.2">
      <c r="A51" t="s">
        <v>1495</v>
      </c>
      <c r="B51" t="s">
        <v>1497</v>
      </c>
      <c r="C51">
        <v>80</v>
      </c>
      <c r="D51">
        <v>290.06700000000001</v>
      </c>
      <c r="E51">
        <v>288.80200000000002</v>
      </c>
      <c r="F51">
        <v>286.87900000000002</v>
      </c>
      <c r="G51">
        <v>286.63900000000001</v>
      </c>
      <c r="H51">
        <v>300</v>
      </c>
      <c r="I51">
        <v>0.3</v>
      </c>
      <c r="J51" t="s">
        <v>1394</v>
      </c>
      <c r="K51">
        <v>0</v>
      </c>
      <c r="L51">
        <v>0</v>
      </c>
      <c r="M51">
        <v>18.29</v>
      </c>
      <c r="N51">
        <v>47.03</v>
      </c>
      <c r="O51">
        <v>35</v>
      </c>
      <c r="P51">
        <v>60</v>
      </c>
      <c r="Q51" s="364">
        <f t="shared" si="0"/>
        <v>3.1879999999999882</v>
      </c>
      <c r="R51">
        <v>0</v>
      </c>
      <c r="S51">
        <v>0</v>
      </c>
      <c r="T51">
        <v>0</v>
      </c>
      <c r="U51">
        <v>0</v>
      </c>
      <c r="V51" s="359">
        <v>216992087043</v>
      </c>
      <c r="W51" s="359">
        <v>8002614237827</v>
      </c>
      <c r="X51" s="359">
        <v>217006377353</v>
      </c>
      <c r="Y51" t="s">
        <v>1498</v>
      </c>
      <c r="Z51">
        <v>2.5099999999999998</v>
      </c>
    </row>
    <row r="52" spans="1:26" x14ac:dyDescent="0.2">
      <c r="A52" t="s">
        <v>1497</v>
      </c>
      <c r="B52" t="s">
        <v>1499</v>
      </c>
      <c r="C52">
        <v>25</v>
      </c>
      <c r="D52">
        <v>288.80200000000002</v>
      </c>
      <c r="E52">
        <v>289.84500000000003</v>
      </c>
      <c r="F52">
        <v>286.63900000000001</v>
      </c>
      <c r="G52">
        <v>286.56400000000002</v>
      </c>
      <c r="H52">
        <v>300</v>
      </c>
      <c r="I52">
        <v>0.3</v>
      </c>
      <c r="J52" t="s">
        <v>1394</v>
      </c>
      <c r="K52">
        <v>0</v>
      </c>
      <c r="L52">
        <v>0</v>
      </c>
      <c r="M52">
        <v>18.29</v>
      </c>
      <c r="N52">
        <v>47.03</v>
      </c>
      <c r="O52">
        <v>35</v>
      </c>
      <c r="P52">
        <v>60</v>
      </c>
      <c r="Q52" s="364">
        <f t="shared" si="0"/>
        <v>2.1630000000000109</v>
      </c>
      <c r="R52">
        <v>0</v>
      </c>
      <c r="S52">
        <v>0</v>
      </c>
      <c r="T52">
        <v>0</v>
      </c>
      <c r="U52">
        <v>0</v>
      </c>
      <c r="V52" s="359">
        <v>217006377353</v>
      </c>
      <c r="W52" s="359">
        <v>8002535524505</v>
      </c>
      <c r="X52" s="359">
        <v>217003371252</v>
      </c>
      <c r="Y52" t="s">
        <v>1500</v>
      </c>
      <c r="Z52">
        <v>2.5099999999999998</v>
      </c>
    </row>
    <row r="53" spans="1:26" x14ac:dyDescent="0.2">
      <c r="A53" t="s">
        <v>1499</v>
      </c>
      <c r="B53" t="s">
        <v>1501</v>
      </c>
      <c r="C53">
        <v>55</v>
      </c>
      <c r="D53">
        <v>289.84500000000003</v>
      </c>
      <c r="E53">
        <v>289.73200000000003</v>
      </c>
      <c r="F53">
        <v>286.56400000000002</v>
      </c>
      <c r="G53">
        <v>286.399</v>
      </c>
      <c r="H53">
        <v>300</v>
      </c>
      <c r="I53">
        <v>0.3</v>
      </c>
      <c r="J53" t="s">
        <v>1394</v>
      </c>
      <c r="K53">
        <v>0</v>
      </c>
      <c r="L53">
        <v>0</v>
      </c>
      <c r="M53">
        <v>18.29</v>
      </c>
      <c r="N53">
        <v>47.03</v>
      </c>
      <c r="O53">
        <v>35</v>
      </c>
      <c r="P53">
        <v>60</v>
      </c>
      <c r="Q53" s="364">
        <f t="shared" si="0"/>
        <v>3.2810000000000059</v>
      </c>
      <c r="R53">
        <v>0</v>
      </c>
      <c r="S53">
        <v>0</v>
      </c>
      <c r="T53">
        <v>0</v>
      </c>
      <c r="U53">
        <v>0</v>
      </c>
      <c r="V53" s="359">
        <v>217003371252</v>
      </c>
      <c r="W53" s="359">
        <v>8002510705896</v>
      </c>
      <c r="X53" s="359">
        <v>216959176394</v>
      </c>
      <c r="Y53" t="s">
        <v>1502</v>
      </c>
      <c r="Z53">
        <v>2.5099999999999998</v>
      </c>
    </row>
    <row r="54" spans="1:26" x14ac:dyDescent="0.2">
      <c r="A54" t="s">
        <v>1501</v>
      </c>
      <c r="B54" t="s">
        <v>1503</v>
      </c>
      <c r="C54">
        <v>80</v>
      </c>
      <c r="D54">
        <v>289.73200000000003</v>
      </c>
      <c r="E54">
        <v>289.41500000000002</v>
      </c>
      <c r="F54">
        <v>286.399</v>
      </c>
      <c r="G54">
        <v>286.15899999999999</v>
      </c>
      <c r="H54">
        <v>300</v>
      </c>
      <c r="I54">
        <v>0.3</v>
      </c>
      <c r="J54" t="s">
        <v>1394</v>
      </c>
      <c r="K54">
        <v>0</v>
      </c>
      <c r="L54">
        <v>0</v>
      </c>
      <c r="M54">
        <v>18.29</v>
      </c>
      <c r="N54">
        <v>47.03</v>
      </c>
      <c r="O54">
        <v>35</v>
      </c>
      <c r="P54">
        <v>60</v>
      </c>
      <c r="Q54" s="364">
        <f t="shared" si="0"/>
        <v>3.3330000000000268</v>
      </c>
      <c r="R54">
        <v>0</v>
      </c>
      <c r="S54">
        <v>0</v>
      </c>
      <c r="T54">
        <v>0</v>
      </c>
      <c r="U54">
        <v>0</v>
      </c>
      <c r="V54" s="359">
        <v>216959176394</v>
      </c>
      <c r="W54" s="359">
        <v>8002477967318</v>
      </c>
      <c r="X54" s="359">
        <v>216887583233</v>
      </c>
      <c r="Y54" t="s">
        <v>1504</v>
      </c>
      <c r="Z54">
        <v>2.5099999999999998</v>
      </c>
    </row>
    <row r="55" spans="1:26" x14ac:dyDescent="0.2">
      <c r="A55" t="s">
        <v>1503</v>
      </c>
      <c r="B55" t="s">
        <v>1505</v>
      </c>
      <c r="C55">
        <v>45</v>
      </c>
      <c r="D55">
        <v>289.41500000000002</v>
      </c>
      <c r="E55">
        <v>289.49599999999998</v>
      </c>
      <c r="F55">
        <v>286.15899999999999</v>
      </c>
      <c r="G55">
        <v>286.024</v>
      </c>
      <c r="H55">
        <v>300</v>
      </c>
      <c r="I55">
        <v>0.3</v>
      </c>
      <c r="J55" t="s">
        <v>1394</v>
      </c>
      <c r="K55">
        <v>0</v>
      </c>
      <c r="L55">
        <v>0</v>
      </c>
      <c r="M55">
        <v>18.29</v>
      </c>
      <c r="N55">
        <v>47.03</v>
      </c>
      <c r="O55">
        <v>35</v>
      </c>
      <c r="P55">
        <v>60</v>
      </c>
      <c r="Q55" s="364">
        <f t="shared" si="0"/>
        <v>3.2560000000000286</v>
      </c>
      <c r="R55">
        <v>0</v>
      </c>
      <c r="S55">
        <v>0</v>
      </c>
      <c r="T55">
        <v>0</v>
      </c>
      <c r="U55">
        <v>0</v>
      </c>
      <c r="V55" s="359">
        <v>216887583233</v>
      </c>
      <c r="W55" s="359">
        <v>8002442268309</v>
      </c>
      <c r="X55" s="359">
        <v>216849268203</v>
      </c>
      <c r="Y55" t="s">
        <v>1506</v>
      </c>
      <c r="Z55">
        <v>2.5099999999999998</v>
      </c>
    </row>
    <row r="56" spans="1:26" x14ac:dyDescent="0.2">
      <c r="A56" t="s">
        <v>1505</v>
      </c>
      <c r="B56" t="s">
        <v>1507</v>
      </c>
      <c r="C56">
        <v>22</v>
      </c>
      <c r="D56">
        <v>289.49599999999998</v>
      </c>
      <c r="E56">
        <v>291</v>
      </c>
      <c r="F56">
        <v>286.024</v>
      </c>
      <c r="G56">
        <v>285.95800000000003</v>
      </c>
      <c r="H56">
        <v>300</v>
      </c>
      <c r="I56">
        <v>0.3</v>
      </c>
      <c r="J56" t="s">
        <v>1394</v>
      </c>
      <c r="K56">
        <v>0</v>
      </c>
      <c r="L56">
        <v>0</v>
      </c>
      <c r="M56">
        <v>18.29</v>
      </c>
      <c r="N56">
        <v>47.03</v>
      </c>
      <c r="O56">
        <v>35</v>
      </c>
      <c r="P56">
        <v>60</v>
      </c>
      <c r="Q56" s="364">
        <f t="shared" si="0"/>
        <v>3.47199999999998</v>
      </c>
      <c r="R56">
        <v>0</v>
      </c>
      <c r="S56">
        <v>0</v>
      </c>
      <c r="T56">
        <v>0</v>
      </c>
      <c r="U56">
        <v>0</v>
      </c>
      <c r="V56" s="359">
        <v>216849268203</v>
      </c>
      <c r="W56" s="359">
        <v>8002418668341</v>
      </c>
      <c r="X56" s="359">
        <v>21682726821</v>
      </c>
      <c r="Y56" t="s">
        <v>1508</v>
      </c>
      <c r="Z56">
        <v>2.5099999999999998</v>
      </c>
    </row>
    <row r="57" spans="1:26" x14ac:dyDescent="0.2">
      <c r="A57" t="s">
        <v>1507</v>
      </c>
      <c r="B57" t="s">
        <v>1509</v>
      </c>
      <c r="C57">
        <v>55</v>
      </c>
      <c r="D57">
        <v>291</v>
      </c>
      <c r="E57">
        <v>289.92099999999999</v>
      </c>
      <c r="F57">
        <v>285.95800000000003</v>
      </c>
      <c r="G57">
        <v>285.79300000000001</v>
      </c>
      <c r="H57">
        <v>300</v>
      </c>
      <c r="I57">
        <v>0.3</v>
      </c>
      <c r="J57" t="s">
        <v>1394</v>
      </c>
      <c r="K57">
        <v>0</v>
      </c>
      <c r="L57">
        <v>0</v>
      </c>
      <c r="M57">
        <v>18.29</v>
      </c>
      <c r="N57">
        <v>47.03</v>
      </c>
      <c r="O57">
        <v>35</v>
      </c>
      <c r="P57">
        <v>60</v>
      </c>
      <c r="Q57" s="364">
        <f t="shared" si="0"/>
        <v>5.0419999999999732</v>
      </c>
      <c r="R57">
        <v>0</v>
      </c>
      <c r="S57">
        <v>0</v>
      </c>
      <c r="T57">
        <v>0</v>
      </c>
      <c r="U57">
        <v>0</v>
      </c>
      <c r="V57" s="359">
        <v>21682726821</v>
      </c>
      <c r="W57" s="359">
        <v>8002418685915</v>
      </c>
      <c r="X57" s="359">
        <v>216784219996</v>
      </c>
      <c r="Y57" t="s">
        <v>1510</v>
      </c>
      <c r="Z57">
        <v>2.5099999999999998</v>
      </c>
    </row>
    <row r="58" spans="1:26" x14ac:dyDescent="0.2">
      <c r="A58" t="s">
        <v>1509</v>
      </c>
      <c r="B58" t="s">
        <v>1511</v>
      </c>
      <c r="C58">
        <v>80</v>
      </c>
      <c r="D58">
        <v>289.92099999999999</v>
      </c>
      <c r="E58">
        <v>290.18599999999998</v>
      </c>
      <c r="F58">
        <v>285.79300000000001</v>
      </c>
      <c r="G58">
        <v>285.553</v>
      </c>
      <c r="H58">
        <v>300</v>
      </c>
      <c r="I58">
        <v>0.3</v>
      </c>
      <c r="J58" t="s">
        <v>1394</v>
      </c>
      <c r="K58">
        <v>0</v>
      </c>
      <c r="L58">
        <v>0</v>
      </c>
      <c r="M58">
        <v>18.29</v>
      </c>
      <c r="N58">
        <v>47.03</v>
      </c>
      <c r="O58">
        <v>35</v>
      </c>
      <c r="P58">
        <v>60</v>
      </c>
      <c r="Q58" s="364">
        <f t="shared" si="0"/>
        <v>4.1279999999999859</v>
      </c>
      <c r="R58">
        <v>0</v>
      </c>
      <c r="S58">
        <v>0</v>
      </c>
      <c r="T58">
        <v>0</v>
      </c>
      <c r="U58">
        <v>0</v>
      </c>
      <c r="V58" s="359">
        <v>216784219996</v>
      </c>
      <c r="W58" s="359">
        <v>8002384453601</v>
      </c>
      <c r="X58" s="359">
        <v>216709941668</v>
      </c>
      <c r="Y58" t="s">
        <v>1512</v>
      </c>
      <c r="Z58">
        <v>2.5099999999999998</v>
      </c>
    </row>
    <row r="59" spans="1:26" x14ac:dyDescent="0.2">
      <c r="A59" t="s">
        <v>1511</v>
      </c>
      <c r="B59" t="s">
        <v>1513</v>
      </c>
      <c r="C59">
        <v>55</v>
      </c>
      <c r="D59">
        <v>290.18599999999998</v>
      </c>
      <c r="E59">
        <v>290.08699999999999</v>
      </c>
      <c r="F59">
        <v>285.553</v>
      </c>
      <c r="G59">
        <v>285.38799999999998</v>
      </c>
      <c r="H59">
        <v>300</v>
      </c>
      <c r="I59">
        <v>0.3</v>
      </c>
      <c r="J59" t="s">
        <v>1394</v>
      </c>
      <c r="K59">
        <v>0</v>
      </c>
      <c r="L59">
        <v>0</v>
      </c>
      <c r="M59">
        <v>18.29</v>
      </c>
      <c r="N59">
        <v>47.03</v>
      </c>
      <c r="O59">
        <v>35</v>
      </c>
      <c r="P59">
        <v>60</v>
      </c>
      <c r="Q59" s="364">
        <f t="shared" si="0"/>
        <v>4.6329999999999814</v>
      </c>
      <c r="R59">
        <v>0</v>
      </c>
      <c r="S59">
        <v>0</v>
      </c>
      <c r="T59">
        <v>0</v>
      </c>
      <c r="U59">
        <v>0</v>
      </c>
      <c r="V59" s="359">
        <v>216709941668</v>
      </c>
      <c r="W59" s="359">
        <v>8002354751372</v>
      </c>
      <c r="X59" s="359">
        <v>216658350011</v>
      </c>
      <c r="Y59" t="s">
        <v>1514</v>
      </c>
      <c r="Z59">
        <v>2.5099999999999998</v>
      </c>
    </row>
    <row r="60" spans="1:26" x14ac:dyDescent="0.2">
      <c r="A60" t="s">
        <v>1513</v>
      </c>
      <c r="B60" t="s">
        <v>1515</v>
      </c>
      <c r="C60">
        <v>53</v>
      </c>
      <c r="D60">
        <v>290.08699999999999</v>
      </c>
      <c r="E60">
        <v>289</v>
      </c>
      <c r="F60">
        <v>285.38799999999998</v>
      </c>
      <c r="G60">
        <v>285.22899999999998</v>
      </c>
      <c r="H60">
        <v>300</v>
      </c>
      <c r="I60">
        <v>0.3</v>
      </c>
      <c r="J60" t="s">
        <v>1394</v>
      </c>
      <c r="K60">
        <v>0</v>
      </c>
      <c r="L60">
        <v>0</v>
      </c>
      <c r="M60">
        <v>18.29</v>
      </c>
      <c r="N60">
        <v>47.03</v>
      </c>
      <c r="O60">
        <v>35</v>
      </c>
      <c r="P60">
        <v>60</v>
      </c>
      <c r="Q60" s="364">
        <f t="shared" si="0"/>
        <v>4.6990000000000123</v>
      </c>
      <c r="R60">
        <v>0</v>
      </c>
      <c r="S60">
        <v>0</v>
      </c>
      <c r="T60">
        <v>0</v>
      </c>
      <c r="U60">
        <v>0</v>
      </c>
      <c r="V60" s="359">
        <v>216658350011</v>
      </c>
      <c r="W60" s="359">
        <v>8002335690917</v>
      </c>
      <c r="X60" s="359">
        <v>216619600372</v>
      </c>
      <c r="Y60" t="s">
        <v>1516</v>
      </c>
      <c r="Z60">
        <v>2.5099999999999998</v>
      </c>
    </row>
    <row r="61" spans="1:26" x14ac:dyDescent="0.2">
      <c r="A61" t="s">
        <v>1515</v>
      </c>
      <c r="B61" t="s">
        <v>1517</v>
      </c>
      <c r="C61">
        <v>18</v>
      </c>
      <c r="D61">
        <v>289</v>
      </c>
      <c r="E61">
        <v>289.83100000000002</v>
      </c>
      <c r="F61">
        <v>285.22899999999998</v>
      </c>
      <c r="G61">
        <v>285.17500000000001</v>
      </c>
      <c r="H61">
        <v>300</v>
      </c>
      <c r="I61">
        <v>0.3</v>
      </c>
      <c r="J61" t="s">
        <v>1394</v>
      </c>
      <c r="K61">
        <v>0</v>
      </c>
      <c r="L61">
        <v>0</v>
      </c>
      <c r="M61">
        <v>18.29</v>
      </c>
      <c r="N61">
        <v>47.03</v>
      </c>
      <c r="O61">
        <v>35</v>
      </c>
      <c r="P61">
        <v>60</v>
      </c>
      <c r="Q61" s="364">
        <f t="shared" si="0"/>
        <v>3.771000000000015</v>
      </c>
      <c r="R61">
        <v>0</v>
      </c>
      <c r="S61">
        <v>0</v>
      </c>
      <c r="T61">
        <v>0</v>
      </c>
      <c r="U61">
        <v>0</v>
      </c>
      <c r="V61" s="359">
        <v>216619600372</v>
      </c>
      <c r="W61" s="359">
        <v>8002299532025</v>
      </c>
      <c r="X61" s="359">
        <v>216621092179</v>
      </c>
      <c r="Y61" t="s">
        <v>1518</v>
      </c>
      <c r="Z61">
        <v>2.5099999999999998</v>
      </c>
    </row>
    <row r="62" spans="1:26" x14ac:dyDescent="0.2">
      <c r="A62" t="s">
        <v>1517</v>
      </c>
      <c r="B62" t="s">
        <v>1519</v>
      </c>
      <c r="C62">
        <v>36</v>
      </c>
      <c r="D62">
        <v>289.83100000000002</v>
      </c>
      <c r="E62">
        <v>289.76100000000002</v>
      </c>
      <c r="F62">
        <v>285.17500000000001</v>
      </c>
      <c r="G62">
        <v>285.06700000000001</v>
      </c>
      <c r="H62">
        <v>300</v>
      </c>
      <c r="I62">
        <v>0.3</v>
      </c>
      <c r="J62" t="s">
        <v>1394</v>
      </c>
      <c r="K62">
        <v>0</v>
      </c>
      <c r="L62">
        <v>0</v>
      </c>
      <c r="M62">
        <v>18.29</v>
      </c>
      <c r="N62">
        <v>47.03</v>
      </c>
      <c r="O62">
        <v>35</v>
      </c>
      <c r="P62">
        <v>60</v>
      </c>
      <c r="Q62" s="364">
        <f t="shared" si="0"/>
        <v>4.6560000000000059</v>
      </c>
      <c r="R62">
        <v>0</v>
      </c>
      <c r="S62">
        <v>0</v>
      </c>
      <c r="T62">
        <v>0</v>
      </c>
      <c r="U62">
        <v>0</v>
      </c>
      <c r="V62" s="359">
        <v>216621092179</v>
      </c>
      <c r="W62" s="359">
        <v>800228159395</v>
      </c>
      <c r="X62" s="359">
        <v>216585400987</v>
      </c>
      <c r="Y62" t="s">
        <v>1520</v>
      </c>
      <c r="Z62">
        <v>2.5099999999999998</v>
      </c>
    </row>
    <row r="63" spans="1:26" x14ac:dyDescent="0.2">
      <c r="A63" t="s">
        <v>1519</v>
      </c>
      <c r="B63" t="s">
        <v>1521</v>
      </c>
      <c r="C63">
        <v>43.97</v>
      </c>
      <c r="D63">
        <v>289.76100000000002</v>
      </c>
      <c r="E63">
        <v>290.5</v>
      </c>
      <c r="F63">
        <v>285.06700000000001</v>
      </c>
      <c r="G63">
        <v>284.935</v>
      </c>
      <c r="H63">
        <v>300</v>
      </c>
      <c r="I63">
        <v>0.3</v>
      </c>
      <c r="J63" t="s">
        <v>1394</v>
      </c>
      <c r="K63">
        <v>0</v>
      </c>
      <c r="L63">
        <v>0</v>
      </c>
      <c r="M63">
        <v>18.29</v>
      </c>
      <c r="N63">
        <v>47.03</v>
      </c>
      <c r="O63">
        <v>35</v>
      </c>
      <c r="P63">
        <v>60</v>
      </c>
      <c r="Q63" s="364">
        <f t="shared" si="0"/>
        <v>4.6940000000000168</v>
      </c>
      <c r="R63">
        <v>0</v>
      </c>
      <c r="S63">
        <v>0</v>
      </c>
      <c r="T63">
        <v>0</v>
      </c>
      <c r="U63">
        <v>0</v>
      </c>
      <c r="V63" s="359">
        <v>216585400987</v>
      </c>
      <c r="W63" s="359">
        <v>800227688876</v>
      </c>
      <c r="X63" s="359">
        <v>21655441552</v>
      </c>
      <c r="Y63" t="s">
        <v>1522</v>
      </c>
      <c r="Z63">
        <v>2.5099999999999998</v>
      </c>
    </row>
    <row r="64" spans="1:26" x14ac:dyDescent="0.2">
      <c r="A64" t="s">
        <v>1523</v>
      </c>
      <c r="B64" t="s">
        <v>1524</v>
      </c>
      <c r="C64">
        <v>70</v>
      </c>
      <c r="D64">
        <v>297</v>
      </c>
      <c r="E64">
        <v>296.86</v>
      </c>
      <c r="F64">
        <v>296.45</v>
      </c>
      <c r="G64">
        <v>296.08699999999999</v>
      </c>
      <c r="H64">
        <v>150</v>
      </c>
      <c r="I64">
        <v>0.51800000000000002</v>
      </c>
      <c r="J64" t="s">
        <v>1394</v>
      </c>
      <c r="K64">
        <v>0.52</v>
      </c>
      <c r="L64">
        <v>1.32</v>
      </c>
      <c r="M64">
        <v>0.52</v>
      </c>
      <c r="N64">
        <v>1.32</v>
      </c>
      <c r="O64">
        <v>21</v>
      </c>
      <c r="P64">
        <v>21</v>
      </c>
      <c r="Q64" s="364">
        <f t="shared" si="0"/>
        <v>0.55000000000001137</v>
      </c>
      <c r="R64">
        <v>0</v>
      </c>
      <c r="S64">
        <v>0</v>
      </c>
      <c r="T64">
        <v>0</v>
      </c>
      <c r="U64">
        <v>0</v>
      </c>
      <c r="V64" s="359">
        <v>214875331958</v>
      </c>
      <c r="W64" s="359">
        <v>8003601316863</v>
      </c>
      <c r="X64" s="359">
        <v>214923685661</v>
      </c>
      <c r="Y64" t="s">
        <v>1525</v>
      </c>
      <c r="Z64">
        <v>1.02</v>
      </c>
    </row>
    <row r="65" spans="1:26" x14ac:dyDescent="0.2">
      <c r="A65" t="s">
        <v>1524</v>
      </c>
      <c r="B65" t="s">
        <v>1526</v>
      </c>
      <c r="C65">
        <v>52</v>
      </c>
      <c r="D65">
        <v>296.86</v>
      </c>
      <c r="E65">
        <v>296.70999999999998</v>
      </c>
      <c r="F65">
        <v>296.08699999999999</v>
      </c>
      <c r="G65">
        <v>295.81799999999998</v>
      </c>
      <c r="H65">
        <v>150</v>
      </c>
      <c r="I65">
        <v>0.51800000000000002</v>
      </c>
      <c r="J65" t="s">
        <v>1394</v>
      </c>
      <c r="K65">
        <v>0</v>
      </c>
      <c r="L65">
        <v>0</v>
      </c>
      <c r="M65">
        <v>0.52</v>
      </c>
      <c r="N65">
        <v>1.32</v>
      </c>
      <c r="O65">
        <v>21</v>
      </c>
      <c r="P65">
        <v>21</v>
      </c>
      <c r="Q65" s="364">
        <f t="shared" si="0"/>
        <v>0.77300000000002456</v>
      </c>
      <c r="R65">
        <v>0</v>
      </c>
      <c r="S65">
        <v>0</v>
      </c>
      <c r="T65">
        <v>0</v>
      </c>
      <c r="U65">
        <v>0</v>
      </c>
      <c r="V65" s="359">
        <v>214923685661</v>
      </c>
      <c r="W65" s="359">
        <v>800365193227</v>
      </c>
      <c r="X65" s="359">
        <v>214943759251</v>
      </c>
      <c r="Y65" t="s">
        <v>1527</v>
      </c>
      <c r="Z65">
        <v>1.02</v>
      </c>
    </row>
    <row r="66" spans="1:26" x14ac:dyDescent="0.2">
      <c r="A66" t="s">
        <v>1526</v>
      </c>
      <c r="B66" t="s">
        <v>1528</v>
      </c>
      <c r="C66">
        <v>35</v>
      </c>
      <c r="D66">
        <v>296.70999999999998</v>
      </c>
      <c r="E66">
        <v>296.55</v>
      </c>
      <c r="F66">
        <v>295.81799999999998</v>
      </c>
      <c r="G66">
        <v>295.63600000000002</v>
      </c>
      <c r="H66">
        <v>150</v>
      </c>
      <c r="I66">
        <v>0.51800000000000002</v>
      </c>
      <c r="J66" t="s">
        <v>1394</v>
      </c>
      <c r="K66">
        <v>0</v>
      </c>
      <c r="L66">
        <v>0</v>
      </c>
      <c r="M66">
        <v>0.52</v>
      </c>
      <c r="N66">
        <v>1.32</v>
      </c>
      <c r="O66">
        <v>21</v>
      </c>
      <c r="P66">
        <v>21</v>
      </c>
      <c r="Q66" s="364">
        <f t="shared" ref="Q66:Q126" si="1">D66-F66</f>
        <v>0.89199999999999591</v>
      </c>
      <c r="R66">
        <v>0</v>
      </c>
      <c r="S66">
        <v>0</v>
      </c>
      <c r="T66">
        <v>0</v>
      </c>
      <c r="U66">
        <v>0</v>
      </c>
      <c r="V66" s="359">
        <v>214943759251</v>
      </c>
      <c r="W66" s="359">
        <v>8003699901541</v>
      </c>
      <c r="X66" s="359">
        <v>214978520725</v>
      </c>
      <c r="Y66" t="s">
        <v>1529</v>
      </c>
      <c r="Z66">
        <v>1.02</v>
      </c>
    </row>
    <row r="67" spans="1:26" x14ac:dyDescent="0.2">
      <c r="A67" t="s">
        <v>1528</v>
      </c>
      <c r="B67" t="s">
        <v>1530</v>
      </c>
      <c r="C67">
        <v>27</v>
      </c>
      <c r="D67">
        <v>296.55</v>
      </c>
      <c r="E67">
        <v>296.35000000000002</v>
      </c>
      <c r="F67">
        <v>295.63600000000002</v>
      </c>
      <c r="G67">
        <v>295.49599999999998</v>
      </c>
      <c r="H67">
        <v>150</v>
      </c>
      <c r="I67">
        <v>0.51800000000000002</v>
      </c>
      <c r="J67" t="s">
        <v>1394</v>
      </c>
      <c r="K67">
        <v>0</v>
      </c>
      <c r="L67">
        <v>0</v>
      </c>
      <c r="M67">
        <v>0.52</v>
      </c>
      <c r="N67">
        <v>1.32</v>
      </c>
      <c r="O67">
        <v>21</v>
      </c>
      <c r="P67">
        <v>21</v>
      </c>
      <c r="Q67" s="364">
        <f t="shared" si="1"/>
        <v>0.91399999999998727</v>
      </c>
      <c r="R67">
        <v>0</v>
      </c>
      <c r="S67">
        <v>0</v>
      </c>
      <c r="T67">
        <v>0</v>
      </c>
      <c r="U67">
        <v>0</v>
      </c>
      <c r="V67" s="359">
        <v>214978520725</v>
      </c>
      <c r="W67" s="359">
        <v>8003695822334</v>
      </c>
      <c r="X67" s="359">
        <v>215000073927</v>
      </c>
      <c r="Y67" t="s">
        <v>1531</v>
      </c>
      <c r="Z67">
        <v>1.02</v>
      </c>
    </row>
    <row r="68" spans="1:26" x14ac:dyDescent="0.2">
      <c r="A68" t="s">
        <v>1530</v>
      </c>
      <c r="B68" t="s">
        <v>1532</v>
      </c>
      <c r="C68">
        <v>73</v>
      </c>
      <c r="D68">
        <v>296.35000000000002</v>
      </c>
      <c r="E68">
        <v>296.2</v>
      </c>
      <c r="F68">
        <v>295.49599999999998</v>
      </c>
      <c r="G68">
        <v>295.11799999999999</v>
      </c>
      <c r="H68">
        <v>150</v>
      </c>
      <c r="I68">
        <v>0.51800000000000002</v>
      </c>
      <c r="J68" t="s">
        <v>1394</v>
      </c>
      <c r="K68">
        <v>0</v>
      </c>
      <c r="L68">
        <v>0</v>
      </c>
      <c r="M68">
        <v>0.52</v>
      </c>
      <c r="N68">
        <v>1.32</v>
      </c>
      <c r="O68">
        <v>21</v>
      </c>
      <c r="P68">
        <v>21</v>
      </c>
      <c r="Q68" s="364">
        <f t="shared" si="1"/>
        <v>0.85400000000004184</v>
      </c>
      <c r="R68">
        <v>0</v>
      </c>
      <c r="S68">
        <v>0</v>
      </c>
      <c r="T68">
        <v>0</v>
      </c>
      <c r="U68">
        <v>0</v>
      </c>
      <c r="V68" s="359">
        <v>215000073927</v>
      </c>
      <c r="W68" s="359">
        <v>8003679560123</v>
      </c>
      <c r="X68" s="359">
        <v>215073004699</v>
      </c>
      <c r="Y68" t="s">
        <v>1533</v>
      </c>
      <c r="Z68">
        <v>1.02</v>
      </c>
    </row>
    <row r="69" spans="1:26" x14ac:dyDescent="0.2">
      <c r="A69" t="s">
        <v>1532</v>
      </c>
      <c r="B69" t="s">
        <v>1534</v>
      </c>
      <c r="C69">
        <v>58</v>
      </c>
      <c r="D69">
        <v>296.2</v>
      </c>
      <c r="E69">
        <v>296</v>
      </c>
      <c r="F69">
        <v>295.11799999999999</v>
      </c>
      <c r="G69">
        <v>294.81700000000001</v>
      </c>
      <c r="H69">
        <v>150</v>
      </c>
      <c r="I69">
        <v>0.51800000000000002</v>
      </c>
      <c r="J69" t="s">
        <v>1394</v>
      </c>
      <c r="K69">
        <v>0.6</v>
      </c>
      <c r="L69">
        <v>1.55</v>
      </c>
      <c r="M69">
        <v>1.1200000000000001</v>
      </c>
      <c r="N69">
        <v>2.87</v>
      </c>
      <c r="O69">
        <v>21</v>
      </c>
      <c r="P69">
        <v>30</v>
      </c>
      <c r="Q69" s="364">
        <f t="shared" si="1"/>
        <v>1.0819999999999936</v>
      </c>
      <c r="R69">
        <v>0</v>
      </c>
      <c r="S69">
        <v>0</v>
      </c>
      <c r="T69">
        <v>0</v>
      </c>
      <c r="U69">
        <v>0</v>
      </c>
      <c r="V69" s="359">
        <v>215073004699</v>
      </c>
      <c r="W69" s="359">
        <v>8003682738555</v>
      </c>
      <c r="X69" s="359">
        <v>215131002509</v>
      </c>
      <c r="Y69" t="s">
        <v>1535</v>
      </c>
      <c r="Z69">
        <v>1.34</v>
      </c>
    </row>
    <row r="70" spans="1:26" x14ac:dyDescent="0.2">
      <c r="A70" t="s">
        <v>1534</v>
      </c>
      <c r="B70" t="s">
        <v>1536</v>
      </c>
      <c r="C70">
        <v>27</v>
      </c>
      <c r="D70">
        <v>296</v>
      </c>
      <c r="E70">
        <v>295.89</v>
      </c>
      <c r="F70">
        <v>294.81700000000001</v>
      </c>
      <c r="G70">
        <v>294.678</v>
      </c>
      <c r="H70">
        <v>150</v>
      </c>
      <c r="I70">
        <v>0.51800000000000002</v>
      </c>
      <c r="J70" t="s">
        <v>1394</v>
      </c>
      <c r="K70">
        <v>0</v>
      </c>
      <c r="L70">
        <v>0</v>
      </c>
      <c r="M70">
        <v>1.1200000000000001</v>
      </c>
      <c r="N70">
        <v>2.87</v>
      </c>
      <c r="O70">
        <v>21</v>
      </c>
      <c r="P70">
        <v>30</v>
      </c>
      <c r="Q70" s="364">
        <f t="shared" si="1"/>
        <v>1.1829999999999927</v>
      </c>
      <c r="R70">
        <v>0</v>
      </c>
      <c r="S70">
        <v>0</v>
      </c>
      <c r="T70">
        <v>0</v>
      </c>
      <c r="U70">
        <v>0</v>
      </c>
      <c r="V70" s="359">
        <v>215131002509</v>
      </c>
      <c r="W70" s="359">
        <v>800368223456</v>
      </c>
      <c r="X70" s="359">
        <v>215156358757</v>
      </c>
      <c r="Y70" t="s">
        <v>1537</v>
      </c>
      <c r="Z70">
        <v>1.34</v>
      </c>
    </row>
    <row r="71" spans="1:26" x14ac:dyDescent="0.2">
      <c r="A71" t="s">
        <v>1536</v>
      </c>
      <c r="B71" t="s">
        <v>1538</v>
      </c>
      <c r="C71">
        <v>27</v>
      </c>
      <c r="D71">
        <v>295.89</v>
      </c>
      <c r="E71">
        <v>295.68</v>
      </c>
      <c r="F71">
        <v>294.678</v>
      </c>
      <c r="G71">
        <v>294.53800000000001</v>
      </c>
      <c r="H71">
        <v>150</v>
      </c>
      <c r="I71">
        <v>0.51800000000000002</v>
      </c>
      <c r="J71" t="s">
        <v>1394</v>
      </c>
      <c r="K71">
        <v>0</v>
      </c>
      <c r="L71">
        <v>0</v>
      </c>
      <c r="M71">
        <v>1.1200000000000001</v>
      </c>
      <c r="N71">
        <v>2.87</v>
      </c>
      <c r="O71">
        <v>21</v>
      </c>
      <c r="P71">
        <v>30</v>
      </c>
      <c r="Q71" s="364">
        <f t="shared" si="1"/>
        <v>1.2119999999999891</v>
      </c>
      <c r="R71">
        <v>0</v>
      </c>
      <c r="S71">
        <v>0</v>
      </c>
      <c r="T71">
        <v>0</v>
      </c>
      <c r="U71">
        <v>0</v>
      </c>
      <c r="V71" s="359">
        <v>215156358757</v>
      </c>
      <c r="W71" s="359">
        <v>8003691511451</v>
      </c>
      <c r="X71" s="359">
        <v>21516799404</v>
      </c>
      <c r="Y71" t="s">
        <v>1539</v>
      </c>
      <c r="Z71">
        <v>1.34</v>
      </c>
    </row>
    <row r="72" spans="1:26" x14ac:dyDescent="0.2">
      <c r="A72" t="s">
        <v>1538</v>
      </c>
      <c r="B72" t="s">
        <v>1540</v>
      </c>
      <c r="C72">
        <v>46</v>
      </c>
      <c r="D72">
        <v>295.68</v>
      </c>
      <c r="E72">
        <v>294.8</v>
      </c>
      <c r="F72">
        <v>294.53800000000001</v>
      </c>
      <c r="G72">
        <v>294.25</v>
      </c>
      <c r="H72">
        <v>150</v>
      </c>
      <c r="I72">
        <v>0.625</v>
      </c>
      <c r="J72" t="s">
        <v>1394</v>
      </c>
      <c r="K72">
        <v>0</v>
      </c>
      <c r="L72">
        <v>0</v>
      </c>
      <c r="M72">
        <v>1.1200000000000001</v>
      </c>
      <c r="N72">
        <v>2.87</v>
      </c>
      <c r="O72">
        <v>20</v>
      </c>
      <c r="P72">
        <v>28</v>
      </c>
      <c r="Q72" s="364">
        <f t="shared" si="1"/>
        <v>1.1419999999999959</v>
      </c>
      <c r="R72">
        <v>0</v>
      </c>
      <c r="S72">
        <v>0</v>
      </c>
      <c r="T72">
        <v>0</v>
      </c>
      <c r="U72">
        <v>0</v>
      </c>
      <c r="V72" s="359">
        <v>21516799404</v>
      </c>
      <c r="W72" s="359">
        <v>8003715875773</v>
      </c>
      <c r="X72" s="359">
        <v>215212795233</v>
      </c>
      <c r="Y72" t="s">
        <v>1541</v>
      </c>
      <c r="Z72">
        <v>1.56</v>
      </c>
    </row>
    <row r="73" spans="1:26" x14ac:dyDescent="0.2">
      <c r="A73" t="s">
        <v>1540</v>
      </c>
      <c r="B73" t="s">
        <v>1542</v>
      </c>
      <c r="C73">
        <v>80</v>
      </c>
      <c r="D73">
        <v>294.8</v>
      </c>
      <c r="E73">
        <v>294.69</v>
      </c>
      <c r="F73">
        <v>294.25</v>
      </c>
      <c r="G73">
        <v>293.83499999999998</v>
      </c>
      <c r="H73">
        <v>150</v>
      </c>
      <c r="I73">
        <v>0.51800000000000002</v>
      </c>
      <c r="J73" t="s">
        <v>1394</v>
      </c>
      <c r="K73">
        <v>0</v>
      </c>
      <c r="L73">
        <v>0</v>
      </c>
      <c r="M73">
        <v>1.1200000000000001</v>
      </c>
      <c r="N73">
        <v>2.87</v>
      </c>
      <c r="O73">
        <v>21</v>
      </c>
      <c r="P73">
        <v>30</v>
      </c>
      <c r="Q73" s="364">
        <f t="shared" si="1"/>
        <v>0.55000000000001137</v>
      </c>
      <c r="R73">
        <v>0</v>
      </c>
      <c r="S73">
        <v>0</v>
      </c>
      <c r="T73">
        <v>0</v>
      </c>
      <c r="U73">
        <v>0</v>
      </c>
      <c r="V73" s="359">
        <v>215212795233</v>
      </c>
      <c r="W73" s="359">
        <v>8003705442505</v>
      </c>
      <c r="X73" s="359">
        <v>215288561509</v>
      </c>
      <c r="Y73" t="s">
        <v>1543</v>
      </c>
      <c r="Z73">
        <v>1.34</v>
      </c>
    </row>
    <row r="74" spans="1:26" x14ac:dyDescent="0.2">
      <c r="A74" t="s">
        <v>1542</v>
      </c>
      <c r="B74" t="s">
        <v>1544</v>
      </c>
      <c r="C74">
        <v>37</v>
      </c>
      <c r="D74">
        <v>294.69</v>
      </c>
      <c r="E74">
        <v>294.58</v>
      </c>
      <c r="F74">
        <v>293.83499999999998</v>
      </c>
      <c r="G74">
        <v>293.64400000000001</v>
      </c>
      <c r="H74">
        <v>150</v>
      </c>
      <c r="I74">
        <v>0.51800000000000002</v>
      </c>
      <c r="J74" t="s">
        <v>1394</v>
      </c>
      <c r="K74">
        <v>0</v>
      </c>
      <c r="L74">
        <v>0</v>
      </c>
      <c r="M74">
        <v>1.1200000000000001</v>
      </c>
      <c r="N74">
        <v>2.87</v>
      </c>
      <c r="O74">
        <v>21</v>
      </c>
      <c r="P74">
        <v>30</v>
      </c>
      <c r="Q74" s="364">
        <f t="shared" si="1"/>
        <v>0.85500000000001819</v>
      </c>
      <c r="R74">
        <v>0</v>
      </c>
      <c r="S74">
        <v>0</v>
      </c>
      <c r="T74">
        <v>0</v>
      </c>
      <c r="U74">
        <v>0</v>
      </c>
      <c r="V74" s="359">
        <v>215288561509</v>
      </c>
      <c r="W74" s="359">
        <v>8003731122681</v>
      </c>
      <c r="X74" s="359">
        <v>215314500283</v>
      </c>
      <c r="Y74" t="s">
        <v>1545</v>
      </c>
      <c r="Z74">
        <v>1.34</v>
      </c>
    </row>
    <row r="75" spans="1:26" x14ac:dyDescent="0.2">
      <c r="A75" t="s">
        <v>1544</v>
      </c>
      <c r="B75" t="s">
        <v>1546</v>
      </c>
      <c r="C75">
        <v>43</v>
      </c>
      <c r="D75">
        <v>294.58</v>
      </c>
      <c r="E75">
        <v>294.45999999999998</v>
      </c>
      <c r="F75">
        <v>293.64400000000001</v>
      </c>
      <c r="G75">
        <v>293.42099999999999</v>
      </c>
      <c r="H75">
        <v>150</v>
      </c>
      <c r="I75">
        <v>0.51800000000000002</v>
      </c>
      <c r="J75" t="s">
        <v>1394</v>
      </c>
      <c r="K75">
        <v>0</v>
      </c>
      <c r="L75">
        <v>0</v>
      </c>
      <c r="M75">
        <v>1.1200000000000001</v>
      </c>
      <c r="N75">
        <v>2.87</v>
      </c>
      <c r="O75">
        <v>21</v>
      </c>
      <c r="P75">
        <v>30</v>
      </c>
      <c r="Q75" s="364">
        <f t="shared" si="1"/>
        <v>0.93599999999997863</v>
      </c>
      <c r="R75">
        <v>0</v>
      </c>
      <c r="S75">
        <v>0</v>
      </c>
      <c r="T75">
        <v>0</v>
      </c>
      <c r="U75">
        <v>0</v>
      </c>
      <c r="V75" s="359">
        <v>215314500283</v>
      </c>
      <c r="W75" s="359">
        <v>8003757507904</v>
      </c>
      <c r="X75" s="359">
        <v>215357272709</v>
      </c>
      <c r="Y75" t="s">
        <v>1547</v>
      </c>
      <c r="Z75">
        <v>1.34</v>
      </c>
    </row>
    <row r="76" spans="1:26" x14ac:dyDescent="0.2">
      <c r="A76" t="s">
        <v>1546</v>
      </c>
      <c r="B76" t="s">
        <v>1548</v>
      </c>
      <c r="C76">
        <v>11</v>
      </c>
      <c r="D76">
        <v>294.45999999999998</v>
      </c>
      <c r="E76">
        <v>294.33999999999997</v>
      </c>
      <c r="F76">
        <v>293.42099999999999</v>
      </c>
      <c r="G76">
        <v>293.36399999999998</v>
      </c>
      <c r="H76">
        <v>150</v>
      </c>
      <c r="I76">
        <v>0.51800000000000002</v>
      </c>
      <c r="J76" t="s">
        <v>1394</v>
      </c>
      <c r="K76">
        <v>0</v>
      </c>
      <c r="L76">
        <v>0</v>
      </c>
      <c r="M76">
        <v>1.1200000000000001</v>
      </c>
      <c r="N76">
        <v>2.87</v>
      </c>
      <c r="O76">
        <v>21</v>
      </c>
      <c r="P76">
        <v>30</v>
      </c>
      <c r="Q76" s="364">
        <f t="shared" si="1"/>
        <v>1.0389999999999873</v>
      </c>
      <c r="R76">
        <v>0</v>
      </c>
      <c r="S76">
        <v>0</v>
      </c>
      <c r="T76">
        <v>0</v>
      </c>
      <c r="U76">
        <v>0</v>
      </c>
      <c r="V76" s="359">
        <v>215357272709</v>
      </c>
      <c r="W76" s="359">
        <v>8003761926004</v>
      </c>
      <c r="X76" s="359">
        <v>215367700732</v>
      </c>
      <c r="Y76" t="s">
        <v>1549</v>
      </c>
      <c r="Z76">
        <v>1.34</v>
      </c>
    </row>
    <row r="77" spans="1:26" x14ac:dyDescent="0.2">
      <c r="A77" t="s">
        <v>1548</v>
      </c>
      <c r="B77" t="s">
        <v>1550</v>
      </c>
      <c r="C77">
        <v>12</v>
      </c>
      <c r="D77">
        <v>294.33999999999997</v>
      </c>
      <c r="E77">
        <v>294.23</v>
      </c>
      <c r="F77">
        <v>293.36399999999998</v>
      </c>
      <c r="G77">
        <v>293.32799999999997</v>
      </c>
      <c r="H77">
        <v>150</v>
      </c>
      <c r="I77">
        <v>0.3</v>
      </c>
      <c r="J77" t="s">
        <v>1394</v>
      </c>
      <c r="K77">
        <v>0.6</v>
      </c>
      <c r="L77">
        <v>1.54</v>
      </c>
      <c r="M77">
        <v>1.72</v>
      </c>
      <c r="N77">
        <v>4.41</v>
      </c>
      <c r="O77">
        <v>26</v>
      </c>
      <c r="P77">
        <v>44</v>
      </c>
      <c r="Q77" s="364">
        <f t="shared" si="1"/>
        <v>0.97599999999999909</v>
      </c>
      <c r="R77">
        <v>0</v>
      </c>
      <c r="S77">
        <v>0</v>
      </c>
      <c r="T77">
        <v>0</v>
      </c>
      <c r="U77">
        <v>0</v>
      </c>
      <c r="V77" s="359">
        <v>215367700732</v>
      </c>
      <c r="W77" s="359">
        <v>8003758425101</v>
      </c>
      <c r="X77" s="359">
        <v>215378126666</v>
      </c>
      <c r="Y77" t="s">
        <v>1551</v>
      </c>
      <c r="Z77">
        <v>1.04</v>
      </c>
    </row>
    <row r="78" spans="1:26" x14ac:dyDescent="0.2">
      <c r="A78" t="s">
        <v>1550</v>
      </c>
      <c r="B78" t="s">
        <v>1552</v>
      </c>
      <c r="C78">
        <v>67</v>
      </c>
      <c r="D78">
        <v>294.23</v>
      </c>
      <c r="E78">
        <v>294.12</v>
      </c>
      <c r="F78">
        <v>293.32799999999997</v>
      </c>
      <c r="G78">
        <v>293.12700000000001</v>
      </c>
      <c r="H78">
        <v>150</v>
      </c>
      <c r="I78">
        <v>0.3</v>
      </c>
      <c r="J78" t="s">
        <v>1394</v>
      </c>
      <c r="K78">
        <v>0</v>
      </c>
      <c r="L78">
        <v>0</v>
      </c>
      <c r="M78">
        <v>1.72</v>
      </c>
      <c r="N78">
        <v>4.41</v>
      </c>
      <c r="O78">
        <v>26</v>
      </c>
      <c r="P78">
        <v>44</v>
      </c>
      <c r="Q78" s="364">
        <f t="shared" si="1"/>
        <v>0.90200000000004366</v>
      </c>
      <c r="R78">
        <v>0</v>
      </c>
      <c r="S78">
        <v>0</v>
      </c>
      <c r="T78">
        <v>0</v>
      </c>
      <c r="U78">
        <v>0</v>
      </c>
      <c r="V78" s="359">
        <v>215378126666</v>
      </c>
      <c r="W78" s="359">
        <v>8003752483729</v>
      </c>
      <c r="X78" s="359">
        <v>215438410768</v>
      </c>
      <c r="Y78" t="s">
        <v>1553</v>
      </c>
      <c r="Z78">
        <v>1.04</v>
      </c>
    </row>
    <row r="79" spans="1:26" x14ac:dyDescent="0.2">
      <c r="A79" t="s">
        <v>1552</v>
      </c>
      <c r="B79" t="s">
        <v>1554</v>
      </c>
      <c r="C79">
        <v>35</v>
      </c>
      <c r="D79">
        <v>294.12</v>
      </c>
      <c r="E79">
        <v>294</v>
      </c>
      <c r="F79">
        <v>293.12700000000001</v>
      </c>
      <c r="G79">
        <v>293.02199999999999</v>
      </c>
      <c r="H79">
        <v>150</v>
      </c>
      <c r="I79">
        <v>0.3</v>
      </c>
      <c r="J79" t="s">
        <v>1394</v>
      </c>
      <c r="K79">
        <v>0</v>
      </c>
      <c r="L79">
        <v>0</v>
      </c>
      <c r="M79">
        <v>1.72</v>
      </c>
      <c r="N79">
        <v>4.41</v>
      </c>
      <c r="O79">
        <v>26</v>
      </c>
      <c r="P79">
        <v>44</v>
      </c>
      <c r="Q79" s="364">
        <f t="shared" si="1"/>
        <v>0.992999999999995</v>
      </c>
      <c r="R79">
        <v>0</v>
      </c>
      <c r="S79">
        <v>0</v>
      </c>
      <c r="T79">
        <v>0</v>
      </c>
      <c r="U79">
        <v>0</v>
      </c>
      <c r="V79" s="359">
        <v>215438410768</v>
      </c>
      <c r="W79" s="359">
        <v>8003723246303</v>
      </c>
      <c r="X79" s="359">
        <v>215462344738</v>
      </c>
      <c r="Y79" t="s">
        <v>1555</v>
      </c>
      <c r="Z79">
        <v>1.04</v>
      </c>
    </row>
    <row r="80" spans="1:26" x14ac:dyDescent="0.2">
      <c r="A80" t="s">
        <v>1554</v>
      </c>
      <c r="B80" t="s">
        <v>1556</v>
      </c>
      <c r="C80">
        <v>24</v>
      </c>
      <c r="D80">
        <v>294</v>
      </c>
      <c r="E80">
        <v>293.81</v>
      </c>
      <c r="F80">
        <v>293.02199999999999</v>
      </c>
      <c r="G80">
        <v>292.95</v>
      </c>
      <c r="H80">
        <v>150</v>
      </c>
      <c r="I80">
        <v>0.3</v>
      </c>
      <c r="J80" t="s">
        <v>1394</v>
      </c>
      <c r="K80">
        <v>0</v>
      </c>
      <c r="L80">
        <v>0</v>
      </c>
      <c r="M80">
        <v>1.72</v>
      </c>
      <c r="N80">
        <v>4.41</v>
      </c>
      <c r="O80">
        <v>26</v>
      </c>
      <c r="P80">
        <v>44</v>
      </c>
      <c r="Q80" s="364">
        <f t="shared" si="1"/>
        <v>0.97800000000000864</v>
      </c>
      <c r="R80">
        <v>0</v>
      </c>
      <c r="S80">
        <v>0</v>
      </c>
      <c r="T80">
        <v>0</v>
      </c>
      <c r="U80">
        <v>0</v>
      </c>
      <c r="V80" s="359">
        <v>215462344738</v>
      </c>
      <c r="W80" s="359">
        <v>800369770878</v>
      </c>
      <c r="X80" s="359">
        <v>215462435528</v>
      </c>
      <c r="Y80" t="s">
        <v>1557</v>
      </c>
      <c r="Z80">
        <v>1.04</v>
      </c>
    </row>
    <row r="81" spans="1:26" x14ac:dyDescent="0.2">
      <c r="A81" t="s">
        <v>1556</v>
      </c>
      <c r="B81" t="s">
        <v>1558</v>
      </c>
      <c r="C81">
        <v>43</v>
      </c>
      <c r="D81">
        <v>293.81</v>
      </c>
      <c r="E81">
        <v>293.7</v>
      </c>
      <c r="F81">
        <v>292.95</v>
      </c>
      <c r="G81">
        <v>292.82100000000003</v>
      </c>
      <c r="H81">
        <v>150</v>
      </c>
      <c r="I81">
        <v>0.3</v>
      </c>
      <c r="J81" t="s">
        <v>1394</v>
      </c>
      <c r="K81">
        <v>0</v>
      </c>
      <c r="L81">
        <v>0</v>
      </c>
      <c r="M81">
        <v>1.72</v>
      </c>
      <c r="N81">
        <v>4.41</v>
      </c>
      <c r="O81">
        <v>26</v>
      </c>
      <c r="P81">
        <v>44</v>
      </c>
      <c r="Q81" s="364">
        <f t="shared" si="1"/>
        <v>0.86000000000001364</v>
      </c>
      <c r="R81">
        <v>0</v>
      </c>
      <c r="S81">
        <v>0</v>
      </c>
      <c r="T81">
        <v>0</v>
      </c>
      <c r="U81">
        <v>0</v>
      </c>
      <c r="V81" s="359">
        <v>215462435528</v>
      </c>
      <c r="W81" s="359">
        <v>8003673708952</v>
      </c>
      <c r="X81" s="359">
        <v>215451438968</v>
      </c>
      <c r="Y81" t="s">
        <v>1559</v>
      </c>
      <c r="Z81">
        <v>1.04</v>
      </c>
    </row>
    <row r="82" spans="1:26" x14ac:dyDescent="0.2">
      <c r="A82" t="s">
        <v>1558</v>
      </c>
      <c r="B82" t="s">
        <v>1560</v>
      </c>
      <c r="C82">
        <v>43</v>
      </c>
      <c r="D82">
        <v>293.7</v>
      </c>
      <c r="E82">
        <v>293.60000000000002</v>
      </c>
      <c r="F82">
        <v>292.82100000000003</v>
      </c>
      <c r="G82">
        <v>292.69200000000001</v>
      </c>
      <c r="H82">
        <v>150</v>
      </c>
      <c r="I82">
        <v>0.3</v>
      </c>
      <c r="J82" t="s">
        <v>1394</v>
      </c>
      <c r="K82">
        <v>0</v>
      </c>
      <c r="L82">
        <v>0</v>
      </c>
      <c r="M82">
        <v>1.72</v>
      </c>
      <c r="N82">
        <v>4.41</v>
      </c>
      <c r="O82">
        <v>26</v>
      </c>
      <c r="P82">
        <v>44</v>
      </c>
      <c r="Q82" s="364">
        <f t="shared" si="1"/>
        <v>0.87899999999996226</v>
      </c>
      <c r="R82">
        <v>0</v>
      </c>
      <c r="S82">
        <v>0</v>
      </c>
      <c r="T82">
        <v>0</v>
      </c>
      <c r="U82">
        <v>0</v>
      </c>
      <c r="V82" s="359">
        <v>215451438968</v>
      </c>
      <c r="W82" s="359">
        <v>8003632138823</v>
      </c>
      <c r="X82" s="359">
        <v>215459778356</v>
      </c>
      <c r="Y82" t="s">
        <v>1561</v>
      </c>
      <c r="Z82">
        <v>1.04</v>
      </c>
    </row>
    <row r="83" spans="1:26" x14ac:dyDescent="0.2">
      <c r="A83" t="s">
        <v>1560</v>
      </c>
      <c r="B83" t="s">
        <v>1562</v>
      </c>
      <c r="C83">
        <v>62</v>
      </c>
      <c r="D83">
        <v>293.60000000000002</v>
      </c>
      <c r="E83">
        <v>293.48</v>
      </c>
      <c r="F83">
        <v>292.69200000000001</v>
      </c>
      <c r="G83">
        <v>292.50599999999997</v>
      </c>
      <c r="H83">
        <v>150</v>
      </c>
      <c r="I83">
        <v>0.3</v>
      </c>
      <c r="J83" t="s">
        <v>1394</v>
      </c>
      <c r="K83">
        <v>0</v>
      </c>
      <c r="L83">
        <v>0</v>
      </c>
      <c r="M83">
        <v>1.72</v>
      </c>
      <c r="N83">
        <v>4.41</v>
      </c>
      <c r="O83">
        <v>26</v>
      </c>
      <c r="P83">
        <v>44</v>
      </c>
      <c r="Q83" s="364">
        <f t="shared" si="1"/>
        <v>0.90800000000001546</v>
      </c>
      <c r="R83">
        <v>0</v>
      </c>
      <c r="S83">
        <v>0</v>
      </c>
      <c r="T83">
        <v>0</v>
      </c>
      <c r="U83">
        <v>0</v>
      </c>
      <c r="V83" s="359">
        <v>215459778356</v>
      </c>
      <c r="W83" s="359">
        <v>800358995524</v>
      </c>
      <c r="X83" s="359">
        <v>215516549018</v>
      </c>
      <c r="Y83" t="s">
        <v>1563</v>
      </c>
      <c r="Z83">
        <v>1.04</v>
      </c>
    </row>
    <row r="84" spans="1:26" x14ac:dyDescent="0.2">
      <c r="A84" t="s">
        <v>1562</v>
      </c>
      <c r="B84" t="s">
        <v>1564</v>
      </c>
      <c r="C84">
        <v>13</v>
      </c>
      <c r="D84">
        <v>293.48</v>
      </c>
      <c r="E84">
        <v>293.36</v>
      </c>
      <c r="F84">
        <v>292.50599999999997</v>
      </c>
      <c r="G84">
        <v>292.46699999999998</v>
      </c>
      <c r="H84">
        <v>150</v>
      </c>
      <c r="I84">
        <v>0.3</v>
      </c>
      <c r="J84" t="s">
        <v>1394</v>
      </c>
      <c r="K84">
        <v>0</v>
      </c>
      <c r="L84">
        <v>0</v>
      </c>
      <c r="M84">
        <v>1.72</v>
      </c>
      <c r="N84">
        <v>4.41</v>
      </c>
      <c r="O84">
        <v>26</v>
      </c>
      <c r="P84">
        <v>44</v>
      </c>
      <c r="Q84" s="364">
        <f t="shared" si="1"/>
        <v>0.97400000000004638</v>
      </c>
      <c r="R84">
        <v>0</v>
      </c>
      <c r="S84">
        <v>0</v>
      </c>
      <c r="T84">
        <v>0</v>
      </c>
      <c r="U84">
        <v>0</v>
      </c>
      <c r="V84" s="359">
        <v>215516549018</v>
      </c>
      <c r="W84" s="359">
        <v>8003565033524</v>
      </c>
      <c r="X84" s="359">
        <v>21552719327</v>
      </c>
      <c r="Y84" t="s">
        <v>1565</v>
      </c>
      <c r="Z84">
        <v>1.04</v>
      </c>
    </row>
    <row r="85" spans="1:26" x14ac:dyDescent="0.2">
      <c r="A85" t="s">
        <v>1564</v>
      </c>
      <c r="B85" t="s">
        <v>1566</v>
      </c>
      <c r="C85">
        <v>44</v>
      </c>
      <c r="D85">
        <v>293.36</v>
      </c>
      <c r="E85">
        <v>293.24</v>
      </c>
      <c r="F85">
        <v>292.46699999999998</v>
      </c>
      <c r="G85">
        <v>292.33499999999998</v>
      </c>
      <c r="H85">
        <v>150</v>
      </c>
      <c r="I85">
        <v>0.3</v>
      </c>
      <c r="J85" t="s">
        <v>1394</v>
      </c>
      <c r="K85">
        <v>0</v>
      </c>
      <c r="L85">
        <v>0</v>
      </c>
      <c r="M85">
        <v>1.72</v>
      </c>
      <c r="N85">
        <v>4.41</v>
      </c>
      <c r="O85">
        <v>26</v>
      </c>
      <c r="P85">
        <v>44</v>
      </c>
      <c r="Q85" s="364">
        <f t="shared" si="1"/>
        <v>0.8930000000000291</v>
      </c>
      <c r="R85">
        <v>0</v>
      </c>
      <c r="S85">
        <v>0</v>
      </c>
      <c r="T85">
        <v>0</v>
      </c>
      <c r="U85">
        <v>0</v>
      </c>
      <c r="V85" s="359">
        <v>21552719327</v>
      </c>
      <c r="W85" s="359">
        <v>8003557570289</v>
      </c>
      <c r="X85" s="359">
        <v>215568679963</v>
      </c>
      <c r="Y85" t="s">
        <v>1567</v>
      </c>
      <c r="Z85">
        <v>1.04</v>
      </c>
    </row>
    <row r="86" spans="1:26" x14ac:dyDescent="0.2">
      <c r="A86" t="s">
        <v>1566</v>
      </c>
      <c r="B86" t="s">
        <v>1568</v>
      </c>
      <c r="C86">
        <v>26</v>
      </c>
      <c r="D86">
        <v>293.24</v>
      </c>
      <c r="E86">
        <v>293.11</v>
      </c>
      <c r="F86">
        <v>292.33499999999998</v>
      </c>
      <c r="G86">
        <v>292.25700000000001</v>
      </c>
      <c r="H86">
        <v>150</v>
      </c>
      <c r="I86">
        <v>0.3</v>
      </c>
      <c r="J86" t="s">
        <v>1394</v>
      </c>
      <c r="K86">
        <v>0</v>
      </c>
      <c r="L86">
        <v>0</v>
      </c>
      <c r="M86">
        <v>1.72</v>
      </c>
      <c r="N86">
        <v>4.41</v>
      </c>
      <c r="O86">
        <v>26</v>
      </c>
      <c r="P86">
        <v>44</v>
      </c>
      <c r="Q86" s="364">
        <f t="shared" si="1"/>
        <v>0.90500000000002956</v>
      </c>
      <c r="R86">
        <v>0</v>
      </c>
      <c r="S86">
        <v>0</v>
      </c>
      <c r="T86">
        <v>0</v>
      </c>
      <c r="U86">
        <v>0</v>
      </c>
      <c r="V86" s="359">
        <v>215568679963</v>
      </c>
      <c r="W86" s="359">
        <v>8003542912379</v>
      </c>
      <c r="X86" s="359">
        <v>215592439763</v>
      </c>
      <c r="Y86" t="s">
        <v>1569</v>
      </c>
      <c r="Z86">
        <v>1.04</v>
      </c>
    </row>
    <row r="87" spans="1:26" x14ac:dyDescent="0.2">
      <c r="A87" t="s">
        <v>1568</v>
      </c>
      <c r="B87" t="s">
        <v>1570</v>
      </c>
      <c r="C87">
        <v>80</v>
      </c>
      <c r="D87">
        <v>293.11</v>
      </c>
      <c r="E87">
        <v>293</v>
      </c>
      <c r="F87">
        <v>292.25700000000001</v>
      </c>
      <c r="G87">
        <v>292.017</v>
      </c>
      <c r="H87">
        <v>150</v>
      </c>
      <c r="I87">
        <v>0.3</v>
      </c>
      <c r="J87" t="s">
        <v>1394</v>
      </c>
      <c r="K87">
        <v>0.62</v>
      </c>
      <c r="L87">
        <v>1.58</v>
      </c>
      <c r="M87">
        <v>2.34</v>
      </c>
      <c r="N87">
        <v>5.99</v>
      </c>
      <c r="O87">
        <v>31</v>
      </c>
      <c r="P87">
        <v>53</v>
      </c>
      <c r="Q87" s="364">
        <f t="shared" si="1"/>
        <v>0.85300000000000864</v>
      </c>
      <c r="R87">
        <v>0</v>
      </c>
      <c r="S87">
        <v>0</v>
      </c>
      <c r="T87">
        <v>0</v>
      </c>
      <c r="U87">
        <v>0</v>
      </c>
      <c r="V87" s="359">
        <v>215592439763</v>
      </c>
      <c r="W87" s="359">
        <v>8003532354353</v>
      </c>
      <c r="X87" s="359">
        <v>215654877739</v>
      </c>
      <c r="Y87" t="s">
        <v>1571</v>
      </c>
      <c r="Z87">
        <v>1.17</v>
      </c>
    </row>
    <row r="88" spans="1:26" x14ac:dyDescent="0.2">
      <c r="A88" t="s">
        <v>1570</v>
      </c>
      <c r="B88" t="s">
        <v>1572</v>
      </c>
      <c r="C88">
        <v>37</v>
      </c>
      <c r="D88">
        <v>293</v>
      </c>
      <c r="E88">
        <v>292.95</v>
      </c>
      <c r="F88">
        <v>292.017</v>
      </c>
      <c r="G88">
        <v>291.90600000000001</v>
      </c>
      <c r="H88">
        <v>150</v>
      </c>
      <c r="I88">
        <v>0.3</v>
      </c>
      <c r="J88" t="s">
        <v>1394</v>
      </c>
      <c r="K88">
        <v>0</v>
      </c>
      <c r="L88">
        <v>0</v>
      </c>
      <c r="M88">
        <v>2.34</v>
      </c>
      <c r="N88">
        <v>5.99</v>
      </c>
      <c r="O88">
        <v>31</v>
      </c>
      <c r="P88">
        <v>53</v>
      </c>
      <c r="Q88" s="364">
        <f t="shared" si="1"/>
        <v>0.98300000000000409</v>
      </c>
      <c r="R88">
        <v>0</v>
      </c>
      <c r="S88">
        <v>0</v>
      </c>
      <c r="T88">
        <v>0</v>
      </c>
      <c r="U88">
        <v>0</v>
      </c>
      <c r="V88" s="359">
        <v>215654877739</v>
      </c>
      <c r="W88" s="359">
        <v>8003482339363</v>
      </c>
      <c r="X88" s="359">
        <v>215686199874</v>
      </c>
      <c r="Y88" t="s">
        <v>1573</v>
      </c>
      <c r="Z88">
        <v>1.17</v>
      </c>
    </row>
    <row r="89" spans="1:26" x14ac:dyDescent="0.2">
      <c r="A89" t="s">
        <v>1572</v>
      </c>
      <c r="B89" t="s">
        <v>1574</v>
      </c>
      <c r="C89">
        <v>55</v>
      </c>
      <c r="D89">
        <v>292.95</v>
      </c>
      <c r="E89">
        <v>292.89</v>
      </c>
      <c r="F89">
        <v>291.90600000000001</v>
      </c>
      <c r="G89">
        <v>291.74099999999999</v>
      </c>
      <c r="H89">
        <v>150</v>
      </c>
      <c r="I89">
        <v>0.3</v>
      </c>
      <c r="J89" t="s">
        <v>1394</v>
      </c>
      <c r="K89">
        <v>0</v>
      </c>
      <c r="L89">
        <v>0</v>
      </c>
      <c r="M89">
        <v>2.34</v>
      </c>
      <c r="N89">
        <v>5.99</v>
      </c>
      <c r="O89">
        <v>31</v>
      </c>
      <c r="P89">
        <v>53</v>
      </c>
      <c r="Q89" s="364">
        <f t="shared" si="1"/>
        <v>1.0439999999999827</v>
      </c>
      <c r="R89">
        <v>0</v>
      </c>
      <c r="S89">
        <v>0</v>
      </c>
      <c r="T89">
        <v>0</v>
      </c>
      <c r="U89">
        <v>0</v>
      </c>
      <c r="V89" s="359">
        <v>215686199874</v>
      </c>
      <c r="W89" s="359">
        <v>8003462643582</v>
      </c>
      <c r="X89" s="359">
        <v>215738531983</v>
      </c>
      <c r="Y89" t="s">
        <v>1575</v>
      </c>
      <c r="Z89">
        <v>1.17</v>
      </c>
    </row>
    <row r="90" spans="1:26" x14ac:dyDescent="0.2">
      <c r="A90" t="s">
        <v>1574</v>
      </c>
      <c r="B90" t="s">
        <v>1576</v>
      </c>
      <c r="C90">
        <v>80</v>
      </c>
      <c r="D90">
        <v>292.89</v>
      </c>
      <c r="E90">
        <v>292.83</v>
      </c>
      <c r="F90">
        <v>291.74099999999999</v>
      </c>
      <c r="G90">
        <v>291.50099999999998</v>
      </c>
      <c r="H90">
        <v>150</v>
      </c>
      <c r="I90">
        <v>0.3</v>
      </c>
      <c r="J90" t="s">
        <v>1394</v>
      </c>
      <c r="K90">
        <v>0</v>
      </c>
      <c r="L90">
        <v>0</v>
      </c>
      <c r="M90">
        <v>2.34</v>
      </c>
      <c r="N90">
        <v>5.99</v>
      </c>
      <c r="O90">
        <v>31</v>
      </c>
      <c r="P90">
        <v>53</v>
      </c>
      <c r="Q90" s="364">
        <f t="shared" si="1"/>
        <v>1.1490000000000009</v>
      </c>
      <c r="R90">
        <v>0</v>
      </c>
      <c r="S90">
        <v>0</v>
      </c>
      <c r="T90">
        <v>0</v>
      </c>
      <c r="U90">
        <v>0</v>
      </c>
      <c r="V90" s="359">
        <v>215738531983</v>
      </c>
      <c r="W90" s="359">
        <v>800344572169</v>
      </c>
      <c r="X90" s="359">
        <v>215802614229</v>
      </c>
      <c r="Y90" t="s">
        <v>1577</v>
      </c>
      <c r="Z90">
        <v>1.17</v>
      </c>
    </row>
    <row r="91" spans="1:26" x14ac:dyDescent="0.2">
      <c r="A91" t="s">
        <v>1576</v>
      </c>
      <c r="B91" t="s">
        <v>1578</v>
      </c>
      <c r="C91">
        <v>55</v>
      </c>
      <c r="D91">
        <v>292.83</v>
      </c>
      <c r="E91">
        <v>292.77999999999997</v>
      </c>
      <c r="F91">
        <v>291.50099999999998</v>
      </c>
      <c r="G91">
        <v>291.33600000000001</v>
      </c>
      <c r="H91">
        <v>150</v>
      </c>
      <c r="I91">
        <v>0.3</v>
      </c>
      <c r="J91" t="s">
        <v>1394</v>
      </c>
      <c r="K91">
        <v>0</v>
      </c>
      <c r="L91">
        <v>0</v>
      </c>
      <c r="M91">
        <v>2.34</v>
      </c>
      <c r="N91">
        <v>5.99</v>
      </c>
      <c r="O91">
        <v>31</v>
      </c>
      <c r="P91">
        <v>53</v>
      </c>
      <c r="Q91" s="364">
        <f t="shared" si="1"/>
        <v>1.3290000000000077</v>
      </c>
      <c r="R91">
        <v>0</v>
      </c>
      <c r="S91">
        <v>0</v>
      </c>
      <c r="T91">
        <v>0</v>
      </c>
      <c r="U91">
        <v>0</v>
      </c>
      <c r="V91" s="359">
        <v>215802614229</v>
      </c>
      <c r="W91" s="359">
        <v>8003397831548</v>
      </c>
      <c r="X91" s="359">
        <v>215849540818</v>
      </c>
      <c r="Y91" t="s">
        <v>1579</v>
      </c>
      <c r="Z91">
        <v>1.17</v>
      </c>
    </row>
    <row r="92" spans="1:26" x14ac:dyDescent="0.2">
      <c r="A92" t="s">
        <v>1578</v>
      </c>
      <c r="B92" t="s">
        <v>1580</v>
      </c>
      <c r="C92">
        <v>53</v>
      </c>
      <c r="D92">
        <v>292.77999999999997</v>
      </c>
      <c r="E92">
        <v>292.70999999999998</v>
      </c>
      <c r="F92">
        <v>291.33600000000001</v>
      </c>
      <c r="G92">
        <v>291.17700000000002</v>
      </c>
      <c r="H92">
        <v>150</v>
      </c>
      <c r="I92">
        <v>0.3</v>
      </c>
      <c r="J92" t="s">
        <v>1394</v>
      </c>
      <c r="K92">
        <v>0</v>
      </c>
      <c r="L92">
        <v>0</v>
      </c>
      <c r="M92">
        <v>2.34</v>
      </c>
      <c r="N92">
        <v>5.99</v>
      </c>
      <c r="O92">
        <v>31</v>
      </c>
      <c r="P92">
        <v>53</v>
      </c>
      <c r="Q92" s="364">
        <f t="shared" si="1"/>
        <v>1.44399999999996</v>
      </c>
      <c r="R92">
        <v>0</v>
      </c>
      <c r="S92">
        <v>0</v>
      </c>
      <c r="T92">
        <v>0</v>
      </c>
      <c r="U92">
        <v>0</v>
      </c>
      <c r="V92" s="359">
        <v>215849540818</v>
      </c>
      <c r="W92" s="359">
        <v>8003369145397</v>
      </c>
      <c r="X92" s="359">
        <v>215862623719</v>
      </c>
      <c r="Y92" t="s">
        <v>1581</v>
      </c>
      <c r="Z92">
        <v>1.17</v>
      </c>
    </row>
    <row r="93" spans="1:26" x14ac:dyDescent="0.2">
      <c r="A93" t="s">
        <v>1580</v>
      </c>
      <c r="B93" t="s">
        <v>1582</v>
      </c>
      <c r="C93">
        <v>59</v>
      </c>
      <c r="D93">
        <v>292.70999999999998</v>
      </c>
      <c r="E93">
        <v>292.66000000000003</v>
      </c>
      <c r="F93">
        <v>291.17700000000002</v>
      </c>
      <c r="G93">
        <v>291</v>
      </c>
      <c r="H93">
        <v>150</v>
      </c>
      <c r="I93">
        <v>0.3</v>
      </c>
      <c r="J93" t="s">
        <v>1394</v>
      </c>
      <c r="K93">
        <v>0</v>
      </c>
      <c r="L93">
        <v>0</v>
      </c>
      <c r="M93">
        <v>2.34</v>
      </c>
      <c r="N93">
        <v>5.99</v>
      </c>
      <c r="O93">
        <v>31</v>
      </c>
      <c r="P93">
        <v>53</v>
      </c>
      <c r="Q93" s="364">
        <f t="shared" si="1"/>
        <v>1.5329999999999586</v>
      </c>
      <c r="R93">
        <v>0</v>
      </c>
      <c r="S93">
        <v>0</v>
      </c>
      <c r="T93">
        <v>0</v>
      </c>
      <c r="U93">
        <v>0</v>
      </c>
      <c r="V93" s="359">
        <v>215862623719</v>
      </c>
      <c r="W93" s="359">
        <v>8003317785512</v>
      </c>
      <c r="X93" s="359">
        <v>215910251787</v>
      </c>
      <c r="Y93" t="s">
        <v>1583</v>
      </c>
      <c r="Z93">
        <v>1.17</v>
      </c>
    </row>
    <row r="94" spans="1:26" x14ac:dyDescent="0.2">
      <c r="A94" t="s">
        <v>1582</v>
      </c>
      <c r="B94" t="s">
        <v>1584</v>
      </c>
      <c r="C94">
        <v>18</v>
      </c>
      <c r="D94">
        <v>292.66000000000003</v>
      </c>
      <c r="E94">
        <v>292.61</v>
      </c>
      <c r="F94">
        <v>291</v>
      </c>
      <c r="G94">
        <v>290.94600000000003</v>
      </c>
      <c r="H94">
        <v>150</v>
      </c>
      <c r="I94">
        <v>0.3</v>
      </c>
      <c r="J94" t="s">
        <v>1394</v>
      </c>
      <c r="K94">
        <v>0</v>
      </c>
      <c r="L94">
        <v>0</v>
      </c>
      <c r="M94">
        <v>2.34</v>
      </c>
      <c r="N94">
        <v>5.99</v>
      </c>
      <c r="O94">
        <v>31</v>
      </c>
      <c r="P94">
        <v>53</v>
      </c>
      <c r="Q94" s="364">
        <f t="shared" si="1"/>
        <v>1.660000000000025</v>
      </c>
      <c r="R94">
        <v>0</v>
      </c>
      <c r="S94">
        <v>0</v>
      </c>
      <c r="T94">
        <v>0</v>
      </c>
      <c r="U94">
        <v>0</v>
      </c>
      <c r="V94" s="359">
        <v>215910251787</v>
      </c>
      <c r="W94" s="359">
        <v>8003282963577</v>
      </c>
      <c r="X94" s="359">
        <v>215927988211</v>
      </c>
      <c r="Y94" t="s">
        <v>1585</v>
      </c>
      <c r="Z94">
        <v>1.17</v>
      </c>
    </row>
    <row r="95" spans="1:26" x14ac:dyDescent="0.2">
      <c r="A95" t="s">
        <v>1584</v>
      </c>
      <c r="B95" t="s">
        <v>1586</v>
      </c>
      <c r="C95">
        <v>43</v>
      </c>
      <c r="D95">
        <v>292.61</v>
      </c>
      <c r="E95">
        <v>292.57</v>
      </c>
      <c r="F95">
        <v>290.94600000000003</v>
      </c>
      <c r="G95">
        <v>290.81700000000001</v>
      </c>
      <c r="H95">
        <v>150</v>
      </c>
      <c r="I95">
        <v>0.3</v>
      </c>
      <c r="J95" t="s">
        <v>1394</v>
      </c>
      <c r="K95">
        <v>0</v>
      </c>
      <c r="L95">
        <v>0</v>
      </c>
      <c r="M95">
        <v>2.34</v>
      </c>
      <c r="N95">
        <v>5.99</v>
      </c>
      <c r="O95">
        <v>31</v>
      </c>
      <c r="P95">
        <v>53</v>
      </c>
      <c r="Q95" s="364">
        <f t="shared" si="1"/>
        <v>1.6639999999999873</v>
      </c>
      <c r="R95">
        <v>0</v>
      </c>
      <c r="S95">
        <v>0</v>
      </c>
      <c r="T95">
        <v>0</v>
      </c>
      <c r="U95">
        <v>0</v>
      </c>
      <c r="V95" s="359">
        <v>215927988211</v>
      </c>
      <c r="W95" s="359">
        <v>8003286032659</v>
      </c>
      <c r="X95" s="359">
        <v>215961873574</v>
      </c>
      <c r="Y95" t="s">
        <v>1587</v>
      </c>
      <c r="Z95">
        <v>1.17</v>
      </c>
    </row>
    <row r="96" spans="1:26" x14ac:dyDescent="0.2">
      <c r="A96" t="s">
        <v>1586</v>
      </c>
      <c r="B96" t="s">
        <v>1588</v>
      </c>
      <c r="C96">
        <v>35</v>
      </c>
      <c r="D96">
        <v>292.57</v>
      </c>
      <c r="E96">
        <v>292.51</v>
      </c>
      <c r="F96">
        <v>290.81700000000001</v>
      </c>
      <c r="G96">
        <v>290.71199999999999</v>
      </c>
      <c r="H96">
        <v>150</v>
      </c>
      <c r="I96">
        <v>0.3</v>
      </c>
      <c r="J96" t="s">
        <v>1394</v>
      </c>
      <c r="K96">
        <v>0</v>
      </c>
      <c r="L96">
        <v>0</v>
      </c>
      <c r="M96">
        <v>2.34</v>
      </c>
      <c r="N96">
        <v>5.99</v>
      </c>
      <c r="O96">
        <v>31</v>
      </c>
      <c r="P96">
        <v>53</v>
      </c>
      <c r="Q96" s="364">
        <f t="shared" si="1"/>
        <v>1.7529999999999859</v>
      </c>
      <c r="R96">
        <v>0</v>
      </c>
      <c r="S96">
        <v>0</v>
      </c>
      <c r="T96">
        <v>0</v>
      </c>
      <c r="U96">
        <v>0</v>
      </c>
      <c r="V96" s="359">
        <v>215961873574</v>
      </c>
      <c r="W96" s="359">
        <v>8003259560369</v>
      </c>
      <c r="X96" s="359">
        <v>215940821785</v>
      </c>
      <c r="Y96" t="s">
        <v>1589</v>
      </c>
      <c r="Z96">
        <v>1.17</v>
      </c>
    </row>
    <row r="97" spans="1:26" x14ac:dyDescent="0.2">
      <c r="A97" t="s">
        <v>1588</v>
      </c>
      <c r="B97" t="s">
        <v>1590</v>
      </c>
      <c r="C97">
        <v>30</v>
      </c>
      <c r="D97">
        <v>292.51</v>
      </c>
      <c r="E97">
        <v>292.48</v>
      </c>
      <c r="F97">
        <v>290.71199999999999</v>
      </c>
      <c r="G97">
        <v>290.62200000000001</v>
      </c>
      <c r="H97">
        <v>150</v>
      </c>
      <c r="I97">
        <v>0.3</v>
      </c>
      <c r="J97" t="s">
        <v>1394</v>
      </c>
      <c r="K97">
        <v>0</v>
      </c>
      <c r="L97">
        <v>0</v>
      </c>
      <c r="M97">
        <v>2.34</v>
      </c>
      <c r="N97">
        <v>5.99</v>
      </c>
      <c r="O97">
        <v>31</v>
      </c>
      <c r="P97">
        <v>53</v>
      </c>
      <c r="Q97" s="364">
        <f t="shared" si="1"/>
        <v>1.7980000000000018</v>
      </c>
      <c r="R97">
        <v>0</v>
      </c>
      <c r="S97">
        <v>0</v>
      </c>
      <c r="T97">
        <v>0</v>
      </c>
      <c r="U97">
        <v>0</v>
      </c>
      <c r="V97" s="359">
        <v>215940821785</v>
      </c>
      <c r="W97" s="359">
        <v>8003231599286</v>
      </c>
      <c r="X97" s="359">
        <v>215927809007</v>
      </c>
      <c r="Y97" t="s">
        <v>1591</v>
      </c>
      <c r="Z97">
        <v>1.17</v>
      </c>
    </row>
    <row r="98" spans="1:26" x14ac:dyDescent="0.2">
      <c r="A98" t="s">
        <v>1590</v>
      </c>
      <c r="B98" t="s">
        <v>1592</v>
      </c>
      <c r="C98">
        <v>7</v>
      </c>
      <c r="D98">
        <v>292.48</v>
      </c>
      <c r="E98">
        <v>292.41000000000003</v>
      </c>
      <c r="F98">
        <v>290.62200000000001</v>
      </c>
      <c r="G98">
        <v>290.601</v>
      </c>
      <c r="H98">
        <v>150</v>
      </c>
      <c r="I98">
        <v>0.3</v>
      </c>
      <c r="J98" t="s">
        <v>1394</v>
      </c>
      <c r="K98">
        <v>0</v>
      </c>
      <c r="L98">
        <v>0</v>
      </c>
      <c r="M98">
        <v>2.34</v>
      </c>
      <c r="N98">
        <v>5.99</v>
      </c>
      <c r="O98">
        <v>31</v>
      </c>
      <c r="P98">
        <v>53</v>
      </c>
      <c r="Q98" s="364">
        <f t="shared" si="1"/>
        <v>1.8580000000000041</v>
      </c>
      <c r="R98">
        <v>0</v>
      </c>
      <c r="S98">
        <v>0</v>
      </c>
      <c r="T98">
        <v>0</v>
      </c>
      <c r="U98">
        <v>0</v>
      </c>
      <c r="V98" s="359">
        <v>215927809007</v>
      </c>
      <c r="W98" s="359">
        <v>8003204568422</v>
      </c>
      <c r="X98" s="359">
        <v>215928572113</v>
      </c>
      <c r="Y98" t="s">
        <v>1593</v>
      </c>
      <c r="Z98">
        <v>1.17</v>
      </c>
    </row>
    <row r="99" spans="1:26" x14ac:dyDescent="0.2">
      <c r="A99" t="s">
        <v>1592</v>
      </c>
      <c r="B99" t="s">
        <v>1594</v>
      </c>
      <c r="C99">
        <v>36</v>
      </c>
      <c r="D99">
        <v>292.41000000000003</v>
      </c>
      <c r="E99">
        <v>292.36</v>
      </c>
      <c r="F99">
        <v>290.601</v>
      </c>
      <c r="G99">
        <v>290.49299999999999</v>
      </c>
      <c r="H99">
        <v>150</v>
      </c>
      <c r="I99">
        <v>0.3</v>
      </c>
      <c r="J99" t="s">
        <v>1394</v>
      </c>
      <c r="K99">
        <v>0</v>
      </c>
      <c r="L99">
        <v>0</v>
      </c>
      <c r="M99">
        <v>2.34</v>
      </c>
      <c r="N99">
        <v>5.99</v>
      </c>
      <c r="O99">
        <v>31</v>
      </c>
      <c r="P99">
        <v>53</v>
      </c>
      <c r="Q99" s="364">
        <f t="shared" si="1"/>
        <v>1.8090000000000259</v>
      </c>
      <c r="R99">
        <v>0</v>
      </c>
      <c r="S99">
        <v>0</v>
      </c>
      <c r="T99">
        <v>0</v>
      </c>
      <c r="U99">
        <v>0</v>
      </c>
      <c r="V99" s="359">
        <v>215928572113</v>
      </c>
      <c r="W99" s="359">
        <v>8003197610142</v>
      </c>
      <c r="X99" s="359">
        <v>21595558812</v>
      </c>
      <c r="Y99" t="s">
        <v>1595</v>
      </c>
      <c r="Z99">
        <v>1.17</v>
      </c>
    </row>
    <row r="100" spans="1:26" x14ac:dyDescent="0.2">
      <c r="A100" t="s">
        <v>1594</v>
      </c>
      <c r="B100" t="s">
        <v>1596</v>
      </c>
      <c r="C100">
        <v>25</v>
      </c>
      <c r="D100">
        <v>292.36</v>
      </c>
      <c r="E100">
        <v>292.3</v>
      </c>
      <c r="F100">
        <v>290.49299999999999</v>
      </c>
      <c r="G100">
        <v>290.41800000000001</v>
      </c>
      <c r="H100">
        <v>150</v>
      </c>
      <c r="I100">
        <v>0.3</v>
      </c>
      <c r="J100" t="s">
        <v>1394</v>
      </c>
      <c r="K100">
        <v>1.34</v>
      </c>
      <c r="L100">
        <v>3.43</v>
      </c>
      <c r="M100">
        <v>3.68</v>
      </c>
      <c r="N100">
        <v>9.42</v>
      </c>
      <c r="O100">
        <v>40</v>
      </c>
      <c r="P100">
        <v>72</v>
      </c>
      <c r="Q100" s="364">
        <f t="shared" si="1"/>
        <v>1.8670000000000186</v>
      </c>
      <c r="R100">
        <v>0</v>
      </c>
      <c r="S100">
        <v>0</v>
      </c>
      <c r="T100">
        <v>0</v>
      </c>
      <c r="U100">
        <v>0</v>
      </c>
      <c r="V100" s="359">
        <v>21595558812</v>
      </c>
      <c r="W100" s="359">
        <v>8003173816542</v>
      </c>
      <c r="X100" s="359">
        <v>215974770796</v>
      </c>
      <c r="Y100" t="s">
        <v>1597</v>
      </c>
      <c r="Z100">
        <v>1.34</v>
      </c>
    </row>
    <row r="101" spans="1:26" x14ac:dyDescent="0.2">
      <c r="A101" t="s">
        <v>1596</v>
      </c>
      <c r="B101" t="s">
        <v>1598</v>
      </c>
      <c r="C101">
        <v>28</v>
      </c>
      <c r="D101">
        <v>292.3</v>
      </c>
      <c r="E101">
        <v>292.25</v>
      </c>
      <c r="F101">
        <v>290.41800000000001</v>
      </c>
      <c r="G101">
        <v>290.334</v>
      </c>
      <c r="H101">
        <v>150</v>
      </c>
      <c r="I101">
        <v>0.3</v>
      </c>
      <c r="J101" t="s">
        <v>1394</v>
      </c>
      <c r="K101">
        <v>0</v>
      </c>
      <c r="L101">
        <v>0</v>
      </c>
      <c r="M101">
        <v>3.68</v>
      </c>
      <c r="N101">
        <v>9.42</v>
      </c>
      <c r="O101">
        <v>40</v>
      </c>
      <c r="P101">
        <v>72</v>
      </c>
      <c r="Q101" s="364">
        <f t="shared" si="1"/>
        <v>1.882000000000005</v>
      </c>
      <c r="R101">
        <v>0</v>
      </c>
      <c r="S101">
        <v>0</v>
      </c>
      <c r="T101">
        <v>0</v>
      </c>
      <c r="U101">
        <v>0</v>
      </c>
      <c r="V101" s="359">
        <v>215974770796</v>
      </c>
      <c r="W101" s="359">
        <v>8003157784545</v>
      </c>
      <c r="X101" s="359">
        <v>215959980939</v>
      </c>
      <c r="Y101" t="s">
        <v>1599</v>
      </c>
      <c r="Z101">
        <v>1.34</v>
      </c>
    </row>
    <row r="102" spans="1:26" x14ac:dyDescent="0.2">
      <c r="A102" t="s">
        <v>1598</v>
      </c>
      <c r="B102" t="s">
        <v>1600</v>
      </c>
      <c r="C102">
        <v>36</v>
      </c>
      <c r="D102">
        <v>292.25</v>
      </c>
      <c r="E102">
        <v>292.19</v>
      </c>
      <c r="F102">
        <v>290.334</v>
      </c>
      <c r="G102">
        <v>290.226</v>
      </c>
      <c r="H102">
        <v>150</v>
      </c>
      <c r="I102">
        <v>0.3</v>
      </c>
      <c r="J102" t="s">
        <v>1394</v>
      </c>
      <c r="K102">
        <v>0</v>
      </c>
      <c r="L102">
        <v>0</v>
      </c>
      <c r="M102">
        <v>3.68</v>
      </c>
      <c r="N102">
        <v>9.42</v>
      </c>
      <c r="O102">
        <v>40</v>
      </c>
      <c r="P102">
        <v>72</v>
      </c>
      <c r="Q102" s="364">
        <f t="shared" si="1"/>
        <v>1.9159999999999968</v>
      </c>
      <c r="R102">
        <v>0</v>
      </c>
      <c r="S102">
        <v>0</v>
      </c>
      <c r="T102">
        <v>0</v>
      </c>
      <c r="U102">
        <v>0</v>
      </c>
      <c r="V102" s="359">
        <v>215959980939</v>
      </c>
      <c r="W102" s="359">
        <v>8003134009345</v>
      </c>
      <c r="X102" s="359">
        <v>215957858328</v>
      </c>
      <c r="Y102" t="s">
        <v>1601</v>
      </c>
      <c r="Z102">
        <v>1.34</v>
      </c>
    </row>
    <row r="103" spans="1:26" x14ac:dyDescent="0.2">
      <c r="A103" t="s">
        <v>1600</v>
      </c>
      <c r="B103" t="s">
        <v>1602</v>
      </c>
      <c r="C103">
        <v>30</v>
      </c>
      <c r="D103">
        <v>292.19</v>
      </c>
      <c r="E103">
        <v>292.14</v>
      </c>
      <c r="F103">
        <v>290.226</v>
      </c>
      <c r="G103">
        <v>290.13600000000002</v>
      </c>
      <c r="H103">
        <v>150</v>
      </c>
      <c r="I103">
        <v>0.3</v>
      </c>
      <c r="J103" t="s">
        <v>1394</v>
      </c>
      <c r="K103">
        <v>0</v>
      </c>
      <c r="L103">
        <v>0</v>
      </c>
      <c r="M103">
        <v>3.68</v>
      </c>
      <c r="N103">
        <v>9.42</v>
      </c>
      <c r="O103">
        <v>40</v>
      </c>
      <c r="P103">
        <v>72</v>
      </c>
      <c r="Q103" s="364">
        <f t="shared" si="1"/>
        <v>1.9639999999999986</v>
      </c>
      <c r="R103">
        <v>0</v>
      </c>
      <c r="S103">
        <v>0</v>
      </c>
      <c r="T103">
        <v>0</v>
      </c>
      <c r="U103">
        <v>0</v>
      </c>
      <c r="V103" s="359">
        <v>215957858328</v>
      </c>
      <c r="W103" s="359">
        <v>8003098071975</v>
      </c>
      <c r="X103" s="359">
        <v>215985211752</v>
      </c>
      <c r="Y103" t="s">
        <v>1603</v>
      </c>
      <c r="Z103">
        <v>1.34</v>
      </c>
    </row>
    <row r="104" spans="1:26" x14ac:dyDescent="0.2">
      <c r="A104" t="s">
        <v>1602</v>
      </c>
      <c r="B104" t="s">
        <v>1604</v>
      </c>
      <c r="C104">
        <v>62</v>
      </c>
      <c r="D104">
        <v>292.14</v>
      </c>
      <c r="E104">
        <v>292.08999999999997</v>
      </c>
      <c r="F104">
        <v>290.13600000000002</v>
      </c>
      <c r="G104">
        <v>289.95</v>
      </c>
      <c r="H104">
        <v>150</v>
      </c>
      <c r="I104">
        <v>0.3</v>
      </c>
      <c r="J104" t="s">
        <v>1394</v>
      </c>
      <c r="K104">
        <v>0</v>
      </c>
      <c r="L104">
        <v>0</v>
      </c>
      <c r="M104">
        <v>3.68</v>
      </c>
      <c r="N104">
        <v>9.42</v>
      </c>
      <c r="O104">
        <v>40</v>
      </c>
      <c r="P104">
        <v>72</v>
      </c>
      <c r="Q104" s="364">
        <f t="shared" si="1"/>
        <v>2.0039999999999623</v>
      </c>
      <c r="R104">
        <v>0</v>
      </c>
      <c r="S104">
        <v>0</v>
      </c>
      <c r="T104">
        <v>0</v>
      </c>
      <c r="U104">
        <v>0</v>
      </c>
      <c r="V104" s="359">
        <v>215985211752</v>
      </c>
      <c r="W104" s="359">
        <v>8003085751659</v>
      </c>
      <c r="X104" s="359">
        <v>216046371515</v>
      </c>
      <c r="Y104" t="s">
        <v>1605</v>
      </c>
      <c r="Z104">
        <v>1.34</v>
      </c>
    </row>
    <row r="105" spans="1:26" x14ac:dyDescent="0.2">
      <c r="A105" t="s">
        <v>1604</v>
      </c>
      <c r="B105" t="s">
        <v>1606</v>
      </c>
      <c r="C105">
        <v>67</v>
      </c>
      <c r="D105">
        <v>292.08999999999997</v>
      </c>
      <c r="E105">
        <v>292.04000000000002</v>
      </c>
      <c r="F105">
        <v>289.95</v>
      </c>
      <c r="G105">
        <v>289.74900000000002</v>
      </c>
      <c r="H105">
        <v>150</v>
      </c>
      <c r="I105">
        <v>0.3</v>
      </c>
      <c r="J105" t="s">
        <v>1394</v>
      </c>
      <c r="K105">
        <v>0</v>
      </c>
      <c r="L105">
        <v>0</v>
      </c>
      <c r="M105">
        <v>3.68</v>
      </c>
      <c r="N105">
        <v>9.42</v>
      </c>
      <c r="O105">
        <v>40</v>
      </c>
      <c r="P105">
        <v>72</v>
      </c>
      <c r="Q105" s="364">
        <f t="shared" si="1"/>
        <v>2.1399999999999864</v>
      </c>
      <c r="R105">
        <v>0</v>
      </c>
      <c r="S105">
        <v>0</v>
      </c>
      <c r="T105">
        <v>0</v>
      </c>
      <c r="U105">
        <v>0</v>
      </c>
      <c r="V105" s="359">
        <v>216046371515</v>
      </c>
      <c r="W105" s="359">
        <v>8003075578982</v>
      </c>
      <c r="X105" s="359">
        <v>216090353647</v>
      </c>
      <c r="Y105" t="s">
        <v>1607</v>
      </c>
      <c r="Z105">
        <v>1.34</v>
      </c>
    </row>
    <row r="106" spans="1:26" x14ac:dyDescent="0.2">
      <c r="A106" t="s">
        <v>1606</v>
      </c>
      <c r="B106" t="s">
        <v>1608</v>
      </c>
      <c r="C106">
        <v>38</v>
      </c>
      <c r="D106">
        <v>292.04000000000002</v>
      </c>
      <c r="E106">
        <v>292</v>
      </c>
      <c r="F106">
        <v>289.74900000000002</v>
      </c>
      <c r="G106">
        <v>289.63499999999999</v>
      </c>
      <c r="H106">
        <v>150</v>
      </c>
      <c r="I106">
        <v>0.3</v>
      </c>
      <c r="J106" t="s">
        <v>1394</v>
      </c>
      <c r="K106">
        <v>0</v>
      </c>
      <c r="L106">
        <v>0</v>
      </c>
      <c r="M106">
        <v>3.68</v>
      </c>
      <c r="N106">
        <v>9.42</v>
      </c>
      <c r="O106">
        <v>40</v>
      </c>
      <c r="P106">
        <v>72</v>
      </c>
      <c r="Q106" s="364">
        <f t="shared" si="1"/>
        <v>2.2909999999999968</v>
      </c>
      <c r="R106">
        <v>0</v>
      </c>
      <c r="S106">
        <v>0</v>
      </c>
      <c r="T106">
        <v>0</v>
      </c>
      <c r="U106">
        <v>0</v>
      </c>
      <c r="V106" s="359">
        <v>216090353647</v>
      </c>
      <c r="W106" s="359">
        <v>8003025036207</v>
      </c>
      <c r="X106" s="359">
        <v>216118169106</v>
      </c>
      <c r="Y106" t="s">
        <v>1609</v>
      </c>
      <c r="Z106">
        <v>1.34</v>
      </c>
    </row>
    <row r="107" spans="1:26" x14ac:dyDescent="0.2">
      <c r="A107" t="s">
        <v>1608</v>
      </c>
      <c r="B107" t="s">
        <v>1610</v>
      </c>
      <c r="C107">
        <v>23.61</v>
      </c>
      <c r="D107">
        <v>292</v>
      </c>
      <c r="E107">
        <v>292.5</v>
      </c>
      <c r="F107">
        <v>289.58499999999998</v>
      </c>
      <c r="G107">
        <v>289.51400000000001</v>
      </c>
      <c r="H107">
        <v>200</v>
      </c>
      <c r="I107">
        <v>0.3</v>
      </c>
      <c r="J107" t="s">
        <v>1407</v>
      </c>
      <c r="K107" t="s">
        <v>1408</v>
      </c>
      <c r="L107">
        <v>0</v>
      </c>
      <c r="M107">
        <v>3.68</v>
      </c>
      <c r="N107">
        <v>9.42</v>
      </c>
      <c r="O107">
        <v>30</v>
      </c>
      <c r="P107">
        <v>51</v>
      </c>
      <c r="Q107" s="364">
        <f t="shared" si="1"/>
        <v>2.4150000000000205</v>
      </c>
      <c r="R107">
        <v>0</v>
      </c>
      <c r="S107">
        <v>0</v>
      </c>
      <c r="T107">
        <v>0</v>
      </c>
      <c r="U107">
        <v>0</v>
      </c>
      <c r="V107" s="359">
        <v>216118169106</v>
      </c>
      <c r="W107" s="359">
        <v>8002999146049</v>
      </c>
      <c r="X107" s="359">
        <v>216134711746</v>
      </c>
      <c r="Y107" t="s">
        <v>1611</v>
      </c>
      <c r="Z107">
        <v>1.53</v>
      </c>
    </row>
    <row r="108" spans="1:26" x14ac:dyDescent="0.2">
      <c r="A108" t="s">
        <v>1612</v>
      </c>
      <c r="B108" t="s">
        <v>1613</v>
      </c>
      <c r="C108">
        <v>33</v>
      </c>
      <c r="D108">
        <v>293.7</v>
      </c>
      <c r="E108">
        <v>295.3</v>
      </c>
      <c r="F108">
        <v>293.14999999999998</v>
      </c>
      <c r="G108">
        <v>293.05099999999999</v>
      </c>
      <c r="H108">
        <v>150</v>
      </c>
      <c r="I108">
        <v>0.3</v>
      </c>
      <c r="J108" t="s">
        <v>1394</v>
      </c>
      <c r="K108">
        <v>0.14000000000000001</v>
      </c>
      <c r="L108">
        <v>0.36</v>
      </c>
      <c r="M108">
        <v>0.14000000000000001</v>
      </c>
      <c r="N108">
        <v>0.36</v>
      </c>
      <c r="O108">
        <v>25</v>
      </c>
      <c r="P108">
        <v>25</v>
      </c>
      <c r="Q108" s="364">
        <f t="shared" si="1"/>
        <v>0.55000000000001137</v>
      </c>
      <c r="R108">
        <v>0</v>
      </c>
      <c r="S108">
        <v>0</v>
      </c>
      <c r="T108">
        <v>0</v>
      </c>
      <c r="U108">
        <v>0</v>
      </c>
      <c r="V108" s="359">
        <v>215419643875</v>
      </c>
      <c r="W108" s="359">
        <v>8003756598138</v>
      </c>
      <c r="X108" s="359">
        <v>215448678378</v>
      </c>
      <c r="Y108" t="s">
        <v>1614</v>
      </c>
      <c r="Z108">
        <v>0.66</v>
      </c>
    </row>
    <row r="109" spans="1:26" x14ac:dyDescent="0.2">
      <c r="A109" t="s">
        <v>1613</v>
      </c>
      <c r="B109" t="s">
        <v>1615</v>
      </c>
      <c r="C109">
        <v>45</v>
      </c>
      <c r="D109">
        <v>295.3</v>
      </c>
      <c r="E109">
        <v>295.29000000000002</v>
      </c>
      <c r="F109">
        <v>293.05099999999999</v>
      </c>
      <c r="G109">
        <v>292.916</v>
      </c>
      <c r="H109">
        <v>150</v>
      </c>
      <c r="I109">
        <v>0.3</v>
      </c>
      <c r="J109" t="s">
        <v>1394</v>
      </c>
      <c r="K109">
        <v>0</v>
      </c>
      <c r="L109">
        <v>0</v>
      </c>
      <c r="M109">
        <v>0.14000000000000001</v>
      </c>
      <c r="N109">
        <v>0.36</v>
      </c>
      <c r="O109">
        <v>25</v>
      </c>
      <c r="P109">
        <v>25</v>
      </c>
      <c r="Q109" s="364">
        <f t="shared" si="1"/>
        <v>2.2490000000000236</v>
      </c>
      <c r="R109">
        <v>0</v>
      </c>
      <c r="S109">
        <v>0</v>
      </c>
      <c r="T109">
        <v>0</v>
      </c>
      <c r="U109">
        <v>0</v>
      </c>
      <c r="V109" s="359">
        <v>215448678378</v>
      </c>
      <c r="W109" s="359">
        <v>8003740913826</v>
      </c>
      <c r="X109" s="359">
        <v>215480428253</v>
      </c>
      <c r="Y109" t="s">
        <v>1616</v>
      </c>
      <c r="Z109">
        <v>0.66</v>
      </c>
    </row>
    <row r="110" spans="1:26" x14ac:dyDescent="0.2">
      <c r="A110" t="s">
        <v>1615</v>
      </c>
      <c r="B110" t="s">
        <v>1617</v>
      </c>
      <c r="C110">
        <v>24.51</v>
      </c>
      <c r="D110">
        <v>295.29000000000002</v>
      </c>
      <c r="E110">
        <v>295.60000000000002</v>
      </c>
      <c r="F110">
        <v>292.916</v>
      </c>
      <c r="G110">
        <v>292.84199999999998</v>
      </c>
      <c r="H110">
        <v>150</v>
      </c>
      <c r="I110">
        <v>0.3</v>
      </c>
      <c r="J110" t="s">
        <v>1394</v>
      </c>
      <c r="K110">
        <v>0</v>
      </c>
      <c r="L110">
        <v>0</v>
      </c>
      <c r="M110">
        <v>0.14000000000000001</v>
      </c>
      <c r="N110">
        <v>0.36</v>
      </c>
      <c r="O110">
        <v>25</v>
      </c>
      <c r="P110">
        <v>25</v>
      </c>
      <c r="Q110" s="364">
        <f t="shared" si="1"/>
        <v>2.3740000000000236</v>
      </c>
      <c r="R110">
        <v>0</v>
      </c>
      <c r="S110">
        <v>0</v>
      </c>
      <c r="T110">
        <v>0</v>
      </c>
      <c r="U110">
        <v>0</v>
      </c>
      <c r="V110" s="359">
        <v>215480428253</v>
      </c>
      <c r="W110" s="359">
        <v>8003709032034</v>
      </c>
      <c r="X110" s="359">
        <v>215491291501</v>
      </c>
      <c r="Y110" t="s">
        <v>1618</v>
      </c>
      <c r="Z110">
        <v>0.66</v>
      </c>
    </row>
    <row r="111" spans="1:26" x14ac:dyDescent="0.2">
      <c r="A111" t="s">
        <v>1617</v>
      </c>
      <c r="B111" t="s">
        <v>1619</v>
      </c>
      <c r="C111">
        <v>48</v>
      </c>
      <c r="D111">
        <v>295.60000000000002</v>
      </c>
      <c r="E111">
        <v>295.27100000000002</v>
      </c>
      <c r="F111">
        <v>292.84199999999998</v>
      </c>
      <c r="G111">
        <v>292.69799999999998</v>
      </c>
      <c r="H111">
        <v>150</v>
      </c>
      <c r="I111">
        <v>0.3</v>
      </c>
      <c r="J111" t="s">
        <v>1394</v>
      </c>
      <c r="K111">
        <v>0</v>
      </c>
      <c r="L111">
        <v>0</v>
      </c>
      <c r="M111">
        <v>0.14000000000000001</v>
      </c>
      <c r="N111">
        <v>0.36</v>
      </c>
      <c r="O111">
        <v>25</v>
      </c>
      <c r="P111">
        <v>25</v>
      </c>
      <c r="Q111" s="364">
        <f t="shared" si="1"/>
        <v>2.7580000000000382</v>
      </c>
      <c r="R111">
        <v>0</v>
      </c>
      <c r="S111">
        <v>0</v>
      </c>
      <c r="T111">
        <v>0</v>
      </c>
      <c r="U111">
        <v>0</v>
      </c>
      <c r="V111" s="359">
        <v>215491291501</v>
      </c>
      <c r="W111" s="359">
        <v>8003687053398</v>
      </c>
      <c r="X111" s="359">
        <v>215483112239</v>
      </c>
      <c r="Y111" t="s">
        <v>1620</v>
      </c>
      <c r="Z111">
        <v>0.66</v>
      </c>
    </row>
    <row r="112" spans="1:26" x14ac:dyDescent="0.2">
      <c r="A112" t="s">
        <v>1619</v>
      </c>
      <c r="B112" t="s">
        <v>1621</v>
      </c>
      <c r="C112">
        <v>66</v>
      </c>
      <c r="D112">
        <v>295.27100000000002</v>
      </c>
      <c r="E112">
        <v>294.827</v>
      </c>
      <c r="F112">
        <v>292.69799999999998</v>
      </c>
      <c r="G112">
        <v>292.5</v>
      </c>
      <c r="H112">
        <v>150</v>
      </c>
      <c r="I112">
        <v>0.3</v>
      </c>
      <c r="J112" t="s">
        <v>1394</v>
      </c>
      <c r="K112">
        <v>0</v>
      </c>
      <c r="L112">
        <v>0</v>
      </c>
      <c r="M112">
        <v>0.14000000000000001</v>
      </c>
      <c r="N112">
        <v>0.36</v>
      </c>
      <c r="O112">
        <v>25</v>
      </c>
      <c r="P112">
        <v>25</v>
      </c>
      <c r="Q112" s="364">
        <f t="shared" si="1"/>
        <v>2.5730000000000359</v>
      </c>
      <c r="R112">
        <v>0</v>
      </c>
      <c r="S112">
        <v>0</v>
      </c>
      <c r="T112">
        <v>0</v>
      </c>
      <c r="U112">
        <v>0</v>
      </c>
      <c r="V112" s="359">
        <v>215483112239</v>
      </c>
      <c r="W112" s="359">
        <v>8003639755409</v>
      </c>
      <c r="X112" s="359">
        <v>215515253467</v>
      </c>
      <c r="Y112" t="s">
        <v>1622</v>
      </c>
      <c r="Z112">
        <v>0.66</v>
      </c>
    </row>
    <row r="113" spans="1:26" x14ac:dyDescent="0.2">
      <c r="A113" t="s">
        <v>1621</v>
      </c>
      <c r="B113" t="s">
        <v>1623</v>
      </c>
      <c r="C113">
        <v>60</v>
      </c>
      <c r="D113">
        <v>294.827</v>
      </c>
      <c r="E113">
        <v>294.72300000000001</v>
      </c>
      <c r="F113">
        <v>292.5</v>
      </c>
      <c r="G113">
        <v>292.32</v>
      </c>
      <c r="H113">
        <v>150</v>
      </c>
      <c r="I113">
        <v>0.3</v>
      </c>
      <c r="J113" t="s">
        <v>1394</v>
      </c>
      <c r="K113">
        <v>0</v>
      </c>
      <c r="L113">
        <v>0</v>
      </c>
      <c r="M113">
        <v>0.14000000000000001</v>
      </c>
      <c r="N113">
        <v>0.36</v>
      </c>
      <c r="O113">
        <v>25</v>
      </c>
      <c r="P113">
        <v>25</v>
      </c>
      <c r="Q113" s="364">
        <f t="shared" si="1"/>
        <v>2.3269999999999982</v>
      </c>
      <c r="R113">
        <v>0</v>
      </c>
      <c r="S113">
        <v>0</v>
      </c>
      <c r="T113">
        <v>0</v>
      </c>
      <c r="U113">
        <v>0</v>
      </c>
      <c r="V113" s="359">
        <v>215515253467</v>
      </c>
      <c r="W113" s="359">
        <v>8003582110449</v>
      </c>
      <c r="X113" s="359">
        <v>215567942526</v>
      </c>
      <c r="Y113" t="s">
        <v>1624</v>
      </c>
      <c r="Z113">
        <v>0.66</v>
      </c>
    </row>
    <row r="114" spans="1:26" x14ac:dyDescent="0.2">
      <c r="A114" t="s">
        <v>1623</v>
      </c>
      <c r="B114" t="s">
        <v>1625</v>
      </c>
      <c r="C114">
        <v>31</v>
      </c>
      <c r="D114">
        <v>294.72300000000001</v>
      </c>
      <c r="E114">
        <v>294.65100000000001</v>
      </c>
      <c r="F114">
        <v>292.32</v>
      </c>
      <c r="G114">
        <v>292.22800000000001</v>
      </c>
      <c r="H114">
        <v>150</v>
      </c>
      <c r="I114">
        <v>0.3</v>
      </c>
      <c r="J114" t="s">
        <v>1394</v>
      </c>
      <c r="K114">
        <v>0</v>
      </c>
      <c r="L114">
        <v>0</v>
      </c>
      <c r="M114">
        <v>0.14000000000000001</v>
      </c>
      <c r="N114">
        <v>0.36</v>
      </c>
      <c r="O114">
        <v>25</v>
      </c>
      <c r="P114">
        <v>25</v>
      </c>
      <c r="Q114" s="364">
        <f t="shared" si="1"/>
        <v>2.40300000000002</v>
      </c>
      <c r="R114">
        <v>0</v>
      </c>
      <c r="S114">
        <v>0</v>
      </c>
      <c r="T114">
        <v>0</v>
      </c>
      <c r="U114">
        <v>0</v>
      </c>
      <c r="V114" s="359">
        <v>215567942526</v>
      </c>
      <c r="W114" s="359">
        <v>8003553407434</v>
      </c>
      <c r="X114" s="359">
        <v>215596135572</v>
      </c>
      <c r="Y114" t="s">
        <v>1626</v>
      </c>
      <c r="Z114">
        <v>0.66</v>
      </c>
    </row>
    <row r="115" spans="1:26" x14ac:dyDescent="0.2">
      <c r="A115" t="s">
        <v>1625</v>
      </c>
      <c r="B115" t="s">
        <v>1627</v>
      </c>
      <c r="C115">
        <v>14</v>
      </c>
      <c r="D115">
        <v>294.65100000000001</v>
      </c>
      <c r="E115">
        <v>294.43599999999998</v>
      </c>
      <c r="F115">
        <v>292.22800000000001</v>
      </c>
      <c r="G115">
        <v>292.18599999999998</v>
      </c>
      <c r="H115">
        <v>150</v>
      </c>
      <c r="I115">
        <v>0.3</v>
      </c>
      <c r="J115" t="s">
        <v>1394</v>
      </c>
      <c r="K115">
        <v>0</v>
      </c>
      <c r="L115">
        <v>0</v>
      </c>
      <c r="M115">
        <v>0.14000000000000001</v>
      </c>
      <c r="N115">
        <v>0.36</v>
      </c>
      <c r="O115">
        <v>25</v>
      </c>
      <c r="P115">
        <v>25</v>
      </c>
      <c r="Q115" s="364">
        <f t="shared" si="1"/>
        <v>2.4230000000000018</v>
      </c>
      <c r="R115">
        <v>0</v>
      </c>
      <c r="S115">
        <v>0</v>
      </c>
      <c r="T115">
        <v>0</v>
      </c>
      <c r="U115">
        <v>0</v>
      </c>
      <c r="V115" s="359">
        <v>215596135572</v>
      </c>
      <c r="W115" s="359">
        <v>8003540517431</v>
      </c>
      <c r="X115" s="359">
        <v>215606093985</v>
      </c>
      <c r="Y115" t="s">
        <v>1628</v>
      </c>
      <c r="Z115">
        <v>0.66</v>
      </c>
    </row>
    <row r="116" spans="1:26" x14ac:dyDescent="0.2">
      <c r="A116" t="s">
        <v>1627</v>
      </c>
      <c r="B116" t="s">
        <v>1629</v>
      </c>
      <c r="C116">
        <v>80</v>
      </c>
      <c r="D116">
        <v>294.43599999999998</v>
      </c>
      <c r="E116">
        <v>292.95499999999998</v>
      </c>
      <c r="F116">
        <v>292.18599999999998</v>
      </c>
      <c r="G116">
        <v>291.94600000000003</v>
      </c>
      <c r="H116">
        <v>150</v>
      </c>
      <c r="I116">
        <v>0.3</v>
      </c>
      <c r="J116" t="s">
        <v>1394</v>
      </c>
      <c r="K116">
        <v>0.28000000000000003</v>
      </c>
      <c r="L116">
        <v>0.73</v>
      </c>
      <c r="M116">
        <v>0.42</v>
      </c>
      <c r="N116">
        <v>1.0900000000000001</v>
      </c>
      <c r="O116">
        <v>25</v>
      </c>
      <c r="P116">
        <v>25</v>
      </c>
      <c r="Q116" s="364">
        <f t="shared" si="1"/>
        <v>2.25</v>
      </c>
      <c r="R116">
        <v>0</v>
      </c>
      <c r="S116">
        <v>0</v>
      </c>
      <c r="T116">
        <v>0</v>
      </c>
      <c r="U116">
        <v>0</v>
      </c>
      <c r="V116" s="359">
        <v>215606093985</v>
      </c>
      <c r="W116" s="359">
        <v>8003550357655</v>
      </c>
      <c r="X116" s="359">
        <v>215666865657</v>
      </c>
      <c r="Y116" t="s">
        <v>1630</v>
      </c>
      <c r="Z116">
        <v>0.66</v>
      </c>
    </row>
    <row r="117" spans="1:26" x14ac:dyDescent="0.2">
      <c r="A117" t="s">
        <v>1629</v>
      </c>
      <c r="B117" t="s">
        <v>1631</v>
      </c>
      <c r="C117">
        <v>40</v>
      </c>
      <c r="D117">
        <v>292.95499999999998</v>
      </c>
      <c r="E117">
        <v>293.262</v>
      </c>
      <c r="F117">
        <v>291.94600000000003</v>
      </c>
      <c r="G117">
        <v>291.82600000000002</v>
      </c>
      <c r="H117">
        <v>150</v>
      </c>
      <c r="I117">
        <v>0.3</v>
      </c>
      <c r="J117" t="s">
        <v>1394</v>
      </c>
      <c r="K117">
        <v>0</v>
      </c>
      <c r="L117">
        <v>0</v>
      </c>
      <c r="M117">
        <v>0.42</v>
      </c>
      <c r="N117">
        <v>1.0900000000000001</v>
      </c>
      <c r="O117">
        <v>25</v>
      </c>
      <c r="P117">
        <v>25</v>
      </c>
      <c r="Q117" s="364">
        <f t="shared" si="1"/>
        <v>1.0089999999999577</v>
      </c>
      <c r="R117">
        <v>0</v>
      </c>
      <c r="S117">
        <v>0</v>
      </c>
      <c r="T117">
        <v>0</v>
      </c>
      <c r="U117">
        <v>0</v>
      </c>
      <c r="V117" s="359">
        <v>215666865657</v>
      </c>
      <c r="W117" s="359">
        <v>8003498330701</v>
      </c>
      <c r="X117" s="359">
        <v>215706452198</v>
      </c>
      <c r="Y117" t="s">
        <v>1632</v>
      </c>
      <c r="Z117">
        <v>0.66</v>
      </c>
    </row>
    <row r="118" spans="1:26" x14ac:dyDescent="0.2">
      <c r="A118" t="s">
        <v>1631</v>
      </c>
      <c r="B118" t="s">
        <v>1633</v>
      </c>
      <c r="C118">
        <v>80</v>
      </c>
      <c r="D118">
        <v>293.262</v>
      </c>
      <c r="E118">
        <v>293.63600000000002</v>
      </c>
      <c r="F118">
        <v>291.82600000000002</v>
      </c>
      <c r="G118">
        <v>291.58600000000001</v>
      </c>
      <c r="H118">
        <v>150</v>
      </c>
      <c r="I118">
        <v>0.3</v>
      </c>
      <c r="J118" t="s">
        <v>1394</v>
      </c>
      <c r="K118">
        <v>0.38</v>
      </c>
      <c r="L118">
        <v>0.97</v>
      </c>
      <c r="M118">
        <v>0.8</v>
      </c>
      <c r="N118">
        <v>2.06</v>
      </c>
      <c r="O118">
        <v>25</v>
      </c>
      <c r="P118">
        <v>29</v>
      </c>
      <c r="Q118" s="364">
        <f t="shared" si="1"/>
        <v>1.4359999999999786</v>
      </c>
      <c r="R118">
        <v>0</v>
      </c>
      <c r="S118">
        <v>0</v>
      </c>
      <c r="T118">
        <v>0</v>
      </c>
      <c r="U118">
        <v>0</v>
      </c>
      <c r="V118" s="359">
        <v>215706452198</v>
      </c>
      <c r="W118" s="359">
        <v>8003492594343</v>
      </c>
      <c r="X118" s="359">
        <v>215777613071</v>
      </c>
      <c r="Y118" t="s">
        <v>1634</v>
      </c>
      <c r="Z118">
        <v>0.76</v>
      </c>
    </row>
    <row r="119" spans="1:26" x14ac:dyDescent="0.2">
      <c r="A119" t="s">
        <v>1633</v>
      </c>
      <c r="B119" t="s">
        <v>1635</v>
      </c>
      <c r="C119">
        <v>39</v>
      </c>
      <c r="D119">
        <v>293.63600000000002</v>
      </c>
      <c r="E119">
        <v>293.57900000000001</v>
      </c>
      <c r="F119">
        <v>291.58600000000001</v>
      </c>
      <c r="G119">
        <v>291.46899999999999</v>
      </c>
      <c r="H119">
        <v>150</v>
      </c>
      <c r="I119">
        <v>0.3</v>
      </c>
      <c r="J119" t="s">
        <v>1394</v>
      </c>
      <c r="K119">
        <v>0</v>
      </c>
      <c r="L119">
        <v>0</v>
      </c>
      <c r="M119">
        <v>0.8</v>
      </c>
      <c r="N119">
        <v>2.06</v>
      </c>
      <c r="O119">
        <v>25</v>
      </c>
      <c r="P119">
        <v>29</v>
      </c>
      <c r="Q119" s="364">
        <f t="shared" si="1"/>
        <v>2.0500000000000114</v>
      </c>
      <c r="R119">
        <v>0</v>
      </c>
      <c r="S119">
        <v>0</v>
      </c>
      <c r="T119">
        <v>0</v>
      </c>
      <c r="U119">
        <v>0</v>
      </c>
      <c r="V119" s="359">
        <v>215777613071</v>
      </c>
      <c r="W119" s="359">
        <v>8003456048814</v>
      </c>
      <c r="X119" s="359">
        <v>215806385697</v>
      </c>
      <c r="Y119" t="s">
        <v>1636</v>
      </c>
      <c r="Z119">
        <v>0.76</v>
      </c>
    </row>
    <row r="120" spans="1:26" x14ac:dyDescent="0.2">
      <c r="A120" t="s">
        <v>1635</v>
      </c>
      <c r="B120" t="s">
        <v>1637</v>
      </c>
      <c r="C120">
        <v>8</v>
      </c>
      <c r="D120">
        <v>293.57900000000001</v>
      </c>
      <c r="E120">
        <v>293.5</v>
      </c>
      <c r="F120">
        <v>291.46899999999999</v>
      </c>
      <c r="G120">
        <v>291.44499999999999</v>
      </c>
      <c r="H120">
        <v>150</v>
      </c>
      <c r="I120">
        <v>0.3</v>
      </c>
      <c r="J120" t="s">
        <v>1394</v>
      </c>
      <c r="K120">
        <v>0</v>
      </c>
      <c r="L120">
        <v>0</v>
      </c>
      <c r="M120">
        <v>0.8</v>
      </c>
      <c r="N120">
        <v>2.06</v>
      </c>
      <c r="O120">
        <v>25</v>
      </c>
      <c r="P120">
        <v>29</v>
      </c>
      <c r="Q120" s="364">
        <f t="shared" si="1"/>
        <v>2.1100000000000136</v>
      </c>
      <c r="R120">
        <v>0</v>
      </c>
      <c r="S120">
        <v>0</v>
      </c>
      <c r="T120">
        <v>0</v>
      </c>
      <c r="U120">
        <v>0</v>
      </c>
      <c r="V120" s="359">
        <v>215806385697</v>
      </c>
      <c r="W120" s="359">
        <v>8003429721337</v>
      </c>
      <c r="X120" s="359">
        <v>21580198674</v>
      </c>
      <c r="Y120" t="s">
        <v>1638</v>
      </c>
      <c r="Z120">
        <v>0.76</v>
      </c>
    </row>
    <row r="121" spans="1:26" x14ac:dyDescent="0.2">
      <c r="A121" t="s">
        <v>1637</v>
      </c>
      <c r="B121" t="s">
        <v>1639</v>
      </c>
      <c r="C121">
        <v>72.56</v>
      </c>
      <c r="D121">
        <v>293.5</v>
      </c>
      <c r="E121">
        <v>293.49799999999999</v>
      </c>
      <c r="F121">
        <v>291.44499999999999</v>
      </c>
      <c r="G121">
        <v>291.22699999999998</v>
      </c>
      <c r="H121">
        <v>150</v>
      </c>
      <c r="I121">
        <v>0.3</v>
      </c>
      <c r="J121" t="s">
        <v>1394</v>
      </c>
      <c r="K121">
        <v>0</v>
      </c>
      <c r="L121">
        <v>0</v>
      </c>
      <c r="M121">
        <v>0.8</v>
      </c>
      <c r="N121">
        <v>2.06</v>
      </c>
      <c r="O121">
        <v>25</v>
      </c>
      <c r="P121">
        <v>29</v>
      </c>
      <c r="Q121" s="364">
        <f t="shared" si="1"/>
        <v>2.0550000000000068</v>
      </c>
      <c r="R121">
        <v>0</v>
      </c>
      <c r="S121">
        <v>0</v>
      </c>
      <c r="T121">
        <v>0</v>
      </c>
      <c r="U121">
        <v>0</v>
      </c>
      <c r="V121" s="359">
        <v>21580198674</v>
      </c>
      <c r="W121" s="359">
        <v>8003423039334</v>
      </c>
      <c r="X121" s="359">
        <v>21586157579</v>
      </c>
      <c r="Y121" t="s">
        <v>1640</v>
      </c>
      <c r="Z121">
        <v>0.76</v>
      </c>
    </row>
    <row r="122" spans="1:26" x14ac:dyDescent="0.2">
      <c r="A122" t="s">
        <v>1639</v>
      </c>
      <c r="B122" t="s">
        <v>1641</v>
      </c>
      <c r="C122">
        <v>32</v>
      </c>
      <c r="D122">
        <v>293.49799999999999</v>
      </c>
      <c r="E122">
        <v>293.60000000000002</v>
      </c>
      <c r="F122">
        <v>291.22699999999998</v>
      </c>
      <c r="G122">
        <v>291.13099999999997</v>
      </c>
      <c r="H122">
        <v>150</v>
      </c>
      <c r="I122">
        <v>0.3</v>
      </c>
      <c r="J122" t="s">
        <v>1394</v>
      </c>
      <c r="K122">
        <v>0</v>
      </c>
      <c r="L122">
        <v>0</v>
      </c>
      <c r="M122">
        <v>0.8</v>
      </c>
      <c r="N122">
        <v>2.06</v>
      </c>
      <c r="O122">
        <v>25</v>
      </c>
      <c r="P122">
        <v>29</v>
      </c>
      <c r="Q122" s="364">
        <f t="shared" si="1"/>
        <v>2.271000000000015</v>
      </c>
      <c r="R122">
        <v>0</v>
      </c>
      <c r="S122">
        <v>0</v>
      </c>
      <c r="T122">
        <v>0</v>
      </c>
      <c r="U122">
        <v>0</v>
      </c>
      <c r="V122" s="359">
        <v>21586157579</v>
      </c>
      <c r="W122" s="359">
        <v>8003381641944</v>
      </c>
      <c r="X122" s="359">
        <v>21587829417</v>
      </c>
      <c r="Y122" t="s">
        <v>1642</v>
      </c>
      <c r="Z122">
        <v>0.76</v>
      </c>
    </row>
    <row r="123" spans="1:26" x14ac:dyDescent="0.2">
      <c r="A123" t="s">
        <v>1641</v>
      </c>
      <c r="B123" t="s">
        <v>1643</v>
      </c>
      <c r="C123">
        <v>17</v>
      </c>
      <c r="D123">
        <v>293.60000000000002</v>
      </c>
      <c r="E123">
        <v>293.40499999999997</v>
      </c>
      <c r="F123">
        <v>291.13099999999997</v>
      </c>
      <c r="G123">
        <v>291.08</v>
      </c>
      <c r="H123">
        <v>150</v>
      </c>
      <c r="I123">
        <v>0.3</v>
      </c>
      <c r="J123" t="s">
        <v>1394</v>
      </c>
      <c r="K123">
        <v>0</v>
      </c>
      <c r="L123">
        <v>0</v>
      </c>
      <c r="M123">
        <v>0.8</v>
      </c>
      <c r="N123">
        <v>2.06</v>
      </c>
      <c r="O123">
        <v>25</v>
      </c>
      <c r="P123">
        <v>29</v>
      </c>
      <c r="Q123" s="364">
        <f t="shared" si="1"/>
        <v>2.4690000000000509</v>
      </c>
      <c r="R123">
        <v>0</v>
      </c>
      <c r="S123">
        <v>0</v>
      </c>
      <c r="T123">
        <v>0</v>
      </c>
      <c r="U123">
        <v>0</v>
      </c>
      <c r="V123" s="359">
        <v>21587829417</v>
      </c>
      <c r="W123" s="359">
        <v>8003354356495</v>
      </c>
      <c r="X123" s="359">
        <v>215876164004</v>
      </c>
      <c r="Y123" t="s">
        <v>1644</v>
      </c>
      <c r="Z123">
        <v>0.76</v>
      </c>
    </row>
    <row r="124" spans="1:26" x14ac:dyDescent="0.2">
      <c r="A124" t="s">
        <v>1643</v>
      </c>
      <c r="B124" t="s">
        <v>1645</v>
      </c>
      <c r="C124">
        <v>46.51</v>
      </c>
      <c r="D124">
        <v>293.40499999999997</v>
      </c>
      <c r="E124">
        <v>293.3</v>
      </c>
      <c r="F124">
        <v>291.08</v>
      </c>
      <c r="G124">
        <v>290.94</v>
      </c>
      <c r="H124">
        <v>150</v>
      </c>
      <c r="I124">
        <v>0.3</v>
      </c>
      <c r="J124" t="s">
        <v>1394</v>
      </c>
      <c r="K124">
        <v>0</v>
      </c>
      <c r="L124">
        <v>0</v>
      </c>
      <c r="M124">
        <v>0.8</v>
      </c>
      <c r="N124">
        <v>2.06</v>
      </c>
      <c r="O124">
        <v>25</v>
      </c>
      <c r="P124">
        <v>29</v>
      </c>
      <c r="Q124" s="364">
        <f t="shared" si="1"/>
        <v>2.3249999999999886</v>
      </c>
      <c r="R124">
        <v>0</v>
      </c>
      <c r="S124">
        <v>0</v>
      </c>
      <c r="T124">
        <v>0</v>
      </c>
      <c r="U124">
        <v>0</v>
      </c>
      <c r="V124" s="359">
        <v>215876164004</v>
      </c>
      <c r="W124" s="359">
        <v>8003337490482</v>
      </c>
      <c r="X124" s="359">
        <v>215919484761</v>
      </c>
      <c r="Y124" t="s">
        <v>1646</v>
      </c>
      <c r="Z124">
        <v>0.76</v>
      </c>
    </row>
    <row r="125" spans="1:26" x14ac:dyDescent="0.2">
      <c r="A125" t="s">
        <v>1645</v>
      </c>
      <c r="B125" t="s">
        <v>1647</v>
      </c>
      <c r="C125">
        <v>42</v>
      </c>
      <c r="D125">
        <v>293.3</v>
      </c>
      <c r="E125">
        <v>292.62400000000002</v>
      </c>
      <c r="F125">
        <v>290.94</v>
      </c>
      <c r="G125">
        <v>290.81400000000002</v>
      </c>
      <c r="H125">
        <v>150</v>
      </c>
      <c r="I125">
        <v>0.3</v>
      </c>
      <c r="J125" t="s">
        <v>1394</v>
      </c>
      <c r="K125">
        <v>0.14000000000000001</v>
      </c>
      <c r="L125">
        <v>0.36</v>
      </c>
      <c r="M125">
        <v>0.94</v>
      </c>
      <c r="N125">
        <v>2.42</v>
      </c>
      <c r="O125">
        <v>25</v>
      </c>
      <c r="P125">
        <v>32</v>
      </c>
      <c r="Q125" s="364">
        <f t="shared" si="1"/>
        <v>2.3600000000000136</v>
      </c>
      <c r="R125">
        <v>0</v>
      </c>
      <c r="S125">
        <v>0</v>
      </c>
      <c r="T125">
        <v>0</v>
      </c>
      <c r="U125">
        <v>0</v>
      </c>
      <c r="V125" s="359">
        <v>215919484761</v>
      </c>
      <c r="W125" s="359">
        <v>8003320557043</v>
      </c>
      <c r="X125" s="359">
        <v>215955316302</v>
      </c>
      <c r="Y125" t="s">
        <v>1648</v>
      </c>
      <c r="Z125">
        <v>0.81</v>
      </c>
    </row>
    <row r="126" spans="1:26" x14ac:dyDescent="0.2">
      <c r="A126" t="s">
        <v>1647</v>
      </c>
      <c r="B126" t="s">
        <v>1649</v>
      </c>
      <c r="C126">
        <v>20</v>
      </c>
      <c r="D126">
        <v>292.62400000000002</v>
      </c>
      <c r="E126">
        <v>292.53399999999999</v>
      </c>
      <c r="F126">
        <v>290.81400000000002</v>
      </c>
      <c r="G126">
        <v>290.75400000000002</v>
      </c>
      <c r="H126">
        <v>150</v>
      </c>
      <c r="I126">
        <v>0.3</v>
      </c>
      <c r="J126" t="s">
        <v>1394</v>
      </c>
      <c r="K126">
        <v>0</v>
      </c>
      <c r="L126">
        <v>0</v>
      </c>
      <c r="M126">
        <v>0.94</v>
      </c>
      <c r="N126">
        <v>2.42</v>
      </c>
      <c r="O126">
        <v>25</v>
      </c>
      <c r="P126">
        <v>32</v>
      </c>
      <c r="Q126" s="364">
        <f t="shared" si="1"/>
        <v>1.8100000000000023</v>
      </c>
      <c r="R126">
        <v>0</v>
      </c>
      <c r="S126">
        <v>0</v>
      </c>
      <c r="T126">
        <v>0</v>
      </c>
      <c r="U126">
        <v>0</v>
      </c>
      <c r="V126" s="359">
        <v>215955316302</v>
      </c>
      <c r="W126" s="359">
        <v>8003298645842</v>
      </c>
      <c r="X126" s="359">
        <v>215968634256</v>
      </c>
      <c r="Y126" t="s">
        <v>1650</v>
      </c>
      <c r="Z126">
        <v>0.81</v>
      </c>
    </row>
    <row r="127" spans="1:26" x14ac:dyDescent="0.2">
      <c r="A127" t="s">
        <v>1649</v>
      </c>
      <c r="B127" t="s">
        <v>1651</v>
      </c>
      <c r="C127">
        <v>31</v>
      </c>
      <c r="D127">
        <v>292.53399999999999</v>
      </c>
      <c r="E127">
        <v>292.52</v>
      </c>
      <c r="F127">
        <v>290.75400000000002</v>
      </c>
      <c r="G127">
        <v>290.661</v>
      </c>
      <c r="H127">
        <v>150</v>
      </c>
      <c r="I127">
        <v>0.3</v>
      </c>
      <c r="J127" t="s">
        <v>1394</v>
      </c>
      <c r="K127">
        <v>0</v>
      </c>
      <c r="L127">
        <v>0</v>
      </c>
      <c r="M127">
        <v>0.94</v>
      </c>
      <c r="N127">
        <v>2.42</v>
      </c>
      <c r="O127">
        <v>25</v>
      </c>
      <c r="P127">
        <v>32</v>
      </c>
      <c r="Q127" s="364">
        <f t="shared" ref="Q127:Q187" si="2">D127-F127</f>
        <v>1.7799999999999727</v>
      </c>
      <c r="R127">
        <v>0</v>
      </c>
      <c r="S127">
        <v>0</v>
      </c>
      <c r="T127">
        <v>0</v>
      </c>
      <c r="U127">
        <v>0</v>
      </c>
      <c r="V127" s="359">
        <v>215968634256</v>
      </c>
      <c r="W127" s="359">
        <v>8003283724982</v>
      </c>
      <c r="X127" s="359">
        <v>215998556467</v>
      </c>
      <c r="Y127" t="s">
        <v>1652</v>
      </c>
      <c r="Z127">
        <v>0.81</v>
      </c>
    </row>
    <row r="128" spans="1:26" x14ac:dyDescent="0.2">
      <c r="A128" t="s">
        <v>1651</v>
      </c>
      <c r="B128" t="s">
        <v>1653</v>
      </c>
      <c r="C128">
        <v>37</v>
      </c>
      <c r="D128">
        <v>292.52</v>
      </c>
      <c r="E128">
        <v>292.42899999999997</v>
      </c>
      <c r="F128">
        <v>290.661</v>
      </c>
      <c r="G128">
        <v>290.55</v>
      </c>
      <c r="H128">
        <v>150</v>
      </c>
      <c r="I128">
        <v>0.3</v>
      </c>
      <c r="J128" t="s">
        <v>1394</v>
      </c>
      <c r="K128">
        <v>0</v>
      </c>
      <c r="L128">
        <v>0</v>
      </c>
      <c r="M128">
        <v>0.94</v>
      </c>
      <c r="N128">
        <v>2.42</v>
      </c>
      <c r="O128">
        <v>25</v>
      </c>
      <c r="P128">
        <v>32</v>
      </c>
      <c r="Q128" s="364">
        <f t="shared" si="2"/>
        <v>1.8589999999999804</v>
      </c>
      <c r="R128">
        <v>0</v>
      </c>
      <c r="S128">
        <v>0</v>
      </c>
      <c r="T128">
        <v>0</v>
      </c>
      <c r="U128">
        <v>0</v>
      </c>
      <c r="V128" s="359">
        <v>215998556467</v>
      </c>
      <c r="W128" s="359">
        <v>8003275621816</v>
      </c>
      <c r="X128" s="359">
        <v>215997281386</v>
      </c>
      <c r="Y128" t="s">
        <v>1654</v>
      </c>
      <c r="Z128">
        <v>0.81</v>
      </c>
    </row>
    <row r="129" spans="1:26" x14ac:dyDescent="0.2">
      <c r="A129" t="s">
        <v>1653</v>
      </c>
      <c r="B129" t="s">
        <v>1655</v>
      </c>
      <c r="C129">
        <v>45</v>
      </c>
      <c r="D129">
        <v>292.42899999999997</v>
      </c>
      <c r="E129">
        <v>292.32100000000003</v>
      </c>
      <c r="F129">
        <v>290.55</v>
      </c>
      <c r="G129">
        <v>290.41500000000002</v>
      </c>
      <c r="H129">
        <v>150</v>
      </c>
      <c r="I129">
        <v>0.3</v>
      </c>
      <c r="J129" t="s">
        <v>1394</v>
      </c>
      <c r="K129">
        <v>0</v>
      </c>
      <c r="L129">
        <v>0</v>
      </c>
      <c r="M129">
        <v>0.94</v>
      </c>
      <c r="N129">
        <v>2.42</v>
      </c>
      <c r="O129">
        <v>25</v>
      </c>
      <c r="P129">
        <v>32</v>
      </c>
      <c r="Q129" s="364">
        <f t="shared" si="2"/>
        <v>1.8789999999999623</v>
      </c>
      <c r="R129">
        <v>0</v>
      </c>
      <c r="S129">
        <v>0</v>
      </c>
      <c r="T129">
        <v>0</v>
      </c>
      <c r="U129">
        <v>0</v>
      </c>
      <c r="V129" s="359">
        <v>215997281386</v>
      </c>
      <c r="W129" s="359">
        <v>8003238643793</v>
      </c>
      <c r="X129" s="359">
        <v>215959942652</v>
      </c>
      <c r="Y129" t="s">
        <v>1656</v>
      </c>
      <c r="Z129">
        <v>0.81</v>
      </c>
    </row>
    <row r="130" spans="1:26" x14ac:dyDescent="0.2">
      <c r="A130" t="s">
        <v>1655</v>
      </c>
      <c r="B130" t="s">
        <v>1657</v>
      </c>
      <c r="C130">
        <v>26</v>
      </c>
      <c r="D130">
        <v>292.32100000000003</v>
      </c>
      <c r="E130">
        <v>292.613</v>
      </c>
      <c r="F130">
        <v>290.41500000000002</v>
      </c>
      <c r="G130">
        <v>290.33699999999999</v>
      </c>
      <c r="H130">
        <v>150</v>
      </c>
      <c r="I130">
        <v>0.3</v>
      </c>
      <c r="J130" t="s">
        <v>1394</v>
      </c>
      <c r="K130">
        <v>0</v>
      </c>
      <c r="L130">
        <v>0</v>
      </c>
      <c r="M130">
        <v>0.94</v>
      </c>
      <c r="N130">
        <v>2.42</v>
      </c>
      <c r="O130">
        <v>25</v>
      </c>
      <c r="P130">
        <v>32</v>
      </c>
      <c r="Q130" s="364">
        <f t="shared" si="2"/>
        <v>1.9060000000000059</v>
      </c>
      <c r="R130">
        <v>0</v>
      </c>
      <c r="S130">
        <v>0</v>
      </c>
      <c r="T130">
        <v>0</v>
      </c>
      <c r="U130">
        <v>0</v>
      </c>
      <c r="V130" s="359">
        <v>215959942652</v>
      </c>
      <c r="W130" s="359">
        <v>8003213527684</v>
      </c>
      <c r="X130" s="359">
        <v>215979023413</v>
      </c>
      <c r="Y130" t="s">
        <v>1658</v>
      </c>
      <c r="Z130">
        <v>0.81</v>
      </c>
    </row>
    <row r="131" spans="1:26" x14ac:dyDescent="0.2">
      <c r="A131" t="s">
        <v>1657</v>
      </c>
      <c r="B131" t="s">
        <v>1659</v>
      </c>
      <c r="C131">
        <v>15</v>
      </c>
      <c r="D131">
        <v>292.613</v>
      </c>
      <c r="E131">
        <v>292.56400000000002</v>
      </c>
      <c r="F131">
        <v>290.33699999999999</v>
      </c>
      <c r="G131">
        <v>290.29199999999997</v>
      </c>
      <c r="H131">
        <v>150</v>
      </c>
      <c r="I131">
        <v>0.3</v>
      </c>
      <c r="J131" t="s">
        <v>1394</v>
      </c>
      <c r="K131">
        <v>0</v>
      </c>
      <c r="L131">
        <v>0</v>
      </c>
      <c r="M131">
        <v>0.94</v>
      </c>
      <c r="N131">
        <v>2.42</v>
      </c>
      <c r="O131">
        <v>25</v>
      </c>
      <c r="P131">
        <v>32</v>
      </c>
      <c r="Q131" s="364">
        <f t="shared" si="2"/>
        <v>2.2760000000000105</v>
      </c>
      <c r="R131">
        <v>0</v>
      </c>
      <c r="S131">
        <v>0</v>
      </c>
      <c r="T131">
        <v>0</v>
      </c>
      <c r="U131">
        <v>0</v>
      </c>
      <c r="V131" s="359">
        <v>215979023413</v>
      </c>
      <c r="W131" s="359">
        <v>8003195866299</v>
      </c>
      <c r="X131" s="359">
        <v>21599369612</v>
      </c>
      <c r="Y131" t="s">
        <v>1660</v>
      </c>
      <c r="Z131">
        <v>0.81</v>
      </c>
    </row>
    <row r="132" spans="1:26" x14ac:dyDescent="0.2">
      <c r="A132" t="s">
        <v>1659</v>
      </c>
      <c r="B132" t="s">
        <v>1661</v>
      </c>
      <c r="C132">
        <v>13</v>
      </c>
      <c r="D132">
        <v>292.56400000000002</v>
      </c>
      <c r="E132">
        <v>292.61200000000002</v>
      </c>
      <c r="F132">
        <v>290.29199999999997</v>
      </c>
      <c r="G132">
        <v>290.25299999999999</v>
      </c>
      <c r="H132">
        <v>150</v>
      </c>
      <c r="I132">
        <v>0.3</v>
      </c>
      <c r="J132" t="s">
        <v>1394</v>
      </c>
      <c r="K132">
        <v>0</v>
      </c>
      <c r="L132">
        <v>0</v>
      </c>
      <c r="M132">
        <v>0.94</v>
      </c>
      <c r="N132">
        <v>2.42</v>
      </c>
      <c r="O132">
        <v>25</v>
      </c>
      <c r="P132">
        <v>32</v>
      </c>
      <c r="Q132" s="364">
        <f t="shared" si="2"/>
        <v>2.2720000000000482</v>
      </c>
      <c r="R132">
        <v>0</v>
      </c>
      <c r="S132">
        <v>0</v>
      </c>
      <c r="T132">
        <v>0</v>
      </c>
      <c r="U132">
        <v>0</v>
      </c>
      <c r="V132" s="359">
        <v>21599369612</v>
      </c>
      <c r="W132" s="359">
        <v>8003192749939</v>
      </c>
      <c r="X132" s="359">
        <v>216004456373</v>
      </c>
      <c r="Y132" t="s">
        <v>1662</v>
      </c>
      <c r="Z132">
        <v>0.81</v>
      </c>
    </row>
    <row r="133" spans="1:26" x14ac:dyDescent="0.2">
      <c r="A133" t="s">
        <v>1661</v>
      </c>
      <c r="B133" t="s">
        <v>1663</v>
      </c>
      <c r="C133">
        <v>18</v>
      </c>
      <c r="D133">
        <v>292.61200000000002</v>
      </c>
      <c r="E133">
        <v>292.548</v>
      </c>
      <c r="F133">
        <v>290.25299999999999</v>
      </c>
      <c r="G133">
        <v>290.19900000000001</v>
      </c>
      <c r="H133">
        <v>150</v>
      </c>
      <c r="I133">
        <v>0.3</v>
      </c>
      <c r="J133" t="s">
        <v>1394</v>
      </c>
      <c r="K133">
        <v>0</v>
      </c>
      <c r="L133">
        <v>0</v>
      </c>
      <c r="M133">
        <v>0.94</v>
      </c>
      <c r="N133">
        <v>2.42</v>
      </c>
      <c r="O133">
        <v>25</v>
      </c>
      <c r="P133">
        <v>32</v>
      </c>
      <c r="Q133" s="364">
        <f t="shared" si="2"/>
        <v>2.3590000000000373</v>
      </c>
      <c r="R133">
        <v>0</v>
      </c>
      <c r="S133">
        <v>0</v>
      </c>
      <c r="T133">
        <v>0</v>
      </c>
      <c r="U133">
        <v>0</v>
      </c>
      <c r="V133" s="359">
        <v>216004456373</v>
      </c>
      <c r="W133" s="359">
        <v>8003200044934</v>
      </c>
      <c r="X133" s="359">
        <v>216019600493</v>
      </c>
      <c r="Y133" t="s">
        <v>1664</v>
      </c>
      <c r="Z133">
        <v>0.81</v>
      </c>
    </row>
    <row r="134" spans="1:26" x14ac:dyDescent="0.2">
      <c r="A134" t="s">
        <v>1663</v>
      </c>
      <c r="B134" t="s">
        <v>1665</v>
      </c>
      <c r="C134">
        <v>13</v>
      </c>
      <c r="D134">
        <v>292.548</v>
      </c>
      <c r="E134">
        <v>292.5</v>
      </c>
      <c r="F134">
        <v>290.19900000000001</v>
      </c>
      <c r="G134">
        <v>290.16000000000003</v>
      </c>
      <c r="H134">
        <v>150</v>
      </c>
      <c r="I134">
        <v>0.3</v>
      </c>
      <c r="J134" t="s">
        <v>1394</v>
      </c>
      <c r="K134">
        <v>0</v>
      </c>
      <c r="L134">
        <v>0</v>
      </c>
      <c r="M134">
        <v>0.94</v>
      </c>
      <c r="N134">
        <v>2.42</v>
      </c>
      <c r="O134">
        <v>25</v>
      </c>
      <c r="P134">
        <v>32</v>
      </c>
      <c r="Q134" s="364">
        <f t="shared" si="2"/>
        <v>2.3489999999999895</v>
      </c>
      <c r="R134">
        <v>0</v>
      </c>
      <c r="S134">
        <v>0</v>
      </c>
      <c r="T134">
        <v>0</v>
      </c>
      <c r="U134">
        <v>0</v>
      </c>
      <c r="V134" s="359">
        <v>216019600493</v>
      </c>
      <c r="W134" s="359">
        <v>8003190315822</v>
      </c>
      <c r="X134" s="359">
        <v>216024617881</v>
      </c>
      <c r="Y134" t="s">
        <v>1666</v>
      </c>
      <c r="Z134">
        <v>0.81</v>
      </c>
    </row>
    <row r="135" spans="1:26" x14ac:dyDescent="0.2">
      <c r="A135" t="s">
        <v>1665</v>
      </c>
      <c r="B135" t="s">
        <v>1667</v>
      </c>
      <c r="C135">
        <v>57</v>
      </c>
      <c r="D135">
        <v>292.5</v>
      </c>
      <c r="E135">
        <v>292.36700000000002</v>
      </c>
      <c r="F135">
        <v>290.16000000000003</v>
      </c>
      <c r="G135">
        <v>289.98899999999998</v>
      </c>
      <c r="H135">
        <v>150</v>
      </c>
      <c r="I135">
        <v>0.3</v>
      </c>
      <c r="J135" t="s">
        <v>1394</v>
      </c>
      <c r="K135">
        <v>0</v>
      </c>
      <c r="L135">
        <v>0</v>
      </c>
      <c r="M135">
        <v>0.94</v>
      </c>
      <c r="N135">
        <v>2.42</v>
      </c>
      <c r="O135">
        <v>25</v>
      </c>
      <c r="P135">
        <v>32</v>
      </c>
      <c r="Q135" s="364">
        <f t="shared" si="2"/>
        <v>2.339999999999975</v>
      </c>
      <c r="R135">
        <v>0</v>
      </c>
      <c r="S135">
        <v>0</v>
      </c>
      <c r="T135">
        <v>0</v>
      </c>
      <c r="U135">
        <v>0</v>
      </c>
      <c r="V135" s="359">
        <v>216024617881</v>
      </c>
      <c r="W135" s="359">
        <v>8003178323082</v>
      </c>
      <c r="X135" s="359">
        <v>216021643601</v>
      </c>
      <c r="Y135" t="s">
        <v>1668</v>
      </c>
      <c r="Z135">
        <v>0.81</v>
      </c>
    </row>
    <row r="136" spans="1:26" x14ac:dyDescent="0.2">
      <c r="A136" t="s">
        <v>1667</v>
      </c>
      <c r="B136" t="s">
        <v>1669</v>
      </c>
      <c r="C136">
        <v>43</v>
      </c>
      <c r="D136">
        <v>292.36700000000002</v>
      </c>
      <c r="E136">
        <v>292.435</v>
      </c>
      <c r="F136">
        <v>289.98899999999998</v>
      </c>
      <c r="G136">
        <v>289.86</v>
      </c>
      <c r="H136">
        <v>150</v>
      </c>
      <c r="I136">
        <v>0.3</v>
      </c>
      <c r="J136" t="s">
        <v>1394</v>
      </c>
      <c r="K136">
        <v>0</v>
      </c>
      <c r="L136">
        <v>0</v>
      </c>
      <c r="M136">
        <v>0.94</v>
      </c>
      <c r="N136">
        <v>2.42</v>
      </c>
      <c r="O136">
        <v>25</v>
      </c>
      <c r="P136">
        <v>32</v>
      </c>
      <c r="Q136" s="364">
        <f t="shared" si="2"/>
        <v>2.3780000000000427</v>
      </c>
      <c r="R136">
        <v>0</v>
      </c>
      <c r="S136">
        <v>0</v>
      </c>
      <c r="T136">
        <v>0</v>
      </c>
      <c r="U136">
        <v>0</v>
      </c>
      <c r="V136" s="359">
        <v>216021643601</v>
      </c>
      <c r="W136" s="359">
        <v>8003121400734</v>
      </c>
      <c r="X136" s="359">
        <v>216059300943</v>
      </c>
      <c r="Y136" t="s">
        <v>1670</v>
      </c>
      <c r="Z136">
        <v>0.81</v>
      </c>
    </row>
    <row r="137" spans="1:26" x14ac:dyDescent="0.2">
      <c r="A137" t="s">
        <v>1669</v>
      </c>
      <c r="B137" t="s">
        <v>1671</v>
      </c>
      <c r="C137">
        <v>34</v>
      </c>
      <c r="D137">
        <v>292.435</v>
      </c>
      <c r="E137">
        <v>292.39999999999998</v>
      </c>
      <c r="F137">
        <v>289.86</v>
      </c>
      <c r="G137">
        <v>289.75799999999998</v>
      </c>
      <c r="H137">
        <v>150</v>
      </c>
      <c r="I137">
        <v>0.3</v>
      </c>
      <c r="J137" t="s">
        <v>1394</v>
      </c>
      <c r="K137">
        <v>0</v>
      </c>
      <c r="L137">
        <v>0</v>
      </c>
      <c r="M137">
        <v>0.94</v>
      </c>
      <c r="N137">
        <v>2.42</v>
      </c>
      <c r="O137">
        <v>25</v>
      </c>
      <c r="P137">
        <v>32</v>
      </c>
      <c r="Q137" s="364">
        <f t="shared" si="2"/>
        <v>2.5749999999999886</v>
      </c>
      <c r="R137">
        <v>0</v>
      </c>
      <c r="S137">
        <v>0</v>
      </c>
      <c r="T137">
        <v>0</v>
      </c>
      <c r="U137">
        <v>0</v>
      </c>
      <c r="V137" s="359">
        <v>216059300943</v>
      </c>
      <c r="W137" s="359">
        <v>8003100642012</v>
      </c>
      <c r="X137" s="359">
        <v>216085722625</v>
      </c>
      <c r="Y137" t="s">
        <v>1672</v>
      </c>
      <c r="Z137">
        <v>0.81</v>
      </c>
    </row>
    <row r="138" spans="1:26" x14ac:dyDescent="0.2">
      <c r="A138" t="s">
        <v>1671</v>
      </c>
      <c r="B138" t="s">
        <v>1610</v>
      </c>
      <c r="C138">
        <v>80</v>
      </c>
      <c r="D138">
        <v>292.39999999999998</v>
      </c>
      <c r="E138">
        <v>292.5</v>
      </c>
      <c r="F138">
        <v>289.75799999999998</v>
      </c>
      <c r="G138">
        <v>289.51799999999997</v>
      </c>
      <c r="H138">
        <v>150</v>
      </c>
      <c r="I138">
        <v>0.3</v>
      </c>
      <c r="J138" t="s">
        <v>1394</v>
      </c>
      <c r="K138">
        <v>0</v>
      </c>
      <c r="L138">
        <v>0</v>
      </c>
      <c r="M138">
        <v>0.94</v>
      </c>
      <c r="N138">
        <v>2.42</v>
      </c>
      <c r="O138">
        <v>25</v>
      </c>
      <c r="P138">
        <v>32</v>
      </c>
      <c r="Q138" s="364">
        <f t="shared" si="2"/>
        <v>2.6419999999999959</v>
      </c>
      <c r="R138">
        <v>0</v>
      </c>
      <c r="S138">
        <v>0</v>
      </c>
      <c r="T138">
        <v>0</v>
      </c>
      <c r="U138">
        <v>0</v>
      </c>
      <c r="V138" s="359">
        <v>216085722625</v>
      </c>
      <c r="W138" s="359">
        <v>8003079243537</v>
      </c>
      <c r="X138" s="359">
        <v>216134711746</v>
      </c>
      <c r="Y138" t="s">
        <v>1673</v>
      </c>
      <c r="Z138">
        <v>0.81</v>
      </c>
    </row>
    <row r="139" spans="1:26" x14ac:dyDescent="0.2">
      <c r="A139" t="s">
        <v>1610</v>
      </c>
      <c r="B139" t="s">
        <v>1674</v>
      </c>
      <c r="C139">
        <v>35</v>
      </c>
      <c r="D139">
        <v>292.5</v>
      </c>
      <c r="E139">
        <v>293.23899999999998</v>
      </c>
      <c r="F139">
        <v>289.46800000000002</v>
      </c>
      <c r="G139">
        <v>289.363</v>
      </c>
      <c r="H139">
        <v>200</v>
      </c>
      <c r="I139">
        <v>0.3</v>
      </c>
      <c r="J139" t="s">
        <v>1394</v>
      </c>
      <c r="K139">
        <v>3.68</v>
      </c>
      <c r="L139">
        <v>9.42</v>
      </c>
      <c r="M139">
        <v>4.62</v>
      </c>
      <c r="N139">
        <v>11.84</v>
      </c>
      <c r="O139">
        <v>30</v>
      </c>
      <c r="P139">
        <v>50</v>
      </c>
      <c r="Q139" s="364">
        <f t="shared" si="2"/>
        <v>3.0319999999999823</v>
      </c>
      <c r="R139">
        <v>0</v>
      </c>
      <c r="S139">
        <v>0</v>
      </c>
      <c r="T139">
        <v>0</v>
      </c>
      <c r="U139">
        <v>0</v>
      </c>
      <c r="V139" s="359">
        <v>216134711746</v>
      </c>
      <c r="W139" s="359">
        <v>8003015997462</v>
      </c>
      <c r="X139" s="359">
        <v>216159310389</v>
      </c>
      <c r="Y139" t="s">
        <v>1675</v>
      </c>
      <c r="Z139">
        <v>1.51</v>
      </c>
    </row>
    <row r="140" spans="1:26" x14ac:dyDescent="0.2">
      <c r="A140" t="s">
        <v>1674</v>
      </c>
      <c r="B140" t="s">
        <v>1676</v>
      </c>
      <c r="C140">
        <v>80</v>
      </c>
      <c r="D140">
        <v>293.23899999999998</v>
      </c>
      <c r="E140">
        <v>292.45</v>
      </c>
      <c r="F140">
        <v>289.363</v>
      </c>
      <c r="G140">
        <v>289.12299999999999</v>
      </c>
      <c r="H140">
        <v>200</v>
      </c>
      <c r="I140">
        <v>0.3</v>
      </c>
      <c r="J140" t="s">
        <v>1394</v>
      </c>
      <c r="K140">
        <v>0</v>
      </c>
      <c r="L140">
        <v>0</v>
      </c>
      <c r="M140">
        <v>4.62</v>
      </c>
      <c r="N140">
        <v>11.84</v>
      </c>
      <c r="O140">
        <v>30</v>
      </c>
      <c r="P140">
        <v>50</v>
      </c>
      <c r="Q140" s="364">
        <f t="shared" si="2"/>
        <v>3.8759999999999764</v>
      </c>
      <c r="R140">
        <v>0</v>
      </c>
      <c r="S140">
        <v>0</v>
      </c>
      <c r="T140">
        <v>0</v>
      </c>
      <c r="U140">
        <v>0</v>
      </c>
      <c r="V140" s="359">
        <v>216159310389</v>
      </c>
      <c r="W140" s="359">
        <v>8002991099535</v>
      </c>
      <c r="X140" s="359">
        <v>216227451489</v>
      </c>
      <c r="Y140" t="s">
        <v>1677</v>
      </c>
      <c r="Z140">
        <v>1.51</v>
      </c>
    </row>
    <row r="141" spans="1:26" x14ac:dyDescent="0.2">
      <c r="A141" t="s">
        <v>1676</v>
      </c>
      <c r="B141" t="s">
        <v>1678</v>
      </c>
      <c r="C141">
        <v>48</v>
      </c>
      <c r="D141">
        <v>292.45</v>
      </c>
      <c r="E141">
        <v>292.39999999999998</v>
      </c>
      <c r="F141">
        <v>289.12299999999999</v>
      </c>
      <c r="G141">
        <v>288.97899999999998</v>
      </c>
      <c r="H141">
        <v>200</v>
      </c>
      <c r="I141">
        <v>0.3</v>
      </c>
      <c r="J141" t="s">
        <v>1394</v>
      </c>
      <c r="K141">
        <v>0</v>
      </c>
      <c r="L141">
        <v>0</v>
      </c>
      <c r="M141">
        <v>4.62</v>
      </c>
      <c r="N141">
        <v>11.84</v>
      </c>
      <c r="O141">
        <v>30</v>
      </c>
      <c r="P141">
        <v>50</v>
      </c>
      <c r="Q141" s="364">
        <f t="shared" si="2"/>
        <v>3.3269999999999982</v>
      </c>
      <c r="R141">
        <v>0</v>
      </c>
      <c r="S141">
        <v>0</v>
      </c>
      <c r="T141">
        <v>0</v>
      </c>
      <c r="U141">
        <v>0</v>
      </c>
      <c r="V141" s="359">
        <v>216227451489</v>
      </c>
      <c r="W141" s="359">
        <v>8002949185451</v>
      </c>
      <c r="X141" s="359">
        <v>216254096157</v>
      </c>
      <c r="Y141" t="s">
        <v>1679</v>
      </c>
      <c r="Z141">
        <v>1.51</v>
      </c>
    </row>
    <row r="142" spans="1:26" x14ac:dyDescent="0.2">
      <c r="A142" t="s">
        <v>1678</v>
      </c>
      <c r="B142" t="s">
        <v>1680</v>
      </c>
      <c r="C142">
        <v>44</v>
      </c>
      <c r="D142">
        <v>292.39999999999998</v>
      </c>
      <c r="E142">
        <v>291.91199999999998</v>
      </c>
      <c r="F142">
        <v>288.97899999999998</v>
      </c>
      <c r="G142">
        <v>288.84699999999998</v>
      </c>
      <c r="H142">
        <v>200</v>
      </c>
      <c r="I142">
        <v>0.3</v>
      </c>
      <c r="J142" t="s">
        <v>1394</v>
      </c>
      <c r="K142">
        <v>0</v>
      </c>
      <c r="L142">
        <v>0</v>
      </c>
      <c r="M142">
        <v>4.62</v>
      </c>
      <c r="N142">
        <v>11.84</v>
      </c>
      <c r="O142">
        <v>30</v>
      </c>
      <c r="P142">
        <v>50</v>
      </c>
      <c r="Q142" s="364">
        <f t="shared" si="2"/>
        <v>3.4209999999999923</v>
      </c>
      <c r="R142">
        <v>0</v>
      </c>
      <c r="S142">
        <v>0</v>
      </c>
      <c r="T142">
        <v>0</v>
      </c>
      <c r="U142">
        <v>0</v>
      </c>
      <c r="V142" s="359">
        <v>216254096157</v>
      </c>
      <c r="W142" s="359">
        <v>8002909259749</v>
      </c>
      <c r="X142" s="359">
        <v>216293372481</v>
      </c>
      <c r="Y142" t="s">
        <v>1681</v>
      </c>
      <c r="Z142">
        <v>1.51</v>
      </c>
    </row>
    <row r="143" spans="1:26" x14ac:dyDescent="0.2">
      <c r="A143" t="s">
        <v>1680</v>
      </c>
      <c r="B143" t="s">
        <v>1682</v>
      </c>
      <c r="C143">
        <v>44</v>
      </c>
      <c r="D143">
        <v>291.91199999999998</v>
      </c>
      <c r="E143">
        <v>291.73399999999998</v>
      </c>
      <c r="F143">
        <v>288.84699999999998</v>
      </c>
      <c r="G143">
        <v>288.71499999999997</v>
      </c>
      <c r="H143">
        <v>200</v>
      </c>
      <c r="I143">
        <v>0.3</v>
      </c>
      <c r="J143" t="s">
        <v>1394</v>
      </c>
      <c r="K143">
        <v>0</v>
      </c>
      <c r="L143">
        <v>0</v>
      </c>
      <c r="M143">
        <v>4.62</v>
      </c>
      <c r="N143">
        <v>11.84</v>
      </c>
      <c r="O143">
        <v>30</v>
      </c>
      <c r="P143">
        <v>50</v>
      </c>
      <c r="Q143" s="364">
        <f t="shared" si="2"/>
        <v>3.0649999999999977</v>
      </c>
      <c r="R143">
        <v>0</v>
      </c>
      <c r="S143">
        <v>0</v>
      </c>
      <c r="T143">
        <v>0</v>
      </c>
      <c r="U143">
        <v>0</v>
      </c>
      <c r="V143" s="359">
        <v>216293372481</v>
      </c>
      <c r="W143" s="359">
        <v>8002889426183</v>
      </c>
      <c r="X143" s="359">
        <v>216315763846</v>
      </c>
      <c r="Y143" t="s">
        <v>1683</v>
      </c>
      <c r="Z143">
        <v>1.51</v>
      </c>
    </row>
    <row r="144" spans="1:26" x14ac:dyDescent="0.2">
      <c r="A144" t="s">
        <v>1682</v>
      </c>
      <c r="B144" t="s">
        <v>1684</v>
      </c>
      <c r="C144">
        <v>30</v>
      </c>
      <c r="D144">
        <v>291.73399999999998</v>
      </c>
      <c r="E144">
        <v>291.11399999999998</v>
      </c>
      <c r="F144">
        <v>288.71499999999997</v>
      </c>
      <c r="G144">
        <v>288.625</v>
      </c>
      <c r="H144">
        <v>200</v>
      </c>
      <c r="I144">
        <v>0.3</v>
      </c>
      <c r="J144" t="s">
        <v>1394</v>
      </c>
      <c r="K144">
        <v>0</v>
      </c>
      <c r="L144">
        <v>0</v>
      </c>
      <c r="M144">
        <v>4.62</v>
      </c>
      <c r="N144">
        <v>11.84</v>
      </c>
      <c r="O144">
        <v>30</v>
      </c>
      <c r="P144">
        <v>50</v>
      </c>
      <c r="Q144" s="364">
        <f t="shared" si="2"/>
        <v>3.0190000000000055</v>
      </c>
      <c r="R144">
        <v>0</v>
      </c>
      <c r="S144">
        <v>0</v>
      </c>
      <c r="T144">
        <v>0</v>
      </c>
      <c r="U144">
        <v>0</v>
      </c>
      <c r="V144" s="359">
        <v>216315763846</v>
      </c>
      <c r="W144" s="359">
        <v>8002851549716</v>
      </c>
      <c r="X144" s="359">
        <v>21633750734</v>
      </c>
      <c r="Y144" t="s">
        <v>1685</v>
      </c>
      <c r="Z144">
        <v>1.51</v>
      </c>
    </row>
    <row r="145" spans="1:26" x14ac:dyDescent="0.2">
      <c r="A145" t="s">
        <v>1684</v>
      </c>
      <c r="B145" t="s">
        <v>1686</v>
      </c>
      <c r="C145">
        <v>28</v>
      </c>
      <c r="D145">
        <v>291.11399999999998</v>
      </c>
      <c r="E145">
        <v>291.88400000000001</v>
      </c>
      <c r="F145">
        <v>288.625</v>
      </c>
      <c r="G145">
        <v>288.541</v>
      </c>
      <c r="H145">
        <v>200</v>
      </c>
      <c r="I145">
        <v>0.3</v>
      </c>
      <c r="J145" t="s">
        <v>1394</v>
      </c>
      <c r="K145">
        <v>0</v>
      </c>
      <c r="L145">
        <v>0</v>
      </c>
      <c r="M145">
        <v>4.62</v>
      </c>
      <c r="N145">
        <v>11.84</v>
      </c>
      <c r="O145">
        <v>30</v>
      </c>
      <c r="P145">
        <v>50</v>
      </c>
      <c r="Q145" s="364">
        <f t="shared" si="2"/>
        <v>2.4889999999999759</v>
      </c>
      <c r="R145">
        <v>0</v>
      </c>
      <c r="S145">
        <v>0</v>
      </c>
      <c r="T145">
        <v>0</v>
      </c>
      <c r="U145">
        <v>0</v>
      </c>
      <c r="V145" s="359">
        <v>21633750734</v>
      </c>
      <c r="W145" s="359">
        <v>8002830880403</v>
      </c>
      <c r="X145" s="359">
        <v>216361825004</v>
      </c>
      <c r="Y145" t="s">
        <v>1687</v>
      </c>
      <c r="Z145">
        <v>1.51</v>
      </c>
    </row>
    <row r="146" spans="1:26" x14ac:dyDescent="0.2">
      <c r="A146" t="s">
        <v>1686</v>
      </c>
      <c r="B146" t="s">
        <v>1688</v>
      </c>
      <c r="C146">
        <v>22</v>
      </c>
      <c r="D146">
        <v>291.88400000000001</v>
      </c>
      <c r="E146">
        <v>292.3</v>
      </c>
      <c r="F146">
        <v>288.541</v>
      </c>
      <c r="G146">
        <v>288.47500000000002</v>
      </c>
      <c r="H146">
        <v>200</v>
      </c>
      <c r="I146">
        <v>0.3</v>
      </c>
      <c r="J146" t="s">
        <v>1394</v>
      </c>
      <c r="K146">
        <v>0</v>
      </c>
      <c r="L146">
        <v>0</v>
      </c>
      <c r="M146">
        <v>4.62</v>
      </c>
      <c r="N146">
        <v>11.84</v>
      </c>
      <c r="O146">
        <v>30</v>
      </c>
      <c r="P146">
        <v>50</v>
      </c>
      <c r="Q146" s="364">
        <f t="shared" si="2"/>
        <v>3.3430000000000177</v>
      </c>
      <c r="R146">
        <v>0</v>
      </c>
      <c r="S146">
        <v>0</v>
      </c>
      <c r="T146">
        <v>0</v>
      </c>
      <c r="U146">
        <v>0</v>
      </c>
      <c r="V146" s="359">
        <v>216361825004</v>
      </c>
      <c r="W146" s="359">
        <v>8002817000517</v>
      </c>
      <c r="X146" s="359">
        <v>216371927167</v>
      </c>
      <c r="Y146" t="s">
        <v>1689</v>
      </c>
      <c r="Z146">
        <v>1.51</v>
      </c>
    </row>
    <row r="147" spans="1:26" x14ac:dyDescent="0.2">
      <c r="A147" t="s">
        <v>1688</v>
      </c>
      <c r="B147" t="s">
        <v>1690</v>
      </c>
      <c r="C147">
        <v>80</v>
      </c>
      <c r="D147">
        <v>292.3</v>
      </c>
      <c r="E147">
        <v>292.23</v>
      </c>
      <c r="F147">
        <v>288.47500000000002</v>
      </c>
      <c r="G147">
        <v>288.23500000000001</v>
      </c>
      <c r="H147">
        <v>200</v>
      </c>
      <c r="I147">
        <v>0.3</v>
      </c>
      <c r="J147" t="s">
        <v>1394</v>
      </c>
      <c r="K147">
        <v>0</v>
      </c>
      <c r="L147">
        <v>0</v>
      </c>
      <c r="M147">
        <v>4.62</v>
      </c>
      <c r="N147">
        <v>11.84</v>
      </c>
      <c r="O147">
        <v>30</v>
      </c>
      <c r="P147">
        <v>50</v>
      </c>
      <c r="Q147" s="364">
        <f t="shared" si="2"/>
        <v>3.8249999999999886</v>
      </c>
      <c r="R147">
        <v>0</v>
      </c>
      <c r="S147">
        <v>0</v>
      </c>
      <c r="T147">
        <v>0</v>
      </c>
      <c r="U147">
        <v>0</v>
      </c>
      <c r="V147" s="359">
        <v>216371927167</v>
      </c>
      <c r="W147" s="359">
        <v>8002797457071</v>
      </c>
      <c r="X147" s="359">
        <v>216372845591</v>
      </c>
      <c r="Y147" t="s">
        <v>1691</v>
      </c>
      <c r="Z147">
        <v>1.51</v>
      </c>
    </row>
    <row r="148" spans="1:26" x14ac:dyDescent="0.2">
      <c r="A148" t="s">
        <v>1690</v>
      </c>
      <c r="B148" t="s">
        <v>1692</v>
      </c>
      <c r="C148">
        <v>60</v>
      </c>
      <c r="D148">
        <v>292.23</v>
      </c>
      <c r="E148">
        <v>292.18</v>
      </c>
      <c r="F148">
        <v>288.23500000000001</v>
      </c>
      <c r="G148">
        <v>288.05500000000001</v>
      </c>
      <c r="H148">
        <v>200</v>
      </c>
      <c r="I148">
        <v>0.3</v>
      </c>
      <c r="J148" t="s">
        <v>1394</v>
      </c>
      <c r="K148">
        <v>0</v>
      </c>
      <c r="L148">
        <v>0</v>
      </c>
      <c r="M148">
        <v>4.62</v>
      </c>
      <c r="N148">
        <v>11.84</v>
      </c>
      <c r="O148">
        <v>30</v>
      </c>
      <c r="P148">
        <v>50</v>
      </c>
      <c r="Q148" s="364">
        <f t="shared" si="2"/>
        <v>3.9950000000000045</v>
      </c>
      <c r="R148">
        <v>0</v>
      </c>
      <c r="S148">
        <v>0</v>
      </c>
      <c r="T148">
        <v>0</v>
      </c>
      <c r="U148">
        <v>0</v>
      </c>
      <c r="V148" s="359">
        <v>216372845591</v>
      </c>
      <c r="W148" s="359">
        <v>8002717462343</v>
      </c>
      <c r="X148" s="359">
        <v>216373953008</v>
      </c>
      <c r="Y148" t="s">
        <v>1693</v>
      </c>
      <c r="Z148">
        <v>1.51</v>
      </c>
    </row>
    <row r="149" spans="1:26" x14ac:dyDescent="0.2">
      <c r="A149" t="s">
        <v>1692</v>
      </c>
      <c r="B149" t="s">
        <v>1694</v>
      </c>
      <c r="C149">
        <v>48</v>
      </c>
      <c r="D149">
        <v>292.18</v>
      </c>
      <c r="E149">
        <v>290.726</v>
      </c>
      <c r="F149">
        <v>288.05500000000001</v>
      </c>
      <c r="G149">
        <v>287.911</v>
      </c>
      <c r="H149">
        <v>200</v>
      </c>
      <c r="I149">
        <v>0.3</v>
      </c>
      <c r="J149" t="s">
        <v>1394</v>
      </c>
      <c r="K149">
        <v>0</v>
      </c>
      <c r="L149">
        <v>0</v>
      </c>
      <c r="M149">
        <v>4.62</v>
      </c>
      <c r="N149">
        <v>11.84</v>
      </c>
      <c r="O149">
        <v>30</v>
      </c>
      <c r="P149">
        <v>50</v>
      </c>
      <c r="Q149" s="364">
        <f t="shared" si="2"/>
        <v>4.125</v>
      </c>
      <c r="R149">
        <v>0</v>
      </c>
      <c r="S149">
        <v>0</v>
      </c>
      <c r="T149">
        <v>0</v>
      </c>
      <c r="U149">
        <v>0</v>
      </c>
      <c r="V149" s="359">
        <v>216373953008</v>
      </c>
      <c r="W149" s="359">
        <v>8002657472564</v>
      </c>
      <c r="X149" s="359">
        <v>216407002201</v>
      </c>
      <c r="Y149" t="s">
        <v>1695</v>
      </c>
      <c r="Z149">
        <v>1.51</v>
      </c>
    </row>
    <row r="150" spans="1:26" x14ac:dyDescent="0.2">
      <c r="A150" t="s">
        <v>1694</v>
      </c>
      <c r="B150" t="s">
        <v>1696</v>
      </c>
      <c r="C150">
        <v>48</v>
      </c>
      <c r="D150">
        <v>290.726</v>
      </c>
      <c r="E150">
        <v>291.12599999999998</v>
      </c>
      <c r="F150">
        <v>287.911</v>
      </c>
      <c r="G150">
        <v>287.767</v>
      </c>
      <c r="H150">
        <v>200</v>
      </c>
      <c r="I150">
        <v>0.3</v>
      </c>
      <c r="J150" t="s">
        <v>1394</v>
      </c>
      <c r="K150">
        <v>0</v>
      </c>
      <c r="L150">
        <v>0</v>
      </c>
      <c r="M150">
        <v>4.62</v>
      </c>
      <c r="N150">
        <v>11.84</v>
      </c>
      <c r="O150">
        <v>30</v>
      </c>
      <c r="P150">
        <v>50</v>
      </c>
      <c r="Q150" s="364">
        <f t="shared" si="2"/>
        <v>2.8149999999999977</v>
      </c>
      <c r="R150">
        <v>0</v>
      </c>
      <c r="S150">
        <v>0</v>
      </c>
      <c r="T150">
        <v>0</v>
      </c>
      <c r="U150">
        <v>0</v>
      </c>
      <c r="V150" s="359">
        <v>216407002201</v>
      </c>
      <c r="W150" s="359">
        <v>8002622662352</v>
      </c>
      <c r="X150" s="359">
        <v>216440051395</v>
      </c>
      <c r="Y150" t="s">
        <v>1697</v>
      </c>
      <c r="Z150">
        <v>1.51</v>
      </c>
    </row>
    <row r="151" spans="1:26" x14ac:dyDescent="0.2">
      <c r="A151" t="s">
        <v>1696</v>
      </c>
      <c r="B151" t="s">
        <v>1698</v>
      </c>
      <c r="C151">
        <v>68</v>
      </c>
      <c r="D151">
        <v>291.12599999999998</v>
      </c>
      <c r="E151">
        <v>291.62799999999999</v>
      </c>
      <c r="F151">
        <v>287.767</v>
      </c>
      <c r="G151">
        <v>287.56299999999999</v>
      </c>
      <c r="H151">
        <v>200</v>
      </c>
      <c r="I151">
        <v>0.3</v>
      </c>
      <c r="J151" t="s">
        <v>1394</v>
      </c>
      <c r="K151">
        <v>0</v>
      </c>
      <c r="L151">
        <v>0</v>
      </c>
      <c r="M151">
        <v>4.62</v>
      </c>
      <c r="N151">
        <v>11.84</v>
      </c>
      <c r="O151">
        <v>30</v>
      </c>
      <c r="P151">
        <v>50</v>
      </c>
      <c r="Q151" s="364">
        <f t="shared" si="2"/>
        <v>3.3589999999999804</v>
      </c>
      <c r="R151">
        <v>0</v>
      </c>
      <c r="S151">
        <v>0</v>
      </c>
      <c r="T151">
        <v>0</v>
      </c>
      <c r="U151">
        <v>0</v>
      </c>
      <c r="V151" s="359">
        <v>216440051395</v>
      </c>
      <c r="W151" s="359">
        <v>8002587852141</v>
      </c>
      <c r="X151" s="359">
        <v>21642862486</v>
      </c>
      <c r="Y151" t="s">
        <v>1699</v>
      </c>
      <c r="Z151">
        <v>1.51</v>
      </c>
    </row>
    <row r="152" spans="1:26" x14ac:dyDescent="0.2">
      <c r="A152" t="s">
        <v>1698</v>
      </c>
      <c r="B152" t="s">
        <v>1700</v>
      </c>
      <c r="C152">
        <v>68</v>
      </c>
      <c r="D152">
        <v>291.62799999999999</v>
      </c>
      <c r="E152">
        <v>291.61500000000001</v>
      </c>
      <c r="F152">
        <v>287.56299999999999</v>
      </c>
      <c r="G152">
        <v>287.35899999999998</v>
      </c>
      <c r="H152">
        <v>200</v>
      </c>
      <c r="I152">
        <v>0.3</v>
      </c>
      <c r="J152" t="s">
        <v>1394</v>
      </c>
      <c r="K152">
        <v>0</v>
      </c>
      <c r="L152">
        <v>0</v>
      </c>
      <c r="M152">
        <v>4.62</v>
      </c>
      <c r="N152">
        <v>11.84</v>
      </c>
      <c r="O152">
        <v>30</v>
      </c>
      <c r="P152">
        <v>50</v>
      </c>
      <c r="Q152" s="364">
        <f t="shared" si="2"/>
        <v>4.0649999999999977</v>
      </c>
      <c r="R152">
        <v>0</v>
      </c>
      <c r="S152">
        <v>0</v>
      </c>
      <c r="T152">
        <v>0</v>
      </c>
      <c r="U152">
        <v>0</v>
      </c>
      <c r="V152" s="359">
        <v>21642862486</v>
      </c>
      <c r="W152" s="359">
        <v>8002520819058</v>
      </c>
      <c r="X152" s="359">
        <v>216417198326</v>
      </c>
      <c r="Y152" t="s">
        <v>1701</v>
      </c>
      <c r="Z152">
        <v>1.51</v>
      </c>
    </row>
    <row r="153" spans="1:26" x14ac:dyDescent="0.2">
      <c r="A153" t="s">
        <v>1700</v>
      </c>
      <c r="B153" t="s">
        <v>1702</v>
      </c>
      <c r="C153">
        <v>36</v>
      </c>
      <c r="D153">
        <v>291.61500000000001</v>
      </c>
      <c r="E153">
        <v>291.54199999999997</v>
      </c>
      <c r="F153">
        <v>287.35899999999998</v>
      </c>
      <c r="G153">
        <v>287.25099999999998</v>
      </c>
      <c r="H153">
        <v>200</v>
      </c>
      <c r="I153">
        <v>0.3</v>
      </c>
      <c r="J153" t="s">
        <v>1394</v>
      </c>
      <c r="K153">
        <v>0</v>
      </c>
      <c r="L153">
        <v>0</v>
      </c>
      <c r="M153">
        <v>4.62</v>
      </c>
      <c r="N153">
        <v>11.84</v>
      </c>
      <c r="O153">
        <v>30</v>
      </c>
      <c r="P153">
        <v>50</v>
      </c>
      <c r="Q153" s="364">
        <f t="shared" si="2"/>
        <v>4.2560000000000286</v>
      </c>
      <c r="R153">
        <v>0</v>
      </c>
      <c r="S153">
        <v>0</v>
      </c>
      <c r="T153">
        <v>0</v>
      </c>
      <c r="U153">
        <v>0</v>
      </c>
      <c r="V153" s="359">
        <v>216417198326</v>
      </c>
      <c r="W153" s="359">
        <v>8002453785974</v>
      </c>
      <c r="X153" s="359">
        <v>216447283133</v>
      </c>
      <c r="Y153" t="s">
        <v>1703</v>
      </c>
      <c r="Z153">
        <v>1.51</v>
      </c>
    </row>
    <row r="154" spans="1:26" x14ac:dyDescent="0.2">
      <c r="A154" t="s">
        <v>1702</v>
      </c>
      <c r="B154" t="s">
        <v>1704</v>
      </c>
      <c r="C154">
        <v>70</v>
      </c>
      <c r="D154">
        <v>291.54199999999997</v>
      </c>
      <c r="E154">
        <v>290.923</v>
      </c>
      <c r="F154">
        <v>287.25099999999998</v>
      </c>
      <c r="G154">
        <v>287.041</v>
      </c>
      <c r="H154">
        <v>200</v>
      </c>
      <c r="I154">
        <v>0.3</v>
      </c>
      <c r="J154" t="s">
        <v>1394</v>
      </c>
      <c r="K154">
        <v>0</v>
      </c>
      <c r="L154">
        <v>0</v>
      </c>
      <c r="M154">
        <v>4.62</v>
      </c>
      <c r="N154">
        <v>11.84</v>
      </c>
      <c r="O154">
        <v>30</v>
      </c>
      <c r="P154">
        <v>50</v>
      </c>
      <c r="Q154" s="364">
        <f t="shared" si="2"/>
        <v>4.2909999999999968</v>
      </c>
      <c r="R154">
        <v>0</v>
      </c>
      <c r="S154">
        <v>0</v>
      </c>
      <c r="T154">
        <v>0</v>
      </c>
      <c r="U154">
        <v>0</v>
      </c>
      <c r="V154" s="359">
        <v>216447283133</v>
      </c>
      <c r="W154" s="359">
        <v>8002434014673</v>
      </c>
      <c r="X154" s="359">
        <v>216458798229</v>
      </c>
      <c r="Y154" t="s">
        <v>1705</v>
      </c>
      <c r="Z154">
        <v>1.51</v>
      </c>
    </row>
    <row r="155" spans="1:26" x14ac:dyDescent="0.2">
      <c r="A155" t="s">
        <v>1704</v>
      </c>
      <c r="B155" t="s">
        <v>1706</v>
      </c>
      <c r="C155">
        <v>65</v>
      </c>
      <c r="D155">
        <v>290.923</v>
      </c>
      <c r="E155">
        <v>291.31400000000002</v>
      </c>
      <c r="F155">
        <v>287.041</v>
      </c>
      <c r="G155">
        <v>286.846</v>
      </c>
      <c r="H155">
        <v>200</v>
      </c>
      <c r="I155">
        <v>0.3</v>
      </c>
      <c r="J155" t="s">
        <v>1394</v>
      </c>
      <c r="K155">
        <v>0</v>
      </c>
      <c r="L155">
        <v>0</v>
      </c>
      <c r="M155">
        <v>4.62</v>
      </c>
      <c r="N155">
        <v>11.84</v>
      </c>
      <c r="O155">
        <v>30</v>
      </c>
      <c r="P155">
        <v>50</v>
      </c>
      <c r="Q155" s="364">
        <f t="shared" si="2"/>
        <v>3.882000000000005</v>
      </c>
      <c r="R155">
        <v>0</v>
      </c>
      <c r="S155">
        <v>0</v>
      </c>
      <c r="T155">
        <v>0</v>
      </c>
      <c r="U155">
        <v>0</v>
      </c>
      <c r="V155" s="359">
        <v>216458798229</v>
      </c>
      <c r="W155" s="359">
        <v>8002364968293</v>
      </c>
      <c r="X155" s="359">
        <v>216451087059</v>
      </c>
      <c r="Y155" t="s">
        <v>1707</v>
      </c>
      <c r="Z155">
        <v>1.51</v>
      </c>
    </row>
    <row r="156" spans="1:26" x14ac:dyDescent="0.2">
      <c r="A156" t="s">
        <v>1706</v>
      </c>
      <c r="B156" t="s">
        <v>1708</v>
      </c>
      <c r="C156">
        <v>80</v>
      </c>
      <c r="D156">
        <v>291.31400000000002</v>
      </c>
      <c r="E156">
        <v>291</v>
      </c>
      <c r="F156">
        <v>286.846</v>
      </c>
      <c r="G156">
        <v>286.60599999999999</v>
      </c>
      <c r="H156">
        <v>200</v>
      </c>
      <c r="I156">
        <v>0.3</v>
      </c>
      <c r="J156" t="s">
        <v>1394</v>
      </c>
      <c r="K156">
        <v>0</v>
      </c>
      <c r="L156">
        <v>0</v>
      </c>
      <c r="M156">
        <v>4.62</v>
      </c>
      <c r="N156">
        <v>11.84</v>
      </c>
      <c r="O156">
        <v>30</v>
      </c>
      <c r="P156">
        <v>50</v>
      </c>
      <c r="Q156" s="364">
        <f t="shared" si="2"/>
        <v>4.4680000000000177</v>
      </c>
      <c r="R156">
        <v>0</v>
      </c>
      <c r="S156">
        <v>0</v>
      </c>
      <c r="T156">
        <v>0</v>
      </c>
      <c r="U156">
        <v>0</v>
      </c>
      <c r="V156" s="359">
        <v>216451087059</v>
      </c>
      <c r="W156" s="359">
        <v>8002300427315</v>
      </c>
      <c r="X156" s="359">
        <v>216488352182</v>
      </c>
      <c r="Y156" t="s">
        <v>1709</v>
      </c>
      <c r="Z156">
        <v>1.51</v>
      </c>
    </row>
    <row r="157" spans="1:26" x14ac:dyDescent="0.2">
      <c r="A157" t="s">
        <v>1708</v>
      </c>
      <c r="B157" t="s">
        <v>1710</v>
      </c>
      <c r="C157">
        <v>50</v>
      </c>
      <c r="D157">
        <v>291</v>
      </c>
      <c r="E157">
        <v>291</v>
      </c>
      <c r="F157">
        <v>286.60599999999999</v>
      </c>
      <c r="G157">
        <v>286.45600000000002</v>
      </c>
      <c r="H157">
        <v>200</v>
      </c>
      <c r="I157">
        <v>0.3</v>
      </c>
      <c r="J157" t="s">
        <v>1394</v>
      </c>
      <c r="K157">
        <v>0</v>
      </c>
      <c r="L157">
        <v>0</v>
      </c>
      <c r="M157">
        <v>4.62</v>
      </c>
      <c r="N157">
        <v>11.84</v>
      </c>
      <c r="O157">
        <v>30</v>
      </c>
      <c r="P157">
        <v>50</v>
      </c>
      <c r="Q157" s="364">
        <f t="shared" si="2"/>
        <v>4.3940000000000055</v>
      </c>
      <c r="R157">
        <v>0</v>
      </c>
      <c r="S157">
        <v>0</v>
      </c>
      <c r="T157">
        <v>0</v>
      </c>
      <c r="U157">
        <v>0</v>
      </c>
      <c r="V157" s="359">
        <v>216488352182</v>
      </c>
      <c r="W157" s="359">
        <v>8002229636704</v>
      </c>
      <c r="X157" s="359">
        <v>216532981059</v>
      </c>
      <c r="Y157" t="s">
        <v>1711</v>
      </c>
      <c r="Z157">
        <v>1.51</v>
      </c>
    </row>
    <row r="158" spans="1:26" x14ac:dyDescent="0.2">
      <c r="A158" t="s">
        <v>1710</v>
      </c>
      <c r="B158" t="s">
        <v>1712</v>
      </c>
      <c r="C158">
        <v>42.35</v>
      </c>
      <c r="D158">
        <v>291</v>
      </c>
      <c r="E158">
        <v>290.5</v>
      </c>
      <c r="F158">
        <v>286.45600000000002</v>
      </c>
      <c r="G158">
        <v>286.32900000000001</v>
      </c>
      <c r="H158">
        <v>200</v>
      </c>
      <c r="I158">
        <v>0.3</v>
      </c>
      <c r="J158" t="s">
        <v>1394</v>
      </c>
      <c r="K158">
        <v>0</v>
      </c>
      <c r="L158">
        <v>0</v>
      </c>
      <c r="M158">
        <v>4.62</v>
      </c>
      <c r="N158">
        <v>11.84</v>
      </c>
      <c r="O158">
        <v>30</v>
      </c>
      <c r="P158">
        <v>50</v>
      </c>
      <c r="Q158" s="364">
        <f t="shared" si="2"/>
        <v>4.5439999999999827</v>
      </c>
      <c r="R158">
        <v>0</v>
      </c>
      <c r="S158">
        <v>0</v>
      </c>
      <c r="T158">
        <v>0</v>
      </c>
      <c r="U158">
        <v>0</v>
      </c>
      <c r="V158" s="359">
        <v>216532981059</v>
      </c>
      <c r="W158" s="359">
        <v>8002207092009</v>
      </c>
      <c r="X158" s="359">
        <v>216553389446</v>
      </c>
      <c r="Y158" t="s">
        <v>1713</v>
      </c>
      <c r="Z158">
        <v>1.51</v>
      </c>
    </row>
    <row r="159" spans="1:26" x14ac:dyDescent="0.2">
      <c r="A159" t="s">
        <v>1714</v>
      </c>
      <c r="B159" t="s">
        <v>1715</v>
      </c>
      <c r="C159">
        <v>80</v>
      </c>
      <c r="D159">
        <v>296.64999999999998</v>
      </c>
      <c r="E159">
        <v>296.49799999999999</v>
      </c>
      <c r="F159">
        <v>295.75</v>
      </c>
      <c r="G159">
        <v>295.51</v>
      </c>
      <c r="H159">
        <v>150</v>
      </c>
      <c r="I159">
        <v>0.3</v>
      </c>
      <c r="J159" t="s">
        <v>1394</v>
      </c>
      <c r="K159">
        <v>0.12</v>
      </c>
      <c r="L159">
        <v>0.32</v>
      </c>
      <c r="M159">
        <v>0.12</v>
      </c>
      <c r="N159">
        <v>0.32</v>
      </c>
      <c r="O159">
        <v>25</v>
      </c>
      <c r="P159">
        <v>25</v>
      </c>
      <c r="Q159" s="364">
        <f t="shared" si="2"/>
        <v>0.89999999999997726</v>
      </c>
      <c r="R159">
        <v>0</v>
      </c>
      <c r="S159">
        <v>0</v>
      </c>
      <c r="T159">
        <v>0</v>
      </c>
      <c r="U159">
        <v>0</v>
      </c>
      <c r="V159" s="359">
        <v>215361425628</v>
      </c>
      <c r="W159" s="359">
        <v>8003839501303</v>
      </c>
      <c r="X159" s="359">
        <v>215435153624</v>
      </c>
      <c r="Y159" t="s">
        <v>1716</v>
      </c>
      <c r="Z159">
        <v>0.66</v>
      </c>
    </row>
    <row r="160" spans="1:26" x14ac:dyDescent="0.2">
      <c r="A160" t="s">
        <v>1715</v>
      </c>
      <c r="B160" t="s">
        <v>1717</v>
      </c>
      <c r="C160">
        <v>31</v>
      </c>
      <c r="D160">
        <v>296.49799999999999</v>
      </c>
      <c r="E160">
        <v>296.41000000000003</v>
      </c>
      <c r="F160">
        <v>295.51</v>
      </c>
      <c r="G160">
        <v>295.41699999999997</v>
      </c>
      <c r="H160">
        <v>150</v>
      </c>
      <c r="I160">
        <v>0.3</v>
      </c>
      <c r="J160" t="s">
        <v>1394</v>
      </c>
      <c r="K160">
        <v>0</v>
      </c>
      <c r="L160">
        <v>0</v>
      </c>
      <c r="M160">
        <v>0.12</v>
      </c>
      <c r="N160">
        <v>0.32</v>
      </c>
      <c r="O160">
        <v>25</v>
      </c>
      <c r="P160">
        <v>25</v>
      </c>
      <c r="Q160" s="364">
        <f t="shared" si="2"/>
        <v>0.98799999999999955</v>
      </c>
      <c r="R160">
        <v>0</v>
      </c>
      <c r="S160">
        <v>0</v>
      </c>
      <c r="T160">
        <v>0</v>
      </c>
      <c r="U160">
        <v>0</v>
      </c>
      <c r="V160" s="359">
        <v>215435153624</v>
      </c>
      <c r="W160" s="359">
        <v>8003870552592</v>
      </c>
      <c r="X160" s="359">
        <v>215465471958</v>
      </c>
      <c r="Y160" t="s">
        <v>1718</v>
      </c>
      <c r="Z160">
        <v>0.66</v>
      </c>
    </row>
    <row r="161" spans="1:26" x14ac:dyDescent="0.2">
      <c r="A161" t="s">
        <v>1717</v>
      </c>
      <c r="B161" t="s">
        <v>1719</v>
      </c>
      <c r="C161">
        <v>71</v>
      </c>
      <c r="D161">
        <v>296.41000000000003</v>
      </c>
      <c r="E161">
        <v>296.40100000000001</v>
      </c>
      <c r="F161">
        <v>295.41699999999997</v>
      </c>
      <c r="G161">
        <v>295.20400000000001</v>
      </c>
      <c r="H161">
        <v>150</v>
      </c>
      <c r="I161">
        <v>0.3</v>
      </c>
      <c r="J161" t="s">
        <v>1394</v>
      </c>
      <c r="K161">
        <v>0</v>
      </c>
      <c r="L161">
        <v>0</v>
      </c>
      <c r="M161">
        <v>0.12</v>
      </c>
      <c r="N161">
        <v>0.32</v>
      </c>
      <c r="O161">
        <v>25</v>
      </c>
      <c r="P161">
        <v>25</v>
      </c>
      <c r="Q161" s="364">
        <f t="shared" si="2"/>
        <v>0.99300000000005184</v>
      </c>
      <c r="R161">
        <v>0</v>
      </c>
      <c r="S161">
        <v>0</v>
      </c>
      <c r="T161">
        <v>0</v>
      </c>
      <c r="U161">
        <v>0</v>
      </c>
      <c r="V161" s="359">
        <v>215465471958</v>
      </c>
      <c r="W161" s="359">
        <v>8003877017778</v>
      </c>
      <c r="X161" s="359">
        <v>215534843585</v>
      </c>
      <c r="Y161" t="s">
        <v>1720</v>
      </c>
      <c r="Z161">
        <v>0.66</v>
      </c>
    </row>
    <row r="162" spans="1:26" x14ac:dyDescent="0.2">
      <c r="A162" t="s">
        <v>1719</v>
      </c>
      <c r="B162" t="s">
        <v>1721</v>
      </c>
      <c r="C162">
        <v>47</v>
      </c>
      <c r="D162">
        <v>296.40100000000001</v>
      </c>
      <c r="E162">
        <v>296.25</v>
      </c>
      <c r="F162">
        <v>295.20400000000001</v>
      </c>
      <c r="G162">
        <v>295.06299999999999</v>
      </c>
      <c r="H162">
        <v>150</v>
      </c>
      <c r="I162">
        <v>0.3</v>
      </c>
      <c r="J162" t="s">
        <v>1394</v>
      </c>
      <c r="K162">
        <v>0</v>
      </c>
      <c r="L162">
        <v>0</v>
      </c>
      <c r="M162">
        <v>0.12</v>
      </c>
      <c r="N162">
        <v>0.32</v>
      </c>
      <c r="O162">
        <v>25</v>
      </c>
      <c r="P162">
        <v>25</v>
      </c>
      <c r="Q162" s="364">
        <f t="shared" si="2"/>
        <v>1.1970000000000027</v>
      </c>
      <c r="R162">
        <v>0</v>
      </c>
      <c r="S162">
        <v>0</v>
      </c>
      <c r="T162">
        <v>0</v>
      </c>
      <c r="U162">
        <v>0</v>
      </c>
      <c r="V162" s="359">
        <v>215534843585</v>
      </c>
      <c r="W162" s="359">
        <v>8003861899002</v>
      </c>
      <c r="X162" s="359">
        <v>215573655269</v>
      </c>
      <c r="Y162" t="s">
        <v>1722</v>
      </c>
      <c r="Z162">
        <v>0.66</v>
      </c>
    </row>
    <row r="163" spans="1:26" x14ac:dyDescent="0.2">
      <c r="A163" t="s">
        <v>1721</v>
      </c>
      <c r="B163" t="s">
        <v>1723</v>
      </c>
      <c r="C163">
        <v>32</v>
      </c>
      <c r="D163">
        <v>296.25</v>
      </c>
      <c r="E163">
        <v>296.05</v>
      </c>
      <c r="F163">
        <v>295.06299999999999</v>
      </c>
      <c r="G163">
        <v>294.96699999999998</v>
      </c>
      <c r="H163">
        <v>150</v>
      </c>
      <c r="I163">
        <v>0.3</v>
      </c>
      <c r="J163" t="s">
        <v>1394</v>
      </c>
      <c r="K163">
        <v>0</v>
      </c>
      <c r="L163">
        <v>0</v>
      </c>
      <c r="M163">
        <v>0.12</v>
      </c>
      <c r="N163">
        <v>0.32</v>
      </c>
      <c r="O163">
        <v>25</v>
      </c>
      <c r="P163">
        <v>25</v>
      </c>
      <c r="Q163" s="364">
        <f t="shared" si="2"/>
        <v>1.1870000000000118</v>
      </c>
      <c r="R163">
        <v>0</v>
      </c>
      <c r="S163">
        <v>0</v>
      </c>
      <c r="T163">
        <v>0</v>
      </c>
      <c r="U163">
        <v>0</v>
      </c>
      <c r="V163" s="359">
        <v>215573655269</v>
      </c>
      <c r="W163" s="359">
        <v>8003888406608</v>
      </c>
      <c r="X163" s="359">
        <v>215603320949</v>
      </c>
      <c r="Y163" t="s">
        <v>1724</v>
      </c>
      <c r="Z163">
        <v>0.66</v>
      </c>
    </row>
    <row r="164" spans="1:26" x14ac:dyDescent="0.2">
      <c r="A164" t="s">
        <v>1723</v>
      </c>
      <c r="B164" t="s">
        <v>1725</v>
      </c>
      <c r="C164">
        <v>62</v>
      </c>
      <c r="D164">
        <v>296.05</v>
      </c>
      <c r="E164">
        <v>295.93</v>
      </c>
      <c r="F164">
        <v>294.96699999999998</v>
      </c>
      <c r="G164">
        <v>294.78100000000001</v>
      </c>
      <c r="H164">
        <v>150</v>
      </c>
      <c r="I164">
        <v>0.3</v>
      </c>
      <c r="J164" t="s">
        <v>1394</v>
      </c>
      <c r="K164">
        <v>0</v>
      </c>
      <c r="L164">
        <v>0</v>
      </c>
      <c r="M164">
        <v>0.12</v>
      </c>
      <c r="N164">
        <v>0.32</v>
      </c>
      <c r="O164">
        <v>25</v>
      </c>
      <c r="P164">
        <v>25</v>
      </c>
      <c r="Q164" s="364">
        <f t="shared" si="2"/>
        <v>1.0830000000000268</v>
      </c>
      <c r="R164">
        <v>0</v>
      </c>
      <c r="S164">
        <v>0</v>
      </c>
      <c r="T164">
        <v>0</v>
      </c>
      <c r="U164">
        <v>0</v>
      </c>
      <c r="V164" s="359">
        <v>215603320949</v>
      </c>
      <c r="W164" s="359">
        <v>8003900404419</v>
      </c>
      <c r="X164" s="359">
        <v>215663105737</v>
      </c>
      <c r="Y164" t="s">
        <v>1726</v>
      </c>
      <c r="Z164">
        <v>0.66</v>
      </c>
    </row>
    <row r="165" spans="1:26" x14ac:dyDescent="0.2">
      <c r="A165" t="s">
        <v>1725</v>
      </c>
      <c r="B165" t="s">
        <v>1727</v>
      </c>
      <c r="C165">
        <v>80</v>
      </c>
      <c r="D165">
        <v>295.93</v>
      </c>
      <c r="E165">
        <v>295.81</v>
      </c>
      <c r="F165">
        <v>294.78100000000001</v>
      </c>
      <c r="G165">
        <v>294.541</v>
      </c>
      <c r="H165">
        <v>150</v>
      </c>
      <c r="I165">
        <v>0.3</v>
      </c>
      <c r="J165" t="s">
        <v>1394</v>
      </c>
      <c r="K165">
        <v>0</v>
      </c>
      <c r="L165">
        <v>0</v>
      </c>
      <c r="M165">
        <v>0.12</v>
      </c>
      <c r="N165">
        <v>0.32</v>
      </c>
      <c r="O165">
        <v>25</v>
      </c>
      <c r="P165">
        <v>25</v>
      </c>
      <c r="Q165" s="364">
        <f t="shared" si="2"/>
        <v>1.1490000000000009</v>
      </c>
      <c r="R165">
        <v>0</v>
      </c>
      <c r="S165">
        <v>0</v>
      </c>
      <c r="T165">
        <v>0</v>
      </c>
      <c r="U165">
        <v>0</v>
      </c>
      <c r="V165" s="359">
        <v>215663105737</v>
      </c>
      <c r="W165" s="359">
        <v>8003883979465</v>
      </c>
      <c r="X165" s="359">
        <v>215742548965</v>
      </c>
      <c r="Y165" t="s">
        <v>1728</v>
      </c>
      <c r="Z165">
        <v>0.66</v>
      </c>
    </row>
    <row r="166" spans="1:26" x14ac:dyDescent="0.2">
      <c r="A166" t="s">
        <v>1727</v>
      </c>
      <c r="B166" t="s">
        <v>1729</v>
      </c>
      <c r="C166">
        <v>32</v>
      </c>
      <c r="D166">
        <v>295.81</v>
      </c>
      <c r="E166">
        <v>295.7</v>
      </c>
      <c r="F166">
        <v>294.541</v>
      </c>
      <c r="G166">
        <v>294.44499999999999</v>
      </c>
      <c r="H166">
        <v>150</v>
      </c>
      <c r="I166">
        <v>0.3</v>
      </c>
      <c r="J166" t="s">
        <v>1394</v>
      </c>
      <c r="K166">
        <v>0</v>
      </c>
      <c r="L166">
        <v>0</v>
      </c>
      <c r="M166">
        <v>0.12</v>
      </c>
      <c r="N166">
        <v>0.32</v>
      </c>
      <c r="O166">
        <v>25</v>
      </c>
      <c r="P166">
        <v>25</v>
      </c>
      <c r="Q166" s="364">
        <f t="shared" si="2"/>
        <v>1.2690000000000055</v>
      </c>
      <c r="R166">
        <v>0</v>
      </c>
      <c r="S166">
        <v>0</v>
      </c>
      <c r="T166">
        <v>0</v>
      </c>
      <c r="U166">
        <v>0</v>
      </c>
      <c r="V166" s="359">
        <v>215742548965</v>
      </c>
      <c r="W166" s="359">
        <v>8003893401436</v>
      </c>
      <c r="X166" s="359">
        <v>215774496802</v>
      </c>
      <c r="Y166" t="s">
        <v>1730</v>
      </c>
      <c r="Z166">
        <v>0.66</v>
      </c>
    </row>
    <row r="167" spans="1:26" x14ac:dyDescent="0.2">
      <c r="A167" t="s">
        <v>1729</v>
      </c>
      <c r="B167" t="s">
        <v>1731</v>
      </c>
      <c r="C167">
        <v>35</v>
      </c>
      <c r="D167">
        <v>295.7</v>
      </c>
      <c r="E167">
        <v>295.60000000000002</v>
      </c>
      <c r="F167">
        <v>294.44499999999999</v>
      </c>
      <c r="G167">
        <v>294.33999999999997</v>
      </c>
      <c r="H167">
        <v>150</v>
      </c>
      <c r="I167">
        <v>0.3</v>
      </c>
      <c r="J167" t="s">
        <v>1394</v>
      </c>
      <c r="K167">
        <v>0</v>
      </c>
      <c r="L167">
        <v>0</v>
      </c>
      <c r="M167">
        <v>0.12</v>
      </c>
      <c r="N167">
        <v>0.32</v>
      </c>
      <c r="O167">
        <v>25</v>
      </c>
      <c r="P167">
        <v>25</v>
      </c>
      <c r="Q167" s="364">
        <f t="shared" si="2"/>
        <v>1.2549999999999955</v>
      </c>
      <c r="R167">
        <v>0</v>
      </c>
      <c r="S167">
        <v>0</v>
      </c>
      <c r="T167">
        <v>0</v>
      </c>
      <c r="U167">
        <v>0</v>
      </c>
      <c r="V167" s="359">
        <v>215774496802</v>
      </c>
      <c r="W167" s="359">
        <v>8003891575044</v>
      </c>
      <c r="X167" s="359">
        <v>215805777908</v>
      </c>
      <c r="Y167" t="s">
        <v>1732</v>
      </c>
      <c r="Z167">
        <v>0.66</v>
      </c>
    </row>
    <row r="168" spans="1:26" x14ac:dyDescent="0.2">
      <c r="A168" t="s">
        <v>1731</v>
      </c>
      <c r="B168" t="s">
        <v>1733</v>
      </c>
      <c r="C168">
        <v>24</v>
      </c>
      <c r="D168">
        <v>295.60000000000002</v>
      </c>
      <c r="E168">
        <v>295.52</v>
      </c>
      <c r="F168">
        <v>294.33999999999997</v>
      </c>
      <c r="G168">
        <v>294.26799999999997</v>
      </c>
      <c r="H168">
        <v>150</v>
      </c>
      <c r="I168">
        <v>0.3</v>
      </c>
      <c r="J168" t="s">
        <v>1394</v>
      </c>
      <c r="K168">
        <v>0</v>
      </c>
      <c r="L168">
        <v>0</v>
      </c>
      <c r="M168">
        <v>0.12</v>
      </c>
      <c r="N168">
        <v>0.32</v>
      </c>
      <c r="O168">
        <v>25</v>
      </c>
      <c r="P168">
        <v>25</v>
      </c>
      <c r="Q168" s="364">
        <f t="shared" si="2"/>
        <v>1.2600000000000477</v>
      </c>
      <c r="R168">
        <v>0</v>
      </c>
      <c r="S168">
        <v>0</v>
      </c>
      <c r="T168">
        <v>0</v>
      </c>
      <c r="U168">
        <v>0</v>
      </c>
      <c r="V168" s="359">
        <v>215805777908</v>
      </c>
      <c r="W168" s="359">
        <v>800390727512</v>
      </c>
      <c r="X168" s="359">
        <v>215828407651</v>
      </c>
      <c r="Y168" t="s">
        <v>1734</v>
      </c>
      <c r="Z168">
        <v>0.66</v>
      </c>
    </row>
    <row r="169" spans="1:26" x14ac:dyDescent="0.2">
      <c r="A169" t="s">
        <v>1733</v>
      </c>
      <c r="B169" t="s">
        <v>1735</v>
      </c>
      <c r="C169">
        <v>43</v>
      </c>
      <c r="D169">
        <v>295.52</v>
      </c>
      <c r="E169">
        <v>295.5</v>
      </c>
      <c r="F169">
        <v>294.26799999999997</v>
      </c>
      <c r="G169">
        <v>294.13900000000001</v>
      </c>
      <c r="H169">
        <v>150</v>
      </c>
      <c r="I169">
        <v>0.3</v>
      </c>
      <c r="J169" t="s">
        <v>1394</v>
      </c>
      <c r="K169">
        <v>0.41</v>
      </c>
      <c r="L169">
        <v>1.06</v>
      </c>
      <c r="M169">
        <v>0.53</v>
      </c>
      <c r="N169">
        <v>1.38</v>
      </c>
      <c r="O169">
        <v>25</v>
      </c>
      <c r="P169">
        <v>25</v>
      </c>
      <c r="Q169" s="364">
        <f t="shared" si="2"/>
        <v>1.2520000000000095</v>
      </c>
      <c r="R169">
        <v>0</v>
      </c>
      <c r="S169">
        <v>0</v>
      </c>
      <c r="T169">
        <v>0</v>
      </c>
      <c r="U169">
        <v>0</v>
      </c>
      <c r="V169" s="359">
        <v>215828407651</v>
      </c>
      <c r="W169" s="359">
        <v>8003915268538</v>
      </c>
      <c r="X169" s="359">
        <v>215870960902</v>
      </c>
      <c r="Y169" t="s">
        <v>1736</v>
      </c>
      <c r="Z169">
        <v>0.66</v>
      </c>
    </row>
    <row r="170" spans="1:26" x14ac:dyDescent="0.2">
      <c r="A170" t="s">
        <v>1735</v>
      </c>
      <c r="B170" t="s">
        <v>1737</v>
      </c>
      <c r="C170">
        <v>54</v>
      </c>
      <c r="D170">
        <v>295.5</v>
      </c>
      <c r="E170">
        <v>295.45</v>
      </c>
      <c r="F170">
        <v>294.13900000000001</v>
      </c>
      <c r="G170">
        <v>293.97699999999998</v>
      </c>
      <c r="H170">
        <v>150</v>
      </c>
      <c r="I170">
        <v>0.3</v>
      </c>
      <c r="J170" t="s">
        <v>1394</v>
      </c>
      <c r="K170">
        <v>0</v>
      </c>
      <c r="L170">
        <v>0</v>
      </c>
      <c r="M170">
        <v>0.53</v>
      </c>
      <c r="N170">
        <v>1.38</v>
      </c>
      <c r="O170">
        <v>25</v>
      </c>
      <c r="P170">
        <v>25</v>
      </c>
      <c r="Q170" s="364">
        <f t="shared" si="2"/>
        <v>1.36099999999999</v>
      </c>
      <c r="R170">
        <v>0</v>
      </c>
      <c r="S170">
        <v>0</v>
      </c>
      <c r="T170">
        <v>0</v>
      </c>
      <c r="U170">
        <v>0</v>
      </c>
      <c r="V170" s="359">
        <v>215870960902</v>
      </c>
      <c r="W170" s="359">
        <v>8003921450837</v>
      </c>
      <c r="X170" s="359">
        <v>215921330455</v>
      </c>
      <c r="Y170" t="s">
        <v>1738</v>
      </c>
      <c r="Z170">
        <v>0.66</v>
      </c>
    </row>
    <row r="171" spans="1:26" x14ac:dyDescent="0.2">
      <c r="A171" t="s">
        <v>1737</v>
      </c>
      <c r="B171" t="s">
        <v>1739</v>
      </c>
      <c r="C171">
        <v>49</v>
      </c>
      <c r="D171">
        <v>295.45</v>
      </c>
      <c r="E171">
        <v>295.38</v>
      </c>
      <c r="F171">
        <v>293.97699999999998</v>
      </c>
      <c r="G171">
        <v>293.83</v>
      </c>
      <c r="H171">
        <v>150</v>
      </c>
      <c r="I171">
        <v>0.3</v>
      </c>
      <c r="J171" t="s">
        <v>1394</v>
      </c>
      <c r="K171">
        <v>0</v>
      </c>
      <c r="L171">
        <v>0</v>
      </c>
      <c r="M171">
        <v>0.53</v>
      </c>
      <c r="N171">
        <v>1.38</v>
      </c>
      <c r="O171">
        <v>25</v>
      </c>
      <c r="P171">
        <v>25</v>
      </c>
      <c r="Q171" s="364">
        <f t="shared" si="2"/>
        <v>1.4730000000000132</v>
      </c>
      <c r="R171">
        <v>0</v>
      </c>
      <c r="S171">
        <v>0</v>
      </c>
      <c r="T171">
        <v>0</v>
      </c>
      <c r="U171">
        <v>0</v>
      </c>
      <c r="V171" s="359">
        <v>215921330455</v>
      </c>
      <c r="W171" s="359">
        <v>8003901985274</v>
      </c>
      <c r="X171" s="359">
        <v>2159629402</v>
      </c>
      <c r="Y171" t="s">
        <v>1740</v>
      </c>
      <c r="Z171">
        <v>0.66</v>
      </c>
    </row>
    <row r="172" spans="1:26" x14ac:dyDescent="0.2">
      <c r="A172" t="s">
        <v>1739</v>
      </c>
      <c r="B172" t="s">
        <v>1741</v>
      </c>
      <c r="C172">
        <v>72</v>
      </c>
      <c r="D172">
        <v>295.38</v>
      </c>
      <c r="E172">
        <v>295.3</v>
      </c>
      <c r="F172">
        <v>293.83</v>
      </c>
      <c r="G172">
        <v>293.61399999999998</v>
      </c>
      <c r="H172">
        <v>150</v>
      </c>
      <c r="I172">
        <v>0.3</v>
      </c>
      <c r="J172" t="s">
        <v>1394</v>
      </c>
      <c r="K172">
        <v>0.28999999999999998</v>
      </c>
      <c r="L172">
        <v>0.74</v>
      </c>
      <c r="M172">
        <v>0.82</v>
      </c>
      <c r="N172">
        <v>2.12</v>
      </c>
      <c r="O172">
        <v>25</v>
      </c>
      <c r="P172">
        <v>29</v>
      </c>
      <c r="Q172" s="364">
        <f t="shared" si="2"/>
        <v>1.5500000000000114</v>
      </c>
      <c r="R172">
        <v>0</v>
      </c>
      <c r="S172">
        <v>0</v>
      </c>
      <c r="T172">
        <v>0</v>
      </c>
      <c r="U172">
        <v>0</v>
      </c>
      <c r="V172" s="359">
        <v>2159629402</v>
      </c>
      <c r="W172" s="359">
        <v>800387610808</v>
      </c>
      <c r="X172" s="359">
        <v>216009410142</v>
      </c>
      <c r="Y172" t="s">
        <v>1742</v>
      </c>
      <c r="Z172">
        <v>0.77</v>
      </c>
    </row>
    <row r="173" spans="1:26" x14ac:dyDescent="0.2">
      <c r="A173" t="s">
        <v>1741</v>
      </c>
      <c r="B173" t="s">
        <v>1743</v>
      </c>
      <c r="C173">
        <v>60</v>
      </c>
      <c r="D173">
        <v>295.3</v>
      </c>
      <c r="E173">
        <v>295.19</v>
      </c>
      <c r="F173">
        <v>293.61399999999998</v>
      </c>
      <c r="G173">
        <v>293.43400000000003</v>
      </c>
      <c r="H173">
        <v>150</v>
      </c>
      <c r="I173">
        <v>0.3</v>
      </c>
      <c r="J173" t="s">
        <v>1394</v>
      </c>
      <c r="K173">
        <v>0</v>
      </c>
      <c r="L173">
        <v>0</v>
      </c>
      <c r="M173">
        <v>0.82</v>
      </c>
      <c r="N173">
        <v>2.12</v>
      </c>
      <c r="O173">
        <v>25</v>
      </c>
      <c r="P173">
        <v>29</v>
      </c>
      <c r="Q173" s="364">
        <f t="shared" si="2"/>
        <v>1.6860000000000355</v>
      </c>
      <c r="R173">
        <v>0</v>
      </c>
      <c r="S173">
        <v>0</v>
      </c>
      <c r="T173">
        <v>0</v>
      </c>
      <c r="U173">
        <v>0</v>
      </c>
      <c r="V173" s="359">
        <v>216009410142</v>
      </c>
      <c r="W173" s="359">
        <v>8003821112222</v>
      </c>
      <c r="X173" s="359">
        <v>216057346829</v>
      </c>
      <c r="Y173" t="s">
        <v>1744</v>
      </c>
      <c r="Z173">
        <v>0.77</v>
      </c>
    </row>
    <row r="174" spans="1:26" x14ac:dyDescent="0.2">
      <c r="A174" t="s">
        <v>1743</v>
      </c>
      <c r="B174" t="s">
        <v>1745</v>
      </c>
      <c r="C174">
        <v>80</v>
      </c>
      <c r="D174">
        <v>295.19</v>
      </c>
      <c r="E174">
        <v>295</v>
      </c>
      <c r="F174">
        <v>293.43400000000003</v>
      </c>
      <c r="G174">
        <v>293.19400000000002</v>
      </c>
      <c r="H174">
        <v>150</v>
      </c>
      <c r="I174">
        <v>0.3</v>
      </c>
      <c r="J174" t="s">
        <v>1394</v>
      </c>
      <c r="K174">
        <v>0</v>
      </c>
      <c r="L174">
        <v>0</v>
      </c>
      <c r="M174">
        <v>0.82</v>
      </c>
      <c r="N174">
        <v>2.12</v>
      </c>
      <c r="O174">
        <v>25</v>
      </c>
      <c r="P174">
        <v>29</v>
      </c>
      <c r="Q174" s="364">
        <f t="shared" si="2"/>
        <v>1.7559999999999718</v>
      </c>
      <c r="R174">
        <v>0</v>
      </c>
      <c r="S174">
        <v>0</v>
      </c>
      <c r="T174">
        <v>0</v>
      </c>
      <c r="U174">
        <v>0</v>
      </c>
      <c r="V174" s="359">
        <v>216057346829</v>
      </c>
      <c r="W174" s="359">
        <v>8003785027959</v>
      </c>
      <c r="X174" s="359">
        <v>216130699112</v>
      </c>
      <c r="Y174" t="s">
        <v>1746</v>
      </c>
      <c r="Z174">
        <v>0.77</v>
      </c>
    </row>
    <row r="175" spans="1:26" x14ac:dyDescent="0.2">
      <c r="A175" t="s">
        <v>1745</v>
      </c>
      <c r="B175" t="s">
        <v>1747</v>
      </c>
      <c r="C175">
        <v>80</v>
      </c>
      <c r="D175">
        <v>295</v>
      </c>
      <c r="E175">
        <v>294.89999999999998</v>
      </c>
      <c r="F175">
        <v>293.19400000000002</v>
      </c>
      <c r="G175">
        <v>292.95400000000001</v>
      </c>
      <c r="H175">
        <v>150</v>
      </c>
      <c r="I175">
        <v>0.3</v>
      </c>
      <c r="J175" t="s">
        <v>1394</v>
      </c>
      <c r="K175">
        <v>0</v>
      </c>
      <c r="L175">
        <v>0</v>
      </c>
      <c r="M175">
        <v>0.82</v>
      </c>
      <c r="N175">
        <v>2.12</v>
      </c>
      <c r="O175">
        <v>25</v>
      </c>
      <c r="P175">
        <v>29</v>
      </c>
      <c r="Q175" s="364">
        <f t="shared" si="2"/>
        <v>1.8059999999999832</v>
      </c>
      <c r="R175">
        <v>0</v>
      </c>
      <c r="S175">
        <v>0</v>
      </c>
      <c r="T175">
        <v>0</v>
      </c>
      <c r="U175">
        <v>0</v>
      </c>
      <c r="V175" s="359">
        <v>216130699112</v>
      </c>
      <c r="W175" s="359">
        <v>8003753099249</v>
      </c>
      <c r="X175" s="359">
        <v>216203915422</v>
      </c>
      <c r="Y175" t="s">
        <v>1748</v>
      </c>
      <c r="Z175">
        <v>0.77</v>
      </c>
    </row>
    <row r="176" spans="1:26" x14ac:dyDescent="0.2">
      <c r="A176" t="s">
        <v>1747</v>
      </c>
      <c r="B176" t="s">
        <v>1749</v>
      </c>
      <c r="C176">
        <v>80</v>
      </c>
      <c r="D176">
        <v>294.89999999999998</v>
      </c>
      <c r="E176">
        <v>294.77999999999997</v>
      </c>
      <c r="F176">
        <v>292.95400000000001</v>
      </c>
      <c r="G176">
        <v>292.714</v>
      </c>
      <c r="H176">
        <v>150</v>
      </c>
      <c r="I176">
        <v>0.3</v>
      </c>
      <c r="J176" t="s">
        <v>1394</v>
      </c>
      <c r="K176">
        <v>0</v>
      </c>
      <c r="L176">
        <v>0</v>
      </c>
      <c r="M176">
        <v>0.82</v>
      </c>
      <c r="N176">
        <v>2.12</v>
      </c>
      <c r="O176">
        <v>25</v>
      </c>
      <c r="P176">
        <v>29</v>
      </c>
      <c r="Q176" s="364">
        <f t="shared" si="2"/>
        <v>1.9459999999999695</v>
      </c>
      <c r="R176">
        <v>0</v>
      </c>
      <c r="S176">
        <v>0</v>
      </c>
      <c r="T176">
        <v>0</v>
      </c>
      <c r="U176">
        <v>0</v>
      </c>
      <c r="V176" s="359">
        <v>216203915422</v>
      </c>
      <c r="W176" s="359">
        <v>8003720859956</v>
      </c>
      <c r="X176" s="359">
        <v>216275404768</v>
      </c>
      <c r="Y176" t="s">
        <v>1750</v>
      </c>
      <c r="Z176">
        <v>0.77</v>
      </c>
    </row>
    <row r="177" spans="1:26" x14ac:dyDescent="0.2">
      <c r="A177" t="s">
        <v>1749</v>
      </c>
      <c r="B177" t="s">
        <v>1751</v>
      </c>
      <c r="C177">
        <v>80</v>
      </c>
      <c r="D177">
        <v>294.77999999999997</v>
      </c>
      <c r="E177">
        <v>294.58999999999997</v>
      </c>
      <c r="F177">
        <v>292.714</v>
      </c>
      <c r="G177">
        <v>292.47399999999999</v>
      </c>
      <c r="H177">
        <v>150</v>
      </c>
      <c r="I177">
        <v>0.3</v>
      </c>
      <c r="J177" t="s">
        <v>1394</v>
      </c>
      <c r="K177">
        <v>0</v>
      </c>
      <c r="L177">
        <v>0</v>
      </c>
      <c r="M177">
        <v>0.82</v>
      </c>
      <c r="N177">
        <v>2.12</v>
      </c>
      <c r="O177">
        <v>25</v>
      </c>
      <c r="P177">
        <v>29</v>
      </c>
      <c r="Q177" s="364">
        <f t="shared" si="2"/>
        <v>2.0659999999999741</v>
      </c>
      <c r="R177">
        <v>0</v>
      </c>
      <c r="S177">
        <v>0</v>
      </c>
      <c r="T177">
        <v>0</v>
      </c>
      <c r="U177">
        <v>0</v>
      </c>
      <c r="V177" s="359">
        <v>216275404768</v>
      </c>
      <c r="W177" s="359">
        <v>8003684953503</v>
      </c>
      <c r="X177" s="359">
        <v>216343309906</v>
      </c>
      <c r="Y177" t="s">
        <v>1752</v>
      </c>
      <c r="Z177">
        <v>0.77</v>
      </c>
    </row>
    <row r="178" spans="1:26" x14ac:dyDescent="0.2">
      <c r="A178" t="s">
        <v>1751</v>
      </c>
      <c r="B178" t="s">
        <v>1753</v>
      </c>
      <c r="C178">
        <v>65</v>
      </c>
      <c r="D178">
        <v>294.58999999999997</v>
      </c>
      <c r="E178">
        <v>294.44</v>
      </c>
      <c r="F178">
        <v>292.47399999999999</v>
      </c>
      <c r="G178">
        <v>292.279</v>
      </c>
      <c r="H178">
        <v>150</v>
      </c>
      <c r="I178">
        <v>0.3</v>
      </c>
      <c r="J178" t="s">
        <v>1394</v>
      </c>
      <c r="K178">
        <v>0</v>
      </c>
      <c r="L178">
        <v>0</v>
      </c>
      <c r="M178">
        <v>0.82</v>
      </c>
      <c r="N178">
        <v>2.12</v>
      </c>
      <c r="O178">
        <v>25</v>
      </c>
      <c r="P178">
        <v>29</v>
      </c>
      <c r="Q178" s="364">
        <f t="shared" si="2"/>
        <v>2.1159999999999854</v>
      </c>
      <c r="R178">
        <v>0</v>
      </c>
      <c r="S178">
        <v>0</v>
      </c>
      <c r="T178">
        <v>0</v>
      </c>
      <c r="U178">
        <v>0</v>
      </c>
      <c r="V178" s="359">
        <v>216343309906</v>
      </c>
      <c r="W178" s="359">
        <v>8003642658205</v>
      </c>
      <c r="X178" s="359">
        <v>216400214438</v>
      </c>
      <c r="Y178" t="s">
        <v>1754</v>
      </c>
      <c r="Z178">
        <v>0.77</v>
      </c>
    </row>
    <row r="179" spans="1:26" x14ac:dyDescent="0.2">
      <c r="A179" t="s">
        <v>1753</v>
      </c>
      <c r="B179" t="s">
        <v>1755</v>
      </c>
      <c r="C179">
        <v>27</v>
      </c>
      <c r="D179">
        <v>294.44</v>
      </c>
      <c r="E179">
        <v>294.20999999999998</v>
      </c>
      <c r="F179">
        <v>292.279</v>
      </c>
      <c r="G179">
        <v>292.19799999999998</v>
      </c>
      <c r="H179">
        <v>150</v>
      </c>
      <c r="I179">
        <v>0.3</v>
      </c>
      <c r="J179" t="s">
        <v>1394</v>
      </c>
      <c r="K179">
        <v>0</v>
      </c>
      <c r="L179">
        <v>0</v>
      </c>
      <c r="M179">
        <v>0.82</v>
      </c>
      <c r="N179">
        <v>2.12</v>
      </c>
      <c r="O179">
        <v>25</v>
      </c>
      <c r="P179">
        <v>29</v>
      </c>
      <c r="Q179" s="364">
        <f t="shared" si="2"/>
        <v>2.1610000000000014</v>
      </c>
      <c r="R179">
        <v>0</v>
      </c>
      <c r="S179">
        <v>0</v>
      </c>
      <c r="T179">
        <v>0</v>
      </c>
      <c r="U179">
        <v>0</v>
      </c>
      <c r="V179" s="359">
        <v>216400214438</v>
      </c>
      <c r="W179" s="359">
        <v>8003611243651</v>
      </c>
      <c r="X179" s="359">
        <v>216424445786</v>
      </c>
      <c r="Y179" t="s">
        <v>1756</v>
      </c>
      <c r="Z179">
        <v>0.77</v>
      </c>
    </row>
    <row r="180" spans="1:26" x14ac:dyDescent="0.2">
      <c r="A180" t="s">
        <v>1755</v>
      </c>
      <c r="B180" t="s">
        <v>1757</v>
      </c>
      <c r="C180">
        <v>80</v>
      </c>
      <c r="D180">
        <v>294.20999999999998</v>
      </c>
      <c r="E180">
        <v>294</v>
      </c>
      <c r="F180">
        <v>292.19799999999998</v>
      </c>
      <c r="G180">
        <v>291.95800000000003</v>
      </c>
      <c r="H180">
        <v>150</v>
      </c>
      <c r="I180">
        <v>0.3</v>
      </c>
      <c r="J180" t="s">
        <v>1394</v>
      </c>
      <c r="K180">
        <v>0.74</v>
      </c>
      <c r="L180">
        <v>1.9</v>
      </c>
      <c r="M180">
        <v>1.56</v>
      </c>
      <c r="N180">
        <v>4.0199999999999996</v>
      </c>
      <c r="O180">
        <v>25</v>
      </c>
      <c r="P180">
        <v>42</v>
      </c>
      <c r="Q180" s="364">
        <f t="shared" si="2"/>
        <v>2.0120000000000005</v>
      </c>
      <c r="R180">
        <v>0</v>
      </c>
      <c r="S180">
        <v>0</v>
      </c>
      <c r="T180">
        <v>0</v>
      </c>
      <c r="U180">
        <v>0</v>
      </c>
      <c r="V180" s="359">
        <v>216424445786</v>
      </c>
      <c r="W180" s="359">
        <v>8003599333915</v>
      </c>
      <c r="X180" s="359">
        <v>216497321197</v>
      </c>
      <c r="Y180" t="s">
        <v>1758</v>
      </c>
      <c r="Z180">
        <v>1</v>
      </c>
    </row>
    <row r="181" spans="1:26" x14ac:dyDescent="0.2">
      <c r="A181" t="s">
        <v>1757</v>
      </c>
      <c r="B181" t="s">
        <v>1759</v>
      </c>
      <c r="C181">
        <v>20</v>
      </c>
      <c r="D181">
        <v>294</v>
      </c>
      <c r="E181">
        <v>293.85000000000002</v>
      </c>
      <c r="F181">
        <v>291.95800000000003</v>
      </c>
      <c r="G181">
        <v>291.89800000000002</v>
      </c>
      <c r="H181">
        <v>150</v>
      </c>
      <c r="I181">
        <v>0.3</v>
      </c>
      <c r="J181" t="s">
        <v>1394</v>
      </c>
      <c r="K181">
        <v>0</v>
      </c>
      <c r="L181">
        <v>0</v>
      </c>
      <c r="M181">
        <v>1.56</v>
      </c>
      <c r="N181">
        <v>4.0199999999999996</v>
      </c>
      <c r="O181">
        <v>25</v>
      </c>
      <c r="P181">
        <v>42</v>
      </c>
      <c r="Q181" s="364">
        <f t="shared" si="2"/>
        <v>2.0419999999999732</v>
      </c>
      <c r="R181">
        <v>0</v>
      </c>
      <c r="S181">
        <v>0</v>
      </c>
      <c r="T181">
        <v>0</v>
      </c>
      <c r="U181">
        <v>0</v>
      </c>
      <c r="V181" s="359">
        <v>216497321197</v>
      </c>
      <c r="W181" s="359">
        <v>8003566331271</v>
      </c>
      <c r="X181" s="359">
        <v>216515863372</v>
      </c>
      <c r="Y181" t="s">
        <v>1760</v>
      </c>
      <c r="Z181">
        <v>1</v>
      </c>
    </row>
    <row r="182" spans="1:26" x14ac:dyDescent="0.2">
      <c r="A182" t="s">
        <v>1759</v>
      </c>
      <c r="B182" t="s">
        <v>1761</v>
      </c>
      <c r="C182">
        <v>52</v>
      </c>
      <c r="D182">
        <v>293.85000000000002</v>
      </c>
      <c r="E182">
        <v>293.62</v>
      </c>
      <c r="F182">
        <v>291.89800000000002</v>
      </c>
      <c r="G182">
        <v>291.74200000000002</v>
      </c>
      <c r="H182">
        <v>150</v>
      </c>
      <c r="I182">
        <v>0.3</v>
      </c>
      <c r="J182" t="s">
        <v>1394</v>
      </c>
      <c r="K182">
        <v>0</v>
      </c>
      <c r="L182">
        <v>0</v>
      </c>
      <c r="M182">
        <v>1.56</v>
      </c>
      <c r="N182">
        <v>4.0199999999999996</v>
      </c>
      <c r="O182">
        <v>25</v>
      </c>
      <c r="P182">
        <v>42</v>
      </c>
      <c r="Q182" s="364">
        <f t="shared" si="2"/>
        <v>1.9519999999999982</v>
      </c>
      <c r="R182">
        <v>0</v>
      </c>
      <c r="S182">
        <v>0</v>
      </c>
      <c r="T182">
        <v>0</v>
      </c>
      <c r="U182">
        <v>0</v>
      </c>
      <c r="V182" s="359">
        <v>216515863372</v>
      </c>
      <c r="W182" s="359">
        <v>8003558835423</v>
      </c>
      <c r="X182" s="359">
        <v>216562963245</v>
      </c>
      <c r="Y182" t="s">
        <v>1762</v>
      </c>
      <c r="Z182">
        <v>1</v>
      </c>
    </row>
    <row r="183" spans="1:26" x14ac:dyDescent="0.2">
      <c r="A183" t="s">
        <v>1761</v>
      </c>
      <c r="B183" t="s">
        <v>1763</v>
      </c>
      <c r="C183">
        <v>50</v>
      </c>
      <c r="D183">
        <v>293.62</v>
      </c>
      <c r="E183">
        <v>293.49</v>
      </c>
      <c r="F183">
        <v>291.74200000000002</v>
      </c>
      <c r="G183">
        <v>291.488</v>
      </c>
      <c r="H183">
        <v>150</v>
      </c>
      <c r="I183">
        <v>0.5</v>
      </c>
      <c r="J183" t="s">
        <v>1764</v>
      </c>
      <c r="K183">
        <v>0</v>
      </c>
      <c r="L183">
        <v>0</v>
      </c>
      <c r="M183">
        <v>1.56</v>
      </c>
      <c r="N183">
        <v>4.0199999999999996</v>
      </c>
      <c r="O183">
        <v>22</v>
      </c>
      <c r="P183">
        <v>36</v>
      </c>
      <c r="Q183" s="364">
        <f t="shared" si="2"/>
        <v>1.8779999999999859</v>
      </c>
      <c r="R183">
        <v>0</v>
      </c>
      <c r="S183">
        <v>0</v>
      </c>
      <c r="T183">
        <v>0</v>
      </c>
      <c r="U183">
        <v>0</v>
      </c>
      <c r="V183" s="359">
        <v>216562963245</v>
      </c>
      <c r="W183" s="359">
        <v>8003536799044</v>
      </c>
      <c r="X183" s="359">
        <v>216594687534</v>
      </c>
      <c r="Y183" t="s">
        <v>1765</v>
      </c>
      <c r="Z183">
        <v>1.53</v>
      </c>
    </row>
    <row r="184" spans="1:26" x14ac:dyDescent="0.2">
      <c r="A184" t="s">
        <v>1763</v>
      </c>
      <c r="B184" t="s">
        <v>1766</v>
      </c>
      <c r="C184">
        <v>80</v>
      </c>
      <c r="D184">
        <v>293.49</v>
      </c>
      <c r="E184">
        <v>293.18</v>
      </c>
      <c r="F184">
        <v>291.488</v>
      </c>
      <c r="G184">
        <v>291.14800000000002</v>
      </c>
      <c r="H184">
        <v>150</v>
      </c>
      <c r="I184">
        <v>0.42</v>
      </c>
      <c r="J184" t="s">
        <v>1767</v>
      </c>
      <c r="K184">
        <v>0.74</v>
      </c>
      <c r="L184">
        <v>1.9</v>
      </c>
      <c r="M184">
        <v>2.2999999999999998</v>
      </c>
      <c r="N184">
        <v>5.92</v>
      </c>
      <c r="O184">
        <v>28</v>
      </c>
      <c r="P184">
        <v>47</v>
      </c>
      <c r="Q184" s="364">
        <f t="shared" si="2"/>
        <v>2.0020000000000095</v>
      </c>
      <c r="R184">
        <v>0</v>
      </c>
      <c r="S184">
        <v>0</v>
      </c>
      <c r="T184">
        <v>0</v>
      </c>
      <c r="U184">
        <v>0</v>
      </c>
      <c r="V184" s="359">
        <v>216594687534</v>
      </c>
      <c r="W184" s="359">
        <v>8003498152318</v>
      </c>
      <c r="X184" s="359">
        <v>216637361929</v>
      </c>
      <c r="Y184" t="s">
        <v>1768</v>
      </c>
      <c r="Z184">
        <v>1.54</v>
      </c>
    </row>
    <row r="185" spans="1:26" x14ac:dyDescent="0.2">
      <c r="A185" t="s">
        <v>1766</v>
      </c>
      <c r="B185" t="s">
        <v>1769</v>
      </c>
      <c r="C185">
        <v>40</v>
      </c>
      <c r="D185">
        <v>293.18</v>
      </c>
      <c r="E185">
        <v>293</v>
      </c>
      <c r="F185">
        <v>291.14800000000002</v>
      </c>
      <c r="G185">
        <v>290.97899999999998</v>
      </c>
      <c r="H185">
        <v>150</v>
      </c>
      <c r="I185">
        <v>0.42</v>
      </c>
      <c r="J185" t="s">
        <v>1767</v>
      </c>
      <c r="K185">
        <v>0</v>
      </c>
      <c r="L185">
        <v>0</v>
      </c>
      <c r="M185">
        <v>2.2999999999999998</v>
      </c>
      <c r="N185">
        <v>5.92</v>
      </c>
      <c r="O185">
        <v>28</v>
      </c>
      <c r="P185">
        <v>47</v>
      </c>
      <c r="Q185" s="364">
        <f t="shared" si="2"/>
        <v>2.0319999999999823</v>
      </c>
      <c r="R185">
        <v>0</v>
      </c>
      <c r="S185">
        <v>0</v>
      </c>
      <c r="T185">
        <v>0</v>
      </c>
      <c r="U185">
        <v>0</v>
      </c>
      <c r="V185" s="359">
        <v>216637361929</v>
      </c>
      <c r="W185" s="359">
        <v>8003430484778</v>
      </c>
      <c r="X185" s="359">
        <v>216660009214</v>
      </c>
      <c r="Y185" t="s">
        <v>1770</v>
      </c>
      <c r="Z185">
        <v>1.54</v>
      </c>
    </row>
    <row r="186" spans="1:26" x14ac:dyDescent="0.2">
      <c r="A186" t="s">
        <v>1769</v>
      </c>
      <c r="B186" t="s">
        <v>1771</v>
      </c>
      <c r="C186">
        <v>80</v>
      </c>
      <c r="D186">
        <v>293</v>
      </c>
      <c r="E186">
        <v>292.8</v>
      </c>
      <c r="F186">
        <v>290.97899999999998</v>
      </c>
      <c r="G186">
        <v>290.64</v>
      </c>
      <c r="H186">
        <v>150</v>
      </c>
      <c r="I186">
        <v>0.42</v>
      </c>
      <c r="J186" t="s">
        <v>1767</v>
      </c>
      <c r="K186">
        <v>0</v>
      </c>
      <c r="L186">
        <v>0</v>
      </c>
      <c r="M186">
        <v>2.2999999999999998</v>
      </c>
      <c r="N186">
        <v>5.92</v>
      </c>
      <c r="O186">
        <v>28</v>
      </c>
      <c r="P186">
        <v>47</v>
      </c>
      <c r="Q186" s="364">
        <f t="shared" si="2"/>
        <v>2.021000000000015</v>
      </c>
      <c r="R186">
        <v>0</v>
      </c>
      <c r="S186">
        <v>0</v>
      </c>
      <c r="T186">
        <v>0</v>
      </c>
      <c r="U186">
        <v>0</v>
      </c>
      <c r="V186" s="359">
        <v>216660009214</v>
      </c>
      <c r="W186" s="359">
        <v>8003397513571</v>
      </c>
      <c r="X186" s="359">
        <v>216686631975</v>
      </c>
      <c r="Y186" t="s">
        <v>1772</v>
      </c>
      <c r="Z186">
        <v>1.54</v>
      </c>
    </row>
    <row r="187" spans="1:26" x14ac:dyDescent="0.2">
      <c r="A187" t="s">
        <v>1771</v>
      </c>
      <c r="B187" t="s">
        <v>1470</v>
      </c>
      <c r="C187">
        <v>19</v>
      </c>
      <c r="D187">
        <v>292.8</v>
      </c>
      <c r="E187">
        <v>293.334</v>
      </c>
      <c r="F187">
        <v>290.64</v>
      </c>
      <c r="G187">
        <v>290.56900000000002</v>
      </c>
      <c r="H187">
        <v>150</v>
      </c>
      <c r="I187">
        <v>0.37</v>
      </c>
      <c r="J187" t="s">
        <v>1773</v>
      </c>
      <c r="K187" t="s">
        <v>1408</v>
      </c>
      <c r="L187">
        <v>0</v>
      </c>
      <c r="M187">
        <v>2.2999999999999998</v>
      </c>
      <c r="N187">
        <v>5.92</v>
      </c>
      <c r="O187">
        <v>33</v>
      </c>
      <c r="P187">
        <v>57</v>
      </c>
      <c r="Q187" s="364">
        <f t="shared" si="2"/>
        <v>2.160000000000025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 t="s">
        <v>1774</v>
      </c>
      <c r="Z187">
        <v>1.53</v>
      </c>
    </row>
    <row r="188" spans="1:26" x14ac:dyDescent="0.2">
      <c r="A188" t="s">
        <v>1775</v>
      </c>
      <c r="B188" t="s">
        <v>1776</v>
      </c>
      <c r="C188">
        <v>43.71</v>
      </c>
      <c r="D188">
        <v>301.10000000000002</v>
      </c>
      <c r="E188">
        <v>301</v>
      </c>
      <c r="F188">
        <v>301.04500000000002</v>
      </c>
      <c r="G188">
        <v>300.78300000000002</v>
      </c>
      <c r="H188">
        <v>150</v>
      </c>
      <c r="I188">
        <v>0.6</v>
      </c>
      <c r="J188" t="s">
        <v>1777</v>
      </c>
      <c r="K188">
        <v>2.33</v>
      </c>
      <c r="L188">
        <v>0.89</v>
      </c>
      <c r="M188">
        <v>2.33</v>
      </c>
      <c r="N188">
        <v>24</v>
      </c>
      <c r="O188">
        <v>30</v>
      </c>
      <c r="P188" t="s">
        <v>1400</v>
      </c>
      <c r="Q188" s="364">
        <f t="shared" ref="Q188:Q248" si="3">D188-F188</f>
        <v>5.5000000000006821E-2</v>
      </c>
      <c r="R188">
        <v>0</v>
      </c>
      <c r="S188">
        <v>0</v>
      </c>
      <c r="T188">
        <v>0</v>
      </c>
      <c r="U188" s="359">
        <v>217207786908</v>
      </c>
      <c r="V188" s="359">
        <v>800467907574</v>
      </c>
      <c r="W188" s="359">
        <v>217165178549</v>
      </c>
      <c r="X188" t="s">
        <v>1778</v>
      </c>
      <c r="Y188">
        <v>1.54</v>
      </c>
    </row>
    <row r="189" spans="1:26" x14ac:dyDescent="0.2">
      <c r="A189" t="s">
        <v>1776</v>
      </c>
      <c r="B189" t="s">
        <v>1779</v>
      </c>
      <c r="C189">
        <v>44</v>
      </c>
      <c r="D189">
        <v>301</v>
      </c>
      <c r="E189">
        <v>300.60000000000002</v>
      </c>
      <c r="F189">
        <v>300.78300000000002</v>
      </c>
      <c r="G189">
        <v>300.51900000000001</v>
      </c>
      <c r="H189">
        <v>150</v>
      </c>
      <c r="I189">
        <v>0.6</v>
      </c>
      <c r="J189" t="s">
        <v>1780</v>
      </c>
      <c r="K189">
        <v>0</v>
      </c>
      <c r="L189">
        <v>0.89</v>
      </c>
      <c r="M189">
        <v>2.33</v>
      </c>
      <c r="N189">
        <v>24</v>
      </c>
      <c r="O189">
        <v>30</v>
      </c>
      <c r="P189" t="s">
        <v>1400</v>
      </c>
      <c r="Q189" s="364">
        <f t="shared" si="3"/>
        <v>0.21699999999998454</v>
      </c>
      <c r="R189">
        <v>0</v>
      </c>
      <c r="S189">
        <v>0</v>
      </c>
      <c r="T189">
        <v>0</v>
      </c>
      <c r="U189" s="359">
        <v>217165178549</v>
      </c>
      <c r="V189" s="359">
        <v>8004669334015</v>
      </c>
      <c r="W189" s="359">
        <v>217122285359</v>
      </c>
      <c r="X189" t="s">
        <v>1781</v>
      </c>
      <c r="Y189">
        <v>1.54</v>
      </c>
    </row>
    <row r="190" spans="1:26" x14ac:dyDescent="0.2">
      <c r="A190" t="s">
        <v>1779</v>
      </c>
      <c r="B190" t="s">
        <v>1782</v>
      </c>
      <c r="C190">
        <v>30</v>
      </c>
      <c r="D190">
        <v>300.60000000000002</v>
      </c>
      <c r="E190">
        <v>300.58</v>
      </c>
      <c r="F190">
        <v>300.51900000000001</v>
      </c>
      <c r="G190">
        <v>300.339</v>
      </c>
      <c r="H190">
        <v>150</v>
      </c>
      <c r="I190">
        <v>0.6</v>
      </c>
      <c r="J190" t="s">
        <v>1780</v>
      </c>
      <c r="K190">
        <v>0</v>
      </c>
      <c r="L190">
        <v>0.89</v>
      </c>
      <c r="M190">
        <v>2.33</v>
      </c>
      <c r="N190">
        <v>24</v>
      </c>
      <c r="O190">
        <v>30</v>
      </c>
      <c r="P190" t="s">
        <v>1400</v>
      </c>
      <c r="Q190" s="364">
        <f t="shared" si="3"/>
        <v>8.100000000001728E-2</v>
      </c>
      <c r="R190">
        <v>0</v>
      </c>
      <c r="S190">
        <v>0</v>
      </c>
      <c r="T190">
        <v>0</v>
      </c>
      <c r="U190" s="359">
        <v>217122285359</v>
      </c>
      <c r="V190" s="359">
        <v>8004659527168</v>
      </c>
      <c r="W190" s="359">
        <v>217092848527</v>
      </c>
      <c r="X190" t="s">
        <v>1783</v>
      </c>
      <c r="Y190">
        <v>1.54</v>
      </c>
    </row>
    <row r="191" spans="1:26" x14ac:dyDescent="0.2">
      <c r="A191" t="s">
        <v>1782</v>
      </c>
      <c r="B191" t="s">
        <v>1784</v>
      </c>
      <c r="C191">
        <v>35</v>
      </c>
      <c r="D191">
        <v>300.58</v>
      </c>
      <c r="E191">
        <v>300.32499999999999</v>
      </c>
      <c r="F191">
        <v>300.339</v>
      </c>
      <c r="G191">
        <v>300.12900000000002</v>
      </c>
      <c r="H191">
        <v>150</v>
      </c>
      <c r="I191">
        <v>0.6</v>
      </c>
      <c r="J191" t="s">
        <v>1780</v>
      </c>
      <c r="K191">
        <v>0</v>
      </c>
      <c r="L191">
        <v>0.89</v>
      </c>
      <c r="M191">
        <v>2.33</v>
      </c>
      <c r="N191">
        <v>24</v>
      </c>
      <c r="O191">
        <v>30</v>
      </c>
      <c r="P191" t="s">
        <v>1400</v>
      </c>
      <c r="Q191" s="364">
        <f t="shared" si="3"/>
        <v>0.24099999999998545</v>
      </c>
      <c r="R191">
        <v>0</v>
      </c>
      <c r="S191">
        <v>0</v>
      </c>
      <c r="T191">
        <v>0</v>
      </c>
      <c r="U191" s="359">
        <v>217092848527</v>
      </c>
      <c r="V191" s="359">
        <v>8004653741589</v>
      </c>
      <c r="W191" s="359">
        <v>217060135958</v>
      </c>
      <c r="X191" t="s">
        <v>1785</v>
      </c>
      <c r="Y191">
        <v>1.54</v>
      </c>
    </row>
    <row r="192" spans="1:26" x14ac:dyDescent="0.2">
      <c r="A192" t="s">
        <v>1784</v>
      </c>
      <c r="B192" t="s">
        <v>1786</v>
      </c>
      <c r="C192">
        <v>41</v>
      </c>
      <c r="D192">
        <v>300.32499999999999</v>
      </c>
      <c r="E192">
        <v>299.5</v>
      </c>
      <c r="F192">
        <v>300.12900000000002</v>
      </c>
      <c r="G192">
        <v>299.88299999999998</v>
      </c>
      <c r="H192">
        <v>150</v>
      </c>
      <c r="I192">
        <v>0.6</v>
      </c>
      <c r="J192" t="s">
        <v>1780</v>
      </c>
      <c r="K192">
        <v>0</v>
      </c>
      <c r="L192">
        <v>0.89</v>
      </c>
      <c r="M192">
        <v>2.33</v>
      </c>
      <c r="N192">
        <v>24</v>
      </c>
      <c r="O192">
        <v>30</v>
      </c>
      <c r="P192" t="s">
        <v>1400</v>
      </c>
      <c r="Q192" s="364">
        <f t="shared" si="3"/>
        <v>0.19599999999996953</v>
      </c>
      <c r="R192">
        <v>0</v>
      </c>
      <c r="S192">
        <v>0</v>
      </c>
      <c r="T192">
        <v>0</v>
      </c>
      <c r="U192" s="359">
        <v>217060135958</v>
      </c>
      <c r="V192" s="359">
        <v>8004641296194</v>
      </c>
      <c r="W192" s="359">
        <v>217019777948</v>
      </c>
      <c r="X192" t="s">
        <v>1787</v>
      </c>
      <c r="Y192">
        <v>1.54</v>
      </c>
    </row>
    <row r="193" spans="1:25" x14ac:dyDescent="0.2">
      <c r="A193" t="s">
        <v>1786</v>
      </c>
      <c r="B193" t="s">
        <v>1788</v>
      </c>
      <c r="C193">
        <v>80</v>
      </c>
      <c r="D193">
        <v>299.5</v>
      </c>
      <c r="E193">
        <v>299.41199999999998</v>
      </c>
      <c r="F193">
        <v>299.88299999999998</v>
      </c>
      <c r="G193">
        <v>299.40300000000002</v>
      </c>
      <c r="H193">
        <v>150</v>
      </c>
      <c r="I193">
        <v>0.6</v>
      </c>
      <c r="J193" t="s">
        <v>1780</v>
      </c>
      <c r="K193">
        <v>0</v>
      </c>
      <c r="L193">
        <v>0.89</v>
      </c>
      <c r="M193">
        <v>2.33</v>
      </c>
      <c r="N193">
        <v>24</v>
      </c>
      <c r="O193">
        <v>30</v>
      </c>
      <c r="P193" t="s">
        <v>1400</v>
      </c>
      <c r="Q193" s="364">
        <f t="shared" si="3"/>
        <v>-0.38299999999998136</v>
      </c>
      <c r="R193">
        <v>0</v>
      </c>
      <c r="S193">
        <v>0</v>
      </c>
      <c r="T193">
        <v>0</v>
      </c>
      <c r="U193" s="359">
        <v>217019777948</v>
      </c>
      <c r="V193" s="359">
        <v>8004634069094</v>
      </c>
      <c r="W193" s="359">
        <v>216945986993</v>
      </c>
      <c r="X193" t="s">
        <v>1789</v>
      </c>
      <c r="Y193">
        <v>1.54</v>
      </c>
    </row>
    <row r="194" spans="1:25" x14ac:dyDescent="0.2">
      <c r="A194" t="s">
        <v>1788</v>
      </c>
      <c r="B194" t="s">
        <v>1790</v>
      </c>
      <c r="C194">
        <v>45</v>
      </c>
      <c r="D194">
        <v>299.41199999999998</v>
      </c>
      <c r="E194">
        <v>299.30099999999999</v>
      </c>
      <c r="F194">
        <v>299.40300000000002</v>
      </c>
      <c r="G194">
        <v>299.13299999999998</v>
      </c>
      <c r="H194">
        <v>150</v>
      </c>
      <c r="I194">
        <v>0.6</v>
      </c>
      <c r="J194" t="s">
        <v>1780</v>
      </c>
      <c r="K194">
        <v>0</v>
      </c>
      <c r="L194">
        <v>0.89</v>
      </c>
      <c r="M194">
        <v>2.33</v>
      </c>
      <c r="N194">
        <v>24</v>
      </c>
      <c r="O194">
        <v>30</v>
      </c>
      <c r="P194" t="s">
        <v>1400</v>
      </c>
      <c r="Q194" s="364">
        <f t="shared" si="3"/>
        <v>8.9999999999577085E-3</v>
      </c>
      <c r="R194">
        <v>0</v>
      </c>
      <c r="S194">
        <v>0</v>
      </c>
      <c r="T194">
        <v>0</v>
      </c>
      <c r="U194" s="359">
        <v>216945986993</v>
      </c>
      <c r="V194" s="359">
        <v>8004603167719</v>
      </c>
      <c r="W194" s="359">
        <v>216914072966</v>
      </c>
      <c r="X194" t="s">
        <v>1791</v>
      </c>
      <c r="Y194">
        <v>1.54</v>
      </c>
    </row>
    <row r="195" spans="1:25" x14ac:dyDescent="0.2">
      <c r="A195" t="s">
        <v>1790</v>
      </c>
      <c r="B195" t="s">
        <v>1792</v>
      </c>
      <c r="C195">
        <v>30</v>
      </c>
      <c r="D195">
        <v>299.30099999999999</v>
      </c>
      <c r="E195">
        <v>298.62099999999998</v>
      </c>
      <c r="F195">
        <v>299.13299999999998</v>
      </c>
      <c r="G195">
        <v>298.95299999999997</v>
      </c>
      <c r="H195">
        <v>150</v>
      </c>
      <c r="I195">
        <v>0.6</v>
      </c>
      <c r="J195" t="s">
        <v>1780</v>
      </c>
      <c r="K195">
        <v>0</v>
      </c>
      <c r="L195">
        <v>0.89</v>
      </c>
      <c r="M195">
        <v>2.33</v>
      </c>
      <c r="N195">
        <v>24</v>
      </c>
      <c r="O195">
        <v>30</v>
      </c>
      <c r="P195" t="s">
        <v>1400</v>
      </c>
      <c r="Q195" s="364">
        <f t="shared" si="3"/>
        <v>0.16800000000000637</v>
      </c>
      <c r="R195">
        <v>0</v>
      </c>
      <c r="S195">
        <v>0</v>
      </c>
      <c r="T195">
        <v>0</v>
      </c>
      <c r="U195" s="359">
        <v>216914072966</v>
      </c>
      <c r="V195" s="359">
        <v>8004571442415</v>
      </c>
      <c r="W195" s="359">
        <v>216889538331</v>
      </c>
      <c r="X195" t="s">
        <v>1793</v>
      </c>
      <c r="Y195">
        <v>1.54</v>
      </c>
    </row>
    <row r="196" spans="1:25" x14ac:dyDescent="0.2">
      <c r="A196" t="s">
        <v>1792</v>
      </c>
      <c r="B196" t="s">
        <v>1794</v>
      </c>
      <c r="C196">
        <v>50</v>
      </c>
      <c r="D196">
        <v>298.62099999999998</v>
      </c>
      <c r="E196">
        <v>298.34399999999999</v>
      </c>
      <c r="F196">
        <v>298.95299999999997</v>
      </c>
      <c r="G196">
        <v>298.65300000000002</v>
      </c>
      <c r="H196">
        <v>150</v>
      </c>
      <c r="I196">
        <v>0.6</v>
      </c>
      <c r="J196" t="s">
        <v>1780</v>
      </c>
      <c r="K196">
        <v>0</v>
      </c>
      <c r="L196">
        <v>0.89</v>
      </c>
      <c r="M196">
        <v>2.33</v>
      </c>
      <c r="N196">
        <v>24</v>
      </c>
      <c r="O196">
        <v>30</v>
      </c>
      <c r="P196" t="s">
        <v>1400</v>
      </c>
      <c r="Q196" s="364">
        <f t="shared" si="3"/>
        <v>-0.33199999999999363</v>
      </c>
      <c r="R196">
        <v>0</v>
      </c>
      <c r="S196">
        <v>0</v>
      </c>
      <c r="T196">
        <v>0</v>
      </c>
      <c r="U196" s="359">
        <v>216889538331</v>
      </c>
      <c r="V196" s="359">
        <v>8004554178241</v>
      </c>
      <c r="W196" s="359">
        <v>216853453336</v>
      </c>
      <c r="X196" t="s">
        <v>1795</v>
      </c>
      <c r="Y196">
        <v>1.54</v>
      </c>
    </row>
    <row r="197" spans="1:25" x14ac:dyDescent="0.2">
      <c r="A197" t="s">
        <v>1794</v>
      </c>
      <c r="B197" t="s">
        <v>1796</v>
      </c>
      <c r="C197">
        <v>66</v>
      </c>
      <c r="D197">
        <v>298.34399999999999</v>
      </c>
      <c r="E197">
        <v>298.82</v>
      </c>
      <c r="F197">
        <v>298.65300000000002</v>
      </c>
      <c r="G197">
        <v>298.25700000000001</v>
      </c>
      <c r="H197">
        <v>150</v>
      </c>
      <c r="I197">
        <v>0.6</v>
      </c>
      <c r="J197" t="s">
        <v>1780</v>
      </c>
      <c r="K197">
        <v>0</v>
      </c>
      <c r="L197">
        <v>0.89</v>
      </c>
      <c r="M197">
        <v>2.33</v>
      </c>
      <c r="N197">
        <v>24</v>
      </c>
      <c r="O197">
        <v>30</v>
      </c>
      <c r="P197" t="s">
        <v>1400</v>
      </c>
      <c r="Q197" s="364">
        <f t="shared" si="3"/>
        <v>-0.30900000000002592</v>
      </c>
      <c r="R197">
        <v>0</v>
      </c>
      <c r="S197">
        <v>0</v>
      </c>
      <c r="T197">
        <v>0</v>
      </c>
      <c r="U197" s="359">
        <v>216853453336</v>
      </c>
      <c r="V197" s="359">
        <v>8004519567938</v>
      </c>
      <c r="W197" s="359">
        <v>216801929856</v>
      </c>
      <c r="X197" t="s">
        <v>1797</v>
      </c>
      <c r="Y197">
        <v>1.54</v>
      </c>
    </row>
    <row r="198" spans="1:25" x14ac:dyDescent="0.2">
      <c r="A198" t="s">
        <v>1796</v>
      </c>
      <c r="B198" t="s">
        <v>1798</v>
      </c>
      <c r="C198">
        <v>55</v>
      </c>
      <c r="D198">
        <v>298.82</v>
      </c>
      <c r="E198">
        <v>297.73599999999999</v>
      </c>
      <c r="F198">
        <v>298.25700000000001</v>
      </c>
      <c r="G198">
        <v>297.92700000000002</v>
      </c>
      <c r="H198">
        <v>150</v>
      </c>
      <c r="I198">
        <v>0.6</v>
      </c>
      <c r="J198" t="s">
        <v>1780</v>
      </c>
      <c r="K198">
        <v>0</v>
      </c>
      <c r="L198">
        <v>0.89</v>
      </c>
      <c r="M198">
        <v>2.33</v>
      </c>
      <c r="N198">
        <v>24</v>
      </c>
      <c r="O198">
        <v>30</v>
      </c>
      <c r="P198" t="s">
        <v>1400</v>
      </c>
      <c r="Q198" s="364">
        <f t="shared" si="3"/>
        <v>0.56299999999998818</v>
      </c>
      <c r="R198">
        <v>0</v>
      </c>
      <c r="S198">
        <v>0</v>
      </c>
      <c r="T198">
        <v>0</v>
      </c>
      <c r="U198" s="359">
        <v>216801929856</v>
      </c>
      <c r="V198" s="359">
        <v>8004478320744</v>
      </c>
      <c r="W198" s="359">
        <v>216747622936</v>
      </c>
      <c r="X198" t="s">
        <v>1799</v>
      </c>
      <c r="Y198">
        <v>1.54</v>
      </c>
    </row>
    <row r="199" spans="1:25" x14ac:dyDescent="0.2">
      <c r="A199" t="s">
        <v>1798</v>
      </c>
      <c r="B199" t="s">
        <v>1800</v>
      </c>
      <c r="C199">
        <v>26.45</v>
      </c>
      <c r="D199">
        <v>297.73599999999999</v>
      </c>
      <c r="E199">
        <v>297.62599999999998</v>
      </c>
      <c r="F199">
        <v>297.92700000000002</v>
      </c>
      <c r="G199">
        <v>297.76799999999997</v>
      </c>
      <c r="H199">
        <v>150</v>
      </c>
      <c r="I199">
        <v>0.6</v>
      </c>
      <c r="J199" t="s">
        <v>1780</v>
      </c>
      <c r="K199">
        <v>0</v>
      </c>
      <c r="L199">
        <v>0.89</v>
      </c>
      <c r="M199">
        <v>2.33</v>
      </c>
      <c r="N199">
        <v>24</v>
      </c>
      <c r="O199">
        <v>30</v>
      </c>
      <c r="P199" t="s">
        <v>1400</v>
      </c>
      <c r="Q199" s="364">
        <f t="shared" si="3"/>
        <v>-0.19100000000003092</v>
      </c>
      <c r="R199">
        <v>0</v>
      </c>
      <c r="S199">
        <v>0</v>
      </c>
      <c r="T199">
        <v>0</v>
      </c>
      <c r="U199" s="359">
        <v>216747622936</v>
      </c>
      <c r="V199" s="359">
        <v>8004469616813</v>
      </c>
      <c r="W199" s="359">
        <v>216724823181</v>
      </c>
      <c r="X199" t="s">
        <v>1801</v>
      </c>
      <c r="Y199">
        <v>1.54</v>
      </c>
    </row>
    <row r="200" spans="1:25" x14ac:dyDescent="0.2">
      <c r="A200" t="s">
        <v>1800</v>
      </c>
      <c r="B200" t="s">
        <v>1802</v>
      </c>
      <c r="C200">
        <v>50.19</v>
      </c>
      <c r="D200">
        <v>297.62599999999998</v>
      </c>
      <c r="E200">
        <v>298.31700000000001</v>
      </c>
      <c r="F200">
        <v>297.76799999999997</v>
      </c>
      <c r="G200">
        <v>297.46699999999998</v>
      </c>
      <c r="H200">
        <v>150</v>
      </c>
      <c r="I200">
        <v>0.6</v>
      </c>
      <c r="J200" t="s">
        <v>1780</v>
      </c>
      <c r="K200">
        <v>0</v>
      </c>
      <c r="L200">
        <v>0.89</v>
      </c>
      <c r="M200">
        <v>2.33</v>
      </c>
      <c r="N200">
        <v>24</v>
      </c>
      <c r="O200">
        <v>30</v>
      </c>
      <c r="P200" t="s">
        <v>1400</v>
      </c>
      <c r="Q200" s="364">
        <f t="shared" si="3"/>
        <v>-0.14199999999999591</v>
      </c>
      <c r="R200">
        <v>0</v>
      </c>
      <c r="S200">
        <v>0</v>
      </c>
      <c r="T200">
        <v>0</v>
      </c>
      <c r="U200" s="359">
        <v>216724823181</v>
      </c>
      <c r="V200" s="359">
        <v>8004456218193</v>
      </c>
      <c r="W200" s="359">
        <v>216676170381</v>
      </c>
      <c r="X200" t="s">
        <v>1803</v>
      </c>
      <c r="Y200">
        <v>1.54</v>
      </c>
    </row>
    <row r="201" spans="1:25" x14ac:dyDescent="0.2">
      <c r="A201" t="s">
        <v>1802</v>
      </c>
      <c r="B201" t="s">
        <v>1804</v>
      </c>
      <c r="C201">
        <v>79.849999999999994</v>
      </c>
      <c r="D201">
        <v>298.31700000000001</v>
      </c>
      <c r="E201">
        <v>297.5</v>
      </c>
      <c r="F201">
        <v>297.46699999999998</v>
      </c>
      <c r="G201">
        <v>296.988</v>
      </c>
      <c r="H201">
        <v>150</v>
      </c>
      <c r="I201">
        <v>0.6</v>
      </c>
      <c r="J201" t="s">
        <v>1780</v>
      </c>
      <c r="K201">
        <v>0</v>
      </c>
      <c r="L201">
        <v>0.89</v>
      </c>
      <c r="M201">
        <v>2.33</v>
      </c>
      <c r="N201">
        <v>24</v>
      </c>
      <c r="O201">
        <v>30</v>
      </c>
      <c r="P201" t="s">
        <v>1400</v>
      </c>
      <c r="Q201" s="364">
        <f t="shared" si="3"/>
        <v>0.85000000000002274</v>
      </c>
      <c r="R201">
        <v>0</v>
      </c>
      <c r="S201">
        <v>0</v>
      </c>
      <c r="T201">
        <v>0</v>
      </c>
      <c r="U201" s="359">
        <v>216676170381</v>
      </c>
      <c r="V201" s="359">
        <v>8004443901731</v>
      </c>
      <c r="W201" s="359">
        <v>216597282702</v>
      </c>
      <c r="X201" t="s">
        <v>1805</v>
      </c>
      <c r="Y201">
        <v>1.54</v>
      </c>
    </row>
    <row r="202" spans="1:25" x14ac:dyDescent="0.2">
      <c r="A202" t="s">
        <v>1804</v>
      </c>
      <c r="B202" t="s">
        <v>1806</v>
      </c>
      <c r="C202">
        <v>35</v>
      </c>
      <c r="D202">
        <v>297.5</v>
      </c>
      <c r="E202">
        <v>297.07</v>
      </c>
      <c r="F202">
        <v>296.988</v>
      </c>
      <c r="G202">
        <v>296.77800000000002</v>
      </c>
      <c r="H202">
        <v>150</v>
      </c>
      <c r="I202">
        <v>0.6</v>
      </c>
      <c r="J202" t="s">
        <v>1780</v>
      </c>
      <c r="K202">
        <v>0</v>
      </c>
      <c r="L202">
        <v>0.89</v>
      </c>
      <c r="M202">
        <v>2.33</v>
      </c>
      <c r="N202">
        <v>24</v>
      </c>
      <c r="O202">
        <v>30</v>
      </c>
      <c r="P202" t="s">
        <v>1400</v>
      </c>
      <c r="Q202" s="364">
        <f t="shared" si="3"/>
        <v>0.51200000000000045</v>
      </c>
      <c r="R202">
        <v>0</v>
      </c>
      <c r="S202">
        <v>0</v>
      </c>
      <c r="T202">
        <v>0</v>
      </c>
      <c r="U202" s="359">
        <v>216597282702</v>
      </c>
      <c r="V202" s="359">
        <v>8004431564446</v>
      </c>
      <c r="W202" s="359">
        <v>216564876029</v>
      </c>
      <c r="X202" t="s">
        <v>1807</v>
      </c>
      <c r="Y202">
        <v>1.54</v>
      </c>
    </row>
    <row r="203" spans="1:25" x14ac:dyDescent="0.2">
      <c r="A203" t="s">
        <v>1806</v>
      </c>
      <c r="B203" t="s">
        <v>1808</v>
      </c>
      <c r="C203">
        <v>45.29</v>
      </c>
      <c r="D203">
        <v>297.07</v>
      </c>
      <c r="E203">
        <v>296.45</v>
      </c>
      <c r="F203">
        <v>296.77800000000002</v>
      </c>
      <c r="G203">
        <v>296.50599999999997</v>
      </c>
      <c r="H203">
        <v>150</v>
      </c>
      <c r="I203">
        <v>0.6</v>
      </c>
      <c r="J203" t="s">
        <v>1780</v>
      </c>
      <c r="K203">
        <v>0</v>
      </c>
      <c r="L203">
        <v>0.89</v>
      </c>
      <c r="M203">
        <v>2.33</v>
      </c>
      <c r="N203">
        <v>24</v>
      </c>
      <c r="O203">
        <v>30</v>
      </c>
      <c r="P203" t="s">
        <v>1400</v>
      </c>
      <c r="Q203" s="364">
        <f t="shared" si="3"/>
        <v>0.29199999999997317</v>
      </c>
      <c r="R203">
        <v>0</v>
      </c>
      <c r="S203">
        <v>0</v>
      </c>
      <c r="T203">
        <v>0</v>
      </c>
      <c r="U203" s="359">
        <v>216564876029</v>
      </c>
      <c r="V203" s="359">
        <v>8004418342964</v>
      </c>
      <c r="W203" s="359">
        <v>216526475352</v>
      </c>
      <c r="X203" t="s">
        <v>1809</v>
      </c>
      <c r="Y203">
        <v>1.54</v>
      </c>
    </row>
    <row r="204" spans="1:25" x14ac:dyDescent="0.2">
      <c r="A204" t="s">
        <v>1808</v>
      </c>
      <c r="B204" t="s">
        <v>1810</v>
      </c>
      <c r="C204">
        <v>82.95</v>
      </c>
      <c r="D204">
        <v>296.45</v>
      </c>
      <c r="E204">
        <v>297.01900000000001</v>
      </c>
      <c r="F204">
        <v>296.50599999999997</v>
      </c>
      <c r="G204">
        <v>296.00900000000001</v>
      </c>
      <c r="H204">
        <v>150</v>
      </c>
      <c r="I204">
        <v>0.6</v>
      </c>
      <c r="J204" t="s">
        <v>1780</v>
      </c>
      <c r="K204">
        <v>0</v>
      </c>
      <c r="L204">
        <v>0.89</v>
      </c>
      <c r="M204">
        <v>2.33</v>
      </c>
      <c r="N204">
        <v>24</v>
      </c>
      <c r="O204">
        <v>30</v>
      </c>
      <c r="P204" t="s">
        <v>1400</v>
      </c>
      <c r="Q204" s="364">
        <f t="shared" si="3"/>
        <v>-5.5999999999983174E-2</v>
      </c>
      <c r="R204">
        <v>0</v>
      </c>
      <c r="S204">
        <v>0</v>
      </c>
      <c r="T204">
        <v>0</v>
      </c>
      <c r="U204" s="359">
        <v>216526475352</v>
      </c>
      <c r="V204" s="359">
        <v>8004394331138</v>
      </c>
      <c r="W204" s="359">
        <v>216461704966</v>
      </c>
      <c r="X204" t="s">
        <v>1811</v>
      </c>
      <c r="Y204">
        <v>1.54</v>
      </c>
    </row>
    <row r="205" spans="1:25" x14ac:dyDescent="0.2">
      <c r="A205" t="s">
        <v>1810</v>
      </c>
      <c r="B205" t="s">
        <v>1812</v>
      </c>
      <c r="C205">
        <v>50.02</v>
      </c>
      <c r="D205">
        <v>297.01900000000001</v>
      </c>
      <c r="E205">
        <v>296.20400000000001</v>
      </c>
      <c r="F205">
        <v>296.00900000000001</v>
      </c>
      <c r="G205">
        <v>295.70800000000003</v>
      </c>
      <c r="H205">
        <v>150</v>
      </c>
      <c r="I205">
        <v>0.6</v>
      </c>
      <c r="J205" t="s">
        <v>1780</v>
      </c>
      <c r="K205">
        <v>0</v>
      </c>
      <c r="L205">
        <v>0.89</v>
      </c>
      <c r="M205">
        <v>2.33</v>
      </c>
      <c r="N205">
        <v>24</v>
      </c>
      <c r="O205">
        <v>30</v>
      </c>
      <c r="P205" t="s">
        <v>1400</v>
      </c>
      <c r="Q205" s="364">
        <f t="shared" si="3"/>
        <v>1.0099999999999909</v>
      </c>
      <c r="R205">
        <v>0</v>
      </c>
      <c r="S205">
        <v>0</v>
      </c>
      <c r="T205">
        <v>0</v>
      </c>
      <c r="U205" s="359">
        <v>216461704966</v>
      </c>
      <c r="V205" s="359">
        <v>8004342509929</v>
      </c>
      <c r="W205" s="359">
        <v>216422561067</v>
      </c>
      <c r="X205" t="s">
        <v>1813</v>
      </c>
      <c r="Y205">
        <v>1.54</v>
      </c>
    </row>
    <row r="206" spans="1:25" x14ac:dyDescent="0.2">
      <c r="A206" t="s">
        <v>1812</v>
      </c>
      <c r="B206" t="s">
        <v>1814</v>
      </c>
      <c r="C206">
        <v>30</v>
      </c>
      <c r="D206">
        <v>296.20400000000001</v>
      </c>
      <c r="E206">
        <v>296.15199999999999</v>
      </c>
      <c r="F206">
        <v>295.70800000000003</v>
      </c>
      <c r="G206">
        <v>295.52800000000002</v>
      </c>
      <c r="H206">
        <v>150</v>
      </c>
      <c r="I206">
        <v>0.6</v>
      </c>
      <c r="J206" t="s">
        <v>1780</v>
      </c>
      <c r="K206">
        <v>0</v>
      </c>
      <c r="L206">
        <v>0.89</v>
      </c>
      <c r="M206">
        <v>2.33</v>
      </c>
      <c r="N206">
        <v>24</v>
      </c>
      <c r="O206">
        <v>30</v>
      </c>
      <c r="P206" t="s">
        <v>1400</v>
      </c>
      <c r="Q206" s="364">
        <f t="shared" si="3"/>
        <v>0.4959999999999809</v>
      </c>
      <c r="R206">
        <v>0</v>
      </c>
      <c r="S206">
        <v>0</v>
      </c>
      <c r="T206">
        <v>0</v>
      </c>
      <c r="U206" s="359">
        <v>216422561067</v>
      </c>
      <c r="V206" s="359">
        <v>8004311361074</v>
      </c>
      <c r="W206" s="359">
        <v>216396756722</v>
      </c>
      <c r="X206" t="s">
        <v>1815</v>
      </c>
      <c r="Y206">
        <v>1.54</v>
      </c>
    </row>
    <row r="207" spans="1:25" x14ac:dyDescent="0.2">
      <c r="A207" t="s">
        <v>1814</v>
      </c>
      <c r="B207" t="s">
        <v>1816</v>
      </c>
      <c r="C207">
        <v>60</v>
      </c>
      <c r="D207">
        <v>296.15199999999999</v>
      </c>
      <c r="E207">
        <v>296.14999999999998</v>
      </c>
      <c r="F207">
        <v>295.52800000000002</v>
      </c>
      <c r="G207">
        <v>295.16800000000001</v>
      </c>
      <c r="H207">
        <v>150</v>
      </c>
      <c r="I207">
        <v>0.6</v>
      </c>
      <c r="J207" t="s">
        <v>1780</v>
      </c>
      <c r="K207">
        <v>0</v>
      </c>
      <c r="L207">
        <v>0.89</v>
      </c>
      <c r="M207">
        <v>2.33</v>
      </c>
      <c r="N207">
        <v>24</v>
      </c>
      <c r="O207">
        <v>30</v>
      </c>
      <c r="P207" t="s">
        <v>1400</v>
      </c>
      <c r="Q207" s="364">
        <f t="shared" si="3"/>
        <v>0.6239999999999668</v>
      </c>
      <c r="R207">
        <v>0</v>
      </c>
      <c r="S207">
        <v>0</v>
      </c>
      <c r="T207">
        <v>0</v>
      </c>
      <c r="U207" s="359">
        <v>216396756722</v>
      </c>
      <c r="V207" s="359">
        <v>8004296059578</v>
      </c>
      <c r="W207" s="359">
        <v>216346013722</v>
      </c>
      <c r="X207" t="s">
        <v>1817</v>
      </c>
      <c r="Y207">
        <v>1.54</v>
      </c>
    </row>
    <row r="208" spans="1:25" x14ac:dyDescent="0.2">
      <c r="A208" t="s">
        <v>1816</v>
      </c>
      <c r="B208" t="s">
        <v>1818</v>
      </c>
      <c r="C208">
        <v>79.92</v>
      </c>
      <c r="D208">
        <v>296.14999999999998</v>
      </c>
      <c r="E208">
        <v>296.31</v>
      </c>
      <c r="F208">
        <v>295.16800000000001</v>
      </c>
      <c r="G208">
        <v>294.68900000000002</v>
      </c>
      <c r="H208">
        <v>150</v>
      </c>
      <c r="I208">
        <v>0.6</v>
      </c>
      <c r="J208" t="s">
        <v>1819</v>
      </c>
      <c r="K208">
        <v>1.39</v>
      </c>
      <c r="L208">
        <v>1.43</v>
      </c>
      <c r="M208">
        <v>3.72</v>
      </c>
      <c r="N208">
        <v>24</v>
      </c>
      <c r="O208">
        <v>38</v>
      </c>
      <c r="P208" t="s">
        <v>1400</v>
      </c>
      <c r="Q208" s="364">
        <f t="shared" si="3"/>
        <v>0.9819999999999709</v>
      </c>
      <c r="R208">
        <v>0</v>
      </c>
      <c r="S208">
        <v>0</v>
      </c>
      <c r="T208">
        <v>0</v>
      </c>
      <c r="U208" s="359">
        <v>216346013722</v>
      </c>
      <c r="V208" s="359">
        <v>8004264041647</v>
      </c>
      <c r="W208" s="359">
        <v>216276797503</v>
      </c>
      <c r="X208" t="s">
        <v>1820</v>
      </c>
      <c r="Y208">
        <v>1.88</v>
      </c>
    </row>
    <row r="209" spans="1:25" x14ac:dyDescent="0.2">
      <c r="A209" t="s">
        <v>1818</v>
      </c>
      <c r="B209" t="s">
        <v>1821</v>
      </c>
      <c r="C209">
        <v>80</v>
      </c>
      <c r="D209">
        <v>296.31</v>
      </c>
      <c r="E209">
        <v>294.416</v>
      </c>
      <c r="F209">
        <v>294.68900000000002</v>
      </c>
      <c r="G209">
        <v>294.209</v>
      </c>
      <c r="H209">
        <v>150</v>
      </c>
      <c r="I209">
        <v>0.6</v>
      </c>
      <c r="J209" t="s">
        <v>1780</v>
      </c>
      <c r="K209">
        <v>0</v>
      </c>
      <c r="L209">
        <v>1.43</v>
      </c>
      <c r="M209">
        <v>3.72</v>
      </c>
      <c r="N209">
        <v>24</v>
      </c>
      <c r="O209">
        <v>38</v>
      </c>
      <c r="P209" t="s">
        <v>1400</v>
      </c>
      <c r="Q209" s="364">
        <f t="shared" si="3"/>
        <v>1.6209999999999809</v>
      </c>
      <c r="R209">
        <v>0</v>
      </c>
      <c r="S209">
        <v>0</v>
      </c>
      <c r="T209">
        <v>0</v>
      </c>
      <c r="U209" s="359">
        <v>216276797503</v>
      </c>
      <c r="V209" s="359">
        <v>8004224078707</v>
      </c>
      <c r="W209" s="359">
        <v>216208215735</v>
      </c>
      <c r="X209" t="s">
        <v>1822</v>
      </c>
      <c r="Y209">
        <v>1.88</v>
      </c>
    </row>
    <row r="210" spans="1:25" x14ac:dyDescent="0.2">
      <c r="A210" t="s">
        <v>1821</v>
      </c>
      <c r="B210" t="s">
        <v>1823</v>
      </c>
      <c r="C210">
        <v>30</v>
      </c>
      <c r="D210">
        <v>294.416</v>
      </c>
      <c r="E210">
        <v>294.39999999999998</v>
      </c>
      <c r="F210">
        <v>294.209</v>
      </c>
      <c r="G210">
        <v>294.029</v>
      </c>
      <c r="H210">
        <v>150</v>
      </c>
      <c r="I210">
        <v>0.6</v>
      </c>
      <c r="J210" t="s">
        <v>1780</v>
      </c>
      <c r="K210">
        <v>0</v>
      </c>
      <c r="L210">
        <v>1.43</v>
      </c>
      <c r="M210">
        <v>3.72</v>
      </c>
      <c r="N210">
        <v>24</v>
      </c>
      <c r="O210">
        <v>38</v>
      </c>
      <c r="P210" t="s">
        <v>1400</v>
      </c>
      <c r="Q210" s="364">
        <f t="shared" si="3"/>
        <v>0.20699999999999363</v>
      </c>
      <c r="R210">
        <v>0</v>
      </c>
      <c r="S210">
        <v>0</v>
      </c>
      <c r="T210">
        <v>0</v>
      </c>
      <c r="U210" s="359">
        <v>216208215735</v>
      </c>
      <c r="V210" s="359">
        <v>8004182889615</v>
      </c>
      <c r="W210" s="359">
        <v>21618283531</v>
      </c>
      <c r="X210" t="s">
        <v>1824</v>
      </c>
      <c r="Y210">
        <v>1.88</v>
      </c>
    </row>
    <row r="211" spans="1:25" x14ac:dyDescent="0.2">
      <c r="A211" t="s">
        <v>1823</v>
      </c>
      <c r="B211" t="s">
        <v>1825</v>
      </c>
      <c r="C211">
        <v>28.64</v>
      </c>
      <c r="D211">
        <v>294.39999999999998</v>
      </c>
      <c r="E211">
        <v>295.94799999999998</v>
      </c>
      <c r="F211">
        <v>294.029</v>
      </c>
      <c r="G211">
        <v>293.85700000000003</v>
      </c>
      <c r="H211">
        <v>150</v>
      </c>
      <c r="I211">
        <v>0.6</v>
      </c>
      <c r="J211" t="s">
        <v>1780</v>
      </c>
      <c r="K211">
        <v>0</v>
      </c>
      <c r="L211">
        <v>1.43</v>
      </c>
      <c r="M211">
        <v>3.72</v>
      </c>
      <c r="N211">
        <v>24</v>
      </c>
      <c r="O211">
        <v>38</v>
      </c>
      <c r="P211" t="s">
        <v>1400</v>
      </c>
      <c r="Q211" s="364">
        <f t="shared" si="3"/>
        <v>0.3709999999999809</v>
      </c>
      <c r="R211">
        <v>0</v>
      </c>
      <c r="S211">
        <v>0</v>
      </c>
      <c r="T211">
        <v>0</v>
      </c>
      <c r="U211" s="359">
        <v>21618283531</v>
      </c>
      <c r="V211" s="359">
        <v>8004166894804</v>
      </c>
      <c r="W211" s="359">
        <v>216171961126</v>
      </c>
      <c r="X211" t="s">
        <v>1826</v>
      </c>
      <c r="Y211">
        <v>1.88</v>
      </c>
    </row>
    <row r="212" spans="1:25" x14ac:dyDescent="0.2">
      <c r="A212" t="s">
        <v>1825</v>
      </c>
      <c r="B212" t="s">
        <v>1827</v>
      </c>
      <c r="C212">
        <v>15</v>
      </c>
      <c r="D212">
        <v>295.94799999999998</v>
      </c>
      <c r="E212">
        <v>295.79000000000002</v>
      </c>
      <c r="F212">
        <v>293.55200000000002</v>
      </c>
      <c r="G212">
        <v>293.46199999999999</v>
      </c>
      <c r="H212">
        <v>150</v>
      </c>
      <c r="I212">
        <v>0.6</v>
      </c>
      <c r="J212" t="s">
        <v>1780</v>
      </c>
      <c r="K212">
        <v>0</v>
      </c>
      <c r="L212">
        <v>1.43</v>
      </c>
      <c r="M212">
        <v>3.72</v>
      </c>
      <c r="N212">
        <v>24</v>
      </c>
      <c r="O212">
        <v>38</v>
      </c>
      <c r="P212" t="s">
        <v>1400</v>
      </c>
      <c r="Q212" s="364">
        <f t="shared" si="3"/>
        <v>2.3959999999999582</v>
      </c>
      <c r="R212">
        <v>0</v>
      </c>
      <c r="S212">
        <v>0</v>
      </c>
      <c r="T212">
        <v>0</v>
      </c>
      <c r="U212" s="359">
        <v>216171961126</v>
      </c>
      <c r="V212" s="359">
        <v>8004140399233</v>
      </c>
      <c r="W212" s="359">
        <v>216165826947</v>
      </c>
      <c r="X212" t="s">
        <v>1828</v>
      </c>
      <c r="Y212">
        <v>1.88</v>
      </c>
    </row>
    <row r="213" spans="1:25" x14ac:dyDescent="0.2">
      <c r="A213" t="s">
        <v>1827</v>
      </c>
      <c r="B213" t="s">
        <v>1829</v>
      </c>
      <c r="C213">
        <v>57</v>
      </c>
      <c r="D213">
        <v>295.79000000000002</v>
      </c>
      <c r="E213">
        <v>295.7</v>
      </c>
      <c r="F213">
        <v>293.46199999999999</v>
      </c>
      <c r="G213">
        <v>293.291</v>
      </c>
      <c r="H213">
        <v>150</v>
      </c>
      <c r="I213">
        <v>0.3</v>
      </c>
      <c r="J213" t="s">
        <v>1830</v>
      </c>
      <c r="K213">
        <v>0</v>
      </c>
      <c r="L213">
        <v>1.43</v>
      </c>
      <c r="M213">
        <v>3.72</v>
      </c>
      <c r="N213">
        <v>25</v>
      </c>
      <c r="O213">
        <v>40</v>
      </c>
      <c r="P213" t="s">
        <v>1400</v>
      </c>
      <c r="Q213" s="364">
        <f t="shared" si="3"/>
        <v>2.3280000000000314</v>
      </c>
      <c r="R213">
        <v>0</v>
      </c>
      <c r="S213">
        <v>0</v>
      </c>
      <c r="T213">
        <v>0</v>
      </c>
      <c r="U213" s="359">
        <v>216165826947</v>
      </c>
      <c r="V213" s="359">
        <v>800412671085</v>
      </c>
      <c r="W213" s="359">
        <v>216181472586</v>
      </c>
      <c r="X213" t="s">
        <v>1831</v>
      </c>
      <c r="Y213">
        <v>0.97</v>
      </c>
    </row>
    <row r="214" spans="1:25" x14ac:dyDescent="0.2">
      <c r="A214" t="s">
        <v>1829</v>
      </c>
      <c r="B214" t="s">
        <v>1832</v>
      </c>
      <c r="C214">
        <v>62</v>
      </c>
      <c r="D214">
        <v>295.7</v>
      </c>
      <c r="E214">
        <v>295.23399999999998</v>
      </c>
      <c r="F214">
        <v>293.291</v>
      </c>
      <c r="G214">
        <v>293.10500000000002</v>
      </c>
      <c r="H214">
        <v>150</v>
      </c>
      <c r="I214">
        <v>0.3</v>
      </c>
      <c r="J214" t="s">
        <v>1830</v>
      </c>
      <c r="K214">
        <v>0</v>
      </c>
      <c r="L214">
        <v>1.43</v>
      </c>
      <c r="M214">
        <v>3.72</v>
      </c>
      <c r="N214">
        <v>25</v>
      </c>
      <c r="O214">
        <v>40</v>
      </c>
      <c r="P214" t="s">
        <v>1400</v>
      </c>
      <c r="Q214" s="364">
        <f t="shared" si="3"/>
        <v>2.4089999999999918</v>
      </c>
      <c r="R214">
        <v>0</v>
      </c>
      <c r="S214">
        <v>0</v>
      </c>
      <c r="T214">
        <v>0</v>
      </c>
      <c r="U214" s="359">
        <v>216181472586</v>
      </c>
      <c r="V214" s="359">
        <v>8004071900139</v>
      </c>
      <c r="W214" s="359">
        <v>216217977313</v>
      </c>
      <c r="X214" t="s">
        <v>1833</v>
      </c>
      <c r="Y214">
        <v>0.97</v>
      </c>
    </row>
    <row r="215" spans="1:25" x14ac:dyDescent="0.2">
      <c r="A215" t="s">
        <v>1834</v>
      </c>
      <c r="B215" t="s">
        <v>1832</v>
      </c>
      <c r="C215">
        <v>20</v>
      </c>
      <c r="D215">
        <v>295.35199999999998</v>
      </c>
      <c r="E215">
        <v>295.23399999999998</v>
      </c>
      <c r="F215">
        <v>294.60199999999998</v>
      </c>
      <c r="G215">
        <v>294.54199999999997</v>
      </c>
      <c r="H215">
        <v>150</v>
      </c>
      <c r="I215">
        <v>0.3</v>
      </c>
      <c r="J215" t="s">
        <v>1835</v>
      </c>
      <c r="K215">
        <v>2.5099999999999998</v>
      </c>
      <c r="L215">
        <v>0.98</v>
      </c>
      <c r="M215">
        <v>2.5099999999999998</v>
      </c>
      <c r="N215">
        <v>25</v>
      </c>
      <c r="O215">
        <v>32</v>
      </c>
      <c r="P215" t="s">
        <v>1400</v>
      </c>
      <c r="Q215" s="364">
        <f t="shared" si="3"/>
        <v>0.75</v>
      </c>
      <c r="R215">
        <v>0</v>
      </c>
      <c r="S215">
        <v>0</v>
      </c>
      <c r="T215">
        <v>0</v>
      </c>
      <c r="U215" s="359">
        <v>216237416678</v>
      </c>
      <c r="V215" s="359">
        <v>8004026488462</v>
      </c>
      <c r="W215" s="359">
        <v>216217977313</v>
      </c>
      <c r="X215" t="s">
        <v>1836</v>
      </c>
      <c r="Y215">
        <v>0.83</v>
      </c>
    </row>
    <row r="216" spans="1:25" x14ac:dyDescent="0.2">
      <c r="A216" t="s">
        <v>1832</v>
      </c>
      <c r="B216" t="s">
        <v>1837</v>
      </c>
      <c r="C216">
        <v>18</v>
      </c>
      <c r="D216">
        <v>295.23399999999998</v>
      </c>
      <c r="E216">
        <v>295.22500000000002</v>
      </c>
      <c r="F216">
        <v>293.10500000000002</v>
      </c>
      <c r="G216">
        <v>293.05099999999999</v>
      </c>
      <c r="H216">
        <v>150</v>
      </c>
      <c r="I216">
        <v>0.3</v>
      </c>
      <c r="J216" t="s">
        <v>1830</v>
      </c>
      <c r="K216">
        <v>0</v>
      </c>
      <c r="L216">
        <v>2.41</v>
      </c>
      <c r="M216">
        <v>6.23</v>
      </c>
      <c r="N216">
        <v>32</v>
      </c>
      <c r="O216">
        <v>54</v>
      </c>
      <c r="P216" t="s">
        <v>1400</v>
      </c>
      <c r="Q216" s="364">
        <f t="shared" si="3"/>
        <v>2.1289999999999623</v>
      </c>
      <c r="R216">
        <v>0</v>
      </c>
      <c r="S216">
        <v>0</v>
      </c>
      <c r="T216">
        <v>0</v>
      </c>
      <c r="U216" s="359">
        <v>216217977313</v>
      </c>
      <c r="V216" s="359">
        <v>800402178622</v>
      </c>
      <c r="W216" s="359">
        <v>216228575459</v>
      </c>
      <c r="X216" t="s">
        <v>1838</v>
      </c>
      <c r="Y216">
        <v>1.18</v>
      </c>
    </row>
    <row r="217" spans="1:25" x14ac:dyDescent="0.2">
      <c r="A217" t="s">
        <v>1837</v>
      </c>
      <c r="B217" t="s">
        <v>1839</v>
      </c>
      <c r="C217">
        <v>80</v>
      </c>
      <c r="D217">
        <v>295.22500000000002</v>
      </c>
      <c r="E217">
        <v>295.2</v>
      </c>
      <c r="F217">
        <v>293.05099999999999</v>
      </c>
      <c r="G217">
        <v>292.81099999999998</v>
      </c>
      <c r="H217">
        <v>150</v>
      </c>
      <c r="I217">
        <v>0.3</v>
      </c>
      <c r="J217" t="s">
        <v>1830</v>
      </c>
      <c r="K217">
        <v>0</v>
      </c>
      <c r="L217">
        <v>2.41</v>
      </c>
      <c r="M217">
        <v>6.23</v>
      </c>
      <c r="N217">
        <v>32</v>
      </c>
      <c r="O217">
        <v>54</v>
      </c>
      <c r="P217" t="s">
        <v>1400</v>
      </c>
      <c r="Q217" s="364">
        <f t="shared" si="3"/>
        <v>2.174000000000035</v>
      </c>
      <c r="R217">
        <v>0</v>
      </c>
      <c r="S217">
        <v>0</v>
      </c>
      <c r="T217">
        <v>0</v>
      </c>
      <c r="U217" s="359">
        <v>216228575459</v>
      </c>
      <c r="V217" s="359">
        <v>8004007237018</v>
      </c>
      <c r="W217" s="359">
        <v>216276015381</v>
      </c>
      <c r="X217" t="s">
        <v>1840</v>
      </c>
      <c r="Y217">
        <v>1.18</v>
      </c>
    </row>
    <row r="218" spans="1:25" x14ac:dyDescent="0.2">
      <c r="A218" t="s">
        <v>1839</v>
      </c>
      <c r="B218" t="s">
        <v>1841</v>
      </c>
      <c r="C218">
        <v>30</v>
      </c>
      <c r="D218">
        <v>295.2</v>
      </c>
      <c r="E218">
        <v>295.25</v>
      </c>
      <c r="F218">
        <v>292.81099999999998</v>
      </c>
      <c r="G218">
        <v>292.661</v>
      </c>
      <c r="H218">
        <v>150</v>
      </c>
      <c r="I218">
        <v>0.5</v>
      </c>
      <c r="J218" t="s">
        <v>1780</v>
      </c>
      <c r="K218">
        <v>0</v>
      </c>
      <c r="L218">
        <v>2.41</v>
      </c>
      <c r="M218">
        <v>6.23</v>
      </c>
      <c r="N218">
        <v>32</v>
      </c>
      <c r="O218">
        <v>54</v>
      </c>
      <c r="P218" t="s">
        <v>1400</v>
      </c>
      <c r="Q218" s="364">
        <f t="shared" si="3"/>
        <v>2.38900000000001</v>
      </c>
      <c r="R218">
        <v>0</v>
      </c>
      <c r="S218">
        <v>0</v>
      </c>
      <c r="T218">
        <v>0</v>
      </c>
      <c r="U218" s="359">
        <v>216276015381</v>
      </c>
      <c r="V218" s="359">
        <v>8003942820763</v>
      </c>
      <c r="W218" s="359">
        <v>216301736294</v>
      </c>
      <c r="X218" t="s">
        <v>1842</v>
      </c>
      <c r="Y218">
        <v>1.98</v>
      </c>
    </row>
    <row r="219" spans="1:25" x14ac:dyDescent="0.2">
      <c r="A219" t="s">
        <v>1841</v>
      </c>
      <c r="B219" t="s">
        <v>1843</v>
      </c>
      <c r="C219">
        <v>80</v>
      </c>
      <c r="D219">
        <v>295.25</v>
      </c>
      <c r="E219">
        <v>295.57100000000003</v>
      </c>
      <c r="F219">
        <v>292.661</v>
      </c>
      <c r="G219">
        <v>292.42099999999999</v>
      </c>
      <c r="H219">
        <v>150</v>
      </c>
      <c r="I219">
        <v>0.3</v>
      </c>
      <c r="J219" t="s">
        <v>1830</v>
      </c>
      <c r="K219">
        <v>0</v>
      </c>
      <c r="L219">
        <v>2.41</v>
      </c>
      <c r="M219">
        <v>6.23</v>
      </c>
      <c r="N219">
        <v>32</v>
      </c>
      <c r="O219">
        <v>54</v>
      </c>
      <c r="P219" t="s">
        <v>1400</v>
      </c>
      <c r="Q219" s="364">
        <f t="shared" si="3"/>
        <v>2.5889999999999986</v>
      </c>
      <c r="R219">
        <v>0</v>
      </c>
      <c r="S219">
        <v>0</v>
      </c>
      <c r="T219">
        <v>0</v>
      </c>
      <c r="U219" s="359">
        <v>216301736294</v>
      </c>
      <c r="V219" s="359">
        <v>8003927379435</v>
      </c>
      <c r="W219" s="359">
        <v>21637575396</v>
      </c>
      <c r="X219" t="s">
        <v>1844</v>
      </c>
      <c r="Y219">
        <v>1.18</v>
      </c>
    </row>
    <row r="220" spans="1:25" x14ac:dyDescent="0.2">
      <c r="A220" t="s">
        <v>1843</v>
      </c>
      <c r="B220" t="s">
        <v>1845</v>
      </c>
      <c r="C220">
        <v>58</v>
      </c>
      <c r="D220">
        <v>295.57100000000003</v>
      </c>
      <c r="E220">
        <v>295.483</v>
      </c>
      <c r="F220">
        <v>292.42099999999999</v>
      </c>
      <c r="G220">
        <v>292.24700000000001</v>
      </c>
      <c r="H220">
        <v>150</v>
      </c>
      <c r="I220">
        <v>0.3</v>
      </c>
      <c r="J220" t="s">
        <v>1830</v>
      </c>
      <c r="K220">
        <v>0</v>
      </c>
      <c r="L220">
        <v>2.41</v>
      </c>
      <c r="M220">
        <v>6.23</v>
      </c>
      <c r="N220">
        <v>32</v>
      </c>
      <c r="O220">
        <v>54</v>
      </c>
      <c r="P220" t="s">
        <v>1400</v>
      </c>
      <c r="Q220" s="364">
        <f t="shared" si="3"/>
        <v>3.1500000000000341</v>
      </c>
      <c r="R220">
        <v>0</v>
      </c>
      <c r="S220">
        <v>0</v>
      </c>
      <c r="T220">
        <v>0</v>
      </c>
      <c r="U220" s="359">
        <v>21637575396</v>
      </c>
      <c r="V220" s="359">
        <v>8003897025108</v>
      </c>
      <c r="W220" s="359">
        <v>216429300534</v>
      </c>
      <c r="X220" t="s">
        <v>1846</v>
      </c>
      <c r="Y220">
        <v>1.18</v>
      </c>
    </row>
    <row r="221" spans="1:25" x14ac:dyDescent="0.2">
      <c r="A221" t="s">
        <v>1847</v>
      </c>
      <c r="B221" t="s">
        <v>1848</v>
      </c>
      <c r="C221">
        <v>10</v>
      </c>
      <c r="D221">
        <v>295.38299999999998</v>
      </c>
      <c r="E221">
        <v>295.38</v>
      </c>
      <c r="F221">
        <v>292.983</v>
      </c>
      <c r="G221">
        <v>292.93299999999999</v>
      </c>
      <c r="H221">
        <v>150</v>
      </c>
      <c r="I221">
        <v>0.5</v>
      </c>
      <c r="J221" t="s">
        <v>1849</v>
      </c>
      <c r="K221">
        <v>0.77</v>
      </c>
      <c r="L221">
        <v>0.3</v>
      </c>
      <c r="M221">
        <v>0.77</v>
      </c>
      <c r="N221">
        <v>25</v>
      </c>
      <c r="O221">
        <v>25</v>
      </c>
      <c r="P221" t="s">
        <v>1400</v>
      </c>
      <c r="Q221" s="364">
        <f t="shared" si="3"/>
        <v>2.3999999999999773</v>
      </c>
      <c r="R221">
        <v>0</v>
      </c>
      <c r="S221">
        <v>0</v>
      </c>
      <c r="T221">
        <v>0</v>
      </c>
      <c r="U221" s="359">
        <v>216476511935</v>
      </c>
      <c r="V221" s="359">
        <v>8003862113362</v>
      </c>
      <c r="W221" s="359">
        <v>216467322329</v>
      </c>
      <c r="X221" t="s">
        <v>1850</v>
      </c>
      <c r="Y221">
        <v>1.1100000000000001</v>
      </c>
    </row>
    <row r="222" spans="1:25" x14ac:dyDescent="0.2">
      <c r="A222" t="s">
        <v>1848</v>
      </c>
      <c r="B222" t="s">
        <v>1845</v>
      </c>
      <c r="C222">
        <v>39</v>
      </c>
      <c r="D222">
        <v>295.38</v>
      </c>
      <c r="E222">
        <v>295.483</v>
      </c>
      <c r="F222">
        <v>292.93299999999999</v>
      </c>
      <c r="G222">
        <v>292.81599999999997</v>
      </c>
      <c r="H222">
        <v>150</v>
      </c>
      <c r="I222">
        <v>0.3</v>
      </c>
      <c r="J222" t="s">
        <v>1851</v>
      </c>
      <c r="K222">
        <v>0.77</v>
      </c>
      <c r="L222">
        <v>0.59</v>
      </c>
      <c r="M222">
        <v>1.53</v>
      </c>
      <c r="N222">
        <v>25</v>
      </c>
      <c r="O222">
        <v>25</v>
      </c>
      <c r="P222" t="s">
        <v>1400</v>
      </c>
      <c r="Q222" s="364">
        <f t="shared" si="3"/>
        <v>2.4470000000000027</v>
      </c>
      <c r="R222">
        <v>0</v>
      </c>
      <c r="S222">
        <v>0</v>
      </c>
      <c r="T222">
        <v>0</v>
      </c>
      <c r="U222" s="359">
        <v>216467322329</v>
      </c>
      <c r="V222" s="359">
        <v>8003866056855</v>
      </c>
      <c r="W222" s="359">
        <v>216429300534</v>
      </c>
      <c r="X222" t="s">
        <v>1852</v>
      </c>
      <c r="Y222">
        <v>0.67</v>
      </c>
    </row>
    <row r="223" spans="1:25" x14ac:dyDescent="0.2">
      <c r="A223" t="s">
        <v>1845</v>
      </c>
      <c r="B223" t="s">
        <v>1853</v>
      </c>
      <c r="C223">
        <v>76</v>
      </c>
      <c r="D223">
        <v>295.483</v>
      </c>
      <c r="E223">
        <v>294.50599999999997</v>
      </c>
      <c r="F223">
        <v>292.24700000000001</v>
      </c>
      <c r="G223">
        <v>292.01900000000001</v>
      </c>
      <c r="H223">
        <v>150</v>
      </c>
      <c r="I223">
        <v>0.3</v>
      </c>
      <c r="J223" t="s">
        <v>1830</v>
      </c>
      <c r="K223">
        <v>0</v>
      </c>
      <c r="L223">
        <v>3</v>
      </c>
      <c r="M223">
        <v>7.76</v>
      </c>
      <c r="N223">
        <v>35</v>
      </c>
      <c r="O223">
        <v>62</v>
      </c>
      <c r="P223" t="s">
        <v>1400</v>
      </c>
      <c r="Q223" s="364">
        <f t="shared" si="3"/>
        <v>3.23599999999999</v>
      </c>
      <c r="R223">
        <v>0</v>
      </c>
      <c r="S223">
        <v>0</v>
      </c>
      <c r="T223">
        <v>0</v>
      </c>
      <c r="U223" s="359">
        <v>216429300534</v>
      </c>
      <c r="V223" s="359">
        <v>8003874736896</v>
      </c>
      <c r="W223" s="359">
        <v>216362712501</v>
      </c>
      <c r="X223" t="s">
        <v>1854</v>
      </c>
      <c r="Y223">
        <v>1.27</v>
      </c>
    </row>
    <row r="224" spans="1:25" x14ac:dyDescent="0.2">
      <c r="A224" t="s">
        <v>1853</v>
      </c>
      <c r="B224" t="s">
        <v>1855</v>
      </c>
      <c r="C224">
        <v>77</v>
      </c>
      <c r="D224">
        <v>294.50599999999997</v>
      </c>
      <c r="E224">
        <v>294.08999999999997</v>
      </c>
      <c r="F224">
        <v>292.01900000000001</v>
      </c>
      <c r="G224">
        <v>291.78800000000001</v>
      </c>
      <c r="H224">
        <v>150</v>
      </c>
      <c r="I224">
        <v>0.3</v>
      </c>
      <c r="J224" t="s">
        <v>1830</v>
      </c>
      <c r="K224">
        <v>0</v>
      </c>
      <c r="L224">
        <v>3</v>
      </c>
      <c r="M224">
        <v>7.76</v>
      </c>
      <c r="N224">
        <v>35</v>
      </c>
      <c r="O224">
        <v>62</v>
      </c>
      <c r="P224" t="s">
        <v>1400</v>
      </c>
      <c r="Q224" s="364">
        <f t="shared" si="3"/>
        <v>2.4869999999999663</v>
      </c>
      <c r="R224">
        <v>0</v>
      </c>
      <c r="S224">
        <v>0</v>
      </c>
      <c r="T224">
        <v>0</v>
      </c>
      <c r="U224" s="359">
        <v>216362712501</v>
      </c>
      <c r="V224" s="359">
        <v>8003838103115</v>
      </c>
      <c r="W224" s="359">
        <v>216417597764</v>
      </c>
      <c r="X224" t="s">
        <v>1856</v>
      </c>
      <c r="Y224">
        <v>1.27</v>
      </c>
    </row>
    <row r="225" spans="1:26" x14ac:dyDescent="0.2">
      <c r="A225" t="s">
        <v>1855</v>
      </c>
      <c r="B225" t="s">
        <v>1857</v>
      </c>
      <c r="C225">
        <v>15</v>
      </c>
      <c r="D225">
        <v>294.08999999999997</v>
      </c>
      <c r="E225">
        <v>293.93400000000003</v>
      </c>
      <c r="F225">
        <v>291.78800000000001</v>
      </c>
      <c r="G225">
        <v>291.72800000000001</v>
      </c>
      <c r="H225">
        <v>150</v>
      </c>
      <c r="I225">
        <v>0.4</v>
      </c>
      <c r="J225" t="s">
        <v>1780</v>
      </c>
      <c r="K225">
        <v>0</v>
      </c>
      <c r="L225">
        <v>3</v>
      </c>
      <c r="M225">
        <v>7.76</v>
      </c>
      <c r="N225">
        <v>38</v>
      </c>
      <c r="O225">
        <v>68</v>
      </c>
      <c r="P225" t="s">
        <v>1400</v>
      </c>
      <c r="Q225" s="364">
        <f t="shared" si="3"/>
        <v>2.3019999999999641</v>
      </c>
      <c r="R225">
        <v>0</v>
      </c>
      <c r="S225">
        <v>0</v>
      </c>
      <c r="T225">
        <v>0</v>
      </c>
      <c r="U225" s="359">
        <v>216417597764</v>
      </c>
      <c r="V225" s="359">
        <v>8003784097487</v>
      </c>
      <c r="W225" s="359">
        <v>216428015825</v>
      </c>
      <c r="X225" t="s">
        <v>1858</v>
      </c>
      <c r="Y225">
        <v>1.76</v>
      </c>
    </row>
    <row r="226" spans="1:26" x14ac:dyDescent="0.2">
      <c r="A226" t="s">
        <v>1857</v>
      </c>
      <c r="B226" t="s">
        <v>1859</v>
      </c>
      <c r="C226">
        <v>80</v>
      </c>
      <c r="D226">
        <v>293.93400000000003</v>
      </c>
      <c r="E226">
        <v>294.286</v>
      </c>
      <c r="F226">
        <v>291.72800000000001</v>
      </c>
      <c r="G226">
        <v>291.488</v>
      </c>
      <c r="H226">
        <v>150</v>
      </c>
      <c r="I226">
        <v>0.3</v>
      </c>
      <c r="J226" t="s">
        <v>1830</v>
      </c>
      <c r="K226">
        <v>0</v>
      </c>
      <c r="L226">
        <v>3</v>
      </c>
      <c r="M226">
        <v>7.76</v>
      </c>
      <c r="N226">
        <v>35</v>
      </c>
      <c r="O226">
        <v>62</v>
      </c>
      <c r="P226" t="s">
        <v>1400</v>
      </c>
      <c r="Q226" s="364">
        <f t="shared" si="3"/>
        <v>2.2060000000000173</v>
      </c>
      <c r="R226">
        <v>0</v>
      </c>
      <c r="S226">
        <v>0</v>
      </c>
      <c r="T226">
        <v>0</v>
      </c>
      <c r="U226" s="359">
        <v>216428015825</v>
      </c>
      <c r="V226" s="359">
        <v>8003773305637</v>
      </c>
      <c r="W226" s="359">
        <v>216468654563</v>
      </c>
      <c r="X226" t="s">
        <v>1860</v>
      </c>
      <c r="Y226">
        <v>1.27</v>
      </c>
    </row>
    <row r="227" spans="1:26" x14ac:dyDescent="0.2">
      <c r="A227" t="s">
        <v>1859</v>
      </c>
      <c r="B227" t="s">
        <v>1861</v>
      </c>
      <c r="C227">
        <v>80</v>
      </c>
      <c r="D227">
        <v>294.286</v>
      </c>
      <c r="E227">
        <v>294.3</v>
      </c>
      <c r="F227">
        <v>291.488</v>
      </c>
      <c r="G227">
        <v>291.24799999999999</v>
      </c>
      <c r="H227">
        <v>150</v>
      </c>
      <c r="I227">
        <v>0.3</v>
      </c>
      <c r="J227" t="s">
        <v>1830</v>
      </c>
      <c r="K227">
        <v>0</v>
      </c>
      <c r="L227">
        <v>3</v>
      </c>
      <c r="M227">
        <v>7.76</v>
      </c>
      <c r="N227">
        <v>35</v>
      </c>
      <c r="O227">
        <v>62</v>
      </c>
      <c r="P227" t="s">
        <v>1400</v>
      </c>
      <c r="Q227" s="364">
        <f t="shared" si="3"/>
        <v>2.7980000000000018</v>
      </c>
      <c r="R227">
        <v>0</v>
      </c>
      <c r="S227">
        <v>0</v>
      </c>
      <c r="T227">
        <v>0</v>
      </c>
      <c r="U227" s="359">
        <v>216468654563</v>
      </c>
      <c r="V227" s="359">
        <v>8003704396328</v>
      </c>
      <c r="W227" s="359">
        <v>216511194524</v>
      </c>
      <c r="X227" t="s">
        <v>1862</v>
      </c>
      <c r="Y227">
        <v>1.27</v>
      </c>
    </row>
    <row r="228" spans="1:26" x14ac:dyDescent="0.2">
      <c r="A228" t="s">
        <v>1861</v>
      </c>
      <c r="B228" t="s">
        <v>1863</v>
      </c>
      <c r="C228">
        <v>50</v>
      </c>
      <c r="D228">
        <v>294.3</v>
      </c>
      <c r="E228">
        <v>294.21100000000001</v>
      </c>
      <c r="F228">
        <v>291.24799999999999</v>
      </c>
      <c r="G228">
        <v>291.09800000000001</v>
      </c>
      <c r="H228">
        <v>150</v>
      </c>
      <c r="I228">
        <v>0.3</v>
      </c>
      <c r="J228" t="s">
        <v>1830</v>
      </c>
      <c r="K228">
        <v>0</v>
      </c>
      <c r="L228">
        <v>3</v>
      </c>
      <c r="M228">
        <v>7.76</v>
      </c>
      <c r="N228">
        <v>35</v>
      </c>
      <c r="O228">
        <v>62</v>
      </c>
      <c r="P228" t="s">
        <v>1400</v>
      </c>
      <c r="Q228" s="364">
        <f t="shared" si="3"/>
        <v>3.0520000000000209</v>
      </c>
      <c r="R228">
        <v>0</v>
      </c>
      <c r="S228">
        <v>0</v>
      </c>
      <c r="T228">
        <v>0</v>
      </c>
      <c r="U228" s="359">
        <v>216511194524</v>
      </c>
      <c r="V228" s="359">
        <v>8003636644193</v>
      </c>
      <c r="W228" s="359">
        <v>216538576132</v>
      </c>
      <c r="X228" t="s">
        <v>1864</v>
      </c>
      <c r="Y228">
        <v>1.27</v>
      </c>
    </row>
    <row r="229" spans="1:26" x14ac:dyDescent="0.2">
      <c r="A229" t="s">
        <v>1863</v>
      </c>
      <c r="B229" t="s">
        <v>1460</v>
      </c>
      <c r="C229">
        <v>53.84</v>
      </c>
      <c r="D229">
        <v>294.21100000000001</v>
      </c>
      <c r="E229">
        <v>294.39999999999998</v>
      </c>
      <c r="F229">
        <v>291.09800000000001</v>
      </c>
      <c r="G229">
        <v>290.93700000000001</v>
      </c>
      <c r="H229">
        <v>150</v>
      </c>
      <c r="I229">
        <v>0.3</v>
      </c>
      <c r="J229" t="s">
        <v>1830</v>
      </c>
      <c r="K229">
        <v>0</v>
      </c>
      <c r="L229">
        <v>3</v>
      </c>
      <c r="M229">
        <v>7.76</v>
      </c>
      <c r="N229">
        <v>35</v>
      </c>
      <c r="O229">
        <v>62</v>
      </c>
      <c r="P229" t="s">
        <v>1400</v>
      </c>
      <c r="Q229" s="364">
        <f t="shared" si="3"/>
        <v>3.1129999999999995</v>
      </c>
      <c r="R229">
        <v>0</v>
      </c>
      <c r="S229">
        <v>0</v>
      </c>
      <c r="T229">
        <v>0</v>
      </c>
      <c r="U229" s="359">
        <v>216538576132</v>
      </c>
      <c r="V229" s="359">
        <v>8003594808233</v>
      </c>
      <c r="W229" s="359">
        <v>216572242835</v>
      </c>
      <c r="X229" t="s">
        <v>1865</v>
      </c>
      <c r="Y229">
        <v>1.27</v>
      </c>
    </row>
    <row r="230" spans="1:26" x14ac:dyDescent="0.2">
      <c r="A230" t="s">
        <v>1866</v>
      </c>
      <c r="B230" t="s">
        <v>1867</v>
      </c>
      <c r="C230">
        <v>80</v>
      </c>
      <c r="D230">
        <v>303.5</v>
      </c>
      <c r="E230">
        <v>300.61799999999999</v>
      </c>
      <c r="F230">
        <v>302.3</v>
      </c>
      <c r="G230">
        <v>299.71800000000002</v>
      </c>
      <c r="H230">
        <v>150</v>
      </c>
      <c r="I230">
        <v>3.2280000000000002</v>
      </c>
      <c r="J230" t="s">
        <v>1394</v>
      </c>
      <c r="K230">
        <v>0.4</v>
      </c>
      <c r="L230">
        <v>1.03</v>
      </c>
      <c r="M230">
        <v>0.4</v>
      </c>
      <c r="N230">
        <v>1.03</v>
      </c>
      <c r="O230">
        <v>14</v>
      </c>
      <c r="P230">
        <v>14</v>
      </c>
      <c r="Q230" s="364">
        <f t="shared" si="3"/>
        <v>1.1999999999999886</v>
      </c>
      <c r="R230">
        <v>0</v>
      </c>
      <c r="S230">
        <v>0</v>
      </c>
      <c r="T230">
        <v>0</v>
      </c>
      <c r="U230">
        <v>0</v>
      </c>
      <c r="V230" s="359">
        <v>217363070612</v>
      </c>
      <c r="W230" s="359">
        <v>800467926708</v>
      </c>
      <c r="X230" s="359">
        <v>217426553225</v>
      </c>
      <c r="Y230" t="s">
        <v>1868</v>
      </c>
      <c r="Z230">
        <v>4.22</v>
      </c>
    </row>
    <row r="231" spans="1:26" x14ac:dyDescent="0.2">
      <c r="A231" t="s">
        <v>1867</v>
      </c>
      <c r="B231" t="s">
        <v>1869</v>
      </c>
      <c r="C231">
        <v>30</v>
      </c>
      <c r="D231">
        <v>300.61799999999999</v>
      </c>
      <c r="E231">
        <v>300.2</v>
      </c>
      <c r="F231">
        <v>299.71800000000002</v>
      </c>
      <c r="G231">
        <v>299.3</v>
      </c>
      <c r="H231">
        <v>150</v>
      </c>
      <c r="I231">
        <v>1.393</v>
      </c>
      <c r="J231" t="s">
        <v>1394</v>
      </c>
      <c r="K231">
        <v>0</v>
      </c>
      <c r="L231">
        <v>0</v>
      </c>
      <c r="M231">
        <v>0.4</v>
      </c>
      <c r="N231">
        <v>1.03</v>
      </c>
      <c r="O231">
        <v>17</v>
      </c>
      <c r="P231">
        <v>17</v>
      </c>
      <c r="Q231" s="364">
        <f t="shared" si="3"/>
        <v>0.89999999999997726</v>
      </c>
      <c r="R231">
        <v>0</v>
      </c>
      <c r="S231">
        <v>0</v>
      </c>
      <c r="T231">
        <v>0</v>
      </c>
      <c r="U231">
        <v>0</v>
      </c>
      <c r="V231" s="359">
        <v>217426553225</v>
      </c>
      <c r="W231" s="359">
        <v>8004630584867</v>
      </c>
      <c r="X231" s="359">
        <v>217449687394</v>
      </c>
      <c r="Y231" t="s">
        <v>1870</v>
      </c>
      <c r="Z231">
        <v>2.19</v>
      </c>
    </row>
    <row r="232" spans="1:26" x14ac:dyDescent="0.2">
      <c r="A232" t="s">
        <v>1869</v>
      </c>
      <c r="B232" t="s">
        <v>1871</v>
      </c>
      <c r="C232">
        <v>73</v>
      </c>
      <c r="D232">
        <v>300.2</v>
      </c>
      <c r="E232">
        <v>297.60000000000002</v>
      </c>
      <c r="F232">
        <v>299.3</v>
      </c>
      <c r="G232">
        <v>296.7</v>
      </c>
      <c r="H232">
        <v>150</v>
      </c>
      <c r="I232">
        <v>3.5619999999999998</v>
      </c>
      <c r="J232" t="s">
        <v>1394</v>
      </c>
      <c r="K232">
        <v>0</v>
      </c>
      <c r="L232">
        <v>0</v>
      </c>
      <c r="M232">
        <v>0.4</v>
      </c>
      <c r="N232">
        <v>1.03</v>
      </c>
      <c r="O232">
        <v>13</v>
      </c>
      <c r="P232">
        <v>13</v>
      </c>
      <c r="Q232" s="364">
        <f t="shared" si="3"/>
        <v>0.89999999999997726</v>
      </c>
      <c r="R232">
        <v>0</v>
      </c>
      <c r="S232">
        <v>0</v>
      </c>
      <c r="T232">
        <v>0</v>
      </c>
      <c r="U232">
        <v>0</v>
      </c>
      <c r="V232" s="359">
        <v>217449687394</v>
      </c>
      <c r="W232" s="359">
        <v>8004611484862</v>
      </c>
      <c r="X232" s="359">
        <v>217475910171</v>
      </c>
      <c r="Y232" t="s">
        <v>1872</v>
      </c>
      <c r="Z232">
        <v>4.54</v>
      </c>
    </row>
    <row r="233" spans="1:26" x14ac:dyDescent="0.2">
      <c r="A233" t="s">
        <v>1871</v>
      </c>
      <c r="B233" t="s">
        <v>1873</v>
      </c>
      <c r="C233">
        <v>60</v>
      </c>
      <c r="D233">
        <v>297.60000000000002</v>
      </c>
      <c r="E233">
        <v>297.5</v>
      </c>
      <c r="F233">
        <v>296.7</v>
      </c>
      <c r="G233">
        <v>296.38900000000001</v>
      </c>
      <c r="H233">
        <v>150</v>
      </c>
      <c r="I233">
        <v>0.51800000000000002</v>
      </c>
      <c r="J233" t="s">
        <v>1394</v>
      </c>
      <c r="K233">
        <v>0</v>
      </c>
      <c r="L233">
        <v>0</v>
      </c>
      <c r="M233">
        <v>0.4</v>
      </c>
      <c r="N233">
        <v>1.03</v>
      </c>
      <c r="O233">
        <v>21</v>
      </c>
      <c r="P233">
        <v>21</v>
      </c>
      <c r="Q233" s="364">
        <f t="shared" si="3"/>
        <v>0.90000000000003411</v>
      </c>
      <c r="R233">
        <v>0</v>
      </c>
      <c r="S233">
        <v>0</v>
      </c>
      <c r="T233">
        <v>0</v>
      </c>
      <c r="U233">
        <v>0</v>
      </c>
      <c r="V233" s="359">
        <v>217475910171</v>
      </c>
      <c r="W233" s="359">
        <v>8004543357291</v>
      </c>
      <c r="X233" s="359">
        <v>217459444485</v>
      </c>
      <c r="Y233" t="s">
        <v>1874</v>
      </c>
      <c r="Z233">
        <v>1.02</v>
      </c>
    </row>
    <row r="234" spans="1:26" x14ac:dyDescent="0.2">
      <c r="A234" t="s">
        <v>1873</v>
      </c>
      <c r="B234" t="s">
        <v>1875</v>
      </c>
      <c r="C234">
        <v>80</v>
      </c>
      <c r="D234">
        <v>297.5</v>
      </c>
      <c r="E234">
        <v>296.89999999999998</v>
      </c>
      <c r="F234">
        <v>296.38900000000001</v>
      </c>
      <c r="G234">
        <v>295.97399999999999</v>
      </c>
      <c r="H234">
        <v>150</v>
      </c>
      <c r="I234">
        <v>0.51800000000000002</v>
      </c>
      <c r="J234" t="s">
        <v>1394</v>
      </c>
      <c r="K234">
        <v>0</v>
      </c>
      <c r="L234">
        <v>0</v>
      </c>
      <c r="M234">
        <v>0.4</v>
      </c>
      <c r="N234">
        <v>1.03</v>
      </c>
      <c r="O234">
        <v>21</v>
      </c>
      <c r="P234">
        <v>21</v>
      </c>
      <c r="Q234" s="364">
        <f t="shared" si="3"/>
        <v>1.11099999999999</v>
      </c>
      <c r="R234">
        <v>0</v>
      </c>
      <c r="S234">
        <v>0</v>
      </c>
      <c r="T234">
        <v>0</v>
      </c>
      <c r="U234">
        <v>0</v>
      </c>
      <c r="V234" s="359">
        <v>217459444485</v>
      </c>
      <c r="W234" s="359">
        <v>8004485660834</v>
      </c>
      <c r="X234" s="359">
        <v>21740612378</v>
      </c>
      <c r="Y234" t="s">
        <v>1876</v>
      </c>
      <c r="Z234">
        <v>1.02</v>
      </c>
    </row>
    <row r="235" spans="1:26" x14ac:dyDescent="0.2">
      <c r="A235" t="s">
        <v>1875</v>
      </c>
      <c r="B235" t="s">
        <v>1877</v>
      </c>
      <c r="C235">
        <v>58</v>
      </c>
      <c r="D235">
        <v>296.89999999999998</v>
      </c>
      <c r="E235">
        <v>296.60000000000002</v>
      </c>
      <c r="F235">
        <v>295.97399999999999</v>
      </c>
      <c r="G235">
        <v>295.67399999999998</v>
      </c>
      <c r="H235">
        <v>150</v>
      </c>
      <c r="I235">
        <v>0.51800000000000002</v>
      </c>
      <c r="J235" t="s">
        <v>1394</v>
      </c>
      <c r="K235">
        <v>0</v>
      </c>
      <c r="L235">
        <v>0</v>
      </c>
      <c r="M235">
        <v>0.4</v>
      </c>
      <c r="N235">
        <v>1.03</v>
      </c>
      <c r="O235">
        <v>21</v>
      </c>
      <c r="P235">
        <v>21</v>
      </c>
      <c r="Q235" s="364">
        <f t="shared" si="3"/>
        <v>0.92599999999998772</v>
      </c>
      <c r="R235">
        <v>0</v>
      </c>
      <c r="S235">
        <v>0</v>
      </c>
      <c r="T235">
        <v>0</v>
      </c>
      <c r="U235">
        <v>0</v>
      </c>
      <c r="V235" s="359">
        <v>21740612378</v>
      </c>
      <c r="W235" s="359">
        <v>8004426021061</v>
      </c>
      <c r="X235" s="359">
        <v>21738064734</v>
      </c>
      <c r="Y235" t="s">
        <v>1878</v>
      </c>
      <c r="Z235">
        <v>1.02</v>
      </c>
    </row>
    <row r="236" spans="1:26" x14ac:dyDescent="0.2">
      <c r="A236" t="s">
        <v>1877</v>
      </c>
      <c r="B236" t="s">
        <v>1879</v>
      </c>
      <c r="C236">
        <v>40</v>
      </c>
      <c r="D236">
        <v>296.60000000000002</v>
      </c>
      <c r="E236">
        <v>296.51</v>
      </c>
      <c r="F236">
        <v>295.67399999999998</v>
      </c>
      <c r="G236">
        <v>295.46600000000001</v>
      </c>
      <c r="H236">
        <v>150</v>
      </c>
      <c r="I236">
        <v>0.51800000000000002</v>
      </c>
      <c r="J236" t="s">
        <v>1394</v>
      </c>
      <c r="K236">
        <v>0</v>
      </c>
      <c r="L236">
        <v>0</v>
      </c>
      <c r="M236">
        <v>0.4</v>
      </c>
      <c r="N236">
        <v>1.03</v>
      </c>
      <c r="O236">
        <v>21</v>
      </c>
      <c r="P236">
        <v>21</v>
      </c>
      <c r="Q236" s="364">
        <f t="shared" si="3"/>
        <v>0.92600000000004457</v>
      </c>
      <c r="R236">
        <v>0</v>
      </c>
      <c r="S236">
        <v>0</v>
      </c>
      <c r="T236">
        <v>0</v>
      </c>
      <c r="U236">
        <v>0</v>
      </c>
      <c r="V236" s="359">
        <v>21738064734</v>
      </c>
      <c r="W236" s="359">
        <v>800437391587</v>
      </c>
      <c r="X236" s="359">
        <v>217392072877</v>
      </c>
      <c r="Y236" t="s">
        <v>1880</v>
      </c>
      <c r="Z236">
        <v>1.02</v>
      </c>
    </row>
    <row r="237" spans="1:26" x14ac:dyDescent="0.2">
      <c r="A237" t="s">
        <v>1879</v>
      </c>
      <c r="B237" t="s">
        <v>1881</v>
      </c>
      <c r="C237">
        <v>80</v>
      </c>
      <c r="D237">
        <v>296.51</v>
      </c>
      <c r="E237">
        <v>296.32</v>
      </c>
      <c r="F237">
        <v>295.46600000000001</v>
      </c>
      <c r="G237">
        <v>295.05200000000002</v>
      </c>
      <c r="H237">
        <v>150</v>
      </c>
      <c r="I237">
        <v>0.51800000000000002</v>
      </c>
      <c r="J237" t="s">
        <v>1394</v>
      </c>
      <c r="K237">
        <v>0</v>
      </c>
      <c r="L237">
        <v>0</v>
      </c>
      <c r="M237">
        <v>0.4</v>
      </c>
      <c r="N237">
        <v>1.03</v>
      </c>
      <c r="O237">
        <v>21</v>
      </c>
      <c r="P237">
        <v>21</v>
      </c>
      <c r="Q237" s="364">
        <f t="shared" si="3"/>
        <v>1.0439999999999827</v>
      </c>
      <c r="R237">
        <v>0</v>
      </c>
      <c r="S237">
        <v>0</v>
      </c>
      <c r="T237">
        <v>0</v>
      </c>
      <c r="U237">
        <v>0</v>
      </c>
      <c r="V237" s="359">
        <v>217392072877</v>
      </c>
      <c r="W237" s="359">
        <v>8004335582371</v>
      </c>
      <c r="X237" s="359">
        <v>217358942326</v>
      </c>
      <c r="Y237" t="s">
        <v>1882</v>
      </c>
      <c r="Z237">
        <v>1.02</v>
      </c>
    </row>
    <row r="238" spans="1:26" x14ac:dyDescent="0.2">
      <c r="A238" t="s">
        <v>1881</v>
      </c>
      <c r="B238" t="s">
        <v>1883</v>
      </c>
      <c r="C238">
        <v>80</v>
      </c>
      <c r="D238">
        <v>296.32</v>
      </c>
      <c r="E238">
        <v>296.13</v>
      </c>
      <c r="F238">
        <v>295.05200000000002</v>
      </c>
      <c r="G238">
        <v>294.637</v>
      </c>
      <c r="H238">
        <v>150</v>
      </c>
      <c r="I238">
        <v>0.51800000000000002</v>
      </c>
      <c r="J238" t="s">
        <v>1394</v>
      </c>
      <c r="K238">
        <v>0</v>
      </c>
      <c r="L238">
        <v>0</v>
      </c>
      <c r="M238">
        <v>0.4</v>
      </c>
      <c r="N238">
        <v>1.03</v>
      </c>
      <c r="O238">
        <v>21</v>
      </c>
      <c r="P238">
        <v>21</v>
      </c>
      <c r="Q238" s="364">
        <f t="shared" si="3"/>
        <v>1.2679999999999723</v>
      </c>
      <c r="R238">
        <v>0</v>
      </c>
      <c r="S238">
        <v>0</v>
      </c>
      <c r="T238">
        <v>0</v>
      </c>
      <c r="U238">
        <v>0</v>
      </c>
      <c r="V238" s="359">
        <v>217358942326</v>
      </c>
      <c r="W238" s="359">
        <v>800426276502</v>
      </c>
      <c r="X238" s="359">
        <v>217332602834</v>
      </c>
      <c r="Y238" t="s">
        <v>1884</v>
      </c>
      <c r="Z238">
        <v>1.02</v>
      </c>
    </row>
    <row r="239" spans="1:26" x14ac:dyDescent="0.2">
      <c r="A239" t="s">
        <v>1883</v>
      </c>
      <c r="B239" t="s">
        <v>1885</v>
      </c>
      <c r="C239">
        <v>80</v>
      </c>
      <c r="D239">
        <v>296.13</v>
      </c>
      <c r="E239">
        <v>295.93</v>
      </c>
      <c r="F239">
        <v>294.637</v>
      </c>
      <c r="G239">
        <v>294.22300000000001</v>
      </c>
      <c r="H239">
        <v>150</v>
      </c>
      <c r="I239">
        <v>0.51800000000000002</v>
      </c>
      <c r="J239" t="s">
        <v>1394</v>
      </c>
      <c r="K239">
        <v>0</v>
      </c>
      <c r="L239">
        <v>0</v>
      </c>
      <c r="M239">
        <v>0.4</v>
      </c>
      <c r="N239">
        <v>1.03</v>
      </c>
      <c r="O239">
        <v>21</v>
      </c>
      <c r="P239">
        <v>21</v>
      </c>
      <c r="Q239" s="364">
        <f t="shared" si="3"/>
        <v>1.492999999999995</v>
      </c>
      <c r="R239">
        <v>0</v>
      </c>
      <c r="S239">
        <v>0</v>
      </c>
      <c r="T239">
        <v>0</v>
      </c>
      <c r="U239">
        <v>0</v>
      </c>
      <c r="V239" s="359">
        <v>217332602834</v>
      </c>
      <c r="W239" s="359">
        <v>800418722542</v>
      </c>
      <c r="X239" s="359">
        <v>217312557216</v>
      </c>
      <c r="Y239" t="s">
        <v>1886</v>
      </c>
      <c r="Z239">
        <v>1.02</v>
      </c>
    </row>
    <row r="240" spans="1:26" x14ac:dyDescent="0.2">
      <c r="A240" t="s">
        <v>1885</v>
      </c>
      <c r="B240" t="s">
        <v>1887</v>
      </c>
      <c r="C240">
        <v>80</v>
      </c>
      <c r="D240">
        <v>295.93</v>
      </c>
      <c r="E240">
        <v>294.3</v>
      </c>
      <c r="F240">
        <v>294.22300000000001</v>
      </c>
      <c r="G240">
        <v>293.39999999999998</v>
      </c>
      <c r="H240">
        <v>150</v>
      </c>
      <c r="I240">
        <v>1.028</v>
      </c>
      <c r="J240" t="s">
        <v>1394</v>
      </c>
      <c r="K240">
        <v>0</v>
      </c>
      <c r="L240">
        <v>0</v>
      </c>
      <c r="M240">
        <v>0.4</v>
      </c>
      <c r="N240">
        <v>1.03</v>
      </c>
      <c r="O240">
        <v>18</v>
      </c>
      <c r="P240">
        <v>18</v>
      </c>
      <c r="Q240" s="364">
        <f t="shared" si="3"/>
        <v>1.7069999999999936</v>
      </c>
      <c r="R240">
        <v>0</v>
      </c>
      <c r="S240">
        <v>0</v>
      </c>
      <c r="T240">
        <v>0</v>
      </c>
      <c r="U240">
        <v>0</v>
      </c>
      <c r="V240" s="359">
        <v>217312557216</v>
      </c>
      <c r="W240" s="359">
        <v>8004109777547</v>
      </c>
      <c r="X240" s="359">
        <v>217266759578</v>
      </c>
      <c r="Y240" t="s">
        <v>1888</v>
      </c>
      <c r="Z240">
        <v>1.73</v>
      </c>
    </row>
    <row r="241" spans="1:26" x14ac:dyDescent="0.2">
      <c r="A241" t="s">
        <v>1887</v>
      </c>
      <c r="B241" t="s">
        <v>1889</v>
      </c>
      <c r="C241">
        <v>80</v>
      </c>
      <c r="D241">
        <v>294.3</v>
      </c>
      <c r="E241">
        <v>294.20999999999998</v>
      </c>
      <c r="F241">
        <v>293.39999999999998</v>
      </c>
      <c r="G241">
        <v>292.98500000000001</v>
      </c>
      <c r="H241">
        <v>150</v>
      </c>
      <c r="I241">
        <v>0.51800000000000002</v>
      </c>
      <c r="J241" t="s">
        <v>1394</v>
      </c>
      <c r="K241">
        <v>0</v>
      </c>
      <c r="L241">
        <v>0</v>
      </c>
      <c r="M241">
        <v>0.4</v>
      </c>
      <c r="N241">
        <v>1.03</v>
      </c>
      <c r="O241">
        <v>21</v>
      </c>
      <c r="P241">
        <v>21</v>
      </c>
      <c r="Q241" s="364">
        <f t="shared" si="3"/>
        <v>0.90000000000003411</v>
      </c>
      <c r="R241">
        <v>0</v>
      </c>
      <c r="S241">
        <v>0</v>
      </c>
      <c r="T241">
        <v>0</v>
      </c>
      <c r="U241">
        <v>0</v>
      </c>
      <c r="V241" s="359">
        <v>217266759578</v>
      </c>
      <c r="W241" s="359">
        <v>8004044183519</v>
      </c>
      <c r="X241" s="359">
        <v>217231697087</v>
      </c>
      <c r="Y241" t="s">
        <v>1890</v>
      </c>
      <c r="Z241">
        <v>1.02</v>
      </c>
    </row>
    <row r="242" spans="1:26" x14ac:dyDescent="0.2">
      <c r="A242" t="s">
        <v>1889</v>
      </c>
      <c r="B242" t="s">
        <v>1891</v>
      </c>
      <c r="C242">
        <v>48</v>
      </c>
      <c r="D242">
        <v>294.20999999999998</v>
      </c>
      <c r="E242">
        <v>294.3</v>
      </c>
      <c r="F242">
        <v>292.98500000000001</v>
      </c>
      <c r="G242">
        <v>292.73700000000002</v>
      </c>
      <c r="H242">
        <v>150</v>
      </c>
      <c r="I242">
        <v>0.51800000000000002</v>
      </c>
      <c r="J242" t="s">
        <v>1394</v>
      </c>
      <c r="K242">
        <v>0</v>
      </c>
      <c r="L242">
        <v>0</v>
      </c>
      <c r="M242">
        <v>0.4</v>
      </c>
      <c r="N242">
        <v>1.03</v>
      </c>
      <c r="O242">
        <v>21</v>
      </c>
      <c r="P242">
        <v>21</v>
      </c>
      <c r="Q242" s="364">
        <f t="shared" si="3"/>
        <v>1.2249999999999659</v>
      </c>
      <c r="R242">
        <v>0</v>
      </c>
      <c r="S242">
        <v>0</v>
      </c>
      <c r="T242">
        <v>0</v>
      </c>
      <c r="U242">
        <v>0</v>
      </c>
      <c r="V242" s="359">
        <v>217231697087</v>
      </c>
      <c r="W242" s="359">
        <v>8003972276484</v>
      </c>
      <c r="X242" s="359">
        <v>217218990979</v>
      </c>
      <c r="Y242" t="s">
        <v>1892</v>
      </c>
      <c r="Z242">
        <v>1.02</v>
      </c>
    </row>
    <row r="243" spans="1:26" x14ac:dyDescent="0.2">
      <c r="A243" t="s">
        <v>1891</v>
      </c>
      <c r="B243" t="s">
        <v>1893</v>
      </c>
      <c r="C243">
        <v>50</v>
      </c>
      <c r="D243">
        <v>294.3</v>
      </c>
      <c r="E243">
        <v>293.89999999999998</v>
      </c>
      <c r="F243">
        <v>292.73700000000002</v>
      </c>
      <c r="G243">
        <v>292.47699999999998</v>
      </c>
      <c r="H243">
        <v>150</v>
      </c>
      <c r="I243">
        <v>0.51800000000000002</v>
      </c>
      <c r="J243" t="s">
        <v>1394</v>
      </c>
      <c r="K243">
        <v>0</v>
      </c>
      <c r="L243">
        <v>0</v>
      </c>
      <c r="M243">
        <v>0.4</v>
      </c>
      <c r="N243">
        <v>1.03</v>
      </c>
      <c r="O243">
        <v>21</v>
      </c>
      <c r="P243">
        <v>21</v>
      </c>
      <c r="Q243" s="364">
        <f t="shared" si="3"/>
        <v>1.5629999999999882</v>
      </c>
      <c r="R243">
        <v>0</v>
      </c>
      <c r="S243">
        <v>0</v>
      </c>
      <c r="T243">
        <v>0</v>
      </c>
      <c r="U243">
        <v>0</v>
      </c>
      <c r="V243" s="359">
        <v>217218990979</v>
      </c>
      <c r="W243" s="359">
        <v>8003925988745</v>
      </c>
      <c r="X243" s="359">
        <v>217227951548</v>
      </c>
      <c r="Y243" t="s">
        <v>1894</v>
      </c>
      <c r="Z243">
        <v>1.02</v>
      </c>
    </row>
    <row r="244" spans="1:26" x14ac:dyDescent="0.2">
      <c r="A244" t="s">
        <v>1893</v>
      </c>
      <c r="B244" t="s">
        <v>1895</v>
      </c>
      <c r="C244">
        <v>80</v>
      </c>
      <c r="D244">
        <v>293.89999999999998</v>
      </c>
      <c r="E244">
        <v>293.35000000000002</v>
      </c>
      <c r="F244">
        <v>292.47699999999998</v>
      </c>
      <c r="G244">
        <v>292.06299999999999</v>
      </c>
      <c r="H244">
        <v>150</v>
      </c>
      <c r="I244">
        <v>0.51800000000000002</v>
      </c>
      <c r="J244" t="s">
        <v>1394</v>
      </c>
      <c r="K244">
        <v>0</v>
      </c>
      <c r="L244">
        <v>0</v>
      </c>
      <c r="M244">
        <v>0.4</v>
      </c>
      <c r="N244">
        <v>1.03</v>
      </c>
      <c r="O244">
        <v>21</v>
      </c>
      <c r="P244">
        <v>21</v>
      </c>
      <c r="Q244" s="364">
        <f t="shared" si="3"/>
        <v>1.4230000000000018</v>
      </c>
      <c r="R244">
        <v>0</v>
      </c>
      <c r="S244">
        <v>0</v>
      </c>
      <c r="T244">
        <v>0</v>
      </c>
      <c r="U244">
        <v>0</v>
      </c>
      <c r="V244" s="359">
        <v>217227951548</v>
      </c>
      <c r="W244" s="359">
        <v>8003876798215</v>
      </c>
      <c r="X244" s="359">
        <v>217212711576</v>
      </c>
      <c r="Y244" t="s">
        <v>1896</v>
      </c>
      <c r="Z244">
        <v>1.02</v>
      </c>
    </row>
    <row r="245" spans="1:26" x14ac:dyDescent="0.2">
      <c r="A245" t="s">
        <v>1895</v>
      </c>
      <c r="B245" t="s">
        <v>1897</v>
      </c>
      <c r="C245">
        <v>80</v>
      </c>
      <c r="D245">
        <v>293.35000000000002</v>
      </c>
      <c r="E245">
        <v>293.3</v>
      </c>
      <c r="F245">
        <v>292.06299999999999</v>
      </c>
      <c r="G245">
        <v>291.64800000000002</v>
      </c>
      <c r="H245">
        <v>150</v>
      </c>
      <c r="I245">
        <v>0.51800000000000002</v>
      </c>
      <c r="J245" t="s">
        <v>1394</v>
      </c>
      <c r="K245">
        <v>0</v>
      </c>
      <c r="L245">
        <v>0</v>
      </c>
      <c r="M245">
        <v>0.4</v>
      </c>
      <c r="N245">
        <v>1.03</v>
      </c>
      <c r="O245">
        <v>21</v>
      </c>
      <c r="P245">
        <v>21</v>
      </c>
      <c r="Q245" s="364">
        <f t="shared" si="3"/>
        <v>1.2870000000000346</v>
      </c>
      <c r="R245">
        <v>0</v>
      </c>
      <c r="S245">
        <v>0</v>
      </c>
      <c r="T245">
        <v>0</v>
      </c>
      <c r="U245">
        <v>0</v>
      </c>
      <c r="V245" s="359">
        <v>217212711576</v>
      </c>
      <c r="W245" s="359">
        <v>8003798263234</v>
      </c>
      <c r="X245" s="359">
        <v>217168483657</v>
      </c>
      <c r="Y245" t="s">
        <v>1898</v>
      </c>
      <c r="Z245">
        <v>1.02</v>
      </c>
    </row>
    <row r="246" spans="1:26" x14ac:dyDescent="0.2">
      <c r="A246" t="s">
        <v>1897</v>
      </c>
      <c r="B246" t="s">
        <v>1899</v>
      </c>
      <c r="C246">
        <v>26</v>
      </c>
      <c r="D246">
        <v>293.3</v>
      </c>
      <c r="E246">
        <v>293.3</v>
      </c>
      <c r="F246">
        <v>291.64800000000002</v>
      </c>
      <c r="G246">
        <v>291.51299999999998</v>
      </c>
      <c r="H246">
        <v>150</v>
      </c>
      <c r="I246">
        <v>0.51800000000000002</v>
      </c>
      <c r="J246" t="s">
        <v>1394</v>
      </c>
      <c r="K246">
        <v>0</v>
      </c>
      <c r="L246">
        <v>0</v>
      </c>
      <c r="M246">
        <v>0.4</v>
      </c>
      <c r="N246">
        <v>1.03</v>
      </c>
      <c r="O246">
        <v>21</v>
      </c>
      <c r="P246">
        <v>21</v>
      </c>
      <c r="Q246" s="364">
        <f t="shared" si="3"/>
        <v>1.6519999999999868</v>
      </c>
      <c r="R246">
        <v>0</v>
      </c>
      <c r="S246">
        <v>0</v>
      </c>
      <c r="T246">
        <v>0</v>
      </c>
      <c r="U246">
        <v>0</v>
      </c>
      <c r="V246" s="359">
        <v>217168483657</v>
      </c>
      <c r="W246" s="359">
        <v>8003731600717</v>
      </c>
      <c r="X246" s="359">
        <v>217167311452</v>
      </c>
      <c r="Y246" t="s">
        <v>1900</v>
      </c>
      <c r="Z246">
        <v>1.02</v>
      </c>
    </row>
    <row r="247" spans="1:26" x14ac:dyDescent="0.2">
      <c r="A247" t="s">
        <v>1899</v>
      </c>
      <c r="B247" t="s">
        <v>1901</v>
      </c>
      <c r="C247">
        <v>40</v>
      </c>
      <c r="D247">
        <v>293.3</v>
      </c>
      <c r="E247">
        <v>293.2</v>
      </c>
      <c r="F247">
        <v>291.51299999999998</v>
      </c>
      <c r="G247">
        <v>291.30599999999998</v>
      </c>
      <c r="H247">
        <v>150</v>
      </c>
      <c r="I247">
        <v>0.51800000000000002</v>
      </c>
      <c r="J247" t="s">
        <v>1394</v>
      </c>
      <c r="K247">
        <v>0</v>
      </c>
      <c r="L247">
        <v>0</v>
      </c>
      <c r="M247">
        <v>0.4</v>
      </c>
      <c r="N247">
        <v>1.03</v>
      </c>
      <c r="O247">
        <v>21</v>
      </c>
      <c r="P247">
        <v>21</v>
      </c>
      <c r="Q247" s="364">
        <f t="shared" si="3"/>
        <v>1.7870000000000346</v>
      </c>
      <c r="R247">
        <v>0</v>
      </c>
      <c r="S247">
        <v>0</v>
      </c>
      <c r="T247">
        <v>0</v>
      </c>
      <c r="U247">
        <v>0</v>
      </c>
      <c r="V247" s="359">
        <v>217167311452</v>
      </c>
      <c r="W247" s="359">
        <v>8003705627155</v>
      </c>
      <c r="X247" s="359">
        <v>217130648922</v>
      </c>
      <c r="Y247" t="s">
        <v>1902</v>
      </c>
      <c r="Z247">
        <v>1.02</v>
      </c>
    </row>
    <row r="248" spans="1:26" x14ac:dyDescent="0.2">
      <c r="A248" t="s">
        <v>1901</v>
      </c>
      <c r="B248" t="s">
        <v>1903</v>
      </c>
      <c r="C248">
        <v>26</v>
      </c>
      <c r="D248">
        <v>293.2</v>
      </c>
      <c r="E248">
        <v>293.2</v>
      </c>
      <c r="F248">
        <v>291.30599999999998</v>
      </c>
      <c r="G248">
        <v>291.2</v>
      </c>
      <c r="H248">
        <v>150</v>
      </c>
      <c r="I248">
        <v>0.40899999999999997</v>
      </c>
      <c r="J248" t="s">
        <v>1394</v>
      </c>
      <c r="K248">
        <v>2.08</v>
      </c>
      <c r="L248">
        <v>5.35</v>
      </c>
      <c r="M248">
        <v>2.48</v>
      </c>
      <c r="N248">
        <v>6.38</v>
      </c>
      <c r="O248">
        <v>30</v>
      </c>
      <c r="P248">
        <v>50</v>
      </c>
      <c r="Q248" s="364">
        <f t="shared" si="3"/>
        <v>1.8940000000000055</v>
      </c>
      <c r="R248">
        <v>0</v>
      </c>
      <c r="S248">
        <v>0</v>
      </c>
      <c r="T248">
        <v>0</v>
      </c>
      <c r="U248">
        <v>0</v>
      </c>
      <c r="V248" s="359">
        <v>217130648922</v>
      </c>
      <c r="W248" s="359">
        <v>8003689631565</v>
      </c>
      <c r="X248" s="359">
        <v>21711124719</v>
      </c>
      <c r="Y248" t="s">
        <v>1904</v>
      </c>
      <c r="Z248">
        <v>1.54</v>
      </c>
    </row>
    <row r="249" spans="1:26" x14ac:dyDescent="0.2">
      <c r="A249" t="s">
        <v>1903</v>
      </c>
      <c r="B249" t="s">
        <v>1905</v>
      </c>
      <c r="C249">
        <v>60</v>
      </c>
      <c r="D249">
        <v>293.2</v>
      </c>
      <c r="E249">
        <v>293.05</v>
      </c>
      <c r="F249">
        <v>291.2</v>
      </c>
      <c r="G249">
        <v>290.95400000000001</v>
      </c>
      <c r="H249">
        <v>150</v>
      </c>
      <c r="I249">
        <v>0.40899999999999997</v>
      </c>
      <c r="J249" t="s">
        <v>1394</v>
      </c>
      <c r="K249">
        <v>0</v>
      </c>
      <c r="L249">
        <v>0</v>
      </c>
      <c r="M249">
        <v>2.48</v>
      </c>
      <c r="N249">
        <v>6.38</v>
      </c>
      <c r="O249">
        <v>30</v>
      </c>
      <c r="P249">
        <v>50</v>
      </c>
      <c r="Q249" s="364">
        <f t="shared" ref="Q249:Q302" si="4">D249-F249</f>
        <v>2</v>
      </c>
      <c r="R249">
        <v>0</v>
      </c>
      <c r="S249">
        <v>0</v>
      </c>
      <c r="T249">
        <v>0</v>
      </c>
      <c r="U249">
        <v>0</v>
      </c>
      <c r="V249" s="359">
        <v>21711124719</v>
      </c>
      <c r="W249" s="359">
        <v>8003672323394</v>
      </c>
      <c r="X249" s="359">
        <v>217083648611</v>
      </c>
      <c r="Y249" t="s">
        <v>1906</v>
      </c>
      <c r="Z249">
        <v>1.54</v>
      </c>
    </row>
    <row r="250" spans="1:26" x14ac:dyDescent="0.2">
      <c r="A250" t="s">
        <v>1905</v>
      </c>
      <c r="B250" t="s">
        <v>1907</v>
      </c>
      <c r="C250">
        <v>19</v>
      </c>
      <c r="D250">
        <v>293.05</v>
      </c>
      <c r="E250">
        <v>293.14999999999998</v>
      </c>
      <c r="F250">
        <v>290.95400000000001</v>
      </c>
      <c r="G250">
        <v>290.87599999999998</v>
      </c>
      <c r="H250">
        <v>150</v>
      </c>
      <c r="I250">
        <v>0.40899999999999997</v>
      </c>
      <c r="J250" t="s">
        <v>1394</v>
      </c>
      <c r="K250">
        <v>0</v>
      </c>
      <c r="L250">
        <v>0</v>
      </c>
      <c r="M250">
        <v>2.48</v>
      </c>
      <c r="N250">
        <v>6.38</v>
      </c>
      <c r="O250">
        <v>30</v>
      </c>
      <c r="P250">
        <v>50</v>
      </c>
      <c r="Q250" s="364">
        <f t="shared" si="4"/>
        <v>2.0960000000000036</v>
      </c>
      <c r="R250">
        <v>0</v>
      </c>
      <c r="S250">
        <v>0</v>
      </c>
      <c r="T250">
        <v>0</v>
      </c>
      <c r="U250">
        <v>0</v>
      </c>
      <c r="V250" s="359">
        <v>217083648611</v>
      </c>
      <c r="W250" s="359">
        <v>8003619047523</v>
      </c>
      <c r="X250" s="359">
        <v>21707562186</v>
      </c>
      <c r="Y250" t="s">
        <v>1908</v>
      </c>
      <c r="Z250">
        <v>1.54</v>
      </c>
    </row>
    <row r="251" spans="1:26" x14ac:dyDescent="0.2">
      <c r="A251" t="s">
        <v>1907</v>
      </c>
      <c r="B251" t="s">
        <v>1909</v>
      </c>
      <c r="C251">
        <v>24</v>
      </c>
      <c r="D251">
        <v>293.14999999999998</v>
      </c>
      <c r="E251">
        <v>292.7</v>
      </c>
      <c r="F251">
        <v>290.87599999999998</v>
      </c>
      <c r="G251">
        <v>290.77800000000002</v>
      </c>
      <c r="H251">
        <v>150</v>
      </c>
      <c r="I251">
        <v>0.40899999999999997</v>
      </c>
      <c r="J251" t="s">
        <v>1394</v>
      </c>
      <c r="K251">
        <v>0</v>
      </c>
      <c r="L251">
        <v>0</v>
      </c>
      <c r="M251">
        <v>2.48</v>
      </c>
      <c r="N251">
        <v>6.38</v>
      </c>
      <c r="O251">
        <v>30</v>
      </c>
      <c r="P251">
        <v>50</v>
      </c>
      <c r="Q251" s="364">
        <f t="shared" si="4"/>
        <v>2.2740000000000009</v>
      </c>
      <c r="R251">
        <v>0</v>
      </c>
      <c r="S251">
        <v>0</v>
      </c>
      <c r="T251">
        <v>0</v>
      </c>
      <c r="U251">
        <v>0</v>
      </c>
      <c r="V251" s="359">
        <v>21707562186</v>
      </c>
      <c r="W251" s="359">
        <v>8003601826278</v>
      </c>
      <c r="X251" s="359">
        <v>217062601764</v>
      </c>
      <c r="Y251" t="s">
        <v>1910</v>
      </c>
      <c r="Z251">
        <v>1.54</v>
      </c>
    </row>
    <row r="252" spans="1:26" x14ac:dyDescent="0.2">
      <c r="A252" t="s">
        <v>1909</v>
      </c>
      <c r="B252" t="s">
        <v>1911</v>
      </c>
      <c r="C252">
        <v>80</v>
      </c>
      <c r="D252">
        <v>292.7</v>
      </c>
      <c r="E252">
        <v>292.5</v>
      </c>
      <c r="F252">
        <v>290.77800000000002</v>
      </c>
      <c r="G252">
        <v>290.45100000000002</v>
      </c>
      <c r="H252">
        <v>150</v>
      </c>
      <c r="I252">
        <v>0.40899999999999997</v>
      </c>
      <c r="J252" t="s">
        <v>1394</v>
      </c>
      <c r="K252">
        <v>0</v>
      </c>
      <c r="L252">
        <v>0</v>
      </c>
      <c r="M252">
        <v>2.48</v>
      </c>
      <c r="N252">
        <v>6.38</v>
      </c>
      <c r="O252">
        <v>30</v>
      </c>
      <c r="P252">
        <v>50</v>
      </c>
      <c r="Q252" s="364">
        <f t="shared" si="4"/>
        <v>1.9219999999999686</v>
      </c>
      <c r="R252">
        <v>0</v>
      </c>
      <c r="S252">
        <v>0</v>
      </c>
      <c r="T252">
        <v>0</v>
      </c>
      <c r="U252">
        <v>0</v>
      </c>
      <c r="V252" s="359">
        <v>217062601764</v>
      </c>
      <c r="W252" s="359">
        <v>8003581665001</v>
      </c>
      <c r="X252" s="359">
        <v>217046217718</v>
      </c>
      <c r="Y252" t="s">
        <v>1912</v>
      </c>
      <c r="Z252">
        <v>1.54</v>
      </c>
    </row>
    <row r="253" spans="1:26" x14ac:dyDescent="0.2">
      <c r="A253" t="s">
        <v>1911</v>
      </c>
      <c r="B253" t="s">
        <v>1913</v>
      </c>
      <c r="C253">
        <v>80</v>
      </c>
      <c r="D253">
        <v>292.5</v>
      </c>
      <c r="E253">
        <v>291.89999999999998</v>
      </c>
      <c r="F253">
        <v>290.45100000000002</v>
      </c>
      <c r="G253">
        <v>290.12299999999999</v>
      </c>
      <c r="H253">
        <v>150</v>
      </c>
      <c r="I253">
        <v>0.40899999999999997</v>
      </c>
      <c r="J253" t="s">
        <v>1394</v>
      </c>
      <c r="K253">
        <v>0</v>
      </c>
      <c r="L253">
        <v>0</v>
      </c>
      <c r="M253">
        <v>2.48</v>
      </c>
      <c r="N253">
        <v>6.38</v>
      </c>
      <c r="O253">
        <v>30</v>
      </c>
      <c r="P253">
        <v>50</v>
      </c>
      <c r="Q253" s="364">
        <f t="shared" si="4"/>
        <v>2.0489999999999782</v>
      </c>
      <c r="R253">
        <v>0</v>
      </c>
      <c r="S253">
        <v>0</v>
      </c>
      <c r="T253">
        <v>0</v>
      </c>
      <c r="U253">
        <v>0</v>
      </c>
      <c r="V253" s="359">
        <v>217046217718</v>
      </c>
      <c r="W253" s="359">
        <v>8003503360703</v>
      </c>
      <c r="X253" s="359">
        <v>217030418447</v>
      </c>
      <c r="Y253" t="s">
        <v>1914</v>
      </c>
      <c r="Z253">
        <v>1.54</v>
      </c>
    </row>
    <row r="254" spans="1:26" x14ac:dyDescent="0.2">
      <c r="A254" t="s">
        <v>1913</v>
      </c>
      <c r="B254" t="s">
        <v>1915</v>
      </c>
      <c r="C254">
        <v>69.38</v>
      </c>
      <c r="D254">
        <v>291.89999999999998</v>
      </c>
      <c r="E254">
        <v>291.60000000000002</v>
      </c>
      <c r="F254">
        <v>290.12299999999999</v>
      </c>
      <c r="G254">
        <v>289.83999999999997</v>
      </c>
      <c r="H254">
        <v>150</v>
      </c>
      <c r="I254">
        <v>0.40899999999999997</v>
      </c>
      <c r="J254" t="s">
        <v>1394</v>
      </c>
      <c r="K254">
        <v>0</v>
      </c>
      <c r="L254">
        <v>0</v>
      </c>
      <c r="M254">
        <v>2.48</v>
      </c>
      <c r="N254">
        <v>6.38</v>
      </c>
      <c r="O254">
        <v>30</v>
      </c>
      <c r="P254">
        <v>50</v>
      </c>
      <c r="Q254" s="364">
        <f t="shared" si="4"/>
        <v>1.7769999999999868</v>
      </c>
      <c r="R254">
        <v>0</v>
      </c>
      <c r="S254">
        <v>0</v>
      </c>
      <c r="T254">
        <v>0</v>
      </c>
      <c r="U254">
        <v>0</v>
      </c>
      <c r="V254" s="359">
        <v>217030418447</v>
      </c>
      <c r="W254" s="359">
        <v>8003424936325</v>
      </c>
      <c r="X254" s="359">
        <v>217022199237</v>
      </c>
      <c r="Y254" t="s">
        <v>1916</v>
      </c>
      <c r="Z254">
        <v>1.54</v>
      </c>
    </row>
    <row r="255" spans="1:26" x14ac:dyDescent="0.2">
      <c r="A255" t="s">
        <v>1915</v>
      </c>
      <c r="B255" t="s">
        <v>1917</v>
      </c>
      <c r="C255">
        <v>37.76</v>
      </c>
      <c r="D255">
        <v>291.60000000000002</v>
      </c>
      <c r="E255">
        <v>291.48</v>
      </c>
      <c r="F255">
        <v>289.7</v>
      </c>
      <c r="G255">
        <v>289.57499999999999</v>
      </c>
      <c r="H255">
        <v>150</v>
      </c>
      <c r="I255">
        <v>0.33100000000000002</v>
      </c>
      <c r="J255" t="s">
        <v>1394</v>
      </c>
      <c r="K255">
        <v>1.42</v>
      </c>
      <c r="L255">
        <v>3.65</v>
      </c>
      <c r="M255">
        <v>3.9</v>
      </c>
      <c r="N255">
        <v>10.029999999999999</v>
      </c>
      <c r="O255">
        <v>40</v>
      </c>
      <c r="P255">
        <v>72</v>
      </c>
      <c r="Q255" s="364">
        <f t="shared" si="4"/>
        <v>1.9000000000000341</v>
      </c>
      <c r="R255">
        <v>0</v>
      </c>
      <c r="S255">
        <v>0</v>
      </c>
      <c r="T255">
        <v>0</v>
      </c>
      <c r="U255">
        <v>0</v>
      </c>
      <c r="V255" s="359">
        <v>217022199237</v>
      </c>
      <c r="W255" s="359">
        <v>8003356046033</v>
      </c>
      <c r="X255" s="359">
        <v>217007755941</v>
      </c>
      <c r="Y255" t="s">
        <v>1918</v>
      </c>
      <c r="Z255">
        <v>1.49</v>
      </c>
    </row>
    <row r="256" spans="1:26" x14ac:dyDescent="0.2">
      <c r="A256" t="s">
        <v>1917</v>
      </c>
      <c r="B256" t="s">
        <v>1919</v>
      </c>
      <c r="C256">
        <v>59</v>
      </c>
      <c r="D256">
        <v>291.48</v>
      </c>
      <c r="E256">
        <v>291.5</v>
      </c>
      <c r="F256">
        <v>289.57499999999999</v>
      </c>
      <c r="G256">
        <v>289.38</v>
      </c>
      <c r="H256">
        <v>150</v>
      </c>
      <c r="I256">
        <v>0.33100000000000002</v>
      </c>
      <c r="J256" t="s">
        <v>1394</v>
      </c>
      <c r="K256">
        <v>0</v>
      </c>
      <c r="L256">
        <v>0</v>
      </c>
      <c r="M256">
        <v>3.9</v>
      </c>
      <c r="N256">
        <v>10.029999999999999</v>
      </c>
      <c r="O256">
        <v>40</v>
      </c>
      <c r="P256">
        <v>72</v>
      </c>
      <c r="Q256" s="364">
        <f t="shared" si="4"/>
        <v>1.9050000000000296</v>
      </c>
      <c r="R256">
        <v>0</v>
      </c>
      <c r="S256">
        <v>0</v>
      </c>
      <c r="T256">
        <v>0</v>
      </c>
      <c r="U256">
        <v>0</v>
      </c>
      <c r="V256" s="359">
        <v>217007755941</v>
      </c>
      <c r="W256" s="359">
        <v>80033211579</v>
      </c>
      <c r="X256" s="359">
        <v>216951140746</v>
      </c>
      <c r="Y256" t="s">
        <v>1920</v>
      </c>
      <c r="Z256">
        <v>1.49</v>
      </c>
    </row>
    <row r="257" spans="1:26" x14ac:dyDescent="0.2">
      <c r="A257" t="s">
        <v>1919</v>
      </c>
      <c r="B257" t="s">
        <v>1921</v>
      </c>
      <c r="C257">
        <v>33</v>
      </c>
      <c r="D257">
        <v>291.5</v>
      </c>
      <c r="E257">
        <v>291.45</v>
      </c>
      <c r="F257">
        <v>289.38</v>
      </c>
      <c r="G257">
        <v>289.27100000000002</v>
      </c>
      <c r="H257">
        <v>150</v>
      </c>
      <c r="I257">
        <v>0.33100000000000002</v>
      </c>
      <c r="J257" t="s">
        <v>1394</v>
      </c>
      <c r="K257">
        <v>0</v>
      </c>
      <c r="L257">
        <v>0</v>
      </c>
      <c r="M257">
        <v>3.9</v>
      </c>
      <c r="N257">
        <v>10.029999999999999</v>
      </c>
      <c r="O257">
        <v>40</v>
      </c>
      <c r="P257">
        <v>72</v>
      </c>
      <c r="Q257" s="364">
        <f t="shared" si="4"/>
        <v>2.1200000000000045</v>
      </c>
      <c r="R257">
        <v>0</v>
      </c>
      <c r="S257">
        <v>0</v>
      </c>
      <c r="T257">
        <v>0</v>
      </c>
      <c r="U257">
        <v>0</v>
      </c>
      <c r="V257" s="359">
        <v>216951140746</v>
      </c>
      <c r="W257" s="359">
        <v>8003304553091</v>
      </c>
      <c r="X257" s="359">
        <v>21691831359</v>
      </c>
      <c r="Y257" t="s">
        <v>1922</v>
      </c>
      <c r="Z257">
        <v>1.49</v>
      </c>
    </row>
    <row r="258" spans="1:26" x14ac:dyDescent="0.2">
      <c r="A258" t="s">
        <v>1921</v>
      </c>
      <c r="B258" t="s">
        <v>1923</v>
      </c>
      <c r="C258">
        <v>35</v>
      </c>
      <c r="D258">
        <v>291.45</v>
      </c>
      <c r="E258">
        <v>291.3</v>
      </c>
      <c r="F258">
        <v>289.221</v>
      </c>
      <c r="G258">
        <v>289.11599999999999</v>
      </c>
      <c r="H258">
        <v>200</v>
      </c>
      <c r="I258">
        <v>0.3</v>
      </c>
      <c r="J258" t="s">
        <v>1394</v>
      </c>
      <c r="K258">
        <v>0.89</v>
      </c>
      <c r="L258">
        <v>2.29</v>
      </c>
      <c r="M258">
        <v>4.79</v>
      </c>
      <c r="N258">
        <v>12.32</v>
      </c>
      <c r="O258">
        <v>30</v>
      </c>
      <c r="P258">
        <v>51</v>
      </c>
      <c r="Q258" s="364">
        <f t="shared" si="4"/>
        <v>2.228999999999985</v>
      </c>
      <c r="R258">
        <v>0</v>
      </c>
      <c r="S258">
        <v>0</v>
      </c>
      <c r="T258">
        <v>0</v>
      </c>
      <c r="U258">
        <v>0</v>
      </c>
      <c r="V258" s="359">
        <v>21691831359</v>
      </c>
      <c r="W258" s="359">
        <v>8003301179991</v>
      </c>
      <c r="X258" s="359">
        <v>216919559204</v>
      </c>
      <c r="Y258" t="s">
        <v>1924</v>
      </c>
      <c r="Z258">
        <v>1.53</v>
      </c>
    </row>
    <row r="259" spans="1:26" x14ac:dyDescent="0.2">
      <c r="A259" t="s">
        <v>1923</v>
      </c>
      <c r="B259" t="s">
        <v>1925</v>
      </c>
      <c r="C259">
        <v>80</v>
      </c>
      <c r="D259">
        <v>291.3</v>
      </c>
      <c r="E259">
        <v>291.19</v>
      </c>
      <c r="F259">
        <v>289.11599999999999</v>
      </c>
      <c r="G259">
        <v>288.87599999999998</v>
      </c>
      <c r="H259">
        <v>200</v>
      </c>
      <c r="I259">
        <v>0.3</v>
      </c>
      <c r="J259" t="s">
        <v>1394</v>
      </c>
      <c r="K259">
        <v>0.46</v>
      </c>
      <c r="L259">
        <v>1.1599999999999999</v>
      </c>
      <c r="M259">
        <v>5.25</v>
      </c>
      <c r="N259">
        <v>13.48</v>
      </c>
      <c r="O259">
        <v>32</v>
      </c>
      <c r="P259">
        <v>54</v>
      </c>
      <c r="Q259" s="364">
        <f t="shared" si="4"/>
        <v>2.1840000000000259</v>
      </c>
      <c r="R259">
        <v>0</v>
      </c>
      <c r="S259">
        <v>0</v>
      </c>
      <c r="T259">
        <v>0</v>
      </c>
      <c r="U259">
        <v>0</v>
      </c>
      <c r="V259" s="359">
        <v>216919559204</v>
      </c>
      <c r="W259" s="359">
        <v>8003266202163</v>
      </c>
      <c r="X259" s="359">
        <v>216918607232</v>
      </c>
      <c r="Y259" t="s">
        <v>1926</v>
      </c>
      <c r="Z259">
        <v>1.58</v>
      </c>
    </row>
    <row r="260" spans="1:26" x14ac:dyDescent="0.2">
      <c r="A260" t="s">
        <v>1925</v>
      </c>
      <c r="B260" t="s">
        <v>1927</v>
      </c>
      <c r="C260">
        <v>22</v>
      </c>
      <c r="D260">
        <v>291.19</v>
      </c>
      <c r="E260">
        <v>291.10000000000002</v>
      </c>
      <c r="F260">
        <v>288.87599999999998</v>
      </c>
      <c r="G260">
        <v>288.81</v>
      </c>
      <c r="H260">
        <v>200</v>
      </c>
      <c r="I260">
        <v>0.3</v>
      </c>
      <c r="J260" t="s">
        <v>1394</v>
      </c>
      <c r="K260">
        <v>0</v>
      </c>
      <c r="L260">
        <v>0</v>
      </c>
      <c r="M260">
        <v>5.25</v>
      </c>
      <c r="N260">
        <v>13.48</v>
      </c>
      <c r="O260">
        <v>32</v>
      </c>
      <c r="P260">
        <v>54</v>
      </c>
      <c r="Q260" s="364">
        <f t="shared" si="4"/>
        <v>2.3140000000000214</v>
      </c>
      <c r="R260">
        <v>0</v>
      </c>
      <c r="S260">
        <v>0</v>
      </c>
      <c r="T260">
        <v>0</v>
      </c>
      <c r="U260">
        <v>0</v>
      </c>
      <c r="V260" s="359">
        <v>216918607232</v>
      </c>
      <c r="W260" s="359">
        <v>8003186207827</v>
      </c>
      <c r="X260" s="359">
        <v>216915358453</v>
      </c>
      <c r="Y260" t="s">
        <v>1928</v>
      </c>
      <c r="Z260">
        <v>1.58</v>
      </c>
    </row>
    <row r="261" spans="1:26" x14ac:dyDescent="0.2">
      <c r="A261" t="s">
        <v>1927</v>
      </c>
      <c r="B261" t="s">
        <v>1929</v>
      </c>
      <c r="C261">
        <v>60</v>
      </c>
      <c r="D261">
        <v>291.10000000000002</v>
      </c>
      <c r="E261">
        <v>290.7</v>
      </c>
      <c r="F261">
        <v>288.81</v>
      </c>
      <c r="G261">
        <v>288.63</v>
      </c>
      <c r="H261">
        <v>200</v>
      </c>
      <c r="I261">
        <v>0.3</v>
      </c>
      <c r="J261" t="s">
        <v>1394</v>
      </c>
      <c r="K261">
        <v>0</v>
      </c>
      <c r="L261">
        <v>0</v>
      </c>
      <c r="M261">
        <v>5.25</v>
      </c>
      <c r="N261">
        <v>13.48</v>
      </c>
      <c r="O261">
        <v>32</v>
      </c>
      <c r="P261">
        <v>54</v>
      </c>
      <c r="Q261" s="364">
        <f t="shared" si="4"/>
        <v>2.2900000000000205</v>
      </c>
      <c r="R261">
        <v>0</v>
      </c>
      <c r="S261">
        <v>0</v>
      </c>
      <c r="T261">
        <v>0</v>
      </c>
      <c r="U261">
        <v>0</v>
      </c>
      <c r="V261" s="359">
        <v>216915358453</v>
      </c>
      <c r="W261" s="359">
        <v>8003164449026</v>
      </c>
      <c r="X261" s="359">
        <v>216859295954</v>
      </c>
      <c r="Y261" t="s">
        <v>1930</v>
      </c>
      <c r="Z261">
        <v>1.58</v>
      </c>
    </row>
    <row r="262" spans="1:26" x14ac:dyDescent="0.2">
      <c r="A262" t="s">
        <v>1929</v>
      </c>
      <c r="B262" t="s">
        <v>1931</v>
      </c>
      <c r="C262">
        <v>67</v>
      </c>
      <c r="D262">
        <v>290.7</v>
      </c>
      <c r="E262">
        <v>290.5</v>
      </c>
      <c r="F262">
        <v>288.63</v>
      </c>
      <c r="G262">
        <v>288.42899999999997</v>
      </c>
      <c r="H262">
        <v>200</v>
      </c>
      <c r="I262">
        <v>0.3</v>
      </c>
      <c r="J262" t="s">
        <v>1394</v>
      </c>
      <c r="K262">
        <v>0</v>
      </c>
      <c r="L262">
        <v>0</v>
      </c>
      <c r="M262">
        <v>5.25</v>
      </c>
      <c r="N262">
        <v>13.48</v>
      </c>
      <c r="O262">
        <v>32</v>
      </c>
      <c r="P262">
        <v>54</v>
      </c>
      <c r="Q262" s="364">
        <f t="shared" si="4"/>
        <v>2.0699999999999932</v>
      </c>
      <c r="R262">
        <v>0</v>
      </c>
      <c r="S262">
        <v>0</v>
      </c>
      <c r="T262">
        <v>0</v>
      </c>
      <c r="U262">
        <v>0</v>
      </c>
      <c r="V262" s="359">
        <v>216859295954</v>
      </c>
      <c r="W262" s="359">
        <v>8003143071555</v>
      </c>
      <c r="X262" s="359">
        <v>216895242699</v>
      </c>
      <c r="Y262" t="s">
        <v>1932</v>
      </c>
      <c r="Z262">
        <v>1.58</v>
      </c>
    </row>
    <row r="263" spans="1:26" x14ac:dyDescent="0.2">
      <c r="A263" t="s">
        <v>1931</v>
      </c>
      <c r="B263" t="s">
        <v>1933</v>
      </c>
      <c r="C263">
        <v>80</v>
      </c>
      <c r="D263">
        <v>290.5</v>
      </c>
      <c r="E263">
        <v>290.39999999999998</v>
      </c>
      <c r="F263">
        <v>288.42899999999997</v>
      </c>
      <c r="G263">
        <v>288.18900000000002</v>
      </c>
      <c r="H263">
        <v>200</v>
      </c>
      <c r="I263">
        <v>0.3</v>
      </c>
      <c r="J263" t="s">
        <v>1394</v>
      </c>
      <c r="K263">
        <v>0</v>
      </c>
      <c r="L263">
        <v>0</v>
      </c>
      <c r="M263">
        <v>5.25</v>
      </c>
      <c r="N263">
        <v>13.48</v>
      </c>
      <c r="O263">
        <v>32</v>
      </c>
      <c r="P263">
        <v>54</v>
      </c>
      <c r="Q263" s="364">
        <f t="shared" si="4"/>
        <v>2.0710000000000264</v>
      </c>
      <c r="R263">
        <v>0</v>
      </c>
      <c r="S263">
        <v>0</v>
      </c>
      <c r="T263">
        <v>0</v>
      </c>
      <c r="U263">
        <v>0</v>
      </c>
      <c r="V263" s="359">
        <v>216895242699</v>
      </c>
      <c r="W263" s="359">
        <v>8003086531024</v>
      </c>
      <c r="X263" s="359">
        <v>216904078164</v>
      </c>
      <c r="Y263" t="s">
        <v>1934</v>
      </c>
      <c r="Z263">
        <v>1.58</v>
      </c>
    </row>
    <row r="264" spans="1:26" x14ac:dyDescent="0.2">
      <c r="A264" t="s">
        <v>1933</v>
      </c>
      <c r="B264" t="s">
        <v>1935</v>
      </c>
      <c r="C264">
        <v>50</v>
      </c>
      <c r="D264">
        <v>290.39999999999998</v>
      </c>
      <c r="E264">
        <v>290.2</v>
      </c>
      <c r="F264">
        <v>288.18900000000002</v>
      </c>
      <c r="G264">
        <v>288.03899999999999</v>
      </c>
      <c r="H264">
        <v>200</v>
      </c>
      <c r="I264">
        <v>0.3</v>
      </c>
      <c r="J264" t="s">
        <v>1394</v>
      </c>
      <c r="K264">
        <v>0</v>
      </c>
      <c r="L264">
        <v>0</v>
      </c>
      <c r="M264">
        <v>5.25</v>
      </c>
      <c r="N264">
        <v>13.48</v>
      </c>
      <c r="O264">
        <v>32</v>
      </c>
      <c r="P264">
        <v>54</v>
      </c>
      <c r="Q264" s="364">
        <f t="shared" si="4"/>
        <v>2.2109999999999559</v>
      </c>
      <c r="R264">
        <v>0</v>
      </c>
      <c r="S264">
        <v>0</v>
      </c>
      <c r="T264">
        <v>0</v>
      </c>
      <c r="U264">
        <v>0</v>
      </c>
      <c r="V264" s="359">
        <v>216904078164</v>
      </c>
      <c r="W264" s="359">
        <v>800300702043</v>
      </c>
      <c r="X264" s="359">
        <v>216910629968</v>
      </c>
      <c r="Y264" t="s">
        <v>1936</v>
      </c>
      <c r="Z264">
        <v>1.58</v>
      </c>
    </row>
    <row r="265" spans="1:26" x14ac:dyDescent="0.2">
      <c r="A265" t="s">
        <v>1935</v>
      </c>
      <c r="B265" t="s">
        <v>1482</v>
      </c>
      <c r="C265">
        <v>42.79</v>
      </c>
      <c r="D265">
        <v>290.2</v>
      </c>
      <c r="E265">
        <v>289.495</v>
      </c>
      <c r="F265">
        <v>288.03899999999999</v>
      </c>
      <c r="G265">
        <v>287.91000000000003</v>
      </c>
      <c r="H265">
        <v>200</v>
      </c>
      <c r="I265">
        <v>0.3</v>
      </c>
      <c r="J265" t="s">
        <v>1394</v>
      </c>
      <c r="K265">
        <v>0</v>
      </c>
      <c r="L265">
        <v>0</v>
      </c>
      <c r="M265">
        <v>5.25</v>
      </c>
      <c r="N265">
        <v>13.48</v>
      </c>
      <c r="O265">
        <v>32</v>
      </c>
      <c r="P265">
        <v>54</v>
      </c>
      <c r="Q265" s="364">
        <f t="shared" si="4"/>
        <v>2.1610000000000014</v>
      </c>
      <c r="R265">
        <v>0</v>
      </c>
      <c r="S265">
        <v>0</v>
      </c>
      <c r="T265">
        <v>0</v>
      </c>
      <c r="U265">
        <v>0</v>
      </c>
      <c r="V265" s="359">
        <v>216910629968</v>
      </c>
      <c r="W265" s="359">
        <v>800295745155</v>
      </c>
      <c r="X265" s="359">
        <v>216900289056</v>
      </c>
      <c r="Y265" t="s">
        <v>1937</v>
      </c>
      <c r="Z265">
        <v>1.58</v>
      </c>
    </row>
    <row r="266" spans="1:26" x14ac:dyDescent="0.2">
      <c r="A266" t="s">
        <v>1938</v>
      </c>
      <c r="B266" t="s">
        <v>1939</v>
      </c>
      <c r="C266">
        <v>18</v>
      </c>
      <c r="D266">
        <v>294.77</v>
      </c>
      <c r="E266">
        <v>294.60000000000002</v>
      </c>
      <c r="F266">
        <v>293.72000000000003</v>
      </c>
      <c r="G266">
        <v>293.55</v>
      </c>
      <c r="H266">
        <v>150</v>
      </c>
      <c r="I266">
        <v>0.94399999999999995</v>
      </c>
      <c r="J266" t="s">
        <v>1394</v>
      </c>
      <c r="K266">
        <v>0.42</v>
      </c>
      <c r="L266">
        <v>1.1000000000000001</v>
      </c>
      <c r="M266">
        <v>0.42</v>
      </c>
      <c r="N266">
        <v>1.1000000000000001</v>
      </c>
      <c r="O266">
        <v>18</v>
      </c>
      <c r="P266">
        <v>18</v>
      </c>
      <c r="Q266" s="364">
        <f t="shared" si="4"/>
        <v>1.0499999999999545</v>
      </c>
      <c r="R266">
        <v>0</v>
      </c>
      <c r="S266">
        <v>0</v>
      </c>
      <c r="T266">
        <v>0</v>
      </c>
      <c r="U266">
        <v>0</v>
      </c>
      <c r="V266" s="359">
        <v>217237401638</v>
      </c>
      <c r="W266" s="359">
        <v>8003702918052</v>
      </c>
      <c r="X266" s="359">
        <v>217219771155</v>
      </c>
      <c r="Y266" t="s">
        <v>1940</v>
      </c>
      <c r="Z266">
        <v>1.62</v>
      </c>
    </row>
    <row r="267" spans="1:26" x14ac:dyDescent="0.2">
      <c r="A267" t="s">
        <v>1939</v>
      </c>
      <c r="B267" t="s">
        <v>1941</v>
      </c>
      <c r="C267">
        <v>37</v>
      </c>
      <c r="D267">
        <v>294.60000000000002</v>
      </c>
      <c r="E267">
        <v>295.3</v>
      </c>
      <c r="F267">
        <v>293.55</v>
      </c>
      <c r="G267">
        <v>293.358</v>
      </c>
      <c r="H267">
        <v>150</v>
      </c>
      <c r="I267">
        <v>0.51800000000000002</v>
      </c>
      <c r="J267" t="s">
        <v>1394</v>
      </c>
      <c r="K267">
        <v>0</v>
      </c>
      <c r="L267">
        <v>0</v>
      </c>
      <c r="M267">
        <v>0.42</v>
      </c>
      <c r="N267">
        <v>1.1000000000000001</v>
      </c>
      <c r="O267">
        <v>21</v>
      </c>
      <c r="P267">
        <v>21</v>
      </c>
      <c r="Q267" s="364">
        <f t="shared" si="4"/>
        <v>1.0500000000000114</v>
      </c>
      <c r="R267">
        <v>0</v>
      </c>
      <c r="S267">
        <v>0</v>
      </c>
      <c r="T267">
        <v>0</v>
      </c>
      <c r="U267">
        <v>0</v>
      </c>
      <c r="V267" s="359">
        <v>217219771155</v>
      </c>
      <c r="W267" s="359">
        <v>8003706546563</v>
      </c>
      <c r="X267" s="359">
        <v>217183716647</v>
      </c>
      <c r="Y267" t="s">
        <v>1942</v>
      </c>
      <c r="Z267">
        <v>1.02</v>
      </c>
    </row>
    <row r="268" spans="1:26" x14ac:dyDescent="0.2">
      <c r="A268" t="s">
        <v>1941</v>
      </c>
      <c r="B268" t="s">
        <v>1943</v>
      </c>
      <c r="C268">
        <v>53</v>
      </c>
      <c r="D268">
        <v>295.3</v>
      </c>
      <c r="E268">
        <v>295.10000000000002</v>
      </c>
      <c r="F268">
        <v>293.358</v>
      </c>
      <c r="G268">
        <v>293.084</v>
      </c>
      <c r="H268">
        <v>150</v>
      </c>
      <c r="I268">
        <v>0.51800000000000002</v>
      </c>
      <c r="J268" t="s">
        <v>1394</v>
      </c>
      <c r="K268">
        <v>0</v>
      </c>
      <c r="L268">
        <v>0</v>
      </c>
      <c r="M268">
        <v>0.42</v>
      </c>
      <c r="N268">
        <v>1.1000000000000001</v>
      </c>
      <c r="O268">
        <v>21</v>
      </c>
      <c r="P268">
        <v>21</v>
      </c>
      <c r="Q268" s="364">
        <f t="shared" si="4"/>
        <v>1.9420000000000073</v>
      </c>
      <c r="R268">
        <v>0</v>
      </c>
      <c r="S268">
        <v>0</v>
      </c>
      <c r="T268">
        <v>0</v>
      </c>
      <c r="U268">
        <v>0</v>
      </c>
      <c r="V268" s="359">
        <v>217183716647</v>
      </c>
      <c r="W268" s="359">
        <v>800369823558</v>
      </c>
      <c r="X268" s="359">
        <v>217134129114</v>
      </c>
      <c r="Y268" t="s">
        <v>1944</v>
      </c>
      <c r="Z268">
        <v>1.02</v>
      </c>
    </row>
    <row r="269" spans="1:26" x14ac:dyDescent="0.2">
      <c r="A269" t="s">
        <v>1943</v>
      </c>
      <c r="B269" t="s">
        <v>1945</v>
      </c>
      <c r="C269">
        <v>60</v>
      </c>
      <c r="D269">
        <v>295.10000000000002</v>
      </c>
      <c r="E269">
        <v>293.89999999999998</v>
      </c>
      <c r="F269">
        <v>293.084</v>
      </c>
      <c r="G269">
        <v>292.77300000000002</v>
      </c>
      <c r="H269">
        <v>150</v>
      </c>
      <c r="I269">
        <v>0.51800000000000002</v>
      </c>
      <c r="J269" t="s">
        <v>1394</v>
      </c>
      <c r="K269">
        <v>0.56999999999999995</v>
      </c>
      <c r="L269">
        <v>1.46</v>
      </c>
      <c r="M269">
        <v>0.99</v>
      </c>
      <c r="N269">
        <v>2.56</v>
      </c>
      <c r="O269">
        <v>21</v>
      </c>
      <c r="P269">
        <v>28</v>
      </c>
      <c r="Q269" s="364">
        <f t="shared" si="4"/>
        <v>2.0160000000000196</v>
      </c>
      <c r="R269">
        <v>0</v>
      </c>
      <c r="S269">
        <v>0</v>
      </c>
      <c r="T269">
        <v>0</v>
      </c>
      <c r="U269">
        <v>0</v>
      </c>
      <c r="V269" s="359">
        <v>217134129114</v>
      </c>
      <c r="W269" s="359">
        <v>8003679525246</v>
      </c>
      <c r="X269" s="359">
        <v>21709957041</v>
      </c>
      <c r="Y269" t="s">
        <v>1946</v>
      </c>
      <c r="Z269">
        <v>1.28</v>
      </c>
    </row>
    <row r="270" spans="1:26" x14ac:dyDescent="0.2">
      <c r="A270" t="s">
        <v>1945</v>
      </c>
      <c r="B270" t="s">
        <v>1947</v>
      </c>
      <c r="C270">
        <v>36</v>
      </c>
      <c r="D270">
        <v>293.89999999999998</v>
      </c>
      <c r="E270">
        <v>293.5</v>
      </c>
      <c r="F270">
        <v>292.77300000000002</v>
      </c>
      <c r="G270">
        <v>292.45</v>
      </c>
      <c r="H270">
        <v>150</v>
      </c>
      <c r="I270">
        <v>0.89600000000000002</v>
      </c>
      <c r="J270" t="s">
        <v>1394</v>
      </c>
      <c r="K270">
        <v>0</v>
      </c>
      <c r="L270">
        <v>0</v>
      </c>
      <c r="M270">
        <v>0.99</v>
      </c>
      <c r="N270">
        <v>2.56</v>
      </c>
      <c r="O270">
        <v>19</v>
      </c>
      <c r="P270">
        <v>24</v>
      </c>
      <c r="Q270" s="364">
        <f t="shared" si="4"/>
        <v>1.1269999999999527</v>
      </c>
      <c r="R270">
        <v>0</v>
      </c>
      <c r="S270">
        <v>0</v>
      </c>
      <c r="T270">
        <v>0</v>
      </c>
      <c r="U270">
        <v>0</v>
      </c>
      <c r="V270" s="359">
        <v>21709957041</v>
      </c>
      <c r="W270" s="359">
        <v>8003630477351</v>
      </c>
      <c r="X270" s="359">
        <v>217082620935</v>
      </c>
      <c r="Y270" t="s">
        <v>1948</v>
      </c>
      <c r="Z270">
        <v>1.97</v>
      </c>
    </row>
    <row r="271" spans="1:26" x14ac:dyDescent="0.2">
      <c r="A271" t="s">
        <v>1947</v>
      </c>
      <c r="B271" t="s">
        <v>1949</v>
      </c>
      <c r="C271">
        <v>58</v>
      </c>
      <c r="D271">
        <v>293.5</v>
      </c>
      <c r="E271">
        <v>293.3</v>
      </c>
      <c r="F271">
        <v>292.45</v>
      </c>
      <c r="G271">
        <v>292.149</v>
      </c>
      <c r="H271">
        <v>150</v>
      </c>
      <c r="I271">
        <v>0.51800000000000002</v>
      </c>
      <c r="J271" t="s">
        <v>1394</v>
      </c>
      <c r="K271">
        <v>0</v>
      </c>
      <c r="L271">
        <v>0</v>
      </c>
      <c r="M271">
        <v>0.99</v>
      </c>
      <c r="N271">
        <v>2.56</v>
      </c>
      <c r="O271">
        <v>21</v>
      </c>
      <c r="P271">
        <v>28</v>
      </c>
      <c r="Q271" s="364">
        <f t="shared" si="4"/>
        <v>1.0500000000000114</v>
      </c>
      <c r="R271">
        <v>0</v>
      </c>
      <c r="S271">
        <v>0</v>
      </c>
      <c r="T271">
        <v>0</v>
      </c>
      <c r="U271">
        <v>0</v>
      </c>
      <c r="V271" s="359">
        <v>217082620935</v>
      </c>
      <c r="W271" s="359">
        <v>8003598717073</v>
      </c>
      <c r="X271" s="359">
        <v>217067875768</v>
      </c>
      <c r="Y271" t="s">
        <v>1950</v>
      </c>
      <c r="Z271">
        <v>1.28</v>
      </c>
    </row>
    <row r="272" spans="1:26" x14ac:dyDescent="0.2">
      <c r="A272" t="s">
        <v>1949</v>
      </c>
      <c r="B272" t="s">
        <v>1951</v>
      </c>
      <c r="C272">
        <v>75</v>
      </c>
      <c r="D272">
        <v>293.3</v>
      </c>
      <c r="E272">
        <v>293</v>
      </c>
      <c r="F272">
        <v>292.149</v>
      </c>
      <c r="G272">
        <v>291.76100000000002</v>
      </c>
      <c r="H272">
        <v>150</v>
      </c>
      <c r="I272">
        <v>0.51800000000000002</v>
      </c>
      <c r="J272" t="s">
        <v>1394</v>
      </c>
      <c r="K272">
        <v>0</v>
      </c>
      <c r="L272">
        <v>0</v>
      </c>
      <c r="M272">
        <v>0.99</v>
      </c>
      <c r="N272">
        <v>2.56</v>
      </c>
      <c r="O272">
        <v>21</v>
      </c>
      <c r="P272">
        <v>28</v>
      </c>
      <c r="Q272" s="364">
        <f t="shared" si="4"/>
        <v>1.1510000000000105</v>
      </c>
      <c r="R272">
        <v>0</v>
      </c>
      <c r="S272">
        <v>0</v>
      </c>
      <c r="T272">
        <v>0</v>
      </c>
      <c r="U272">
        <v>0</v>
      </c>
      <c r="V272" s="359">
        <v>217067875768</v>
      </c>
      <c r="W272" s="359">
        <v>8003542622688</v>
      </c>
      <c r="X272" s="359">
        <v>217050629137</v>
      </c>
      <c r="Y272" t="s">
        <v>1952</v>
      </c>
      <c r="Z272">
        <v>1.28</v>
      </c>
    </row>
    <row r="273" spans="1:26" x14ac:dyDescent="0.2">
      <c r="A273" t="s">
        <v>1951</v>
      </c>
      <c r="B273" t="s">
        <v>1953</v>
      </c>
      <c r="C273">
        <v>80</v>
      </c>
      <c r="D273">
        <v>293</v>
      </c>
      <c r="E273">
        <v>292.5</v>
      </c>
      <c r="F273">
        <v>291.76100000000002</v>
      </c>
      <c r="G273">
        <v>291.346</v>
      </c>
      <c r="H273">
        <v>150</v>
      </c>
      <c r="I273">
        <v>0.51800000000000002</v>
      </c>
      <c r="J273" t="s">
        <v>1394</v>
      </c>
      <c r="K273">
        <v>0</v>
      </c>
      <c r="L273">
        <v>0</v>
      </c>
      <c r="M273">
        <v>0.99</v>
      </c>
      <c r="N273">
        <v>2.56</v>
      </c>
      <c r="O273">
        <v>21</v>
      </c>
      <c r="P273">
        <v>28</v>
      </c>
      <c r="Q273" s="364">
        <f t="shared" si="4"/>
        <v>1.2389999999999759</v>
      </c>
      <c r="R273">
        <v>0</v>
      </c>
      <c r="S273">
        <v>0</v>
      </c>
      <c r="T273">
        <v>0</v>
      </c>
      <c r="U273">
        <v>0</v>
      </c>
      <c r="V273" s="359">
        <v>217050629137</v>
      </c>
      <c r="W273" s="359">
        <v>8003469632594</v>
      </c>
      <c r="X273" s="359">
        <v>217039333262</v>
      </c>
      <c r="Y273" t="s">
        <v>1954</v>
      </c>
      <c r="Z273">
        <v>1.28</v>
      </c>
    </row>
    <row r="274" spans="1:26" x14ac:dyDescent="0.2">
      <c r="A274" t="s">
        <v>1953</v>
      </c>
      <c r="B274" t="s">
        <v>1955</v>
      </c>
      <c r="C274">
        <v>28</v>
      </c>
      <c r="D274">
        <v>292.5</v>
      </c>
      <c r="E274">
        <v>292</v>
      </c>
      <c r="F274">
        <v>291.346</v>
      </c>
      <c r="G274">
        <v>290.95</v>
      </c>
      <c r="H274">
        <v>150</v>
      </c>
      <c r="I274">
        <v>1.4139999999999999</v>
      </c>
      <c r="J274" t="s">
        <v>1394</v>
      </c>
      <c r="K274">
        <v>0.43</v>
      </c>
      <c r="L274">
        <v>1.0900000000000001</v>
      </c>
      <c r="M274">
        <v>1.42</v>
      </c>
      <c r="N274">
        <v>3.65</v>
      </c>
      <c r="O274">
        <v>17</v>
      </c>
      <c r="P274">
        <v>26</v>
      </c>
      <c r="Q274" s="364">
        <f t="shared" si="4"/>
        <v>1.1539999999999964</v>
      </c>
      <c r="R274">
        <v>0</v>
      </c>
      <c r="S274">
        <v>0</v>
      </c>
      <c r="T274">
        <v>0</v>
      </c>
      <c r="U274">
        <v>0</v>
      </c>
      <c r="V274" s="359">
        <v>217039333262</v>
      </c>
      <c r="W274" s="359">
        <v>8003390434089</v>
      </c>
      <c r="X274" s="359">
        <v>21703521093</v>
      </c>
      <c r="Y274" t="s">
        <v>1956</v>
      </c>
      <c r="Z274">
        <v>3.28</v>
      </c>
    </row>
    <row r="275" spans="1:26" x14ac:dyDescent="0.2">
      <c r="A275" t="s">
        <v>1955</v>
      </c>
      <c r="B275" t="s">
        <v>1915</v>
      </c>
      <c r="C275">
        <v>15</v>
      </c>
      <c r="D275">
        <v>292</v>
      </c>
      <c r="E275">
        <v>291.60000000000002</v>
      </c>
      <c r="F275">
        <v>289.8</v>
      </c>
      <c r="G275">
        <v>289.7</v>
      </c>
      <c r="H275">
        <v>150</v>
      </c>
      <c r="I275">
        <v>0.66700000000000004</v>
      </c>
      <c r="J275" t="s">
        <v>1394</v>
      </c>
      <c r="K275">
        <v>0</v>
      </c>
      <c r="L275">
        <v>0</v>
      </c>
      <c r="M275">
        <v>1.42</v>
      </c>
      <c r="N275">
        <v>3.65</v>
      </c>
      <c r="O275">
        <v>20</v>
      </c>
      <c r="P275">
        <v>32</v>
      </c>
      <c r="Q275" s="364">
        <f t="shared" si="4"/>
        <v>2.1999999999999886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 t="s">
        <v>1957</v>
      </c>
      <c r="Z275">
        <v>1.81</v>
      </c>
    </row>
    <row r="276" spans="1:26" x14ac:dyDescent="0.2">
      <c r="A276" t="s">
        <v>1958</v>
      </c>
      <c r="B276" t="s">
        <v>1959</v>
      </c>
      <c r="C276">
        <v>43</v>
      </c>
      <c r="D276">
        <v>301</v>
      </c>
      <c r="E276">
        <v>300.74</v>
      </c>
      <c r="F276">
        <v>299.8</v>
      </c>
      <c r="G276">
        <v>299.577</v>
      </c>
      <c r="H276">
        <v>150</v>
      </c>
      <c r="I276">
        <v>0.51800000000000002</v>
      </c>
      <c r="J276" t="s">
        <v>1394</v>
      </c>
      <c r="K276">
        <v>0.43</v>
      </c>
      <c r="L276">
        <v>1.0900000000000001</v>
      </c>
      <c r="M276">
        <v>0.43</v>
      </c>
      <c r="N276">
        <v>1.0900000000000001</v>
      </c>
      <c r="O276">
        <v>21</v>
      </c>
      <c r="P276">
        <v>21</v>
      </c>
      <c r="Q276" s="364">
        <f t="shared" si="4"/>
        <v>1.1999999999999886</v>
      </c>
      <c r="R276">
        <v>0</v>
      </c>
      <c r="S276">
        <v>0</v>
      </c>
      <c r="T276">
        <v>0</v>
      </c>
      <c r="U276">
        <v>0</v>
      </c>
      <c r="V276" s="359">
        <v>217543113943</v>
      </c>
      <c r="W276" s="359">
        <v>8003355403279</v>
      </c>
      <c r="X276" s="359">
        <v>217503969057</v>
      </c>
      <c r="Y276" t="s">
        <v>1960</v>
      </c>
      <c r="Z276">
        <v>1.02</v>
      </c>
    </row>
    <row r="277" spans="1:26" x14ac:dyDescent="0.2">
      <c r="A277" t="s">
        <v>1959</v>
      </c>
      <c r="B277" t="s">
        <v>1961</v>
      </c>
      <c r="C277">
        <v>55</v>
      </c>
      <c r="D277">
        <v>300.74</v>
      </c>
      <c r="E277">
        <v>300.57100000000003</v>
      </c>
      <c r="F277">
        <v>299.577</v>
      </c>
      <c r="G277">
        <v>299.29199999999997</v>
      </c>
      <c r="H277">
        <v>150</v>
      </c>
      <c r="I277">
        <v>0.51800000000000002</v>
      </c>
      <c r="J277" t="s">
        <v>1394</v>
      </c>
      <c r="K277">
        <v>0</v>
      </c>
      <c r="L277">
        <v>0</v>
      </c>
      <c r="M277">
        <v>0.43</v>
      </c>
      <c r="N277">
        <v>1.0900000000000001</v>
      </c>
      <c r="O277">
        <v>21</v>
      </c>
      <c r="P277">
        <v>21</v>
      </c>
      <c r="Q277" s="364">
        <f t="shared" si="4"/>
        <v>1.1630000000000109</v>
      </c>
      <c r="R277">
        <v>0</v>
      </c>
      <c r="S277">
        <v>0</v>
      </c>
      <c r="T277">
        <v>0</v>
      </c>
      <c r="U277">
        <v>0</v>
      </c>
      <c r="V277" s="359">
        <v>217503969057</v>
      </c>
      <c r="W277" s="359">
        <v>8003337607834</v>
      </c>
      <c r="X277" s="359">
        <v>21746862541</v>
      </c>
      <c r="Y277" t="s">
        <v>1962</v>
      </c>
      <c r="Z277">
        <v>1.02</v>
      </c>
    </row>
    <row r="278" spans="1:26" x14ac:dyDescent="0.2">
      <c r="A278" t="s">
        <v>1961</v>
      </c>
      <c r="B278" t="s">
        <v>1963</v>
      </c>
      <c r="C278">
        <v>48</v>
      </c>
      <c r="D278">
        <v>300.57100000000003</v>
      </c>
      <c r="E278">
        <v>299.54000000000002</v>
      </c>
      <c r="F278">
        <v>299.29199999999997</v>
      </c>
      <c r="G278">
        <v>298.49</v>
      </c>
      <c r="H278">
        <v>150</v>
      </c>
      <c r="I278">
        <v>1.671</v>
      </c>
      <c r="J278" t="s">
        <v>1394</v>
      </c>
      <c r="K278">
        <v>0</v>
      </c>
      <c r="L278">
        <v>0</v>
      </c>
      <c r="M278">
        <v>0.43</v>
      </c>
      <c r="N278">
        <v>1.0900000000000001</v>
      </c>
      <c r="O278">
        <v>16</v>
      </c>
      <c r="P278">
        <v>16</v>
      </c>
      <c r="Q278" s="364">
        <f t="shared" si="4"/>
        <v>1.2790000000000532</v>
      </c>
      <c r="R278">
        <v>0</v>
      </c>
      <c r="S278">
        <v>0</v>
      </c>
      <c r="T278">
        <v>0</v>
      </c>
      <c r="U278">
        <v>0</v>
      </c>
      <c r="V278" s="359">
        <v>21746862541</v>
      </c>
      <c r="W278" s="359">
        <v>8003295467276</v>
      </c>
      <c r="X278" s="359">
        <v>217422225516</v>
      </c>
      <c r="Y278" t="s">
        <v>1964</v>
      </c>
      <c r="Z278">
        <v>2.52</v>
      </c>
    </row>
    <row r="279" spans="1:26" x14ac:dyDescent="0.2">
      <c r="A279" t="s">
        <v>1963</v>
      </c>
      <c r="B279" t="s">
        <v>1965</v>
      </c>
      <c r="C279">
        <v>80</v>
      </c>
      <c r="D279">
        <v>299.54000000000002</v>
      </c>
      <c r="E279">
        <v>296.89999999999998</v>
      </c>
      <c r="F279">
        <v>298.49</v>
      </c>
      <c r="G279">
        <v>295.85000000000002</v>
      </c>
      <c r="H279">
        <v>150</v>
      </c>
      <c r="I279">
        <v>3.3</v>
      </c>
      <c r="J279" t="s">
        <v>1394</v>
      </c>
      <c r="K279">
        <v>0</v>
      </c>
      <c r="L279">
        <v>0</v>
      </c>
      <c r="M279">
        <v>0.43</v>
      </c>
      <c r="N279">
        <v>1.0900000000000001</v>
      </c>
      <c r="O279">
        <v>13</v>
      </c>
      <c r="P279">
        <v>13</v>
      </c>
      <c r="Q279" s="364">
        <f t="shared" si="4"/>
        <v>1.0500000000000114</v>
      </c>
      <c r="R279">
        <v>0</v>
      </c>
      <c r="S279">
        <v>0</v>
      </c>
      <c r="T279">
        <v>0</v>
      </c>
      <c r="U279">
        <v>0</v>
      </c>
      <c r="V279" s="359">
        <v>217422225516</v>
      </c>
      <c r="W279" s="359">
        <v>8003307757511</v>
      </c>
      <c r="X279" s="359">
        <v>21735693861</v>
      </c>
      <c r="Y279" t="s">
        <v>1966</v>
      </c>
      <c r="Z279">
        <v>4.29</v>
      </c>
    </row>
    <row r="280" spans="1:26" x14ac:dyDescent="0.2">
      <c r="A280" t="s">
        <v>1965</v>
      </c>
      <c r="B280" t="s">
        <v>1967</v>
      </c>
      <c r="C280">
        <v>80</v>
      </c>
      <c r="D280">
        <v>296.89999999999998</v>
      </c>
      <c r="E280">
        <v>295.5</v>
      </c>
      <c r="F280">
        <v>295.85000000000002</v>
      </c>
      <c r="G280">
        <v>294.45</v>
      </c>
      <c r="H280">
        <v>150</v>
      </c>
      <c r="I280">
        <v>1.75</v>
      </c>
      <c r="J280" t="s">
        <v>1394</v>
      </c>
      <c r="K280">
        <v>0</v>
      </c>
      <c r="L280">
        <v>0</v>
      </c>
      <c r="M280">
        <v>0.43</v>
      </c>
      <c r="N280">
        <v>1.0900000000000001</v>
      </c>
      <c r="O280">
        <v>16</v>
      </c>
      <c r="P280">
        <v>16</v>
      </c>
      <c r="Q280" s="364">
        <f t="shared" si="4"/>
        <v>1.0499999999999545</v>
      </c>
      <c r="R280">
        <v>0</v>
      </c>
      <c r="S280">
        <v>0</v>
      </c>
      <c r="T280">
        <v>0</v>
      </c>
      <c r="U280">
        <v>0</v>
      </c>
      <c r="V280" s="359">
        <v>21735693861</v>
      </c>
      <c r="W280" s="359">
        <v>8003353991911</v>
      </c>
      <c r="X280" s="359">
        <v>217287708179</v>
      </c>
      <c r="Y280" t="s">
        <v>1968</v>
      </c>
      <c r="Z280">
        <v>2.62</v>
      </c>
    </row>
    <row r="281" spans="1:26" x14ac:dyDescent="0.2">
      <c r="A281" t="s">
        <v>1967</v>
      </c>
      <c r="B281" t="s">
        <v>1969</v>
      </c>
      <c r="C281">
        <v>45</v>
      </c>
      <c r="D281">
        <v>295.5</v>
      </c>
      <c r="E281">
        <v>295.66399999999999</v>
      </c>
      <c r="F281">
        <v>294.45</v>
      </c>
      <c r="G281">
        <v>294.21699999999998</v>
      </c>
      <c r="H281">
        <v>150</v>
      </c>
      <c r="I281">
        <v>0.51800000000000002</v>
      </c>
      <c r="J281" t="s">
        <v>1394</v>
      </c>
      <c r="K281">
        <v>0</v>
      </c>
      <c r="L281">
        <v>0</v>
      </c>
      <c r="M281">
        <v>0.43</v>
      </c>
      <c r="N281">
        <v>1.0900000000000001</v>
      </c>
      <c r="O281">
        <v>21</v>
      </c>
      <c r="P281">
        <v>21</v>
      </c>
      <c r="Q281" s="364">
        <f t="shared" si="4"/>
        <v>1.0500000000000114</v>
      </c>
      <c r="R281">
        <v>0</v>
      </c>
      <c r="S281">
        <v>0</v>
      </c>
      <c r="T281">
        <v>0</v>
      </c>
      <c r="U281">
        <v>0</v>
      </c>
      <c r="V281" s="359">
        <v>217287708179</v>
      </c>
      <c r="W281" s="359">
        <v>8003394081155</v>
      </c>
      <c r="X281" s="359">
        <v>217248810196</v>
      </c>
      <c r="Y281" t="s">
        <v>1970</v>
      </c>
      <c r="Z281">
        <v>1.02</v>
      </c>
    </row>
    <row r="282" spans="1:26" x14ac:dyDescent="0.2">
      <c r="A282" t="s">
        <v>1969</v>
      </c>
      <c r="B282" t="s">
        <v>1971</v>
      </c>
      <c r="C282">
        <v>80</v>
      </c>
      <c r="D282">
        <v>295.66399999999999</v>
      </c>
      <c r="E282">
        <v>295.45</v>
      </c>
      <c r="F282">
        <v>294.21699999999998</v>
      </c>
      <c r="G282">
        <v>293.80200000000002</v>
      </c>
      <c r="H282">
        <v>150</v>
      </c>
      <c r="I282">
        <v>0.51800000000000002</v>
      </c>
      <c r="J282" t="s">
        <v>1394</v>
      </c>
      <c r="K282">
        <v>0</v>
      </c>
      <c r="L282">
        <v>0</v>
      </c>
      <c r="M282">
        <v>0.43</v>
      </c>
      <c r="N282">
        <v>1.0900000000000001</v>
      </c>
      <c r="O282">
        <v>21</v>
      </c>
      <c r="P282">
        <v>21</v>
      </c>
      <c r="Q282" s="364">
        <f t="shared" si="4"/>
        <v>1.4470000000000027</v>
      </c>
      <c r="R282">
        <v>0</v>
      </c>
      <c r="S282">
        <v>0</v>
      </c>
      <c r="T282">
        <v>0</v>
      </c>
      <c r="U282">
        <v>0</v>
      </c>
      <c r="V282" s="359">
        <v>217248810196</v>
      </c>
      <c r="W282" s="359">
        <v>8003416707399</v>
      </c>
      <c r="X282" s="359">
        <v>217170769766</v>
      </c>
      <c r="Y282" t="s">
        <v>1972</v>
      </c>
      <c r="Z282">
        <v>1.02</v>
      </c>
    </row>
    <row r="283" spans="1:26" x14ac:dyDescent="0.2">
      <c r="A283" t="s">
        <v>1971</v>
      </c>
      <c r="B283" t="s">
        <v>1973</v>
      </c>
      <c r="C283">
        <v>80</v>
      </c>
      <c r="D283">
        <v>295.45</v>
      </c>
      <c r="E283">
        <v>293.39999999999998</v>
      </c>
      <c r="F283">
        <v>293.80200000000002</v>
      </c>
      <c r="G283">
        <v>292.35000000000002</v>
      </c>
      <c r="H283">
        <v>150</v>
      </c>
      <c r="I283">
        <v>1.8149999999999999</v>
      </c>
      <c r="J283" t="s">
        <v>1394</v>
      </c>
      <c r="K283">
        <v>0</v>
      </c>
      <c r="L283">
        <v>0</v>
      </c>
      <c r="M283">
        <v>0.43</v>
      </c>
      <c r="N283">
        <v>1.0900000000000001</v>
      </c>
      <c r="O283">
        <v>16</v>
      </c>
      <c r="P283">
        <v>16</v>
      </c>
      <c r="Q283" s="364">
        <f t="shared" si="4"/>
        <v>1.6479999999999677</v>
      </c>
      <c r="R283">
        <v>0</v>
      </c>
      <c r="S283">
        <v>0</v>
      </c>
      <c r="T283">
        <v>0</v>
      </c>
      <c r="U283">
        <v>0</v>
      </c>
      <c r="V283" s="359">
        <v>217170769766</v>
      </c>
      <c r="W283" s="359">
        <v>8003399109347</v>
      </c>
      <c r="X283" s="359">
        <v>217091431598</v>
      </c>
      <c r="Y283" t="s">
        <v>1974</v>
      </c>
      <c r="Z283">
        <v>2.7</v>
      </c>
    </row>
    <row r="284" spans="1:26" x14ac:dyDescent="0.2">
      <c r="A284" t="s">
        <v>1973</v>
      </c>
      <c r="B284" t="s">
        <v>1955</v>
      </c>
      <c r="C284">
        <v>61.98</v>
      </c>
      <c r="D284">
        <v>293.39999999999998</v>
      </c>
      <c r="E284">
        <v>292</v>
      </c>
      <c r="F284">
        <v>292.35000000000002</v>
      </c>
      <c r="G284">
        <v>290.95</v>
      </c>
      <c r="H284">
        <v>150</v>
      </c>
      <c r="I284">
        <v>2.2589999999999999</v>
      </c>
      <c r="J284" t="s">
        <v>1394</v>
      </c>
      <c r="K284">
        <v>0</v>
      </c>
      <c r="L284">
        <v>0</v>
      </c>
      <c r="M284">
        <v>0.43</v>
      </c>
      <c r="N284">
        <v>1.0900000000000001</v>
      </c>
      <c r="O284">
        <v>15</v>
      </c>
      <c r="P284">
        <v>15</v>
      </c>
      <c r="Q284" s="364">
        <f t="shared" si="4"/>
        <v>1.0499999999999545</v>
      </c>
      <c r="R284">
        <v>0</v>
      </c>
      <c r="S284">
        <v>0</v>
      </c>
      <c r="T284">
        <v>0</v>
      </c>
      <c r="U284">
        <v>0</v>
      </c>
      <c r="V284" s="359">
        <v>217091431598</v>
      </c>
      <c r="W284" s="359">
        <v>8003388840219</v>
      </c>
      <c r="X284" s="359">
        <v>21703521093</v>
      </c>
      <c r="Y284" t="s">
        <v>1975</v>
      </c>
      <c r="Z284">
        <v>3.19</v>
      </c>
    </row>
    <row r="285" spans="1:26" x14ac:dyDescent="0.2">
      <c r="A285" t="s">
        <v>1976</v>
      </c>
      <c r="B285" t="s">
        <v>1977</v>
      </c>
      <c r="C285">
        <v>80</v>
      </c>
      <c r="D285">
        <v>297.77499999999998</v>
      </c>
      <c r="E285">
        <v>297.64999999999998</v>
      </c>
      <c r="F285">
        <v>296.72500000000002</v>
      </c>
      <c r="G285">
        <v>296.31</v>
      </c>
      <c r="H285">
        <v>150</v>
      </c>
      <c r="I285">
        <v>0.51800000000000002</v>
      </c>
      <c r="J285" t="s">
        <v>1394</v>
      </c>
      <c r="K285">
        <v>0</v>
      </c>
      <c r="L285">
        <v>0</v>
      </c>
      <c r="M285">
        <v>0</v>
      </c>
      <c r="N285">
        <v>0</v>
      </c>
      <c r="O285">
        <v>21</v>
      </c>
      <c r="P285">
        <v>21</v>
      </c>
      <c r="Q285" s="364">
        <f t="shared" si="4"/>
        <v>1.0499999999999545</v>
      </c>
      <c r="R285">
        <v>0</v>
      </c>
      <c r="S285">
        <v>0</v>
      </c>
      <c r="T285">
        <v>0</v>
      </c>
      <c r="U285">
        <v>0</v>
      </c>
      <c r="V285" s="359">
        <v>21535800278</v>
      </c>
      <c r="W285" s="359">
        <v>800424865698</v>
      </c>
      <c r="X285" s="359">
        <v>215375575712</v>
      </c>
      <c r="Y285" t="s">
        <v>1978</v>
      </c>
      <c r="Z285">
        <v>1.02</v>
      </c>
    </row>
    <row r="286" spans="1:26" x14ac:dyDescent="0.2">
      <c r="A286" t="s">
        <v>1977</v>
      </c>
      <c r="B286" t="s">
        <v>1979</v>
      </c>
      <c r="C286">
        <v>15</v>
      </c>
      <c r="D286">
        <v>297.64999999999998</v>
      </c>
      <c r="E286">
        <v>297.5</v>
      </c>
      <c r="F286">
        <v>296.31</v>
      </c>
      <c r="G286">
        <v>296.233</v>
      </c>
      <c r="H286">
        <v>150</v>
      </c>
      <c r="I286">
        <v>0.51800000000000002</v>
      </c>
      <c r="J286" t="s">
        <v>1394</v>
      </c>
      <c r="K286">
        <v>0</v>
      </c>
      <c r="L286">
        <v>0</v>
      </c>
      <c r="M286">
        <v>0</v>
      </c>
      <c r="N286">
        <v>0</v>
      </c>
      <c r="O286">
        <v>21</v>
      </c>
      <c r="P286">
        <v>21</v>
      </c>
      <c r="Q286" s="364">
        <f t="shared" si="4"/>
        <v>1.339999999999975</v>
      </c>
      <c r="R286">
        <v>0</v>
      </c>
      <c r="S286">
        <v>0</v>
      </c>
      <c r="T286">
        <v>0</v>
      </c>
      <c r="U286">
        <v>0</v>
      </c>
      <c r="V286" s="359">
        <v>215375575712</v>
      </c>
      <c r="W286" s="359">
        <v>8004170610891</v>
      </c>
      <c r="X286" s="359">
        <v>215378968099</v>
      </c>
      <c r="Y286" t="s">
        <v>1980</v>
      </c>
      <c r="Z286">
        <v>1.02</v>
      </c>
    </row>
    <row r="287" spans="1:26" x14ac:dyDescent="0.2">
      <c r="A287" t="s">
        <v>1979</v>
      </c>
      <c r="B287" t="s">
        <v>1981</v>
      </c>
      <c r="C287">
        <v>22</v>
      </c>
      <c r="D287">
        <v>297.5</v>
      </c>
      <c r="E287">
        <v>297.214</v>
      </c>
      <c r="F287">
        <v>296.233</v>
      </c>
      <c r="G287">
        <v>296.11900000000003</v>
      </c>
      <c r="H287">
        <v>150</v>
      </c>
      <c r="I287">
        <v>0.51800000000000002</v>
      </c>
      <c r="J287" t="s">
        <v>1394</v>
      </c>
      <c r="K287">
        <v>0</v>
      </c>
      <c r="L287">
        <v>0</v>
      </c>
      <c r="M287">
        <v>0</v>
      </c>
      <c r="N287">
        <v>0</v>
      </c>
      <c r="O287">
        <v>21</v>
      </c>
      <c r="P287">
        <v>21</v>
      </c>
      <c r="Q287" s="364">
        <f t="shared" si="4"/>
        <v>1.2669999999999959</v>
      </c>
      <c r="R287">
        <v>0</v>
      </c>
      <c r="S287">
        <v>0</v>
      </c>
      <c r="T287">
        <v>0</v>
      </c>
      <c r="U287">
        <v>0</v>
      </c>
      <c r="V287" s="359">
        <v>215378968099</v>
      </c>
      <c r="W287" s="359">
        <v>8004155999535</v>
      </c>
      <c r="X287" s="359">
        <v>215395000078</v>
      </c>
      <c r="Y287" t="s">
        <v>1982</v>
      </c>
      <c r="Z287">
        <v>1.02</v>
      </c>
    </row>
    <row r="288" spans="1:26" x14ac:dyDescent="0.2">
      <c r="A288" t="s">
        <v>1981</v>
      </c>
      <c r="B288" t="s">
        <v>1983</v>
      </c>
      <c r="C288">
        <v>35</v>
      </c>
      <c r="D288">
        <v>297.214</v>
      </c>
      <c r="E288">
        <v>297.14</v>
      </c>
      <c r="F288">
        <v>296.11900000000003</v>
      </c>
      <c r="G288">
        <v>295.93700000000001</v>
      </c>
      <c r="H288">
        <v>150</v>
      </c>
      <c r="I288">
        <v>0.51800000000000002</v>
      </c>
      <c r="J288" t="s">
        <v>1394</v>
      </c>
      <c r="K288">
        <v>0</v>
      </c>
      <c r="L288">
        <v>0</v>
      </c>
      <c r="M288">
        <v>0</v>
      </c>
      <c r="N288">
        <v>0</v>
      </c>
      <c r="O288">
        <v>21</v>
      </c>
      <c r="P288">
        <v>21</v>
      </c>
      <c r="Q288" s="364">
        <f t="shared" si="4"/>
        <v>1.0949999999999704</v>
      </c>
      <c r="R288">
        <v>0</v>
      </c>
      <c r="S288">
        <v>0</v>
      </c>
      <c r="T288">
        <v>0</v>
      </c>
      <c r="U288">
        <v>0</v>
      </c>
      <c r="V288" s="359">
        <v>215395000078</v>
      </c>
      <c r="W288" s="359">
        <v>8004140933824</v>
      </c>
      <c r="X288" s="359">
        <v>215401671054</v>
      </c>
      <c r="Y288" t="s">
        <v>1984</v>
      </c>
      <c r="Z288">
        <v>1.02</v>
      </c>
    </row>
    <row r="289" spans="1:26" x14ac:dyDescent="0.2">
      <c r="A289" t="s">
        <v>1983</v>
      </c>
      <c r="B289" t="s">
        <v>1985</v>
      </c>
      <c r="C289">
        <v>30</v>
      </c>
      <c r="D289">
        <v>297.14</v>
      </c>
      <c r="E289">
        <v>296.95</v>
      </c>
      <c r="F289">
        <v>295.93700000000001</v>
      </c>
      <c r="G289">
        <v>295.78199999999998</v>
      </c>
      <c r="H289">
        <v>150</v>
      </c>
      <c r="I289">
        <v>0.51800000000000002</v>
      </c>
      <c r="J289" t="s">
        <v>1394</v>
      </c>
      <c r="K289">
        <v>0.22</v>
      </c>
      <c r="L289">
        <v>0.56000000000000005</v>
      </c>
      <c r="M289">
        <v>0.22</v>
      </c>
      <c r="N289">
        <v>0.56000000000000005</v>
      </c>
      <c r="O289">
        <v>21</v>
      </c>
      <c r="P289">
        <v>21</v>
      </c>
      <c r="Q289" s="364">
        <f t="shared" si="4"/>
        <v>1.2029999999999745</v>
      </c>
      <c r="R289">
        <v>0</v>
      </c>
      <c r="S289">
        <v>0</v>
      </c>
      <c r="T289">
        <v>0</v>
      </c>
      <c r="U289">
        <v>0</v>
      </c>
      <c r="V289" s="359">
        <v>215401671054</v>
      </c>
      <c r="W289" s="359">
        <v>8004106575447</v>
      </c>
      <c r="X289" s="359">
        <v>215418805913</v>
      </c>
      <c r="Y289" t="s">
        <v>1986</v>
      </c>
      <c r="Z289">
        <v>1.02</v>
      </c>
    </row>
    <row r="290" spans="1:26" x14ac:dyDescent="0.2">
      <c r="A290" t="s">
        <v>1985</v>
      </c>
      <c r="B290" t="s">
        <v>1987</v>
      </c>
      <c r="C290">
        <v>45</v>
      </c>
      <c r="D290">
        <v>296.95</v>
      </c>
      <c r="E290">
        <v>296.73</v>
      </c>
      <c r="F290">
        <v>295.78199999999998</v>
      </c>
      <c r="G290">
        <v>295.54899999999998</v>
      </c>
      <c r="H290">
        <v>150</v>
      </c>
      <c r="I290">
        <v>0.51800000000000002</v>
      </c>
      <c r="J290" t="s">
        <v>1394</v>
      </c>
      <c r="K290">
        <v>0</v>
      </c>
      <c r="L290">
        <v>0</v>
      </c>
      <c r="M290">
        <v>0.22</v>
      </c>
      <c r="N290">
        <v>0.56000000000000005</v>
      </c>
      <c r="O290">
        <v>21</v>
      </c>
      <c r="P290">
        <v>21</v>
      </c>
      <c r="Q290" s="364">
        <f t="shared" si="4"/>
        <v>1.1680000000000064</v>
      </c>
      <c r="R290">
        <v>0</v>
      </c>
      <c r="S290">
        <v>0</v>
      </c>
      <c r="T290">
        <v>0</v>
      </c>
      <c r="U290">
        <v>0</v>
      </c>
      <c r="V290" s="359">
        <v>215418805913</v>
      </c>
      <c r="W290" s="359">
        <v>8004081950325</v>
      </c>
      <c r="X290" s="359">
        <v>215434100661</v>
      </c>
      <c r="Y290" t="s">
        <v>1988</v>
      </c>
      <c r="Z290">
        <v>1.02</v>
      </c>
    </row>
    <row r="291" spans="1:26" x14ac:dyDescent="0.2">
      <c r="A291" t="s">
        <v>1987</v>
      </c>
      <c r="B291" t="s">
        <v>1989</v>
      </c>
      <c r="C291">
        <v>42</v>
      </c>
      <c r="D291">
        <v>296.73</v>
      </c>
      <c r="E291">
        <v>296.42099999999999</v>
      </c>
      <c r="F291">
        <v>295.54899999999998</v>
      </c>
      <c r="G291">
        <v>295.423</v>
      </c>
      <c r="H291">
        <v>150</v>
      </c>
      <c r="I291">
        <v>0.3</v>
      </c>
      <c r="J291" t="s">
        <v>1394</v>
      </c>
      <c r="K291">
        <v>0</v>
      </c>
      <c r="L291">
        <v>0</v>
      </c>
      <c r="M291">
        <v>0.22</v>
      </c>
      <c r="N291">
        <v>0.56000000000000005</v>
      </c>
      <c r="O291">
        <v>25</v>
      </c>
      <c r="P291">
        <v>25</v>
      </c>
      <c r="Q291" s="364">
        <f t="shared" si="4"/>
        <v>1.18100000000004</v>
      </c>
      <c r="R291">
        <v>0</v>
      </c>
      <c r="S291">
        <v>0</v>
      </c>
      <c r="T291">
        <v>0</v>
      </c>
      <c r="U291">
        <v>0</v>
      </c>
      <c r="V291" s="359">
        <v>215434100661</v>
      </c>
      <c r="W291" s="359">
        <v>8004039629282</v>
      </c>
      <c r="X291" s="359">
        <v>21544611659</v>
      </c>
      <c r="Y291" t="s">
        <v>1990</v>
      </c>
      <c r="Z291">
        <v>0.66</v>
      </c>
    </row>
    <row r="292" spans="1:26" x14ac:dyDescent="0.2">
      <c r="A292" t="s">
        <v>1989</v>
      </c>
      <c r="B292" t="s">
        <v>1991</v>
      </c>
      <c r="C292">
        <v>80</v>
      </c>
      <c r="D292">
        <v>296.42099999999999</v>
      </c>
      <c r="E292">
        <v>296</v>
      </c>
      <c r="F292">
        <v>295.423</v>
      </c>
      <c r="G292">
        <v>295.18299999999999</v>
      </c>
      <c r="H292">
        <v>150</v>
      </c>
      <c r="I292">
        <v>0.3</v>
      </c>
      <c r="J292" t="s">
        <v>1394</v>
      </c>
      <c r="K292">
        <v>0.22</v>
      </c>
      <c r="L292">
        <v>0.56000000000000005</v>
      </c>
      <c r="M292">
        <v>0.43</v>
      </c>
      <c r="N292">
        <v>1.1100000000000001</v>
      </c>
      <c r="O292">
        <v>25</v>
      </c>
      <c r="P292">
        <v>25</v>
      </c>
      <c r="Q292" s="364">
        <f t="shared" si="4"/>
        <v>0.99799999999999045</v>
      </c>
      <c r="R292">
        <v>0</v>
      </c>
      <c r="S292">
        <v>0</v>
      </c>
      <c r="T292">
        <v>0</v>
      </c>
      <c r="U292">
        <v>0</v>
      </c>
      <c r="V292" s="359">
        <v>21544611659</v>
      </c>
      <c r="W292" s="359">
        <v>8003999384811</v>
      </c>
      <c r="X292" s="359">
        <v>215475345035</v>
      </c>
      <c r="Y292" t="s">
        <v>1992</v>
      </c>
      <c r="Z292">
        <v>0.66</v>
      </c>
    </row>
    <row r="293" spans="1:26" x14ac:dyDescent="0.2">
      <c r="A293" t="s">
        <v>1991</v>
      </c>
      <c r="B293" t="s">
        <v>1414</v>
      </c>
      <c r="C293">
        <v>40.25</v>
      </c>
      <c r="D293">
        <v>296</v>
      </c>
      <c r="E293">
        <v>296.16699999999997</v>
      </c>
      <c r="F293">
        <v>295.18299999999999</v>
      </c>
      <c r="G293">
        <v>295.06200000000001</v>
      </c>
      <c r="H293">
        <v>150</v>
      </c>
      <c r="I293">
        <v>0.3</v>
      </c>
      <c r="J293" t="s">
        <v>1394</v>
      </c>
      <c r="K293">
        <v>0</v>
      </c>
      <c r="L293">
        <v>0</v>
      </c>
      <c r="M293">
        <v>0.43</v>
      </c>
      <c r="N293">
        <v>1.1100000000000001</v>
      </c>
      <c r="O293">
        <v>25</v>
      </c>
      <c r="P293">
        <v>25</v>
      </c>
      <c r="Q293" s="364">
        <f t="shared" si="4"/>
        <v>0.81700000000000728</v>
      </c>
      <c r="R293">
        <v>0</v>
      </c>
      <c r="S293">
        <v>0</v>
      </c>
      <c r="T293">
        <v>0</v>
      </c>
      <c r="U293">
        <v>0</v>
      </c>
      <c r="V293" s="359">
        <v>215475345035</v>
      </c>
      <c r="W293" s="359">
        <v>8003924915368</v>
      </c>
      <c r="X293" s="359">
        <v>215496469885</v>
      </c>
      <c r="Y293" t="s">
        <v>1993</v>
      </c>
      <c r="Z293">
        <v>0.66</v>
      </c>
    </row>
    <row r="294" spans="1:26" x14ac:dyDescent="0.2">
      <c r="A294" t="s">
        <v>1994</v>
      </c>
      <c r="B294" t="s">
        <v>1995</v>
      </c>
      <c r="C294">
        <v>80</v>
      </c>
      <c r="D294">
        <v>295.2</v>
      </c>
      <c r="E294">
        <v>293.38299999999998</v>
      </c>
      <c r="F294">
        <v>294.14999999999998</v>
      </c>
      <c r="G294">
        <v>292.33300000000003</v>
      </c>
      <c r="H294">
        <v>150</v>
      </c>
      <c r="I294">
        <v>2.2709999999999999</v>
      </c>
      <c r="J294" t="s">
        <v>1394</v>
      </c>
      <c r="K294">
        <v>0.46</v>
      </c>
      <c r="L294">
        <v>1.1599999999999999</v>
      </c>
      <c r="M294">
        <v>0.46</v>
      </c>
      <c r="N294">
        <v>1.1599999999999999</v>
      </c>
      <c r="O294">
        <v>15</v>
      </c>
      <c r="P294">
        <v>15</v>
      </c>
      <c r="Q294" s="364">
        <f t="shared" si="4"/>
        <v>1.0500000000000114</v>
      </c>
      <c r="R294">
        <v>0</v>
      </c>
      <c r="S294">
        <v>0</v>
      </c>
      <c r="T294">
        <v>0</v>
      </c>
      <c r="U294">
        <v>0</v>
      </c>
      <c r="V294" s="359">
        <v>216903269407</v>
      </c>
      <c r="W294" s="359">
        <v>8003684471775</v>
      </c>
      <c r="X294" s="359">
        <v>216872604283</v>
      </c>
      <c r="Y294" t="s">
        <v>1996</v>
      </c>
      <c r="Z294">
        <v>3.21</v>
      </c>
    </row>
    <row r="295" spans="1:26" x14ac:dyDescent="0.2">
      <c r="A295" t="s">
        <v>1995</v>
      </c>
      <c r="B295" t="s">
        <v>1997</v>
      </c>
      <c r="C295">
        <v>73</v>
      </c>
      <c r="D295">
        <v>293.38299999999998</v>
      </c>
      <c r="E295">
        <v>293.09800000000001</v>
      </c>
      <c r="F295">
        <v>292.33300000000003</v>
      </c>
      <c r="G295">
        <v>291.95499999999998</v>
      </c>
      <c r="H295">
        <v>150</v>
      </c>
      <c r="I295">
        <v>0.51800000000000002</v>
      </c>
      <c r="J295" t="s">
        <v>1394</v>
      </c>
      <c r="K295">
        <v>0</v>
      </c>
      <c r="L295">
        <v>0</v>
      </c>
      <c r="M295">
        <v>0.46</v>
      </c>
      <c r="N295">
        <v>1.1599999999999999</v>
      </c>
      <c r="O295">
        <v>21</v>
      </c>
      <c r="P295">
        <v>21</v>
      </c>
      <c r="Q295" s="364">
        <f t="shared" si="4"/>
        <v>1.0499999999999545</v>
      </c>
      <c r="R295">
        <v>0</v>
      </c>
      <c r="S295">
        <v>0</v>
      </c>
      <c r="T295">
        <v>0</v>
      </c>
      <c r="U295">
        <v>0</v>
      </c>
      <c r="V295" s="359">
        <v>216872604283</v>
      </c>
      <c r="W295" s="359">
        <v>8003610582329</v>
      </c>
      <c r="X295" s="359">
        <v>216844264304</v>
      </c>
      <c r="Y295" t="s">
        <v>1998</v>
      </c>
      <c r="Z295">
        <v>1.02</v>
      </c>
    </row>
    <row r="296" spans="1:26" x14ac:dyDescent="0.2">
      <c r="A296" t="s">
        <v>1997</v>
      </c>
      <c r="B296" t="s">
        <v>1999</v>
      </c>
      <c r="C296">
        <v>80</v>
      </c>
      <c r="D296">
        <v>293.09800000000001</v>
      </c>
      <c r="E296">
        <v>292.89999999999998</v>
      </c>
      <c r="F296">
        <v>291.95499999999998</v>
      </c>
      <c r="G296">
        <v>291.54000000000002</v>
      </c>
      <c r="H296">
        <v>150</v>
      </c>
      <c r="I296">
        <v>0.51800000000000002</v>
      </c>
      <c r="J296" t="s">
        <v>1394</v>
      </c>
      <c r="K296">
        <v>0</v>
      </c>
      <c r="L296">
        <v>0</v>
      </c>
      <c r="M296">
        <v>0.46</v>
      </c>
      <c r="N296">
        <v>1.1599999999999999</v>
      </c>
      <c r="O296">
        <v>21</v>
      </c>
      <c r="P296">
        <v>21</v>
      </c>
      <c r="Q296" s="364">
        <f t="shared" si="4"/>
        <v>1.1430000000000291</v>
      </c>
      <c r="R296">
        <v>0</v>
      </c>
      <c r="S296">
        <v>0</v>
      </c>
      <c r="T296">
        <v>0</v>
      </c>
      <c r="U296">
        <v>0</v>
      </c>
      <c r="V296" s="359">
        <v>216844264304</v>
      </c>
      <c r="W296" s="359">
        <v>8003543307924</v>
      </c>
      <c r="X296" s="359">
        <v>2168595416</v>
      </c>
      <c r="Y296" t="s">
        <v>2000</v>
      </c>
      <c r="Z296">
        <v>1.02</v>
      </c>
    </row>
    <row r="297" spans="1:26" x14ac:dyDescent="0.2">
      <c r="A297" t="s">
        <v>1999</v>
      </c>
      <c r="B297" t="s">
        <v>2001</v>
      </c>
      <c r="C297">
        <v>80</v>
      </c>
      <c r="D297">
        <v>292.89999999999998</v>
      </c>
      <c r="E297">
        <v>293</v>
      </c>
      <c r="F297">
        <v>291.54000000000002</v>
      </c>
      <c r="G297">
        <v>291.125</v>
      </c>
      <c r="H297">
        <v>150</v>
      </c>
      <c r="I297">
        <v>0.51800000000000002</v>
      </c>
      <c r="J297" t="s">
        <v>1394</v>
      </c>
      <c r="K297">
        <v>0</v>
      </c>
      <c r="L297">
        <v>0</v>
      </c>
      <c r="M297">
        <v>0.46</v>
      </c>
      <c r="N297">
        <v>1.1599999999999999</v>
      </c>
      <c r="O297">
        <v>21</v>
      </c>
      <c r="P297">
        <v>21</v>
      </c>
      <c r="Q297" s="364">
        <f t="shared" si="4"/>
        <v>1.3599999999999568</v>
      </c>
      <c r="R297">
        <v>0</v>
      </c>
      <c r="S297">
        <v>0</v>
      </c>
      <c r="T297">
        <v>0</v>
      </c>
      <c r="U297">
        <v>0</v>
      </c>
      <c r="V297" s="359">
        <v>2168595416</v>
      </c>
      <c r="W297" s="359">
        <v>8003464780195</v>
      </c>
      <c r="X297" s="359">
        <v>216874691845</v>
      </c>
      <c r="Y297" t="s">
        <v>2002</v>
      </c>
      <c r="Z297">
        <v>1.02</v>
      </c>
    </row>
    <row r="298" spans="1:26" x14ac:dyDescent="0.2">
      <c r="A298" t="s">
        <v>2001</v>
      </c>
      <c r="B298" t="s">
        <v>2003</v>
      </c>
      <c r="C298">
        <v>52</v>
      </c>
      <c r="D298">
        <v>293</v>
      </c>
      <c r="E298">
        <v>293.3</v>
      </c>
      <c r="F298">
        <v>291.125</v>
      </c>
      <c r="G298">
        <v>290.85599999999999</v>
      </c>
      <c r="H298">
        <v>150</v>
      </c>
      <c r="I298">
        <v>0.51800000000000002</v>
      </c>
      <c r="J298" t="s">
        <v>1394</v>
      </c>
      <c r="K298">
        <v>0</v>
      </c>
      <c r="L298">
        <v>0</v>
      </c>
      <c r="M298">
        <v>0.46</v>
      </c>
      <c r="N298">
        <v>1.1599999999999999</v>
      </c>
      <c r="O298">
        <v>21</v>
      </c>
      <c r="P298">
        <v>21</v>
      </c>
      <c r="Q298" s="364">
        <f t="shared" si="4"/>
        <v>1.875</v>
      </c>
      <c r="R298">
        <v>0</v>
      </c>
      <c r="S298">
        <v>0</v>
      </c>
      <c r="T298">
        <v>0</v>
      </c>
      <c r="U298">
        <v>0</v>
      </c>
      <c r="V298" s="359">
        <v>216874691845</v>
      </c>
      <c r="W298" s="359">
        <v>8003386227855</v>
      </c>
      <c r="X298" s="359">
        <v>216885124418</v>
      </c>
      <c r="Y298" t="s">
        <v>2004</v>
      </c>
      <c r="Z298">
        <v>1.02</v>
      </c>
    </row>
    <row r="299" spans="1:26" x14ac:dyDescent="0.2">
      <c r="A299" t="s">
        <v>2003</v>
      </c>
      <c r="B299" t="s">
        <v>1923</v>
      </c>
      <c r="C299">
        <v>77.19</v>
      </c>
      <c r="D299">
        <v>293.3</v>
      </c>
      <c r="E299">
        <v>291.3</v>
      </c>
      <c r="F299">
        <v>290.85599999999999</v>
      </c>
      <c r="G299">
        <v>290.25</v>
      </c>
      <c r="H299">
        <v>150</v>
      </c>
      <c r="I299">
        <v>0.78500000000000003</v>
      </c>
      <c r="J299" t="s">
        <v>1394</v>
      </c>
      <c r="K299">
        <v>0</v>
      </c>
      <c r="L299">
        <v>0</v>
      </c>
      <c r="M299">
        <v>0.46</v>
      </c>
      <c r="N299">
        <v>1.1599999999999999</v>
      </c>
      <c r="O299">
        <v>19</v>
      </c>
      <c r="P299">
        <v>19</v>
      </c>
      <c r="Q299" s="364">
        <f t="shared" si="4"/>
        <v>2.4440000000000168</v>
      </c>
      <c r="R299">
        <v>0</v>
      </c>
      <c r="S299">
        <v>0</v>
      </c>
      <c r="T299">
        <v>0</v>
      </c>
      <c r="U299">
        <v>0</v>
      </c>
      <c r="V299" s="359">
        <v>216885124418</v>
      </c>
      <c r="W299" s="359">
        <v>8003335285128</v>
      </c>
      <c r="X299" s="359">
        <v>216919559204</v>
      </c>
      <c r="Y299" t="s">
        <v>2005</v>
      </c>
      <c r="Z299">
        <v>1.4</v>
      </c>
    </row>
    <row r="300" spans="1:26" x14ac:dyDescent="0.2">
      <c r="A300" t="s">
        <v>2006</v>
      </c>
      <c r="B300" t="s">
        <v>2007</v>
      </c>
      <c r="C300">
        <v>56</v>
      </c>
      <c r="D300">
        <v>310.7</v>
      </c>
      <c r="E300">
        <v>310.5</v>
      </c>
      <c r="F300">
        <v>309.64999999999998</v>
      </c>
      <c r="G300">
        <v>309.36</v>
      </c>
      <c r="H300">
        <v>150</v>
      </c>
      <c r="I300">
        <v>0.51800000000000002</v>
      </c>
      <c r="J300" t="s">
        <v>2008</v>
      </c>
      <c r="K300">
        <v>1.87</v>
      </c>
      <c r="L300">
        <v>0.73</v>
      </c>
      <c r="M300">
        <v>1.87</v>
      </c>
      <c r="N300">
        <v>21</v>
      </c>
      <c r="O300">
        <v>24</v>
      </c>
      <c r="P300" t="s">
        <v>1400</v>
      </c>
      <c r="Q300" s="364">
        <f t="shared" si="4"/>
        <v>1.0500000000000114</v>
      </c>
      <c r="R300">
        <v>0</v>
      </c>
      <c r="S300">
        <v>0</v>
      </c>
      <c r="T300">
        <v>0</v>
      </c>
      <c r="U300" s="359">
        <v>218404008789</v>
      </c>
      <c r="V300" s="359">
        <v>8003171969107</v>
      </c>
      <c r="W300" s="359">
        <v>218358874304</v>
      </c>
      <c r="X300" t="s">
        <v>2009</v>
      </c>
      <c r="Y300">
        <v>1.1200000000000001</v>
      </c>
    </row>
    <row r="301" spans="1:26" x14ac:dyDescent="0.2">
      <c r="A301" t="s">
        <v>2007</v>
      </c>
      <c r="B301" t="s">
        <v>2010</v>
      </c>
      <c r="C301">
        <v>66</v>
      </c>
      <c r="D301">
        <v>310.5</v>
      </c>
      <c r="E301">
        <v>310.7</v>
      </c>
      <c r="F301">
        <v>309.36</v>
      </c>
      <c r="G301">
        <v>309.01799999999997</v>
      </c>
      <c r="H301">
        <v>150</v>
      </c>
      <c r="I301">
        <v>0.51800000000000002</v>
      </c>
      <c r="J301" t="s">
        <v>1830</v>
      </c>
      <c r="K301">
        <v>0</v>
      </c>
      <c r="L301">
        <v>0.73</v>
      </c>
      <c r="M301">
        <v>1.87</v>
      </c>
      <c r="N301">
        <v>21</v>
      </c>
      <c r="O301">
        <v>24</v>
      </c>
      <c r="P301" t="s">
        <v>1400</v>
      </c>
      <c r="Q301" s="364">
        <f t="shared" si="4"/>
        <v>1.1399999999999864</v>
      </c>
      <c r="R301">
        <v>0</v>
      </c>
      <c r="S301">
        <v>0</v>
      </c>
      <c r="T301">
        <v>0</v>
      </c>
      <c r="U301" s="359">
        <v>218358874304</v>
      </c>
      <c r="V301" s="359">
        <v>8003138819773</v>
      </c>
      <c r="W301" s="359">
        <v>218294335118</v>
      </c>
      <c r="X301" t="s">
        <v>2011</v>
      </c>
      <c r="Y301">
        <v>1.1200000000000001</v>
      </c>
    </row>
    <row r="302" spans="1:26" x14ac:dyDescent="0.2">
      <c r="A302" t="s">
        <v>2010</v>
      </c>
      <c r="B302" t="s">
        <v>2012</v>
      </c>
      <c r="C302">
        <v>78</v>
      </c>
      <c r="D302">
        <v>310.7</v>
      </c>
      <c r="E302">
        <v>308</v>
      </c>
      <c r="F302">
        <v>309.01799999999997</v>
      </c>
      <c r="G302">
        <v>308.2</v>
      </c>
      <c r="H302">
        <v>150</v>
      </c>
      <c r="I302">
        <v>1.048</v>
      </c>
      <c r="J302" t="s">
        <v>1780</v>
      </c>
      <c r="K302">
        <v>0</v>
      </c>
      <c r="L302">
        <v>0.73</v>
      </c>
      <c r="M302">
        <v>1.87</v>
      </c>
      <c r="N302">
        <v>20</v>
      </c>
      <c r="O302">
        <v>23</v>
      </c>
      <c r="P302" t="s">
        <v>1400</v>
      </c>
      <c r="Q302" s="364">
        <f t="shared" si="4"/>
        <v>1.6820000000000164</v>
      </c>
      <c r="R302">
        <v>0</v>
      </c>
      <c r="S302">
        <v>0</v>
      </c>
      <c r="T302">
        <v>0</v>
      </c>
      <c r="U302" s="359">
        <v>218294335118</v>
      </c>
      <c r="V302" s="359">
        <v>8003152628953</v>
      </c>
      <c r="W302" s="359">
        <v>218217291132</v>
      </c>
      <c r="X302" t="s">
        <v>2013</v>
      </c>
      <c r="Y302">
        <v>2.17</v>
      </c>
    </row>
    <row r="303" spans="1:26" x14ac:dyDescent="0.2">
      <c r="A303" t="s">
        <v>2012</v>
      </c>
      <c r="B303" t="s">
        <v>2014</v>
      </c>
      <c r="C303">
        <v>33</v>
      </c>
      <c r="D303">
        <v>308</v>
      </c>
      <c r="E303">
        <v>308</v>
      </c>
      <c r="F303">
        <v>308.2</v>
      </c>
      <c r="G303">
        <v>308</v>
      </c>
      <c r="H303">
        <v>150</v>
      </c>
      <c r="I303">
        <v>0.60599999999999998</v>
      </c>
      <c r="J303" t="s">
        <v>1780</v>
      </c>
      <c r="K303">
        <v>0</v>
      </c>
      <c r="L303">
        <v>0.73</v>
      </c>
      <c r="M303">
        <v>1.87</v>
      </c>
      <c r="N303">
        <v>24</v>
      </c>
      <c r="O303">
        <v>26</v>
      </c>
      <c r="P303" t="s">
        <v>1400</v>
      </c>
      <c r="Q303" s="364">
        <f t="shared" ref="Q303:Q338" si="5">D303-F303</f>
        <v>-0.19999999999998863</v>
      </c>
      <c r="R303">
        <v>0</v>
      </c>
      <c r="S303">
        <v>0</v>
      </c>
      <c r="T303">
        <v>0</v>
      </c>
      <c r="U303" s="359">
        <v>218217291132</v>
      </c>
      <c r="V303" s="359">
        <v>8003140454213</v>
      </c>
      <c r="W303" s="359">
        <v>218184531663</v>
      </c>
      <c r="X303" t="s">
        <v>2015</v>
      </c>
      <c r="Y303">
        <v>1.42</v>
      </c>
    </row>
    <row r="304" spans="1:26" x14ac:dyDescent="0.2">
      <c r="A304" t="s">
        <v>2014</v>
      </c>
      <c r="B304" t="s">
        <v>2016</v>
      </c>
      <c r="C304">
        <v>13</v>
      </c>
      <c r="D304">
        <v>308</v>
      </c>
      <c r="E304">
        <v>307</v>
      </c>
      <c r="F304">
        <v>308</v>
      </c>
      <c r="G304">
        <v>305.95</v>
      </c>
      <c r="H304">
        <v>150</v>
      </c>
      <c r="I304">
        <v>15.769</v>
      </c>
      <c r="J304" t="s">
        <v>1780</v>
      </c>
      <c r="K304">
        <v>0</v>
      </c>
      <c r="L304">
        <v>0.73</v>
      </c>
      <c r="M304">
        <v>1.87</v>
      </c>
      <c r="N304">
        <v>10</v>
      </c>
      <c r="O304">
        <v>12</v>
      </c>
      <c r="P304" t="s">
        <v>1400</v>
      </c>
      <c r="Q304" s="364">
        <f t="shared" si="5"/>
        <v>0</v>
      </c>
      <c r="R304">
        <v>0</v>
      </c>
      <c r="S304">
        <v>0</v>
      </c>
      <c r="T304">
        <v>0</v>
      </c>
      <c r="U304" s="359">
        <v>218184531663</v>
      </c>
      <c r="V304" s="359">
        <v>8003136477133</v>
      </c>
      <c r="W304" s="359">
        <v>218176555002</v>
      </c>
      <c r="X304" t="s">
        <v>2017</v>
      </c>
      <c r="Y304">
        <v>17.91</v>
      </c>
    </row>
    <row r="305" spans="1:25" x14ac:dyDescent="0.2">
      <c r="A305" t="s">
        <v>2016</v>
      </c>
      <c r="B305" t="s">
        <v>2018</v>
      </c>
      <c r="C305">
        <v>65</v>
      </c>
      <c r="D305">
        <v>307</v>
      </c>
      <c r="E305">
        <v>306.81</v>
      </c>
      <c r="F305">
        <v>305.95</v>
      </c>
      <c r="G305">
        <v>305.613</v>
      </c>
      <c r="H305">
        <v>150</v>
      </c>
      <c r="I305">
        <v>0.51800000000000002</v>
      </c>
      <c r="J305" t="s">
        <v>1830</v>
      </c>
      <c r="K305">
        <v>0</v>
      </c>
      <c r="L305">
        <v>0.73</v>
      </c>
      <c r="M305">
        <v>1.87</v>
      </c>
      <c r="N305">
        <v>21</v>
      </c>
      <c r="O305">
        <v>24</v>
      </c>
      <c r="P305" t="s">
        <v>1400</v>
      </c>
      <c r="Q305" s="364">
        <f t="shared" si="5"/>
        <v>1.0500000000000114</v>
      </c>
      <c r="R305">
        <v>0</v>
      </c>
      <c r="S305">
        <v>0</v>
      </c>
      <c r="T305">
        <v>0</v>
      </c>
      <c r="U305" s="359">
        <v>218176555002</v>
      </c>
      <c r="V305" s="359">
        <v>8003126212004</v>
      </c>
      <c r="W305" s="359">
        <v>218111605878</v>
      </c>
      <c r="X305" t="s">
        <v>2019</v>
      </c>
      <c r="Y305">
        <v>1.1200000000000001</v>
      </c>
    </row>
    <row r="306" spans="1:25" x14ac:dyDescent="0.2">
      <c r="A306" t="s">
        <v>2018</v>
      </c>
      <c r="B306" t="s">
        <v>2020</v>
      </c>
      <c r="C306">
        <v>38</v>
      </c>
      <c r="D306">
        <v>306.81</v>
      </c>
      <c r="E306">
        <v>306.63</v>
      </c>
      <c r="F306">
        <v>305.613</v>
      </c>
      <c r="G306">
        <v>305.416</v>
      </c>
      <c r="H306">
        <v>150</v>
      </c>
      <c r="I306">
        <v>0.51800000000000002</v>
      </c>
      <c r="J306" t="s">
        <v>1830</v>
      </c>
      <c r="K306">
        <v>0</v>
      </c>
      <c r="L306">
        <v>0.73</v>
      </c>
      <c r="M306">
        <v>1.87</v>
      </c>
      <c r="N306">
        <v>21</v>
      </c>
      <c r="O306">
        <v>24</v>
      </c>
      <c r="P306" t="s">
        <v>1400</v>
      </c>
      <c r="Q306" s="364">
        <f t="shared" si="5"/>
        <v>1.1970000000000027</v>
      </c>
      <c r="R306">
        <v>0</v>
      </c>
      <c r="S306">
        <v>0</v>
      </c>
      <c r="T306">
        <v>0</v>
      </c>
      <c r="U306" s="359">
        <v>218111605878</v>
      </c>
      <c r="V306" s="359">
        <v>8003123640758</v>
      </c>
      <c r="W306" s="359">
        <v>21807439074</v>
      </c>
      <c r="X306" t="s">
        <v>2021</v>
      </c>
      <c r="Y306">
        <v>1.1200000000000001</v>
      </c>
    </row>
    <row r="307" spans="1:25" x14ac:dyDescent="0.2">
      <c r="A307" t="s">
        <v>2020</v>
      </c>
      <c r="B307" t="s">
        <v>2022</v>
      </c>
      <c r="C307">
        <v>52</v>
      </c>
      <c r="D307">
        <v>306.63</v>
      </c>
      <c r="E307">
        <v>306.41000000000003</v>
      </c>
      <c r="F307">
        <v>305.416</v>
      </c>
      <c r="G307">
        <v>305.178</v>
      </c>
      <c r="H307">
        <v>150</v>
      </c>
      <c r="I307">
        <v>0.45800000000000002</v>
      </c>
      <c r="J307" t="s">
        <v>1780</v>
      </c>
      <c r="K307">
        <v>0</v>
      </c>
      <c r="L307">
        <v>0.73</v>
      </c>
      <c r="M307">
        <v>1.87</v>
      </c>
      <c r="N307">
        <v>25</v>
      </c>
      <c r="O307">
        <v>28</v>
      </c>
      <c r="P307" t="s">
        <v>1400</v>
      </c>
      <c r="Q307" s="364">
        <f t="shared" si="5"/>
        <v>1.2139999999999986</v>
      </c>
      <c r="R307">
        <v>0</v>
      </c>
      <c r="S307">
        <v>0</v>
      </c>
      <c r="T307">
        <v>0</v>
      </c>
      <c r="U307" s="359">
        <v>21807439074</v>
      </c>
      <c r="V307" s="359">
        <v>8003131324081</v>
      </c>
      <c r="W307" s="359">
        <v>218031683916</v>
      </c>
      <c r="X307" t="s">
        <v>2023</v>
      </c>
      <c r="Y307">
        <v>1.1399999999999999</v>
      </c>
    </row>
    <row r="308" spans="1:25" x14ac:dyDescent="0.2">
      <c r="A308" t="s">
        <v>2022</v>
      </c>
      <c r="B308" t="s">
        <v>2024</v>
      </c>
      <c r="C308">
        <v>80</v>
      </c>
      <c r="D308">
        <v>306.41000000000003</v>
      </c>
      <c r="E308">
        <v>306</v>
      </c>
      <c r="F308">
        <v>305.178</v>
      </c>
      <c r="G308">
        <v>304.76299999999998</v>
      </c>
      <c r="H308">
        <v>150</v>
      </c>
      <c r="I308">
        <v>0.51800000000000002</v>
      </c>
      <c r="J308" t="s">
        <v>1830</v>
      </c>
      <c r="K308">
        <v>0</v>
      </c>
      <c r="L308">
        <v>0.73</v>
      </c>
      <c r="M308">
        <v>1.87</v>
      </c>
      <c r="N308">
        <v>21</v>
      </c>
      <c r="O308">
        <v>24</v>
      </c>
      <c r="P308" t="s">
        <v>1400</v>
      </c>
      <c r="Q308" s="364">
        <f t="shared" si="5"/>
        <v>1.2320000000000277</v>
      </c>
      <c r="R308">
        <v>0</v>
      </c>
      <c r="S308">
        <v>0</v>
      </c>
      <c r="T308">
        <v>0</v>
      </c>
      <c r="U308" s="359">
        <v>218031683916</v>
      </c>
      <c r="V308" s="359">
        <v>8003160991019</v>
      </c>
      <c r="W308" s="359">
        <v>217951697225</v>
      </c>
      <c r="X308" t="s">
        <v>2025</v>
      </c>
      <c r="Y308">
        <v>1.1200000000000001</v>
      </c>
    </row>
    <row r="309" spans="1:25" x14ac:dyDescent="0.2">
      <c r="A309" t="s">
        <v>2024</v>
      </c>
      <c r="B309" t="s">
        <v>2026</v>
      </c>
      <c r="C309">
        <v>80</v>
      </c>
      <c r="D309">
        <v>306</v>
      </c>
      <c r="E309">
        <v>303.7</v>
      </c>
      <c r="F309">
        <v>304.76299999999998</v>
      </c>
      <c r="G309">
        <v>302.64999999999998</v>
      </c>
      <c r="H309">
        <v>150</v>
      </c>
      <c r="I309">
        <v>2.6419999999999999</v>
      </c>
      <c r="J309" t="s">
        <v>1830</v>
      </c>
      <c r="K309">
        <v>0</v>
      </c>
      <c r="L309">
        <v>0.73</v>
      </c>
      <c r="M309">
        <v>1.87</v>
      </c>
      <c r="N309">
        <v>14</v>
      </c>
      <c r="O309">
        <v>16</v>
      </c>
      <c r="P309" t="s">
        <v>1400</v>
      </c>
      <c r="Q309" s="364">
        <f t="shared" si="5"/>
        <v>1.2370000000000232</v>
      </c>
      <c r="R309">
        <v>0</v>
      </c>
      <c r="S309">
        <v>0</v>
      </c>
      <c r="T309">
        <v>0</v>
      </c>
      <c r="U309" s="359">
        <v>217951697225</v>
      </c>
      <c r="V309" s="359">
        <v>8003162450225</v>
      </c>
      <c r="W309" s="359">
        <v>217875585679</v>
      </c>
      <c r="X309" t="s">
        <v>2027</v>
      </c>
      <c r="Y309">
        <v>3.97</v>
      </c>
    </row>
    <row r="310" spans="1:25" x14ac:dyDescent="0.2">
      <c r="A310" t="s">
        <v>2026</v>
      </c>
      <c r="B310" t="s">
        <v>2028</v>
      </c>
      <c r="C310">
        <v>50</v>
      </c>
      <c r="D310">
        <v>303.7</v>
      </c>
      <c r="E310">
        <v>303.5</v>
      </c>
      <c r="F310">
        <v>302.64999999999998</v>
      </c>
      <c r="G310">
        <v>302.39100000000002</v>
      </c>
      <c r="H310">
        <v>150</v>
      </c>
      <c r="I310">
        <v>0.51800000000000002</v>
      </c>
      <c r="J310" t="s">
        <v>1830</v>
      </c>
      <c r="K310">
        <v>0</v>
      </c>
      <c r="L310">
        <v>0.73</v>
      </c>
      <c r="M310">
        <v>1.87</v>
      </c>
      <c r="N310">
        <v>21</v>
      </c>
      <c r="O310">
        <v>24</v>
      </c>
      <c r="P310" t="s">
        <v>1400</v>
      </c>
      <c r="Q310" s="364">
        <f t="shared" si="5"/>
        <v>1.0500000000000114</v>
      </c>
      <c r="R310">
        <v>0</v>
      </c>
      <c r="S310">
        <v>0</v>
      </c>
      <c r="T310">
        <v>0</v>
      </c>
      <c r="U310" s="359">
        <v>217875585679</v>
      </c>
      <c r="V310" s="359">
        <v>8003187088254</v>
      </c>
      <c r="W310" s="359">
        <v>217833255157</v>
      </c>
      <c r="X310" t="s">
        <v>2029</v>
      </c>
      <c r="Y310">
        <v>1.1200000000000001</v>
      </c>
    </row>
    <row r="311" spans="1:25" x14ac:dyDescent="0.2">
      <c r="A311" t="s">
        <v>2028</v>
      </c>
      <c r="B311" t="s">
        <v>2030</v>
      </c>
      <c r="C311">
        <v>32</v>
      </c>
      <c r="D311">
        <v>303.5</v>
      </c>
      <c r="E311">
        <v>303.5</v>
      </c>
      <c r="F311">
        <v>302.39100000000002</v>
      </c>
      <c r="G311">
        <v>302.22500000000002</v>
      </c>
      <c r="H311">
        <v>150</v>
      </c>
      <c r="I311">
        <v>0.51800000000000002</v>
      </c>
      <c r="J311" t="s">
        <v>1830</v>
      </c>
      <c r="K311">
        <v>0</v>
      </c>
      <c r="L311">
        <v>0.73</v>
      </c>
      <c r="M311">
        <v>1.87</v>
      </c>
      <c r="N311">
        <v>21</v>
      </c>
      <c r="O311">
        <v>24</v>
      </c>
      <c r="P311" t="s">
        <v>1400</v>
      </c>
      <c r="Q311" s="364">
        <f t="shared" si="5"/>
        <v>1.1089999999999804</v>
      </c>
      <c r="R311">
        <v>0</v>
      </c>
      <c r="S311">
        <v>0</v>
      </c>
      <c r="T311">
        <v>0</v>
      </c>
      <c r="U311" s="359">
        <v>217833255157</v>
      </c>
      <c r="V311" s="359">
        <v>8003213698908</v>
      </c>
      <c r="W311" s="359">
        <v>217804545165</v>
      </c>
      <c r="X311" t="s">
        <v>2031</v>
      </c>
      <c r="Y311">
        <v>1.1200000000000001</v>
      </c>
    </row>
    <row r="312" spans="1:25" x14ac:dyDescent="0.2">
      <c r="A312" t="s">
        <v>2030</v>
      </c>
      <c r="B312" t="s">
        <v>2032</v>
      </c>
      <c r="C312">
        <v>9</v>
      </c>
      <c r="D312">
        <v>303.5</v>
      </c>
      <c r="E312">
        <v>303.39999999999998</v>
      </c>
      <c r="F312">
        <v>302.22500000000002</v>
      </c>
      <c r="G312">
        <v>302.178</v>
      </c>
      <c r="H312">
        <v>150</v>
      </c>
      <c r="I312">
        <v>0.51800000000000002</v>
      </c>
      <c r="J312" t="s">
        <v>1830</v>
      </c>
      <c r="K312">
        <v>0</v>
      </c>
      <c r="L312">
        <v>0.73</v>
      </c>
      <c r="M312">
        <v>1.87</v>
      </c>
      <c r="N312">
        <v>21</v>
      </c>
      <c r="O312">
        <v>24</v>
      </c>
      <c r="P312" t="s">
        <v>1400</v>
      </c>
      <c r="Q312" s="364">
        <f t="shared" si="5"/>
        <v>1.2749999999999773</v>
      </c>
      <c r="R312">
        <v>0</v>
      </c>
      <c r="S312">
        <v>0</v>
      </c>
      <c r="T312">
        <v>0</v>
      </c>
      <c r="U312" s="359">
        <v>217804545165</v>
      </c>
      <c r="V312" s="359">
        <v>8003227831718</v>
      </c>
      <c r="W312" s="359">
        <v>217795777779</v>
      </c>
      <c r="X312" t="s">
        <v>2033</v>
      </c>
      <c r="Y312">
        <v>1.1200000000000001</v>
      </c>
    </row>
    <row r="313" spans="1:25" x14ac:dyDescent="0.2">
      <c r="A313" t="s">
        <v>2032</v>
      </c>
      <c r="B313" t="s">
        <v>2034</v>
      </c>
      <c r="C313">
        <v>34</v>
      </c>
      <c r="D313">
        <v>303.39999999999998</v>
      </c>
      <c r="E313">
        <v>303.31</v>
      </c>
      <c r="F313">
        <v>302.178</v>
      </c>
      <c r="G313">
        <v>302.00200000000001</v>
      </c>
      <c r="H313">
        <v>150</v>
      </c>
      <c r="I313">
        <v>0.51800000000000002</v>
      </c>
      <c r="J313" t="s">
        <v>1830</v>
      </c>
      <c r="K313">
        <v>0</v>
      </c>
      <c r="L313">
        <v>0.73</v>
      </c>
      <c r="M313">
        <v>1.87</v>
      </c>
      <c r="N313">
        <v>21</v>
      </c>
      <c r="O313">
        <v>24</v>
      </c>
      <c r="P313" t="s">
        <v>1400</v>
      </c>
      <c r="Q313" s="364">
        <f t="shared" si="5"/>
        <v>1.22199999999998</v>
      </c>
      <c r="R313">
        <v>0</v>
      </c>
      <c r="S313">
        <v>0</v>
      </c>
      <c r="T313">
        <v>0</v>
      </c>
      <c r="U313" s="359">
        <v>217795777779</v>
      </c>
      <c r="V313" s="359">
        <v>8003229864685</v>
      </c>
      <c r="W313" s="359">
        <v>217761815192</v>
      </c>
      <c r="X313" t="s">
        <v>2035</v>
      </c>
      <c r="Y313">
        <v>1.1200000000000001</v>
      </c>
    </row>
    <row r="314" spans="1:25" x14ac:dyDescent="0.2">
      <c r="A314" t="s">
        <v>2034</v>
      </c>
      <c r="B314" t="s">
        <v>2036</v>
      </c>
      <c r="C314">
        <v>9</v>
      </c>
      <c r="D314">
        <v>303.31</v>
      </c>
      <c r="E314">
        <v>303.14999999999998</v>
      </c>
      <c r="F314">
        <v>302.00200000000001</v>
      </c>
      <c r="G314">
        <v>301.95600000000002</v>
      </c>
      <c r="H314">
        <v>150</v>
      </c>
      <c r="I314">
        <v>0.51800000000000002</v>
      </c>
      <c r="J314" t="s">
        <v>1830</v>
      </c>
      <c r="K314">
        <v>0</v>
      </c>
      <c r="L314">
        <v>0.73</v>
      </c>
      <c r="M314">
        <v>1.87</v>
      </c>
      <c r="N314">
        <v>21</v>
      </c>
      <c r="O314">
        <v>24</v>
      </c>
      <c r="P314" t="s">
        <v>1400</v>
      </c>
      <c r="Q314" s="364">
        <f t="shared" si="5"/>
        <v>1.3079999999999927</v>
      </c>
      <c r="R314">
        <v>0</v>
      </c>
      <c r="S314">
        <v>0</v>
      </c>
      <c r="T314">
        <v>0</v>
      </c>
      <c r="U314" s="359">
        <v>217761815192</v>
      </c>
      <c r="V314" s="359">
        <v>8003231459271</v>
      </c>
      <c r="W314" s="359">
        <v>21775386512</v>
      </c>
      <c r="X314" t="s">
        <v>2037</v>
      </c>
      <c r="Y314">
        <v>1.1200000000000001</v>
      </c>
    </row>
    <row r="315" spans="1:25" x14ac:dyDescent="0.2">
      <c r="A315" t="s">
        <v>2036</v>
      </c>
      <c r="B315" t="s">
        <v>2038</v>
      </c>
      <c r="C315">
        <v>25</v>
      </c>
      <c r="D315">
        <v>303.14999999999998</v>
      </c>
      <c r="E315">
        <v>303</v>
      </c>
      <c r="F315">
        <v>301.95600000000002</v>
      </c>
      <c r="G315">
        <v>301.82600000000002</v>
      </c>
      <c r="H315">
        <v>150</v>
      </c>
      <c r="I315">
        <v>0.51800000000000002</v>
      </c>
      <c r="J315" t="s">
        <v>1830</v>
      </c>
      <c r="K315">
        <v>0</v>
      </c>
      <c r="L315">
        <v>0.73</v>
      </c>
      <c r="M315">
        <v>1.87</v>
      </c>
      <c r="N315">
        <v>21</v>
      </c>
      <c r="O315">
        <v>24</v>
      </c>
      <c r="P315" t="s">
        <v>1400</v>
      </c>
      <c r="Q315" s="364">
        <f t="shared" si="5"/>
        <v>1.19399999999996</v>
      </c>
      <c r="R315">
        <v>0</v>
      </c>
      <c r="S315">
        <v>0</v>
      </c>
      <c r="T315">
        <v>0</v>
      </c>
      <c r="U315" s="359">
        <v>21775386512</v>
      </c>
      <c r="V315" s="359">
        <v>8003235677842</v>
      </c>
      <c r="W315" s="359">
        <v>217729434096</v>
      </c>
      <c r="X315" t="s">
        <v>2039</v>
      </c>
      <c r="Y315">
        <v>1.1200000000000001</v>
      </c>
    </row>
    <row r="316" spans="1:25" x14ac:dyDescent="0.2">
      <c r="A316" t="s">
        <v>2038</v>
      </c>
      <c r="B316" t="s">
        <v>2040</v>
      </c>
      <c r="C316">
        <v>34</v>
      </c>
      <c r="D316">
        <v>303</v>
      </c>
      <c r="E316">
        <v>302.89999999999998</v>
      </c>
      <c r="F316">
        <v>301.82600000000002</v>
      </c>
      <c r="G316">
        <v>301.64999999999998</v>
      </c>
      <c r="H316">
        <v>150</v>
      </c>
      <c r="I316">
        <v>0.51800000000000002</v>
      </c>
      <c r="J316" t="s">
        <v>1830</v>
      </c>
      <c r="K316">
        <v>0</v>
      </c>
      <c r="L316">
        <v>0.73</v>
      </c>
      <c r="M316">
        <v>1.87</v>
      </c>
      <c r="N316">
        <v>21</v>
      </c>
      <c r="O316">
        <v>24</v>
      </c>
      <c r="P316" t="s">
        <v>1400</v>
      </c>
      <c r="Q316" s="364">
        <f t="shared" si="5"/>
        <v>1.1739999999999782</v>
      </c>
      <c r="R316">
        <v>0</v>
      </c>
      <c r="S316">
        <v>0</v>
      </c>
      <c r="T316">
        <v>0</v>
      </c>
      <c r="U316" s="359">
        <v>217729434096</v>
      </c>
      <c r="V316" s="359">
        <v>8003240981153</v>
      </c>
      <c r="W316" s="359">
        <v>217698496275</v>
      </c>
      <c r="X316" t="s">
        <v>2041</v>
      </c>
      <c r="Y316">
        <v>1.1200000000000001</v>
      </c>
    </row>
    <row r="317" spans="1:25" x14ac:dyDescent="0.2">
      <c r="A317" t="s">
        <v>2040</v>
      </c>
      <c r="B317" t="s">
        <v>2042</v>
      </c>
      <c r="C317">
        <v>15</v>
      </c>
      <c r="D317">
        <v>302.89999999999998</v>
      </c>
      <c r="E317">
        <v>302</v>
      </c>
      <c r="F317">
        <v>301.64999999999998</v>
      </c>
      <c r="G317">
        <v>300.95</v>
      </c>
      <c r="H317">
        <v>150</v>
      </c>
      <c r="I317">
        <v>4.665</v>
      </c>
      <c r="J317" t="s">
        <v>1830</v>
      </c>
      <c r="K317">
        <v>0</v>
      </c>
      <c r="L317">
        <v>0.73</v>
      </c>
      <c r="M317">
        <v>1.87</v>
      </c>
      <c r="N317">
        <v>12</v>
      </c>
      <c r="O317">
        <v>14</v>
      </c>
      <c r="P317" t="s">
        <v>1400</v>
      </c>
      <c r="Q317" s="364">
        <f t="shared" si="5"/>
        <v>1.25</v>
      </c>
      <c r="R317">
        <v>0</v>
      </c>
      <c r="S317">
        <v>0</v>
      </c>
      <c r="T317">
        <v>0</v>
      </c>
      <c r="U317" s="359">
        <v>217698496275</v>
      </c>
      <c r="V317" s="359">
        <v>8003255082614</v>
      </c>
      <c r="W317" s="359">
        <v>217683784143</v>
      </c>
      <c r="X317" t="s">
        <v>2043</v>
      </c>
      <c r="Y317">
        <v>6.19</v>
      </c>
    </row>
    <row r="318" spans="1:25" x14ac:dyDescent="0.2">
      <c r="A318" t="s">
        <v>2042</v>
      </c>
      <c r="B318" t="s">
        <v>2044</v>
      </c>
      <c r="C318">
        <v>47</v>
      </c>
      <c r="D318">
        <v>302</v>
      </c>
      <c r="E318">
        <v>301.5</v>
      </c>
      <c r="F318">
        <v>300.95</v>
      </c>
      <c r="G318">
        <v>300.45</v>
      </c>
      <c r="H318">
        <v>150</v>
      </c>
      <c r="I318">
        <v>1.0640000000000001</v>
      </c>
      <c r="J318" t="s">
        <v>1780</v>
      </c>
      <c r="K318">
        <v>0</v>
      </c>
      <c r="L318">
        <v>0.73</v>
      </c>
      <c r="M318">
        <v>1.87</v>
      </c>
      <c r="N318">
        <v>20</v>
      </c>
      <c r="O318">
        <v>23</v>
      </c>
      <c r="P318" t="s">
        <v>1400</v>
      </c>
      <c r="Q318" s="364">
        <f t="shared" si="5"/>
        <v>1.0500000000000114</v>
      </c>
      <c r="R318">
        <v>0</v>
      </c>
      <c r="S318">
        <v>0</v>
      </c>
      <c r="T318">
        <v>0</v>
      </c>
      <c r="U318" s="359">
        <v>217683784143</v>
      </c>
      <c r="V318" s="359">
        <v>8003258007194</v>
      </c>
      <c r="W318" s="359">
        <v>217640396987</v>
      </c>
      <c r="X318" t="s">
        <v>2045</v>
      </c>
      <c r="Y318">
        <v>2.2000000000000002</v>
      </c>
    </row>
    <row r="319" spans="1:25" x14ac:dyDescent="0.2">
      <c r="A319" t="s">
        <v>2044</v>
      </c>
      <c r="B319" t="s">
        <v>2046</v>
      </c>
      <c r="C319">
        <v>20</v>
      </c>
      <c r="D319">
        <v>301.5</v>
      </c>
      <c r="E319">
        <v>300.89999999999998</v>
      </c>
      <c r="F319">
        <v>300.45</v>
      </c>
      <c r="G319">
        <v>299.85000000000002</v>
      </c>
      <c r="H319">
        <v>150</v>
      </c>
      <c r="I319">
        <v>3</v>
      </c>
      <c r="J319" t="s">
        <v>1830</v>
      </c>
      <c r="K319">
        <v>0</v>
      </c>
      <c r="L319">
        <v>0.73</v>
      </c>
      <c r="M319">
        <v>1.87</v>
      </c>
      <c r="N319">
        <v>14</v>
      </c>
      <c r="O319">
        <v>15</v>
      </c>
      <c r="P319" t="s">
        <v>1400</v>
      </c>
      <c r="Q319" s="364">
        <f t="shared" si="5"/>
        <v>1.0500000000000114</v>
      </c>
      <c r="R319">
        <v>0</v>
      </c>
      <c r="S319">
        <v>0</v>
      </c>
      <c r="T319">
        <v>0</v>
      </c>
      <c r="U319" s="359">
        <v>217640396987</v>
      </c>
      <c r="V319" s="359">
        <v>8003276078019</v>
      </c>
      <c r="W319" s="359">
        <v>217620616944</v>
      </c>
      <c r="X319" t="s">
        <v>2047</v>
      </c>
      <c r="Y319">
        <v>4.4000000000000004</v>
      </c>
    </row>
    <row r="320" spans="1:25" x14ac:dyDescent="0.2">
      <c r="A320" t="s">
        <v>2046</v>
      </c>
      <c r="B320" t="s">
        <v>2048</v>
      </c>
      <c r="C320">
        <v>51</v>
      </c>
      <c r="D320">
        <v>300.89999999999998</v>
      </c>
      <c r="E320">
        <v>299.83</v>
      </c>
      <c r="F320">
        <v>299.85000000000002</v>
      </c>
      <c r="G320">
        <v>298.77999999999997</v>
      </c>
      <c r="H320">
        <v>150</v>
      </c>
      <c r="I320">
        <v>2.0979999999999999</v>
      </c>
      <c r="J320" t="s">
        <v>1830</v>
      </c>
      <c r="K320">
        <v>0</v>
      </c>
      <c r="L320">
        <v>0.73</v>
      </c>
      <c r="M320">
        <v>1.87</v>
      </c>
      <c r="N320">
        <v>15</v>
      </c>
      <c r="O320">
        <v>17</v>
      </c>
      <c r="P320" t="s">
        <v>1400</v>
      </c>
      <c r="Q320" s="364">
        <f t="shared" si="5"/>
        <v>1.0499999999999545</v>
      </c>
      <c r="R320">
        <v>0</v>
      </c>
      <c r="S320">
        <v>0</v>
      </c>
      <c r="T320">
        <v>0</v>
      </c>
      <c r="U320" s="359">
        <v>217620616944</v>
      </c>
      <c r="V320" s="359">
        <v>8003279036044</v>
      </c>
      <c r="W320" s="359">
        <v>217579689912</v>
      </c>
      <c r="X320" t="s">
        <v>2049</v>
      </c>
      <c r="Y320">
        <v>3.32</v>
      </c>
    </row>
    <row r="321" spans="1:25" x14ac:dyDescent="0.2">
      <c r="A321" t="s">
        <v>2048</v>
      </c>
      <c r="B321" t="s">
        <v>2050</v>
      </c>
      <c r="C321">
        <v>40</v>
      </c>
      <c r="D321">
        <v>299.83</v>
      </c>
      <c r="E321">
        <v>299.7</v>
      </c>
      <c r="F321">
        <v>298.77999999999997</v>
      </c>
      <c r="G321">
        <v>298.57299999999998</v>
      </c>
      <c r="H321">
        <v>150</v>
      </c>
      <c r="I321">
        <v>0.51800000000000002</v>
      </c>
      <c r="J321" t="s">
        <v>1830</v>
      </c>
      <c r="K321">
        <v>0</v>
      </c>
      <c r="L321">
        <v>0.73</v>
      </c>
      <c r="M321">
        <v>1.87</v>
      </c>
      <c r="N321">
        <v>21</v>
      </c>
      <c r="O321">
        <v>24</v>
      </c>
      <c r="P321" t="s">
        <v>1400</v>
      </c>
      <c r="Q321" s="364">
        <f t="shared" si="5"/>
        <v>1.0500000000000114</v>
      </c>
      <c r="R321">
        <v>0</v>
      </c>
      <c r="S321">
        <v>0</v>
      </c>
      <c r="T321">
        <v>0</v>
      </c>
      <c r="U321" s="359">
        <v>217579689912</v>
      </c>
      <c r="V321" s="359">
        <v>8003309465931</v>
      </c>
      <c r="W321" s="359">
        <v>217539940544</v>
      </c>
      <c r="X321" t="s">
        <v>2051</v>
      </c>
      <c r="Y321">
        <v>1.1200000000000001</v>
      </c>
    </row>
    <row r="322" spans="1:25" x14ac:dyDescent="0.2">
      <c r="A322" t="s">
        <v>2050</v>
      </c>
      <c r="B322" t="s">
        <v>2052</v>
      </c>
      <c r="C322">
        <v>38</v>
      </c>
      <c r="D322">
        <v>299.7</v>
      </c>
      <c r="E322">
        <v>299.61</v>
      </c>
      <c r="F322">
        <v>298.57299999999998</v>
      </c>
      <c r="G322">
        <v>298.37599999999998</v>
      </c>
      <c r="H322">
        <v>150</v>
      </c>
      <c r="I322">
        <v>0.51800000000000002</v>
      </c>
      <c r="J322" t="s">
        <v>1830</v>
      </c>
      <c r="K322">
        <v>0</v>
      </c>
      <c r="L322">
        <v>0.73</v>
      </c>
      <c r="M322">
        <v>1.87</v>
      </c>
      <c r="N322">
        <v>21</v>
      </c>
      <c r="O322">
        <v>24</v>
      </c>
      <c r="P322" t="s">
        <v>1400</v>
      </c>
      <c r="Q322" s="364">
        <f t="shared" si="5"/>
        <v>1.1270000000000095</v>
      </c>
      <c r="R322">
        <v>0</v>
      </c>
      <c r="S322">
        <v>0</v>
      </c>
      <c r="T322">
        <v>0</v>
      </c>
      <c r="U322" s="359">
        <v>217539940544</v>
      </c>
      <c r="V322" s="359">
        <v>8003313936697</v>
      </c>
      <c r="W322" s="359">
        <v>217511095238</v>
      </c>
      <c r="X322" t="s">
        <v>2053</v>
      </c>
      <c r="Y322">
        <v>1.1200000000000001</v>
      </c>
    </row>
    <row r="323" spans="1:25" x14ac:dyDescent="0.2">
      <c r="A323" t="s">
        <v>2052</v>
      </c>
      <c r="B323" t="s">
        <v>2054</v>
      </c>
      <c r="C323">
        <v>32</v>
      </c>
      <c r="D323">
        <v>299.61</v>
      </c>
      <c r="E323">
        <v>299.3</v>
      </c>
      <c r="F323">
        <v>298.37599999999998</v>
      </c>
      <c r="G323">
        <v>298.20999999999998</v>
      </c>
      <c r="H323">
        <v>150</v>
      </c>
      <c r="I323">
        <v>0.51800000000000002</v>
      </c>
      <c r="J323" t="s">
        <v>1830</v>
      </c>
      <c r="K323">
        <v>0</v>
      </c>
      <c r="L323">
        <v>0.73</v>
      </c>
      <c r="M323">
        <v>1.87</v>
      </c>
      <c r="N323">
        <v>21</v>
      </c>
      <c r="O323">
        <v>24</v>
      </c>
      <c r="P323" t="s">
        <v>1400</v>
      </c>
      <c r="Q323" s="364">
        <f t="shared" si="5"/>
        <v>1.2340000000000373</v>
      </c>
      <c r="R323">
        <v>0</v>
      </c>
      <c r="S323">
        <v>0</v>
      </c>
      <c r="T323">
        <v>0</v>
      </c>
      <c r="U323" s="359">
        <v>217511095238</v>
      </c>
      <c r="V323" s="359">
        <v>8003289199109</v>
      </c>
      <c r="W323" s="359">
        <v>217482152152</v>
      </c>
      <c r="X323" t="s">
        <v>2055</v>
      </c>
      <c r="Y323">
        <v>1.1200000000000001</v>
      </c>
    </row>
    <row r="324" spans="1:25" x14ac:dyDescent="0.2">
      <c r="A324" t="s">
        <v>2054</v>
      </c>
      <c r="B324" t="s">
        <v>2056</v>
      </c>
      <c r="C324">
        <v>44</v>
      </c>
      <c r="D324">
        <v>299.3</v>
      </c>
      <c r="E324">
        <v>298.83</v>
      </c>
      <c r="F324">
        <v>298.20999999999998</v>
      </c>
      <c r="G324">
        <v>297.77999999999997</v>
      </c>
      <c r="H324">
        <v>150</v>
      </c>
      <c r="I324">
        <v>0.97699999999999998</v>
      </c>
      <c r="J324" t="s">
        <v>1830</v>
      </c>
      <c r="K324">
        <v>0</v>
      </c>
      <c r="L324">
        <v>0.73</v>
      </c>
      <c r="M324">
        <v>1.87</v>
      </c>
      <c r="N324">
        <v>18</v>
      </c>
      <c r="O324">
        <v>20</v>
      </c>
      <c r="P324" t="s">
        <v>1400</v>
      </c>
      <c r="Q324" s="364">
        <f t="shared" si="5"/>
        <v>1.0900000000000318</v>
      </c>
      <c r="R324">
        <v>0</v>
      </c>
      <c r="S324">
        <v>0</v>
      </c>
      <c r="T324">
        <v>0</v>
      </c>
      <c r="U324" s="359">
        <v>217482152152</v>
      </c>
      <c r="V324" s="359">
        <v>8003275550013</v>
      </c>
      <c r="W324" s="359">
        <v>217442597301</v>
      </c>
      <c r="X324" t="s">
        <v>2057</v>
      </c>
      <c r="Y324">
        <v>1.84</v>
      </c>
    </row>
    <row r="325" spans="1:25" x14ac:dyDescent="0.2">
      <c r="A325" t="s">
        <v>2056</v>
      </c>
      <c r="B325" t="s">
        <v>2058</v>
      </c>
      <c r="C325">
        <v>48</v>
      </c>
      <c r="D325">
        <v>298.83</v>
      </c>
      <c r="E325">
        <v>298.5</v>
      </c>
      <c r="F325">
        <v>297.77999999999997</v>
      </c>
      <c r="G325">
        <v>297.45</v>
      </c>
      <c r="H325">
        <v>150</v>
      </c>
      <c r="I325">
        <v>0.68700000000000006</v>
      </c>
      <c r="J325" t="s">
        <v>1780</v>
      </c>
      <c r="K325">
        <v>0</v>
      </c>
      <c r="L325">
        <v>0.73</v>
      </c>
      <c r="M325">
        <v>1.87</v>
      </c>
      <c r="N325">
        <v>23</v>
      </c>
      <c r="O325">
        <v>26</v>
      </c>
      <c r="P325" t="s">
        <v>1400</v>
      </c>
      <c r="Q325" s="364">
        <f t="shared" si="5"/>
        <v>1.0500000000000114</v>
      </c>
      <c r="R325">
        <v>0</v>
      </c>
      <c r="S325">
        <v>0</v>
      </c>
      <c r="T325">
        <v>0</v>
      </c>
      <c r="U325" s="359">
        <v>217442597301</v>
      </c>
      <c r="V325" s="359">
        <v>8003256277916</v>
      </c>
      <c r="W325" s="359">
        <v>217400692671</v>
      </c>
      <c r="X325" t="s">
        <v>2059</v>
      </c>
      <c r="Y325">
        <v>1.56</v>
      </c>
    </row>
    <row r="326" spans="1:25" x14ac:dyDescent="0.2">
      <c r="A326" t="s">
        <v>2058</v>
      </c>
      <c r="B326" t="s">
        <v>2060</v>
      </c>
      <c r="C326">
        <v>80</v>
      </c>
      <c r="D326">
        <v>298.5</v>
      </c>
      <c r="E326">
        <v>298.23</v>
      </c>
      <c r="F326">
        <v>297.45</v>
      </c>
      <c r="G326">
        <v>297.08300000000003</v>
      </c>
      <c r="H326">
        <v>150</v>
      </c>
      <c r="I326">
        <v>0.45800000000000002</v>
      </c>
      <c r="J326" t="s">
        <v>1780</v>
      </c>
      <c r="K326">
        <v>0</v>
      </c>
      <c r="L326">
        <v>0.73</v>
      </c>
      <c r="M326">
        <v>1.87</v>
      </c>
      <c r="N326">
        <v>25</v>
      </c>
      <c r="O326">
        <v>28</v>
      </c>
      <c r="P326" t="s">
        <v>1400</v>
      </c>
      <c r="Q326" s="364">
        <f t="shared" si="5"/>
        <v>1.0500000000000114</v>
      </c>
      <c r="R326">
        <v>0</v>
      </c>
      <c r="S326">
        <v>0</v>
      </c>
      <c r="T326">
        <v>0</v>
      </c>
      <c r="U326" s="359">
        <v>217400692671</v>
      </c>
      <c r="V326" s="359">
        <v>8003279687358</v>
      </c>
      <c r="W326" s="359">
        <v>217327717143</v>
      </c>
      <c r="X326" t="s">
        <v>2061</v>
      </c>
      <c r="Y326">
        <v>1.1399999999999999</v>
      </c>
    </row>
    <row r="327" spans="1:25" x14ac:dyDescent="0.2">
      <c r="A327" t="s">
        <v>2060</v>
      </c>
      <c r="B327" t="s">
        <v>2062</v>
      </c>
      <c r="C327">
        <v>80</v>
      </c>
      <c r="D327">
        <v>298.23</v>
      </c>
      <c r="E327">
        <v>296.7</v>
      </c>
      <c r="F327">
        <v>297.08300000000003</v>
      </c>
      <c r="G327">
        <v>295.64999999999998</v>
      </c>
      <c r="H327">
        <v>150</v>
      </c>
      <c r="I327">
        <v>1.792</v>
      </c>
      <c r="J327" t="s">
        <v>2063</v>
      </c>
      <c r="K327">
        <v>3.75</v>
      </c>
      <c r="L327">
        <v>2.19</v>
      </c>
      <c r="M327">
        <v>5.62</v>
      </c>
      <c r="N327">
        <v>22</v>
      </c>
      <c r="O327">
        <v>35</v>
      </c>
      <c r="P327" t="s">
        <v>1400</v>
      </c>
      <c r="Q327" s="364">
        <f t="shared" si="5"/>
        <v>1.1469999999999914</v>
      </c>
      <c r="R327">
        <v>0</v>
      </c>
      <c r="S327">
        <v>0</v>
      </c>
      <c r="T327">
        <v>0</v>
      </c>
      <c r="U327" s="359">
        <v>217327717143</v>
      </c>
      <c r="V327" s="359">
        <v>8003312468028</v>
      </c>
      <c r="W327" s="359">
        <v>217255263998</v>
      </c>
      <c r="X327" t="s">
        <v>2064</v>
      </c>
      <c r="Y327">
        <v>5.3</v>
      </c>
    </row>
    <row r="328" spans="1:25" x14ac:dyDescent="0.2">
      <c r="A328" t="s">
        <v>2062</v>
      </c>
      <c r="B328" t="s">
        <v>2065</v>
      </c>
      <c r="C328">
        <v>20</v>
      </c>
      <c r="D328">
        <v>296.7</v>
      </c>
      <c r="E328">
        <v>296.33300000000003</v>
      </c>
      <c r="F328">
        <v>295.64999999999998</v>
      </c>
      <c r="G328">
        <v>295.28300000000002</v>
      </c>
      <c r="H328">
        <v>150</v>
      </c>
      <c r="I328">
        <v>1.835</v>
      </c>
      <c r="J328" t="s">
        <v>1830</v>
      </c>
      <c r="K328">
        <v>0</v>
      </c>
      <c r="L328">
        <v>2.19</v>
      </c>
      <c r="M328">
        <v>5.62</v>
      </c>
      <c r="N328">
        <v>19</v>
      </c>
      <c r="O328">
        <v>31</v>
      </c>
      <c r="P328" t="s">
        <v>1400</v>
      </c>
      <c r="Q328" s="364">
        <f t="shared" si="5"/>
        <v>1.0500000000000114</v>
      </c>
      <c r="R328">
        <v>0</v>
      </c>
      <c r="S328">
        <v>0</v>
      </c>
      <c r="T328">
        <v>0</v>
      </c>
      <c r="U328" s="359">
        <v>217255263998</v>
      </c>
      <c r="V328" s="359">
        <v>8003346387664</v>
      </c>
      <c r="W328" s="359">
        <v>217237136157</v>
      </c>
      <c r="X328" t="s">
        <v>2066</v>
      </c>
      <c r="Y328">
        <v>4.84</v>
      </c>
    </row>
    <row r="329" spans="1:25" x14ac:dyDescent="0.2">
      <c r="A329" t="s">
        <v>2065</v>
      </c>
      <c r="B329" t="s">
        <v>2067</v>
      </c>
      <c r="C329">
        <v>80</v>
      </c>
      <c r="D329">
        <v>296.33300000000003</v>
      </c>
      <c r="E329">
        <v>295.45999999999998</v>
      </c>
      <c r="F329">
        <v>295.28300000000002</v>
      </c>
      <c r="G329">
        <v>294.41000000000003</v>
      </c>
      <c r="H329">
        <v>150</v>
      </c>
      <c r="I329">
        <v>1.091</v>
      </c>
      <c r="J329" t="s">
        <v>1830</v>
      </c>
      <c r="K329">
        <v>0</v>
      </c>
      <c r="L329">
        <v>2.19</v>
      </c>
      <c r="M329">
        <v>5.62</v>
      </c>
      <c r="N329">
        <v>21</v>
      </c>
      <c r="O329">
        <v>35</v>
      </c>
      <c r="P329" t="s">
        <v>1400</v>
      </c>
      <c r="Q329" s="364">
        <f t="shared" si="5"/>
        <v>1.0500000000000114</v>
      </c>
      <c r="R329">
        <v>0</v>
      </c>
      <c r="S329">
        <v>0</v>
      </c>
      <c r="T329">
        <v>0</v>
      </c>
      <c r="U329" s="359">
        <v>217237136157</v>
      </c>
      <c r="V329" s="359">
        <v>8003354836416</v>
      </c>
      <c r="W329" s="359">
        <v>217157960388</v>
      </c>
      <c r="X329" t="s">
        <v>2068</v>
      </c>
      <c r="Y329">
        <v>3.21</v>
      </c>
    </row>
    <row r="330" spans="1:25" x14ac:dyDescent="0.2">
      <c r="A330" t="s">
        <v>2067</v>
      </c>
      <c r="B330" t="s">
        <v>2069</v>
      </c>
      <c r="C330">
        <v>43</v>
      </c>
      <c r="D330">
        <v>295.45999999999998</v>
      </c>
      <c r="E330">
        <v>294.57299999999998</v>
      </c>
      <c r="F330">
        <v>294.41000000000003</v>
      </c>
      <c r="G330">
        <v>293.52300000000002</v>
      </c>
      <c r="H330">
        <v>150</v>
      </c>
      <c r="I330">
        <v>2.0630000000000002</v>
      </c>
      <c r="J330" t="s">
        <v>1830</v>
      </c>
      <c r="K330">
        <v>0</v>
      </c>
      <c r="L330">
        <v>2.19</v>
      </c>
      <c r="M330">
        <v>5.62</v>
      </c>
      <c r="N330">
        <v>18</v>
      </c>
      <c r="O330">
        <v>30</v>
      </c>
      <c r="P330" t="s">
        <v>1400</v>
      </c>
      <c r="Q330" s="364">
        <f t="shared" si="5"/>
        <v>1.0499999999999545</v>
      </c>
      <c r="R330">
        <v>0</v>
      </c>
      <c r="S330">
        <v>0</v>
      </c>
      <c r="T330">
        <v>0</v>
      </c>
      <c r="U330" s="359">
        <v>217157960388</v>
      </c>
      <c r="V330" s="359">
        <v>8003343382263</v>
      </c>
      <c r="W330" s="359">
        <v>217115340287</v>
      </c>
      <c r="X330" t="s">
        <v>2070</v>
      </c>
      <c r="Y330">
        <v>5.31</v>
      </c>
    </row>
    <row r="331" spans="1:25" x14ac:dyDescent="0.2">
      <c r="A331" t="s">
        <v>2069</v>
      </c>
      <c r="B331" t="s">
        <v>2071</v>
      </c>
      <c r="C331">
        <v>80</v>
      </c>
      <c r="D331">
        <v>294.57299999999998</v>
      </c>
      <c r="E331">
        <v>294.2</v>
      </c>
      <c r="F331">
        <v>293.52300000000002</v>
      </c>
      <c r="G331">
        <v>293.14999999999998</v>
      </c>
      <c r="H331">
        <v>150</v>
      </c>
      <c r="I331">
        <v>0.46600000000000003</v>
      </c>
      <c r="J331" t="s">
        <v>1830</v>
      </c>
      <c r="K331">
        <v>0</v>
      </c>
      <c r="L331">
        <v>2.19</v>
      </c>
      <c r="M331">
        <v>5.62</v>
      </c>
      <c r="N331">
        <v>27</v>
      </c>
      <c r="O331">
        <v>44</v>
      </c>
      <c r="P331" t="s">
        <v>1400</v>
      </c>
      <c r="Q331" s="364">
        <f t="shared" si="5"/>
        <v>1.0499999999999545</v>
      </c>
      <c r="R331">
        <v>0</v>
      </c>
      <c r="S331">
        <v>0</v>
      </c>
      <c r="T331">
        <v>0</v>
      </c>
      <c r="U331" s="359">
        <v>217115340287</v>
      </c>
      <c r="V331" s="359">
        <v>8003337679021</v>
      </c>
      <c r="W331" s="359">
        <v>217039697729</v>
      </c>
      <c r="X331" t="s">
        <v>2072</v>
      </c>
      <c r="Y331">
        <v>1.63</v>
      </c>
    </row>
    <row r="332" spans="1:25" x14ac:dyDescent="0.2">
      <c r="A332" t="s">
        <v>2071</v>
      </c>
      <c r="B332" t="s">
        <v>2073</v>
      </c>
      <c r="C332">
        <v>80</v>
      </c>
      <c r="D332">
        <v>294.2</v>
      </c>
      <c r="E332">
        <v>293.52800000000002</v>
      </c>
      <c r="F332">
        <v>293.14999999999998</v>
      </c>
      <c r="G332">
        <v>292.47800000000001</v>
      </c>
      <c r="H332">
        <v>150</v>
      </c>
      <c r="I332">
        <v>0.84</v>
      </c>
      <c r="J332" t="s">
        <v>1830</v>
      </c>
      <c r="K332">
        <v>0</v>
      </c>
      <c r="L332">
        <v>2.19</v>
      </c>
      <c r="M332">
        <v>5.62</v>
      </c>
      <c r="N332">
        <v>23</v>
      </c>
      <c r="O332">
        <v>38</v>
      </c>
      <c r="P332" t="s">
        <v>1400</v>
      </c>
      <c r="Q332" s="364">
        <f t="shared" si="5"/>
        <v>1.0500000000000114</v>
      </c>
      <c r="R332">
        <v>0</v>
      </c>
      <c r="S332">
        <v>0</v>
      </c>
      <c r="T332">
        <v>0</v>
      </c>
      <c r="U332" s="359">
        <v>217039697729</v>
      </c>
      <c r="V332" s="359">
        <v>8003311636683</v>
      </c>
      <c r="W332" s="359">
        <v>216973802372</v>
      </c>
      <c r="X332" t="s">
        <v>2074</v>
      </c>
      <c r="Y332">
        <v>2.61</v>
      </c>
    </row>
    <row r="333" spans="1:25" x14ac:dyDescent="0.2">
      <c r="A333" t="s">
        <v>2073</v>
      </c>
      <c r="B333" t="s">
        <v>2075</v>
      </c>
      <c r="C333">
        <v>40</v>
      </c>
      <c r="D333">
        <v>293.52800000000002</v>
      </c>
      <c r="E333">
        <v>293.54399999999998</v>
      </c>
      <c r="F333">
        <v>292.47800000000001</v>
      </c>
      <c r="G333">
        <v>292.30399999999997</v>
      </c>
      <c r="H333">
        <v>150</v>
      </c>
      <c r="I333">
        <v>0.434</v>
      </c>
      <c r="J333" t="s">
        <v>1830</v>
      </c>
      <c r="K333">
        <v>0</v>
      </c>
      <c r="L333">
        <v>2.19</v>
      </c>
      <c r="M333">
        <v>5.62</v>
      </c>
      <c r="N333">
        <v>27</v>
      </c>
      <c r="O333">
        <v>45</v>
      </c>
      <c r="P333" t="s">
        <v>1400</v>
      </c>
      <c r="Q333" s="364">
        <f t="shared" si="5"/>
        <v>1.0500000000000114</v>
      </c>
      <c r="R333">
        <v>0</v>
      </c>
      <c r="S333">
        <v>0</v>
      </c>
      <c r="T333">
        <v>0</v>
      </c>
      <c r="U333" s="359">
        <v>216973802372</v>
      </c>
      <c r="V333" s="359">
        <v>8003266273681</v>
      </c>
      <c r="W333" s="359">
        <v>216937893244</v>
      </c>
      <c r="X333" t="s">
        <v>2076</v>
      </c>
      <c r="Y333">
        <v>1.54</v>
      </c>
    </row>
    <row r="334" spans="1:25" x14ac:dyDescent="0.2">
      <c r="A334" t="s">
        <v>2075</v>
      </c>
      <c r="B334" t="s">
        <v>2077</v>
      </c>
      <c r="C334">
        <v>80</v>
      </c>
      <c r="D334">
        <v>293.54399999999998</v>
      </c>
      <c r="E334">
        <v>293.22899999999998</v>
      </c>
      <c r="F334">
        <v>292.30399999999997</v>
      </c>
      <c r="G334">
        <v>291.95699999999999</v>
      </c>
      <c r="H334">
        <v>150</v>
      </c>
      <c r="I334">
        <v>0.434</v>
      </c>
      <c r="J334" t="s">
        <v>1830</v>
      </c>
      <c r="K334">
        <v>0</v>
      </c>
      <c r="L334">
        <v>2.19</v>
      </c>
      <c r="M334">
        <v>5.62</v>
      </c>
      <c r="N334">
        <v>27</v>
      </c>
      <c r="O334">
        <v>45</v>
      </c>
      <c r="P334" t="s">
        <v>1400</v>
      </c>
      <c r="Q334" s="364">
        <f t="shared" si="5"/>
        <v>1.2400000000000091</v>
      </c>
      <c r="R334">
        <v>0</v>
      </c>
      <c r="S334">
        <v>0</v>
      </c>
      <c r="T334">
        <v>0</v>
      </c>
      <c r="U334" s="359">
        <v>216937893244</v>
      </c>
      <c r="V334" s="359">
        <v>800324865169</v>
      </c>
      <c r="W334" s="359">
        <v>216942717682</v>
      </c>
      <c r="X334" t="s">
        <v>2078</v>
      </c>
      <c r="Y334">
        <v>1.54</v>
      </c>
    </row>
    <row r="335" spans="1:25" x14ac:dyDescent="0.2">
      <c r="A335" t="s">
        <v>2077</v>
      </c>
      <c r="B335" t="s">
        <v>2079</v>
      </c>
      <c r="C335">
        <v>80</v>
      </c>
      <c r="D335">
        <v>293.22899999999998</v>
      </c>
      <c r="E335">
        <v>292.89100000000002</v>
      </c>
      <c r="F335">
        <v>291.95699999999999</v>
      </c>
      <c r="G335">
        <v>291.68400000000003</v>
      </c>
      <c r="H335">
        <v>150</v>
      </c>
      <c r="I335">
        <v>0.34200000000000003</v>
      </c>
      <c r="J335" t="s">
        <v>2080</v>
      </c>
      <c r="K335">
        <v>3.75</v>
      </c>
      <c r="L335">
        <v>3.64</v>
      </c>
      <c r="M335">
        <v>9.3699999999999992</v>
      </c>
      <c r="N335">
        <v>38</v>
      </c>
      <c r="O335">
        <v>68</v>
      </c>
      <c r="P335" t="s">
        <v>1400</v>
      </c>
      <c r="Q335" s="364">
        <f t="shared" si="5"/>
        <v>1.2719999999999914</v>
      </c>
      <c r="R335">
        <v>0</v>
      </c>
      <c r="S335">
        <v>0</v>
      </c>
      <c r="T335">
        <v>0</v>
      </c>
      <c r="U335" s="359">
        <v>216942717682</v>
      </c>
      <c r="V335" s="359">
        <v>8003168797293</v>
      </c>
      <c r="W335" s="359">
        <v>216934874297</v>
      </c>
      <c r="X335" t="s">
        <v>2081</v>
      </c>
      <c r="Y335">
        <v>1.51</v>
      </c>
    </row>
    <row r="336" spans="1:25" x14ac:dyDescent="0.2">
      <c r="A336" t="s">
        <v>2079</v>
      </c>
      <c r="B336" t="s">
        <v>2082</v>
      </c>
      <c r="C336">
        <v>80</v>
      </c>
      <c r="D336">
        <v>292.89100000000002</v>
      </c>
      <c r="E336">
        <v>292.7</v>
      </c>
      <c r="F336">
        <v>291.68400000000003</v>
      </c>
      <c r="G336">
        <v>291.411</v>
      </c>
      <c r="H336">
        <v>150</v>
      </c>
      <c r="I336">
        <v>0.34200000000000003</v>
      </c>
      <c r="J336" t="s">
        <v>1830</v>
      </c>
      <c r="K336">
        <v>0</v>
      </c>
      <c r="L336">
        <v>3.64</v>
      </c>
      <c r="M336">
        <v>9.3699999999999992</v>
      </c>
      <c r="N336">
        <v>38</v>
      </c>
      <c r="O336">
        <v>68</v>
      </c>
      <c r="P336" t="s">
        <v>1400</v>
      </c>
      <c r="Q336" s="364">
        <f t="shared" si="5"/>
        <v>1.2069999999999936</v>
      </c>
      <c r="R336">
        <v>0</v>
      </c>
      <c r="S336">
        <v>0</v>
      </c>
      <c r="T336">
        <v>0</v>
      </c>
      <c r="U336" s="359">
        <v>216934874297</v>
      </c>
      <c r="V336" s="359">
        <v>8003089182713</v>
      </c>
      <c r="W336" s="359">
        <v>21693397376</v>
      </c>
      <c r="X336" t="s">
        <v>2083</v>
      </c>
      <c r="Y336">
        <v>1.51</v>
      </c>
    </row>
    <row r="337" spans="1:25" x14ac:dyDescent="0.2">
      <c r="A337" t="s">
        <v>2082</v>
      </c>
      <c r="B337" t="s">
        <v>2084</v>
      </c>
      <c r="C337">
        <v>58</v>
      </c>
      <c r="D337">
        <v>292.7</v>
      </c>
      <c r="E337">
        <v>292.55399999999997</v>
      </c>
      <c r="F337">
        <v>291.411</v>
      </c>
      <c r="G337">
        <v>291.21300000000002</v>
      </c>
      <c r="H337">
        <v>150</v>
      </c>
      <c r="I337">
        <v>0.34200000000000003</v>
      </c>
      <c r="J337" t="s">
        <v>1830</v>
      </c>
      <c r="K337">
        <v>0</v>
      </c>
      <c r="L337">
        <v>3.64</v>
      </c>
      <c r="M337">
        <v>9.3699999999999992</v>
      </c>
      <c r="N337">
        <v>38</v>
      </c>
      <c r="O337">
        <v>68</v>
      </c>
      <c r="P337" t="s">
        <v>1400</v>
      </c>
      <c r="Q337" s="364">
        <f t="shared" si="5"/>
        <v>1.2889999999999873</v>
      </c>
      <c r="R337">
        <v>0</v>
      </c>
      <c r="S337">
        <v>0</v>
      </c>
      <c r="T337">
        <v>0</v>
      </c>
      <c r="U337" s="359">
        <v>21693397376</v>
      </c>
      <c r="V337" s="359">
        <v>8003009187782</v>
      </c>
      <c r="W337" s="359">
        <v>216938100439</v>
      </c>
      <c r="X337" t="s">
        <v>2085</v>
      </c>
      <c r="Y337">
        <v>1.51</v>
      </c>
    </row>
    <row r="338" spans="1:25" x14ac:dyDescent="0.2">
      <c r="A338" t="s">
        <v>2084</v>
      </c>
      <c r="B338" t="s">
        <v>1484</v>
      </c>
      <c r="C338">
        <v>46.88</v>
      </c>
      <c r="D338">
        <v>292.55399999999997</v>
      </c>
      <c r="E338">
        <v>290.41000000000003</v>
      </c>
      <c r="F338">
        <v>291.21300000000002</v>
      </c>
      <c r="G338">
        <v>289.36</v>
      </c>
      <c r="H338">
        <v>150</v>
      </c>
      <c r="I338">
        <v>3.952</v>
      </c>
      <c r="J338" t="s">
        <v>1830</v>
      </c>
      <c r="K338">
        <v>0</v>
      </c>
      <c r="L338">
        <v>3.64</v>
      </c>
      <c r="M338">
        <v>9.3699999999999992</v>
      </c>
      <c r="N338">
        <v>20</v>
      </c>
      <c r="O338">
        <v>33</v>
      </c>
      <c r="P338" t="s">
        <v>1400</v>
      </c>
      <c r="Q338" s="364">
        <f t="shared" si="5"/>
        <v>1.3409999999999513</v>
      </c>
      <c r="R338">
        <v>0</v>
      </c>
      <c r="S338">
        <v>0</v>
      </c>
      <c r="T338">
        <v>0</v>
      </c>
      <c r="U338" s="359">
        <v>216938100439</v>
      </c>
      <c r="V338" s="359">
        <v>8002951334774</v>
      </c>
      <c r="W338" s="359">
        <v>216920731089</v>
      </c>
      <c r="X338" t="s">
        <v>2086</v>
      </c>
      <c r="Y338">
        <v>11</v>
      </c>
    </row>
    <row r="342" spans="1:25" x14ac:dyDescent="0.2">
      <c r="A342" s="608" t="s">
        <v>2087</v>
      </c>
      <c r="B342" s="608"/>
      <c r="C342" s="608"/>
      <c r="D342" s="360" t="s">
        <v>2088</v>
      </c>
    </row>
    <row r="343" spans="1:25" x14ac:dyDescent="0.2">
      <c r="A343" s="360"/>
      <c r="B343" s="360"/>
      <c r="C343" s="361" t="s">
        <v>2089</v>
      </c>
      <c r="D343" s="361">
        <f>COUNTIFS(Q4:Q338,"&lt;0")</f>
        <v>7</v>
      </c>
      <c r="Q343" s="363">
        <f>SUMIF(Q4:Q338,"&lt;0")</f>
        <v>-1.6129999999999995</v>
      </c>
    </row>
    <row r="344" spans="1:25" x14ac:dyDescent="0.2">
      <c r="A344" s="360"/>
      <c r="B344" s="360"/>
      <c r="C344" s="361">
        <v>1.2</v>
      </c>
      <c r="D344" s="365">
        <f>COUNTIFS(Q4:Q338,"&gt;0",Q4:Q338,"&lt;=1,2")+E344</f>
        <v>125</v>
      </c>
      <c r="E344">
        <v>1</v>
      </c>
    </row>
    <row r="345" spans="1:25" x14ac:dyDescent="0.2">
      <c r="A345" s="360"/>
      <c r="B345" s="360"/>
      <c r="C345" s="361">
        <v>1.4</v>
      </c>
      <c r="D345" s="361">
        <f>COUNTIFS(Q4:Q338,"&gt;1,2",Q4:Q338,"&lt;=1,4")</f>
        <v>31</v>
      </c>
    </row>
    <row r="346" spans="1:25" x14ac:dyDescent="0.2">
      <c r="A346" s="360"/>
      <c r="B346" s="360"/>
      <c r="C346" s="361">
        <v>1.5</v>
      </c>
      <c r="D346" s="361">
        <f>COUNTIFS(Q4:Q338,"&gt;1,4",Q4:Q338,"&lt;=1,5")</f>
        <v>7</v>
      </c>
    </row>
    <row r="347" spans="1:25" x14ac:dyDescent="0.2">
      <c r="A347" s="360"/>
      <c r="B347" s="360"/>
      <c r="C347" s="361">
        <v>1.6</v>
      </c>
      <c r="D347" s="361">
        <f>COUNTIFS(Q4:Q338,"&gt;1,5",Q4:Q338,"&lt;=1,6")</f>
        <v>3</v>
      </c>
    </row>
    <row r="348" spans="1:25" x14ac:dyDescent="0.2">
      <c r="A348" s="360"/>
      <c r="B348" s="360"/>
      <c r="C348" s="361">
        <v>1.7</v>
      </c>
      <c r="D348" s="361">
        <f>COUNTIFS(Q4:Q338,"&gt;1,6",Q4:Q338,"&lt;=1,7")</f>
        <v>9</v>
      </c>
    </row>
    <row r="349" spans="1:25" x14ac:dyDescent="0.2">
      <c r="A349" s="360"/>
      <c r="B349" s="360"/>
      <c r="C349" s="361">
        <v>2</v>
      </c>
      <c r="D349" s="361">
        <f>COUNTIFS(Q4:Q338,"&gt;1,7",Q4:Q338,"&lt;=2")</f>
        <v>32</v>
      </c>
    </row>
    <row r="350" spans="1:25" x14ac:dyDescent="0.2">
      <c r="A350" s="360"/>
      <c r="B350" s="360"/>
      <c r="C350" s="361">
        <v>2.2999999999999998</v>
      </c>
      <c r="D350" s="361">
        <f>COUNTIFS(Q4:Q338,"&gt;2",Q4:Q338,"&lt;=2,3")</f>
        <v>43</v>
      </c>
    </row>
    <row r="351" spans="1:25" x14ac:dyDescent="0.2">
      <c r="A351" s="360"/>
      <c r="B351" s="360"/>
      <c r="C351" s="361">
        <v>2.6</v>
      </c>
      <c r="D351" s="361">
        <f>COUNTIFS(Q4:Q338,"&gt;2,3",Q4:Q338,"&lt;=2,6")</f>
        <v>29</v>
      </c>
    </row>
    <row r="352" spans="1:25" x14ac:dyDescent="0.2">
      <c r="A352" s="360"/>
      <c r="B352" s="360"/>
      <c r="C352" s="361">
        <v>2.9</v>
      </c>
      <c r="D352" s="361">
        <f>COUNTIFS(Q4:Q338,"&gt;2,6",Q4:Q338,"&lt;=2,9")</f>
        <v>6</v>
      </c>
    </row>
    <row r="353" spans="1:4" x14ac:dyDescent="0.2">
      <c r="A353" s="360"/>
      <c r="B353" s="360"/>
      <c r="C353" s="361">
        <v>3.2</v>
      </c>
      <c r="D353" s="361">
        <f>COUNTIFS(Q4:Q338,"&gt;2,9",Q4:Q338,"&lt;=3,2")</f>
        <v>11</v>
      </c>
    </row>
    <row r="354" spans="1:4" x14ac:dyDescent="0.2">
      <c r="A354" s="360"/>
      <c r="B354" s="360"/>
      <c r="C354" s="361">
        <v>3.5</v>
      </c>
      <c r="D354" s="361">
        <f>COUNTIFS(Q4:Q338,"&gt;3,2",Q4:Q338,"&lt;=3,5")</f>
        <v>11</v>
      </c>
    </row>
    <row r="355" spans="1:4" x14ac:dyDescent="0.2">
      <c r="A355" s="360"/>
      <c r="B355" s="360"/>
      <c r="C355" s="361">
        <v>3.8</v>
      </c>
      <c r="D355" s="361">
        <f>COUNTIFS(Q4:Q338,"&gt;3,5",Q4:Q338,"&lt;=3,8")</f>
        <v>2</v>
      </c>
    </row>
    <row r="356" spans="1:4" x14ac:dyDescent="0.2">
      <c r="A356" s="360"/>
      <c r="B356" s="360"/>
      <c r="C356" s="361">
        <v>4.0999999999999996</v>
      </c>
      <c r="D356" s="361">
        <f>COUNTIFS(Q4:Q338,"&gt;3,8",Q4:Q338,"&lt;=4,1")</f>
        <v>5</v>
      </c>
    </row>
    <row r="357" spans="1:4" x14ac:dyDescent="0.2">
      <c r="A357" s="360"/>
      <c r="B357" s="360"/>
      <c r="C357" s="361">
        <v>4.4000000000000004</v>
      </c>
      <c r="D357" s="361">
        <f>COUNTIFS(Q4:Q338,"&gt;4,1",Q4:Q338,"&lt;=4,4")</f>
        <v>5</v>
      </c>
    </row>
    <row r="358" spans="1:4" x14ac:dyDescent="0.2">
      <c r="A358" s="360"/>
      <c r="B358" s="360"/>
      <c r="C358" s="361">
        <v>4.7</v>
      </c>
      <c r="D358" s="361">
        <f>COUNTIFS(Q4:Q338,"&gt;4,4",Q4:Q338,"&lt;=4,7")</f>
        <v>6</v>
      </c>
    </row>
    <row r="359" spans="1:4" x14ac:dyDescent="0.2">
      <c r="A359" s="360"/>
      <c r="B359" s="360"/>
      <c r="C359" s="361">
        <v>5</v>
      </c>
      <c r="D359" s="361">
        <f>COUNTIFS(Q4:Q338,"&gt;4,7")</f>
        <v>3</v>
      </c>
    </row>
    <row r="360" spans="1:4" ht="15" x14ac:dyDescent="0.25">
      <c r="A360" s="360"/>
      <c r="B360" s="360"/>
      <c r="C360" s="362" t="s">
        <v>1385</v>
      </c>
      <c r="D360" s="362">
        <f>SUM(D343:D359)</f>
        <v>335</v>
      </c>
    </row>
  </sheetData>
  <mergeCells count="1">
    <mergeCell ref="A342:C34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I27" sqref="I27"/>
    </sheetView>
  </sheetViews>
  <sheetFormatPr defaultRowHeight="12.75" x14ac:dyDescent="0.2"/>
  <sheetData>
    <row r="1" spans="1:8" x14ac:dyDescent="0.2">
      <c r="A1" t="s">
        <v>2159</v>
      </c>
    </row>
    <row r="3" spans="1:8" x14ac:dyDescent="0.2">
      <c r="A3" s="609" t="s">
        <v>2168</v>
      </c>
      <c r="B3" s="609"/>
      <c r="C3" s="609"/>
      <c r="D3" s="609"/>
      <c r="E3" s="609"/>
      <c r="F3" s="609"/>
      <c r="G3" s="609"/>
      <c r="H3" s="609"/>
    </row>
    <row r="4" spans="1:8" x14ac:dyDescent="0.2">
      <c r="C4" s="360" t="s">
        <v>2162</v>
      </c>
      <c r="D4" s="367" t="s">
        <v>2161</v>
      </c>
      <c r="E4" s="367" t="s">
        <v>2160</v>
      </c>
      <c r="G4" s="367" t="s">
        <v>2161</v>
      </c>
      <c r="H4" s="367" t="s">
        <v>2160</v>
      </c>
    </row>
    <row r="5" spans="1:8" x14ac:dyDescent="0.2">
      <c r="C5" s="360" t="s">
        <v>2163</v>
      </c>
      <c r="D5">
        <v>11.1</v>
      </c>
      <c r="E5">
        <v>14.52</v>
      </c>
      <c r="F5" s="360">
        <v>1</v>
      </c>
      <c r="G5">
        <f>D5*F5</f>
        <v>11.1</v>
      </c>
      <c r="H5">
        <f>E5*F5</f>
        <v>14.52</v>
      </c>
    </row>
    <row r="6" spans="1:8" x14ac:dyDescent="0.2">
      <c r="C6" s="360" t="s">
        <v>1367</v>
      </c>
      <c r="D6">
        <v>11.61</v>
      </c>
      <c r="E6">
        <v>3.43</v>
      </c>
      <c r="F6" s="360">
        <v>2</v>
      </c>
      <c r="G6">
        <f t="shared" ref="G6:G9" si="0">D6*F6</f>
        <v>23.22</v>
      </c>
      <c r="H6">
        <f t="shared" ref="H6:H9" si="1">E6*F6</f>
        <v>6.86</v>
      </c>
    </row>
    <row r="7" spans="1:8" x14ac:dyDescent="0.2">
      <c r="C7" s="360" t="s">
        <v>1369</v>
      </c>
      <c r="D7">
        <v>0</v>
      </c>
      <c r="E7">
        <v>79</v>
      </c>
      <c r="F7" s="360">
        <v>2</v>
      </c>
      <c r="G7">
        <f t="shared" si="0"/>
        <v>0</v>
      </c>
      <c r="H7">
        <f t="shared" si="1"/>
        <v>158</v>
      </c>
    </row>
    <row r="8" spans="1:8" x14ac:dyDescent="0.2">
      <c r="C8" s="360" t="s">
        <v>2164</v>
      </c>
      <c r="D8">
        <v>0</v>
      </c>
      <c r="E8">
        <v>52.05</v>
      </c>
      <c r="F8" s="360">
        <v>2</v>
      </c>
      <c r="G8">
        <f t="shared" si="0"/>
        <v>0</v>
      </c>
      <c r="H8">
        <f t="shared" si="1"/>
        <v>104.1</v>
      </c>
    </row>
    <row r="9" spans="1:8" x14ac:dyDescent="0.2">
      <c r="C9" s="360" t="s">
        <v>2165</v>
      </c>
      <c r="D9">
        <v>0</v>
      </c>
      <c r="E9">
        <v>34.33</v>
      </c>
      <c r="F9" s="360">
        <v>1</v>
      </c>
      <c r="G9">
        <f t="shared" si="0"/>
        <v>0</v>
      </c>
      <c r="H9">
        <f t="shared" si="1"/>
        <v>34.33</v>
      </c>
    </row>
    <row r="11" spans="1:8" x14ac:dyDescent="0.2">
      <c r="C11" s="360" t="s">
        <v>2166</v>
      </c>
      <c r="D11">
        <v>15</v>
      </c>
      <c r="G11">
        <f>SUM(G5:G10)</f>
        <v>34.32</v>
      </c>
      <c r="H11">
        <f>SUM(H5:H10)</f>
        <v>317.81</v>
      </c>
    </row>
    <row r="13" spans="1:8" x14ac:dyDescent="0.2">
      <c r="G13" s="368">
        <f>0.5*G$11*$D11</f>
        <v>257.39999999999998</v>
      </c>
      <c r="H13" s="368">
        <f>0.5*D11*H11</f>
        <v>2383.5749999999998</v>
      </c>
    </row>
    <row r="15" spans="1:8" x14ac:dyDescent="0.2">
      <c r="F15" s="609" t="s">
        <v>2167</v>
      </c>
      <c r="G15" s="609"/>
      <c r="H15" s="368">
        <f>H13-G13</f>
        <v>2126.1749999999997</v>
      </c>
    </row>
  </sheetData>
  <mergeCells count="2">
    <mergeCell ref="F15:G15"/>
    <mergeCell ref="A3:H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18</vt:i4>
      </vt:variant>
    </vt:vector>
  </HeadingPairs>
  <TitlesOfParts>
    <vt:vector size="27" baseType="lpstr">
      <vt:lpstr>ORÇAMENTO</vt:lpstr>
      <vt:lpstr>CRONOGRAMA</vt:lpstr>
      <vt:lpstr>COMPOSIÇÕES</vt:lpstr>
      <vt:lpstr>BDI-S</vt:lpstr>
      <vt:lpstr>BDI-M</vt:lpstr>
      <vt:lpstr>COTAÇÕES</vt:lpstr>
      <vt:lpstr>ESC.</vt:lpstr>
      <vt:lpstr>PV'S</vt:lpstr>
      <vt:lpstr>Plan1</vt:lpstr>
      <vt:lpstr>'BDI-M'!Area_de_impressao</vt:lpstr>
      <vt:lpstr>'BDI-S'!Area_de_impressao</vt:lpstr>
      <vt:lpstr>COMPOSIÇÕES!Area_de_impressao</vt:lpstr>
      <vt:lpstr>CRONOGRAMA!Area_de_impressao</vt:lpstr>
      <vt:lpstr>ORÇAMENTO!Area_de_impressao</vt:lpstr>
      <vt:lpstr>'PV''S'!INTERCEPTOR_A</vt:lpstr>
      <vt:lpstr>'PV''S'!INTERCEPTOR_B</vt:lpstr>
      <vt:lpstr>'PV''S'!INTERCEPTOR_C</vt:lpstr>
      <vt:lpstr>'PV''S'!INTERCEPTOR_D</vt:lpstr>
      <vt:lpstr>'PV''S'!INTERCEPTOR_E</vt:lpstr>
      <vt:lpstr>'PV''S'!INTERCEPTOR_F</vt:lpstr>
      <vt:lpstr>'PV''S'!INTERCEPTOR_G</vt:lpstr>
      <vt:lpstr>'PV''S'!INTERCEPTOR_H</vt:lpstr>
      <vt:lpstr>'PV''S'!INTERCEPTOR_I</vt:lpstr>
      <vt:lpstr>'PV''S'!INTERCEPTOR_J</vt:lpstr>
      <vt:lpstr>'PV''S'!INTERCEPTOR_M</vt:lpstr>
      <vt:lpstr>COMPOSIÇÕES!Titulos_de_impressao</vt:lpstr>
      <vt:lpstr>ORÇAMENTO!Titulos_de_impressao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PRATA</dc:title>
  <dc:creator>Sarah / OTTAWA ENGENHARIA</dc:creator>
  <cp:lastModifiedBy>Dacio</cp:lastModifiedBy>
  <cp:lastPrinted>2016-02-05T11:53:56Z</cp:lastPrinted>
  <dcterms:created xsi:type="dcterms:W3CDTF">2011-04-01T04:23:17Z</dcterms:created>
  <dcterms:modified xsi:type="dcterms:W3CDTF">2016-02-05T11:54:00Z</dcterms:modified>
</cp:coreProperties>
</file>