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960" yWindow="585" windowWidth="5400" windowHeight="7560"/>
  </bookViews>
  <sheets>
    <sheet name="ORÇAMENTO" sheetId="2" r:id="rId1"/>
    <sheet name="CRONOGRAMA" sheetId="3" r:id="rId2"/>
    <sheet name="COMPOSIÇÕES DE CUSTO" sheetId="4" r:id="rId3"/>
    <sheet name="INSTALAÇÕES ELÉTRICAS" sheetId="8" r:id="rId4"/>
    <sheet name="BDI'S" sheetId="6" r:id="rId5"/>
    <sheet name="BDI'M" sheetId="5" r:id="rId6"/>
  </sheets>
  <definedNames>
    <definedName name="_xlnm._FilterDatabase" localSheetId="0" hidden="1">ORÇAMENTO!$B$14:$I$306</definedName>
    <definedName name="_xlnm.Print_Area" localSheetId="5">'BDI''M'!$A$3:$D$39</definedName>
    <definedName name="_xlnm.Print_Area" localSheetId="4">'BDI''S'!$A$3:$D$39</definedName>
    <definedName name="_xlnm.Print_Area" localSheetId="2">'COMPOSIÇÕES DE CUSTO'!$A$1:$I$258</definedName>
    <definedName name="_xlnm.Print_Area" localSheetId="1">CRONOGRAMA!$A$1:$H$24</definedName>
    <definedName name="_xlnm.Print_Area" localSheetId="3">'INSTALAÇÕES ELÉTRICAS'!$A$1:$I$191</definedName>
    <definedName name="_xlnm.Print_Area" localSheetId="0">ORÇAMENTO!$A$1:$I$47</definedName>
    <definedName name="_xlnm.Print_Titles" localSheetId="2">'COMPOSIÇÕES DE CUSTO'!$1:$11</definedName>
    <definedName name="_xlnm.Print_Titles" localSheetId="3">'INSTALAÇÕES ELÉTRICAS'!$1:$11</definedName>
    <definedName name="_xlnm.Print_Titles" localSheetId="0">ORÇAMENTO!$1:$13</definedName>
  </definedNames>
  <calcPr calcId="145621"/>
</workbook>
</file>

<file path=xl/calcChain.xml><?xml version="1.0" encoding="utf-8"?>
<calcChain xmlns="http://schemas.openxmlformats.org/spreadsheetml/2006/main">
  <c r="I23" i="2" l="1"/>
  <c r="D23" i="2"/>
  <c r="A23" i="2"/>
  <c r="F68" i="2"/>
  <c r="F302" i="2" l="1"/>
  <c r="F300" i="2"/>
  <c r="H302" i="2"/>
  <c r="H301" i="2"/>
  <c r="H300" i="2"/>
  <c r="G227" i="2"/>
  <c r="H227" i="2" s="1"/>
  <c r="I227" i="2" s="1"/>
  <c r="I300" i="2" l="1"/>
  <c r="J300" i="2" s="1"/>
  <c r="I302" i="2"/>
  <c r="F301" i="2"/>
  <c r="I301" i="2" s="1"/>
  <c r="H253" i="2" l="1"/>
  <c r="F251" i="2"/>
  <c r="F253" i="2"/>
  <c r="H252" i="2"/>
  <c r="H251" i="2"/>
  <c r="F226" i="2"/>
  <c r="I253" i="2" l="1"/>
  <c r="I251" i="2"/>
  <c r="J251" i="2" s="1"/>
  <c r="F252" i="2"/>
  <c r="I252" i="2" s="1"/>
  <c r="F289" i="2"/>
  <c r="H199" i="4"/>
  <c r="H198" i="4"/>
  <c r="H197" i="4"/>
  <c r="F197" i="4"/>
  <c r="I197" i="4" s="1"/>
  <c r="H196" i="4"/>
  <c r="F196" i="4"/>
  <c r="H195" i="4"/>
  <c r="F195" i="4"/>
  <c r="I195" i="4" s="1"/>
  <c r="H194" i="4"/>
  <c r="F194" i="4"/>
  <c r="I194" i="4" s="1"/>
  <c r="H193" i="4"/>
  <c r="F193" i="4"/>
  <c r="I193" i="4" s="1"/>
  <c r="H192" i="4"/>
  <c r="H191" i="4"/>
  <c r="H190" i="4"/>
  <c r="F190" i="4"/>
  <c r="I190" i="4" s="1"/>
  <c r="H189" i="4"/>
  <c r="F189" i="4"/>
  <c r="I189" i="4" s="1"/>
  <c r="I196" i="4" l="1"/>
  <c r="F198" i="4"/>
  <c r="I198" i="4" s="1"/>
  <c r="F199" i="4"/>
  <c r="I199" i="4" s="1"/>
  <c r="F191" i="4"/>
  <c r="I191" i="4" l="1"/>
  <c r="F192" i="4"/>
  <c r="I192" i="4" s="1"/>
  <c r="H231" i="2" l="1"/>
  <c r="F231" i="2"/>
  <c r="H236" i="2"/>
  <c r="H235" i="2"/>
  <c r="H234" i="2"/>
  <c r="F234" i="2"/>
  <c r="F235" i="2" s="1"/>
  <c r="H233" i="2"/>
  <c r="F232" i="2"/>
  <c r="F233" i="2" s="1"/>
  <c r="H232" i="2"/>
  <c r="I232" i="2" s="1"/>
  <c r="F189" i="2"/>
  <c r="I231" i="2" l="1"/>
  <c r="I235" i="2"/>
  <c r="I233" i="2"/>
  <c r="F236" i="2"/>
  <c r="I236" i="2" s="1"/>
  <c r="I234" i="2"/>
  <c r="H116" i="2" l="1"/>
  <c r="H94" i="2"/>
  <c r="N78" i="2" l="1"/>
  <c r="F94" i="2"/>
  <c r="I94" i="2" s="1"/>
  <c r="F230" i="2"/>
  <c r="F244" i="2"/>
  <c r="F242" i="2" s="1"/>
  <c r="F285" i="2" l="1"/>
  <c r="F283" i="2"/>
  <c r="F284" i="2" s="1"/>
  <c r="F286" i="2" s="1"/>
  <c r="F190" i="2"/>
  <c r="H190" i="2"/>
  <c r="H246" i="4"/>
  <c r="F246" i="4"/>
  <c r="H245" i="4"/>
  <c r="I245" i="4" s="1"/>
  <c r="H244" i="4"/>
  <c r="I244" i="4" s="1"/>
  <c r="H243" i="4"/>
  <c r="I243" i="4" s="1"/>
  <c r="H242" i="4"/>
  <c r="I242" i="4" s="1"/>
  <c r="H241" i="4"/>
  <c r="I241" i="4" s="1"/>
  <c r="H240" i="4"/>
  <c r="I240" i="4" s="1"/>
  <c r="H239" i="4"/>
  <c r="I239" i="4" s="1"/>
  <c r="I246" i="4" l="1"/>
  <c r="I238" i="4" s="1"/>
  <c r="I190" i="2"/>
  <c r="I196" i="2" l="1"/>
  <c r="D243" i="2" l="1"/>
  <c r="C243" i="2"/>
  <c r="G243" i="2"/>
  <c r="H243" i="2" s="1"/>
  <c r="I243" i="2" s="1"/>
  <c r="L241" i="4"/>
  <c r="H240" i="2" l="1"/>
  <c r="H241" i="2"/>
  <c r="H242" i="2"/>
  <c r="H244" i="2"/>
  <c r="F240" i="2"/>
  <c r="I240" i="2" l="1"/>
  <c r="J240" i="2"/>
  <c r="F241" i="2"/>
  <c r="I241" i="2" s="1"/>
  <c r="K239" i="2" l="1"/>
  <c r="I244" i="2" l="1"/>
  <c r="I242" i="2" l="1"/>
  <c r="D35" i="2" l="1"/>
  <c r="A35" i="2"/>
  <c r="D31" i="2"/>
  <c r="A31" i="2"/>
  <c r="H40" i="4"/>
  <c r="I40" i="4" s="1"/>
  <c r="H39" i="4"/>
  <c r="I39" i="4" s="1"/>
  <c r="H38" i="4"/>
  <c r="I38" i="4" s="1"/>
  <c r="H36" i="4"/>
  <c r="F36" i="4"/>
  <c r="I36" i="4" s="1"/>
  <c r="H35" i="4"/>
  <c r="I35" i="4" s="1"/>
  <c r="H34" i="4"/>
  <c r="I34" i="4" s="1"/>
  <c r="H33" i="4"/>
  <c r="I33" i="4" s="1"/>
  <c r="H32" i="4"/>
  <c r="I32" i="4" s="1"/>
  <c r="H31" i="4"/>
  <c r="I31" i="4" s="1"/>
  <c r="H30" i="4"/>
  <c r="I30" i="4" s="1"/>
  <c r="H27" i="4"/>
  <c r="I27" i="4" s="1"/>
  <c r="H26" i="4"/>
  <c r="I26" i="4" s="1"/>
  <c r="H25" i="4"/>
  <c r="I25" i="4" s="1"/>
  <c r="H24" i="4"/>
  <c r="I24" i="4" s="1"/>
  <c r="H23" i="4"/>
  <c r="I23" i="4" s="1"/>
  <c r="H22" i="4"/>
  <c r="I22" i="4" s="1"/>
  <c r="H21" i="4"/>
  <c r="I21" i="4" s="1"/>
  <c r="H20" i="4"/>
  <c r="I20" i="4" s="1"/>
  <c r="H19" i="4"/>
  <c r="I19" i="4" s="1"/>
  <c r="H18" i="4"/>
  <c r="I18" i="4" s="1"/>
  <c r="H17" i="4"/>
  <c r="I17" i="4" s="1"/>
  <c r="H16" i="4"/>
  <c r="I16" i="4" s="1"/>
  <c r="H15" i="4"/>
  <c r="I15" i="4" s="1"/>
  <c r="H50" i="2"/>
  <c r="I50" i="2" s="1"/>
  <c r="H51" i="2"/>
  <c r="I51" i="2" s="1"/>
  <c r="H52" i="2"/>
  <c r="I52" i="2" s="1"/>
  <c r="H53" i="2"/>
  <c r="I53" i="2" s="1"/>
  <c r="H54" i="2"/>
  <c r="I54" i="2" s="1"/>
  <c r="H55" i="2"/>
  <c r="I55" i="2" s="1"/>
  <c r="H56" i="2"/>
  <c r="I56" i="2" s="1"/>
  <c r="H57" i="2"/>
  <c r="I57" i="2" s="1"/>
  <c r="H58" i="2"/>
  <c r="I58" i="2" s="1"/>
  <c r="H49" i="2"/>
  <c r="I49" i="2" s="1"/>
  <c r="I14" i="4" l="1"/>
  <c r="I29" i="4"/>
  <c r="I37" i="4"/>
  <c r="I48" i="2"/>
  <c r="I13" i="4" l="1"/>
  <c r="H239" i="2"/>
  <c r="I239" i="2" s="1"/>
  <c r="H226" i="2"/>
  <c r="I226" i="2" s="1"/>
  <c r="I225" i="2" s="1"/>
  <c r="F69" i="2" l="1"/>
  <c r="F70" i="2"/>
  <c r="H235" i="4" l="1"/>
  <c r="I235" i="4" s="1"/>
  <c r="H234" i="4"/>
  <c r="I234" i="4" s="1"/>
  <c r="H228" i="4" l="1"/>
  <c r="I228" i="4" s="1"/>
  <c r="H229" i="4"/>
  <c r="I229" i="4" s="1"/>
  <c r="H230" i="4"/>
  <c r="I230" i="4" s="1"/>
  <c r="H231" i="4"/>
  <c r="I231" i="4" s="1"/>
  <c r="H232" i="4"/>
  <c r="I232" i="4" s="1"/>
  <c r="H233" i="4"/>
  <c r="I233" i="4" s="1"/>
  <c r="H227" i="4"/>
  <c r="I227" i="4" s="1"/>
  <c r="I226" i="4" l="1"/>
  <c r="I262" i="4"/>
  <c r="I261" i="4"/>
  <c r="H164" i="8"/>
  <c r="H165" i="8"/>
  <c r="H163" i="8"/>
  <c r="H133" i="8"/>
  <c r="H132" i="8"/>
  <c r="H117" i="8"/>
  <c r="H116" i="8"/>
  <c r="H96" i="8"/>
  <c r="H95" i="8"/>
  <c r="H60" i="8"/>
  <c r="H61" i="8"/>
  <c r="H59" i="8"/>
  <c r="J262" i="4" l="1"/>
  <c r="J261" i="4"/>
  <c r="I165" i="8"/>
  <c r="I164" i="8"/>
  <c r="I163" i="8"/>
  <c r="H160" i="8"/>
  <c r="I160" i="8" s="1"/>
  <c r="H159" i="8"/>
  <c r="I159" i="8" s="1"/>
  <c r="H158" i="8"/>
  <c r="I158" i="8" s="1"/>
  <c r="H157" i="8"/>
  <c r="I157" i="8" s="1"/>
  <c r="H156" i="8"/>
  <c r="I156" i="8" s="1"/>
  <c r="H155" i="8"/>
  <c r="I155" i="8" s="1"/>
  <c r="H154" i="8"/>
  <c r="I154" i="8" s="1"/>
  <c r="H153" i="8"/>
  <c r="I153" i="8" s="1"/>
  <c r="H152" i="8"/>
  <c r="I152" i="8" s="1"/>
  <c r="H151" i="8"/>
  <c r="I151" i="8" s="1"/>
  <c r="H150" i="8"/>
  <c r="I150" i="8" s="1"/>
  <c r="H149" i="8"/>
  <c r="I149" i="8" s="1"/>
  <c r="H148" i="8"/>
  <c r="I148" i="8" s="1"/>
  <c r="H147" i="8"/>
  <c r="I147" i="8" s="1"/>
  <c r="H146" i="8"/>
  <c r="I146" i="8" s="1"/>
  <c r="H145" i="8"/>
  <c r="I145" i="8" s="1"/>
  <c r="H144" i="8"/>
  <c r="I144" i="8" s="1"/>
  <c r="H143" i="8"/>
  <c r="I143" i="8" s="1"/>
  <c r="H142" i="8"/>
  <c r="I142" i="8" s="1"/>
  <c r="H141" i="8"/>
  <c r="I141" i="8" s="1"/>
  <c r="H140" i="8"/>
  <c r="I140" i="8" s="1"/>
  <c r="I136" i="8"/>
  <c r="I135" i="8" s="1"/>
  <c r="I22" i="8" s="1"/>
  <c r="H136" i="8"/>
  <c r="I133" i="8"/>
  <c r="I132" i="8"/>
  <c r="I129" i="8"/>
  <c r="H129" i="8"/>
  <c r="I128" i="8"/>
  <c r="H128" i="8"/>
  <c r="I127" i="8"/>
  <c r="H127" i="8"/>
  <c r="I126" i="8"/>
  <c r="H126" i="8"/>
  <c r="I125" i="8"/>
  <c r="H125" i="8"/>
  <c r="I124" i="8"/>
  <c r="H124" i="8"/>
  <c r="I123" i="8"/>
  <c r="H123" i="8"/>
  <c r="I122" i="8"/>
  <c r="H122" i="8"/>
  <c r="I121" i="8"/>
  <c r="H121" i="8"/>
  <c r="I117" i="8"/>
  <c r="I116" i="8"/>
  <c r="H113" i="8"/>
  <c r="I113" i="8" s="1"/>
  <c r="H112" i="8"/>
  <c r="I112" i="8" s="1"/>
  <c r="H111" i="8"/>
  <c r="I111" i="8" s="1"/>
  <c r="H110" i="8"/>
  <c r="I110" i="8" s="1"/>
  <c r="I109" i="8"/>
  <c r="H109" i="8"/>
  <c r="I108" i="8"/>
  <c r="H108" i="8"/>
  <c r="H107" i="8"/>
  <c r="I107" i="8" s="1"/>
  <c r="H106" i="8"/>
  <c r="I106" i="8" s="1"/>
  <c r="H105" i="8"/>
  <c r="I105" i="8" s="1"/>
  <c r="H104" i="8"/>
  <c r="I104" i="8" s="1"/>
  <c r="I103" i="8"/>
  <c r="H103" i="8"/>
  <c r="I102" i="8"/>
  <c r="H102" i="8"/>
  <c r="H101" i="8"/>
  <c r="I101" i="8" s="1"/>
  <c r="H100" i="8"/>
  <c r="I100" i="8" s="1"/>
  <c r="I96" i="8"/>
  <c r="I95" i="8"/>
  <c r="H92" i="8"/>
  <c r="I92" i="8" s="1"/>
  <c r="H91" i="8"/>
  <c r="I91" i="8" s="1"/>
  <c r="H90" i="8"/>
  <c r="I90" i="8" s="1"/>
  <c r="H89" i="8"/>
  <c r="I89" i="8" s="1"/>
  <c r="H88" i="8"/>
  <c r="I88" i="8" s="1"/>
  <c r="H87" i="8"/>
  <c r="I87" i="8" s="1"/>
  <c r="H86" i="8"/>
  <c r="I86" i="8" s="1"/>
  <c r="H85" i="8"/>
  <c r="I85" i="8" s="1"/>
  <c r="H84" i="8"/>
  <c r="I84" i="8" s="1"/>
  <c r="H83" i="8"/>
  <c r="I83" i="8" s="1"/>
  <c r="H82" i="8"/>
  <c r="I82" i="8" s="1"/>
  <c r="H81" i="8"/>
  <c r="I81" i="8" s="1"/>
  <c r="H80" i="8"/>
  <c r="I80" i="8" s="1"/>
  <c r="H79" i="8"/>
  <c r="I79" i="8" s="1"/>
  <c r="H78" i="8"/>
  <c r="I78" i="8" s="1"/>
  <c r="H77" i="8"/>
  <c r="I77" i="8" s="1"/>
  <c r="H76" i="8"/>
  <c r="I76" i="8" s="1"/>
  <c r="H75" i="8"/>
  <c r="I75" i="8" s="1"/>
  <c r="H74" i="8"/>
  <c r="I74" i="8" s="1"/>
  <c r="H73" i="8"/>
  <c r="I73" i="8" s="1"/>
  <c r="H72" i="8"/>
  <c r="I72" i="8" s="1"/>
  <c r="H71" i="8"/>
  <c r="I71" i="8" s="1"/>
  <c r="H70" i="8"/>
  <c r="I70" i="8" s="1"/>
  <c r="I69" i="8"/>
  <c r="H69" i="8"/>
  <c r="I68" i="8"/>
  <c r="H68" i="8"/>
  <c r="H67" i="8"/>
  <c r="I67" i="8" s="1"/>
  <c r="H66" i="8"/>
  <c r="I66" i="8" s="1"/>
  <c r="H65" i="8"/>
  <c r="I65" i="8" s="1"/>
  <c r="I61" i="8"/>
  <c r="I60" i="8"/>
  <c r="I59" i="8"/>
  <c r="H56" i="8"/>
  <c r="I56" i="8" s="1"/>
  <c r="H55" i="8"/>
  <c r="I55" i="8" s="1"/>
  <c r="I54" i="8"/>
  <c r="H54" i="8"/>
  <c r="H53" i="8"/>
  <c r="I53" i="8" s="1"/>
  <c r="H52" i="8"/>
  <c r="I52" i="8" s="1"/>
  <c r="I51" i="8"/>
  <c r="H51" i="8"/>
  <c r="D24" i="8"/>
  <c r="D292" i="2" s="1"/>
  <c r="A24" i="8"/>
  <c r="D22" i="8"/>
  <c r="A22" i="8"/>
  <c r="D20" i="8"/>
  <c r="A20" i="8"/>
  <c r="D18" i="8"/>
  <c r="D279" i="2" s="1"/>
  <c r="A18" i="8"/>
  <c r="D16" i="8"/>
  <c r="D278" i="2" s="1"/>
  <c r="A16" i="8"/>
  <c r="D14" i="8"/>
  <c r="D293" i="2" s="1"/>
  <c r="A14" i="8"/>
  <c r="I99" i="8" l="1"/>
  <c r="I139" i="8"/>
  <c r="I120" i="8"/>
  <c r="I64" i="8"/>
  <c r="I115" i="8"/>
  <c r="I98" i="8" s="1"/>
  <c r="I18" i="8" s="1"/>
  <c r="G279" i="2" s="1"/>
  <c r="H279" i="2" s="1"/>
  <c r="I279" i="2" s="1"/>
  <c r="I162" i="8"/>
  <c r="I138" i="8" s="1"/>
  <c r="I94" i="8"/>
  <c r="I58" i="8"/>
  <c r="I50" i="8"/>
  <c r="I131" i="8"/>
  <c r="I119" i="8" s="1"/>
  <c r="I20" i="8" s="1"/>
  <c r="I63" i="8" l="1"/>
  <c r="I16" i="8" s="1"/>
  <c r="G278" i="2" s="1"/>
  <c r="H278" i="2" s="1"/>
  <c r="I278" i="2" s="1"/>
  <c r="I249" i="2" s="1"/>
  <c r="I49" i="8"/>
  <c r="I14" i="8" s="1"/>
  <c r="G293" i="2" s="1"/>
  <c r="H293" i="2" s="1"/>
  <c r="I293" i="2" s="1"/>
  <c r="I167" i="8"/>
  <c r="I24" i="8"/>
  <c r="I27" i="8" l="1"/>
  <c r="G292" i="2"/>
  <c r="H114" i="4" l="1"/>
  <c r="I114" i="4" s="1"/>
  <c r="H113" i="4"/>
  <c r="I113" i="4" s="1"/>
  <c r="F121" i="4" l="1"/>
  <c r="H121" i="4"/>
  <c r="H120" i="4"/>
  <c r="H119" i="4"/>
  <c r="F120" i="4"/>
  <c r="I121" i="4" l="1"/>
  <c r="I120" i="4"/>
  <c r="I119" i="4"/>
  <c r="I118" i="4" l="1"/>
  <c r="H110" i="4"/>
  <c r="F110" i="4"/>
  <c r="F108" i="4"/>
  <c r="H109" i="4"/>
  <c r="I109" i="4" s="1"/>
  <c r="H108" i="4"/>
  <c r="H107" i="4"/>
  <c r="I107" i="4" s="1"/>
  <c r="H106" i="4"/>
  <c r="H105" i="4"/>
  <c r="F105" i="4"/>
  <c r="F106" i="4" s="1"/>
  <c r="H104" i="4"/>
  <c r="I104" i="4" s="1"/>
  <c r="H230" i="2"/>
  <c r="I230" i="2" s="1"/>
  <c r="I229" i="2" s="1"/>
  <c r="H125" i="4"/>
  <c r="I125" i="4" s="1"/>
  <c r="H124" i="4"/>
  <c r="I124" i="4" s="1"/>
  <c r="H101" i="4"/>
  <c r="I101" i="4" s="1"/>
  <c r="I110" i="4" l="1"/>
  <c r="I108" i="4"/>
  <c r="I106" i="4"/>
  <c r="I105" i="4"/>
  <c r="F98" i="4"/>
  <c r="F99" i="4" s="1"/>
  <c r="F95" i="4"/>
  <c r="F94" i="4"/>
  <c r="I103" i="4" l="1"/>
  <c r="H100" i="4"/>
  <c r="I100" i="4" s="1"/>
  <c r="H99" i="4"/>
  <c r="I99" i="4" s="1"/>
  <c r="H98" i="4"/>
  <c r="H97" i="4"/>
  <c r="I97" i="4" s="1"/>
  <c r="H96" i="4"/>
  <c r="H95" i="4"/>
  <c r="F96" i="4"/>
  <c r="H94" i="4"/>
  <c r="H93" i="4"/>
  <c r="I93" i="4" s="1"/>
  <c r="H92" i="4"/>
  <c r="I92" i="4" s="1"/>
  <c r="G246" i="2" l="1"/>
  <c r="H246" i="2" s="1"/>
  <c r="I246" i="2" s="1"/>
  <c r="I96" i="4"/>
  <c r="I98" i="4"/>
  <c r="I95" i="4"/>
  <c r="L189" i="2"/>
  <c r="I94" i="4" l="1"/>
  <c r="F82" i="4"/>
  <c r="F81" i="4"/>
  <c r="F79" i="4"/>
  <c r="F47" i="4"/>
  <c r="I91" i="4" l="1"/>
  <c r="F121" i="2"/>
  <c r="F122" i="2" s="1"/>
  <c r="G245" i="2" l="1"/>
  <c r="H245" i="2" s="1"/>
  <c r="I245" i="2" s="1"/>
  <c r="H298" i="2"/>
  <c r="I298" i="2" s="1"/>
  <c r="F71" i="4" l="1"/>
  <c r="A37" i="2" l="1"/>
  <c r="D41" i="2"/>
  <c r="A41" i="2"/>
  <c r="D39" i="2"/>
  <c r="A39" i="2"/>
  <c r="D33" i="2"/>
  <c r="A33" i="2"/>
  <c r="D29" i="2"/>
  <c r="A29" i="2"/>
  <c r="D27" i="2"/>
  <c r="A27" i="2"/>
  <c r="J17" i="3" l="1"/>
  <c r="D37" i="2"/>
  <c r="B17" i="3"/>
  <c r="A17" i="3"/>
  <c r="H292" i="2" l="1"/>
  <c r="I292" i="2" s="1"/>
  <c r="H289" i="2" l="1"/>
  <c r="I289" i="2" s="1"/>
  <c r="H71" i="4" l="1"/>
  <c r="I71" i="4" s="1"/>
  <c r="H70" i="4"/>
  <c r="I70" i="4" s="1"/>
  <c r="H69" i="4"/>
  <c r="I69" i="4" s="1"/>
  <c r="H68" i="4"/>
  <c r="I68" i="4" s="1"/>
  <c r="M79" i="2" l="1"/>
  <c r="M78" i="2"/>
  <c r="F83" i="2" l="1"/>
  <c r="F85" i="2"/>
  <c r="F79" i="2"/>
  <c r="F81" i="2"/>
  <c r="F84" i="2"/>
  <c r="F80" i="2"/>
  <c r="F82" i="2"/>
  <c r="D25" i="2"/>
  <c r="A25" i="2"/>
  <c r="F91" i="2" l="1"/>
  <c r="F90" i="2"/>
  <c r="F89" i="2"/>
  <c r="F88" i="2"/>
  <c r="H220" i="4" l="1"/>
  <c r="I220" i="4" s="1"/>
  <c r="H219" i="4"/>
  <c r="I219" i="4" s="1"/>
  <c r="H218" i="4"/>
  <c r="I218" i="4" s="1"/>
  <c r="H215" i="4"/>
  <c r="I215" i="4" s="1"/>
  <c r="H214" i="4"/>
  <c r="I214" i="4" s="1"/>
  <c r="H213" i="4"/>
  <c r="I213" i="4" s="1"/>
  <c r="H212" i="4"/>
  <c r="I212" i="4" s="1"/>
  <c r="H211" i="4"/>
  <c r="I211" i="4" s="1"/>
  <c r="H210" i="4"/>
  <c r="I210" i="4" s="1"/>
  <c r="H209" i="4"/>
  <c r="I209" i="4" s="1"/>
  <c r="H208" i="4"/>
  <c r="I208" i="4" s="1"/>
  <c r="H207" i="4"/>
  <c r="I207" i="4" s="1"/>
  <c r="H206" i="4"/>
  <c r="I206" i="4" s="1"/>
  <c r="H205" i="4"/>
  <c r="I205" i="4" s="1"/>
  <c r="H89" i="4"/>
  <c r="F89" i="4"/>
  <c r="H88" i="4"/>
  <c r="F88" i="4"/>
  <c r="H87" i="4"/>
  <c r="I87" i="4" s="1"/>
  <c r="H86" i="4"/>
  <c r="I86" i="4" s="1"/>
  <c r="H85" i="4"/>
  <c r="I85" i="4" s="1"/>
  <c r="H84" i="4"/>
  <c r="H83" i="4"/>
  <c r="F83" i="4"/>
  <c r="F84" i="4" s="1"/>
  <c r="H82" i="4"/>
  <c r="I82" i="4" s="1"/>
  <c r="H81" i="4"/>
  <c r="I81" i="4" s="1"/>
  <c r="H80" i="4"/>
  <c r="I80" i="4" s="1"/>
  <c r="H79" i="4"/>
  <c r="H78" i="4"/>
  <c r="I78" i="4" s="1"/>
  <c r="H77" i="4"/>
  <c r="I77" i="4" s="1"/>
  <c r="I204" i="4" l="1"/>
  <c r="G291" i="2" s="1"/>
  <c r="H291" i="2" s="1"/>
  <c r="I291" i="2" s="1"/>
  <c r="I79" i="4"/>
  <c r="I84" i="4"/>
  <c r="I88" i="4"/>
  <c r="I217" i="4"/>
  <c r="I83" i="4"/>
  <c r="I89" i="4"/>
  <c r="I76" i="4" l="1"/>
  <c r="G299" i="2"/>
  <c r="H299" i="2" s="1"/>
  <c r="I299" i="2" s="1"/>
  <c r="H109" i="2" l="1"/>
  <c r="I109" i="2" s="1"/>
  <c r="H110" i="2"/>
  <c r="I110" i="2" s="1"/>
  <c r="H111" i="2"/>
  <c r="I111" i="2" s="1"/>
  <c r="H112" i="2"/>
  <c r="I112" i="2" s="1"/>
  <c r="H113" i="2"/>
  <c r="I113" i="2" s="1"/>
  <c r="H74" i="4" l="1"/>
  <c r="I74" i="4" s="1"/>
  <c r="H73" i="4"/>
  <c r="I73" i="4" s="1"/>
  <c r="H72" i="4"/>
  <c r="I72" i="4" s="1"/>
  <c r="H67" i="4"/>
  <c r="I67" i="4" s="1"/>
  <c r="H66" i="4"/>
  <c r="I66" i="4" s="1"/>
  <c r="H65" i="4"/>
  <c r="I65" i="4" s="1"/>
  <c r="H64" i="4"/>
  <c r="I64" i="4" s="1"/>
  <c r="H63" i="4"/>
  <c r="I63" i="4" s="1"/>
  <c r="H62" i="4"/>
  <c r="H61" i="4"/>
  <c r="I61" i="4" s="1"/>
  <c r="H60" i="4"/>
  <c r="I60" i="4" s="1"/>
  <c r="H59" i="4"/>
  <c r="I59" i="4" s="1"/>
  <c r="I62" i="4" l="1"/>
  <c r="I188" i="4" l="1"/>
  <c r="H184" i="4"/>
  <c r="F184" i="4"/>
  <c r="H183" i="4"/>
  <c r="F183" i="4"/>
  <c r="H182" i="4"/>
  <c r="F182" i="4"/>
  <c r="H181" i="4"/>
  <c r="F181" i="4"/>
  <c r="H180" i="4"/>
  <c r="H179" i="4"/>
  <c r="F179" i="4"/>
  <c r="F180" i="4" s="1"/>
  <c r="H178" i="4"/>
  <c r="H177" i="4"/>
  <c r="H176" i="4"/>
  <c r="F176" i="4"/>
  <c r="H175" i="4"/>
  <c r="F175" i="4"/>
  <c r="G288" i="2" l="1"/>
  <c r="H288" i="2" s="1"/>
  <c r="I288" i="2" s="1"/>
  <c r="I180" i="4"/>
  <c r="I182" i="4"/>
  <c r="I184" i="4"/>
  <c r="I176" i="4"/>
  <c r="I183" i="4"/>
  <c r="I181" i="4"/>
  <c r="F177" i="4"/>
  <c r="I177" i="4" s="1"/>
  <c r="I175" i="4"/>
  <c r="I179" i="4"/>
  <c r="F178" i="4" l="1"/>
  <c r="I178" i="4" s="1"/>
  <c r="I174" i="4" s="1"/>
  <c r="H285" i="2" l="1"/>
  <c r="I285" i="2" s="1"/>
  <c r="H127" i="2" l="1"/>
  <c r="I127" i="2" s="1"/>
  <c r="H48" i="4" l="1"/>
  <c r="I48" i="4" s="1"/>
  <c r="H49" i="4"/>
  <c r="I49" i="4" s="1"/>
  <c r="H47" i="4"/>
  <c r="I47" i="4" l="1"/>
  <c r="I46" i="4" s="1"/>
  <c r="H122" i="2" l="1"/>
  <c r="I122" i="2" s="1"/>
  <c r="H123" i="2"/>
  <c r="I123" i="2" s="1"/>
  <c r="H124" i="2"/>
  <c r="I124" i="2" s="1"/>
  <c r="H104" i="2"/>
  <c r="I104" i="2" s="1"/>
  <c r="H105" i="2"/>
  <c r="I105" i="2" s="1"/>
  <c r="H98" i="2"/>
  <c r="H99" i="2"/>
  <c r="H100" i="2"/>
  <c r="H80" i="2"/>
  <c r="H81" i="2"/>
  <c r="H82" i="2"/>
  <c r="H83" i="2"/>
  <c r="H84" i="2"/>
  <c r="H85" i="2"/>
  <c r="H69" i="2"/>
  <c r="H70" i="2"/>
  <c r="H71" i="2"/>
  <c r="I71" i="2" s="1"/>
  <c r="H72" i="2"/>
  <c r="I72" i="2" s="1"/>
  <c r="H73" i="2"/>
  <c r="I73" i="2" s="1"/>
  <c r="H74" i="2"/>
  <c r="I74" i="2" s="1"/>
  <c r="I83" i="2" l="1"/>
  <c r="I84" i="2"/>
  <c r="I82" i="2"/>
  <c r="I81" i="2"/>
  <c r="I85" i="2" l="1"/>
  <c r="I80" i="2"/>
  <c r="F97" i="2"/>
  <c r="F98" i="2" s="1"/>
  <c r="H88" i="2"/>
  <c r="I88" i="2" s="1"/>
  <c r="H89" i="2"/>
  <c r="I89" i="2" s="1"/>
  <c r="H90" i="2"/>
  <c r="I90" i="2" s="1"/>
  <c r="H91" i="2"/>
  <c r="I91" i="2" s="1"/>
  <c r="H121" i="2"/>
  <c r="I121" i="2" s="1"/>
  <c r="I87" i="2" l="1"/>
  <c r="I98" i="2"/>
  <c r="F100" i="2"/>
  <c r="I100" i="2" s="1"/>
  <c r="H128" i="2"/>
  <c r="I128" i="2" s="1"/>
  <c r="I126" i="2" s="1"/>
  <c r="H97" i="2"/>
  <c r="I97" i="2" s="1"/>
  <c r="F99" i="2" l="1"/>
  <c r="I99" i="2" s="1"/>
  <c r="I120" i="2"/>
  <c r="H44" i="4"/>
  <c r="I44" i="4" s="1"/>
  <c r="I70" i="2" l="1"/>
  <c r="H117" i="2"/>
  <c r="I117" i="2" s="1"/>
  <c r="H108" i="2"/>
  <c r="I108" i="2" s="1"/>
  <c r="I107" i="2" s="1"/>
  <c r="I69" i="2" l="1"/>
  <c r="H68" i="2"/>
  <c r="H79" i="2"/>
  <c r="H103" i="2"/>
  <c r="H189" i="2"/>
  <c r="D290" i="2"/>
  <c r="H172" i="4"/>
  <c r="I172" i="4" s="1"/>
  <c r="H171" i="4"/>
  <c r="I171" i="4" s="1"/>
  <c r="H170" i="4"/>
  <c r="I170" i="4" s="1"/>
  <c r="H43" i="4" l="1"/>
  <c r="I43" i="4" s="1"/>
  <c r="I42" i="4" l="1"/>
  <c r="H202" i="4"/>
  <c r="I202" i="4" s="1"/>
  <c r="H169" i="4"/>
  <c r="I169" i="4" s="1"/>
  <c r="H168" i="4"/>
  <c r="I168" i="4" s="1"/>
  <c r="H167" i="4"/>
  <c r="I167" i="4" s="1"/>
  <c r="H166" i="4"/>
  <c r="I166" i="4" s="1"/>
  <c r="H165" i="4"/>
  <c r="I165" i="4" s="1"/>
  <c r="H164" i="4"/>
  <c r="I164" i="4" s="1"/>
  <c r="H163" i="4"/>
  <c r="I163" i="4" s="1"/>
  <c r="H162" i="4"/>
  <c r="I162" i="4" s="1"/>
  <c r="H161" i="4"/>
  <c r="I161" i="4" s="1"/>
  <c r="H160" i="4"/>
  <c r="I160" i="4" s="1"/>
  <c r="H159" i="4"/>
  <c r="I159" i="4" s="1"/>
  <c r="H158" i="4"/>
  <c r="I158" i="4" s="1"/>
  <c r="H157" i="4"/>
  <c r="I157" i="4" s="1"/>
  <c r="H156" i="4"/>
  <c r="I156" i="4" s="1"/>
  <c r="H155" i="4"/>
  <c r="I155" i="4" s="1"/>
  <c r="H154" i="4"/>
  <c r="I154" i="4" s="1"/>
  <c r="H153" i="4"/>
  <c r="I153" i="4" s="1"/>
  <c r="H152" i="4"/>
  <c r="I152" i="4" s="1"/>
  <c r="H151" i="4"/>
  <c r="I151" i="4" s="1"/>
  <c r="H150" i="4"/>
  <c r="I150" i="4" s="1"/>
  <c r="H149" i="4"/>
  <c r="I149" i="4" s="1"/>
  <c r="H148" i="4"/>
  <c r="I148" i="4" s="1"/>
  <c r="H147" i="4"/>
  <c r="I147" i="4" s="1"/>
  <c r="H146" i="4"/>
  <c r="I146" i="4" s="1"/>
  <c r="H145" i="4"/>
  <c r="I145" i="4" s="1"/>
  <c r="H144" i="4"/>
  <c r="I144" i="4" s="1"/>
  <c r="H143" i="4"/>
  <c r="I143" i="4" s="1"/>
  <c r="H142" i="4"/>
  <c r="I142" i="4" s="1"/>
  <c r="H141" i="4"/>
  <c r="I141" i="4" s="1"/>
  <c r="H140" i="4"/>
  <c r="I140" i="4" s="1"/>
  <c r="H139" i="4"/>
  <c r="I139" i="4" s="1"/>
  <c r="H138" i="4"/>
  <c r="I138" i="4" s="1"/>
  <c r="H137" i="4"/>
  <c r="I137" i="4" s="1"/>
  <c r="H136" i="4"/>
  <c r="I136" i="4" s="1"/>
  <c r="H135" i="4"/>
  <c r="I135" i="4" s="1"/>
  <c r="H134" i="4"/>
  <c r="I134" i="4" s="1"/>
  <c r="H133" i="4"/>
  <c r="I133" i="4" s="1"/>
  <c r="H132" i="4"/>
  <c r="I132" i="4" s="1"/>
  <c r="H131" i="4"/>
  <c r="I131" i="4" s="1"/>
  <c r="H130" i="4"/>
  <c r="I130" i="4" s="1"/>
  <c r="G118" i="2" l="1"/>
  <c r="H118" i="2" s="1"/>
  <c r="I118" i="2" s="1"/>
  <c r="I201" i="4"/>
  <c r="G290" i="2" s="1"/>
  <c r="I129" i="4"/>
  <c r="H290" i="2" l="1"/>
  <c r="I290" i="2" s="1"/>
  <c r="I321" i="2" s="1"/>
  <c r="D33" i="5" s="1"/>
  <c r="J10" i="3"/>
  <c r="D19" i="2"/>
  <c r="B10" i="3" s="1"/>
  <c r="A19" i="2"/>
  <c r="A10" i="3" s="1"/>
  <c r="C24" i="6" l="1"/>
  <c r="C15" i="6"/>
  <c r="C24" i="5"/>
  <c r="C15" i="5"/>
  <c r="C35" i="5" l="1"/>
  <c r="C35" i="6"/>
  <c r="H53" i="4" l="1"/>
  <c r="I53" i="4" s="1"/>
  <c r="H52" i="4"/>
  <c r="I52" i="4" s="1"/>
  <c r="L10" i="4"/>
  <c r="L11" i="4" s="1"/>
  <c r="H116" i="4" l="1"/>
  <c r="I116" i="4" s="1"/>
  <c r="H115" i="4"/>
  <c r="I115" i="4" s="1"/>
  <c r="H127" i="4"/>
  <c r="I127" i="4" s="1"/>
  <c r="H126" i="4"/>
  <c r="I126" i="4" s="1"/>
  <c r="H55" i="4"/>
  <c r="I55" i="4" s="1"/>
  <c r="H54" i="4"/>
  <c r="I54" i="4" s="1"/>
  <c r="I112" i="4" l="1"/>
  <c r="I31" i="2"/>
  <c r="G247" i="2"/>
  <c r="H247" i="2" s="1"/>
  <c r="I247" i="2" s="1"/>
  <c r="I123" i="4"/>
  <c r="I51" i="4"/>
  <c r="H306" i="2"/>
  <c r="I306" i="2" s="1"/>
  <c r="I58" i="4" l="1"/>
  <c r="G64" i="2"/>
  <c r="J11" i="3"/>
  <c r="J12" i="3"/>
  <c r="J14" i="3"/>
  <c r="J13" i="3"/>
  <c r="J15" i="3"/>
  <c r="J18" i="3"/>
  <c r="J16" i="3"/>
  <c r="J9" i="3"/>
  <c r="I238" i="2" l="1"/>
  <c r="I35" i="2" s="1"/>
  <c r="I33" i="2"/>
  <c r="H64" i="2"/>
  <c r="I64" i="2" s="1"/>
  <c r="I27" i="2" l="1"/>
  <c r="N39" i="2" l="1"/>
  <c r="D30" i="5"/>
  <c r="D25" i="5"/>
  <c r="D27" i="5"/>
  <c r="D26" i="5"/>
  <c r="D13" i="5"/>
  <c r="D24" i="5" l="1"/>
  <c r="D17" i="5"/>
  <c r="D19" i="5"/>
  <c r="D18" i="5"/>
  <c r="D16" i="5"/>
  <c r="H297" i="2"/>
  <c r="I297" i="2" s="1"/>
  <c r="D15" i="5" l="1"/>
  <c r="D22" i="5" s="1"/>
  <c r="I63" i="2" l="1"/>
  <c r="I19" i="2" s="1"/>
  <c r="I68" i="2"/>
  <c r="I103" i="2"/>
  <c r="I189" i="2"/>
  <c r="H282" i="2"/>
  <c r="H283" i="2"/>
  <c r="I283" i="2" s="1"/>
  <c r="H284" i="2"/>
  <c r="I284" i="2" s="1"/>
  <c r="H286" i="2"/>
  <c r="I286" i="2" s="1"/>
  <c r="H287" i="2"/>
  <c r="I287" i="2" s="1"/>
  <c r="H296" i="2"/>
  <c r="I296" i="2" s="1"/>
  <c r="H303" i="2"/>
  <c r="H304" i="2"/>
  <c r="I304" i="2" s="1"/>
  <c r="H305" i="2"/>
  <c r="I305" i="2" s="1"/>
  <c r="H10" i="3" l="1"/>
  <c r="N33" i="2"/>
  <c r="I102" i="2"/>
  <c r="B15" i="3" l="1"/>
  <c r="I79" i="2" l="1"/>
  <c r="I116" i="2" l="1"/>
  <c r="I115" i="2" s="1"/>
  <c r="D21" i="2"/>
  <c r="D17" i="2"/>
  <c r="I78" i="2" l="1"/>
  <c r="A16" i="3"/>
  <c r="A14" i="3"/>
  <c r="I96" i="2" l="1"/>
  <c r="B16" i="3"/>
  <c r="B14" i="3"/>
  <c r="A17" i="2" l="1"/>
  <c r="A9" i="3" s="1"/>
  <c r="B9" i="3"/>
  <c r="A21" i="2"/>
  <c r="A11" i="3" s="1"/>
  <c r="B11" i="3"/>
  <c r="A12" i="3"/>
  <c r="B12" i="3"/>
  <c r="I206" i="2"/>
  <c r="A13" i="3"/>
  <c r="A15" i="3"/>
  <c r="A18" i="3"/>
  <c r="B18" i="3"/>
  <c r="I188" i="2"/>
  <c r="I25" i="2" l="1"/>
  <c r="H14" i="3"/>
  <c r="I29" i="2"/>
  <c r="B13" i="3"/>
  <c r="H12" i="3"/>
  <c r="I17" i="2"/>
  <c r="I303" i="2"/>
  <c r="I282" i="2"/>
  <c r="I281" i="2" s="1"/>
  <c r="I67" i="2"/>
  <c r="H9" i="3" l="1"/>
  <c r="I39" i="2"/>
  <c r="H17" i="3" s="1"/>
  <c r="I93" i="2"/>
  <c r="I66" i="2" s="1"/>
  <c r="K71" i="2" s="1"/>
  <c r="I295" i="2"/>
  <c r="I186" i="2" s="1"/>
  <c r="H15" i="3"/>
  <c r="I41" i="2" l="1"/>
  <c r="H18" i="3" s="1"/>
  <c r="K115" i="2"/>
  <c r="K72" i="2"/>
  <c r="K93" i="2"/>
  <c r="I21" i="2" l="1"/>
  <c r="K78" i="2"/>
  <c r="K96" i="2"/>
  <c r="K66" i="2"/>
  <c r="K120" i="2"/>
  <c r="K87" i="2"/>
  <c r="K102" i="2"/>
  <c r="K67" i="2"/>
  <c r="K126" i="2"/>
  <c r="K107" i="2"/>
  <c r="H11" i="3" l="1"/>
  <c r="N38" i="2"/>
  <c r="K21" i="2"/>
  <c r="K128" i="2"/>
  <c r="H13" i="3" l="1"/>
  <c r="N42" i="2"/>
  <c r="N40" i="2"/>
  <c r="I37" i="2" l="1"/>
  <c r="H16" i="3" l="1"/>
  <c r="I46" i="2"/>
  <c r="K17" i="2" l="1"/>
  <c r="K48" i="2" s="1"/>
  <c r="K19" i="2"/>
  <c r="D33" i="6"/>
  <c r="H22" i="3"/>
  <c r="C16" i="3" s="1"/>
  <c r="K64" i="2" l="1"/>
  <c r="O16" i="3"/>
  <c r="L16" i="3"/>
  <c r="N16" i="3"/>
  <c r="M16" i="3"/>
  <c r="C15" i="3"/>
  <c r="C9" i="3"/>
  <c r="C14" i="3"/>
  <c r="C10" i="3"/>
  <c r="C12" i="3"/>
  <c r="C18" i="3"/>
  <c r="C11" i="3"/>
  <c r="C17" i="3"/>
  <c r="C13" i="3"/>
  <c r="D26" i="6"/>
  <c r="D25" i="6"/>
  <c r="D27" i="6"/>
  <c r="D13" i="6"/>
  <c r="D30" i="6"/>
  <c r="O17" i="3" l="1"/>
  <c r="N17" i="3"/>
  <c r="O9" i="3"/>
  <c r="M9" i="3"/>
  <c r="L9" i="3"/>
  <c r="N9" i="3"/>
  <c r="M15" i="3"/>
  <c r="N15" i="3"/>
  <c r="L15" i="3"/>
  <c r="O15" i="3"/>
  <c r="N11" i="3"/>
  <c r="O11" i="3"/>
  <c r="L11" i="3"/>
  <c r="M11" i="3"/>
  <c r="L12" i="3"/>
  <c r="M12" i="3"/>
  <c r="O12" i="3"/>
  <c r="N12" i="3"/>
  <c r="L10" i="3"/>
  <c r="O10" i="3"/>
  <c r="N10" i="3"/>
  <c r="M10" i="3"/>
  <c r="D19" i="6"/>
  <c r="D17" i="6"/>
  <c r="D18" i="6"/>
  <c r="D16" i="6"/>
  <c r="M18" i="3"/>
  <c r="N18" i="3"/>
  <c r="L18" i="3"/>
  <c r="O18" i="3"/>
  <c r="D24" i="6"/>
  <c r="L13" i="3"/>
  <c r="M13" i="3"/>
  <c r="N13" i="3"/>
  <c r="O13" i="3"/>
  <c r="N14" i="3"/>
  <c r="L14" i="3"/>
  <c r="M14" i="3"/>
  <c r="O14" i="3"/>
  <c r="N21" i="3" l="1"/>
  <c r="F21" i="3" s="1"/>
  <c r="L21" i="3"/>
  <c r="D21" i="3" s="1"/>
  <c r="M21" i="3"/>
  <c r="E21" i="3" s="1"/>
  <c r="D15" i="6"/>
  <c r="D22" i="6" s="1"/>
  <c r="O21" i="3"/>
  <c r="G21" i="3" s="1"/>
  <c r="G22" i="3" l="1"/>
  <c r="E22" i="3"/>
  <c r="H21" i="3"/>
  <c r="D23" i="3"/>
  <c r="E23" i="3" s="1"/>
  <c r="F23" i="3" s="1"/>
  <c r="G23" i="3" s="1"/>
  <c r="D22" i="3"/>
  <c r="D24" i="3" s="1"/>
  <c r="F22" i="3"/>
  <c r="E24" i="3" l="1"/>
  <c r="F24" i="3" s="1"/>
  <c r="G24" i="3" s="1"/>
</calcChain>
</file>

<file path=xl/sharedStrings.xml><?xml version="1.0" encoding="utf-8"?>
<sst xmlns="http://schemas.openxmlformats.org/spreadsheetml/2006/main" count="2358" uniqueCount="1050">
  <si>
    <t>74077/001</t>
  </si>
  <si>
    <t>LOCACAO CONVENCIONAL DE OBRA, ATRAVÉS DE GABARITO DE TABUAS CORRIDAS PONTALETADAS, SEM REAPROVEITAMENTO</t>
  </si>
  <si>
    <t>kg</t>
  </si>
  <si>
    <t>74164/004</t>
  </si>
  <si>
    <t>LASTRO DE BRITA</t>
  </si>
  <si>
    <t>TRATAMENTO PRELIMINAR</t>
  </si>
  <si>
    <t>73998/009</t>
  </si>
  <si>
    <t>COTAÇÃO</t>
  </si>
  <si>
    <t>un</t>
  </si>
  <si>
    <t>73998/003</t>
  </si>
  <si>
    <t>74001/001</t>
  </si>
  <si>
    <t xml:space="preserve">REBOCO COM ARGAMASSA PRE-FABRICADA, ESPESSURA 0,5CM, PREPARO MECANICO     </t>
  </si>
  <si>
    <t>05.01.00</t>
  </si>
  <si>
    <t>txkm</t>
  </si>
  <si>
    <t>EXECUÇÃO DE LASTRO EM CONCRETO (1:2,5:6), PREPARO MANUAL</t>
  </si>
  <si>
    <t>REGISTRO GAVETA 3/4" BRUTO LATAO REF 1502-B</t>
  </si>
  <si>
    <t>UNIDADE DE APOIO</t>
  </si>
  <si>
    <t>TUBO PVC ROSCAVEL EB-892 P/ AGUA FRIA PREDIAL 1 1/2"</t>
  </si>
  <si>
    <t>TUBO PVC ROSCAVEL EB-892 P/ AGUA FRIA PREDIAL 1/2"</t>
  </si>
  <si>
    <t>TUBO PVC ROSCAVEL EB-892 P/ AGUA FRIA PREDIAL 3/4"</t>
  </si>
  <si>
    <t>TE REDUCAO PVC C/ ROSCA 90G P/ AGUA FRIA PREDIAL 1.1/2" X 3/4"</t>
  </si>
  <si>
    <t>TE REDUCAO PVC C/ ROSCA 90G P/ AGUA FRIA PREDIAL 3/4 X 1/2"</t>
  </si>
  <si>
    <t>TE PVC C/ROSCA 90G P/ AGUA FRIA PREDIAL 3/4"</t>
  </si>
  <si>
    <t>TORNEIRA DE BOIA REAL 3/4" C/ BALAO METALICO</t>
  </si>
  <si>
    <t>TUBO PVC P/ ESG PREDIAL DN 100MM</t>
  </si>
  <si>
    <t>TUBO PVC P/ ESG PREDIAL DN 50MM</t>
  </si>
  <si>
    <t>JOELHO PVC SOLD 45G BB P/ ESG PREDIAL DN 40MM</t>
  </si>
  <si>
    <t>JUNCAO SIMPLES PVC P/ ESG PREDIAL DN 100X50MM</t>
  </si>
  <si>
    <t>TE SANITARIO PVC P/ ESG PREDIAL DN 100X50MM</t>
  </si>
  <si>
    <t>ADAPTADOR PVC P/ VALVULA PIA OU LAVATORIO 40MM X 1"</t>
  </si>
  <si>
    <t>VEDACAO PVC 100 MM P/SAIDA VASO SANITARIO TIPO EG-27 TIGRE OU SIMILAR</t>
  </si>
  <si>
    <t>ADAPTADOR PVC ROSCAVEL C/ FLANGES E ANEL DE VEDACAO P/CAIXA D'A GUA 1 1/2"</t>
  </si>
  <si>
    <t>ADAPTADOR PVC ROSCAVEL C/ FLANGES E ANEL DE VEDACAO P/ CAIXA D' AGUA 3/4"</t>
  </si>
  <si>
    <t>JOELHO PVC C/ROSCA 90G P/ AGUA FRIA PREDIAL 1 1/2"</t>
  </si>
  <si>
    <t>UNIAO PVC C/ROSCA P/AGUA FRIA PREDIAL 3/4"</t>
  </si>
  <si>
    <t>REGISTRO GAVETA 1.1/2" REF 1509-C - C/ CANOPLA ACAB CROMADO SIMPLES</t>
  </si>
  <si>
    <t>CAIXA SIFONADA PVC 150 X 150 X 50MM C/ GRELHA QUADRADA BRANCA</t>
  </si>
  <si>
    <t>TERMINAL DE VENTILAÇÃO PVC ESG  DN 50MM</t>
  </si>
  <si>
    <t>01.01.01</t>
  </si>
  <si>
    <t>01.01.04</t>
  </si>
  <si>
    <t>01.01.05</t>
  </si>
  <si>
    <t>73928/001</t>
  </si>
  <si>
    <t xml:space="preserve">CHAPISCO EM PAREDES TRACO 1:4 (CIMENTO E AREIA), ESPESSURA 0,5CM, PREP   </t>
  </si>
  <si>
    <t>VALVULA DESCARGA 1 1/2" C/ REGISTRO - ACABAMENTO EM METAL CROMADO</t>
  </si>
  <si>
    <t>CRONOGRAMA FÍSICO-FINANCEIRO</t>
  </si>
  <si>
    <t>ITEM</t>
  </si>
  <si>
    <t xml:space="preserve">ATIVIDADES </t>
  </si>
  <si>
    <t>PART.%</t>
  </si>
  <si>
    <t>MÊS 01</t>
  </si>
  <si>
    <t>MÊS 02</t>
  </si>
  <si>
    <t>MÊS 03</t>
  </si>
  <si>
    <t>MÊS 04</t>
  </si>
  <si>
    <t>SUB-TOTAL</t>
  </si>
  <si>
    <t>PERCENTUAL GLOBAL SIMPLES</t>
  </si>
  <si>
    <t>VALOR SIMPLES EM R$</t>
  </si>
  <si>
    <t>PERCENTUAL GLOBAL ACUMULADO</t>
  </si>
  <si>
    <t>VALOR ACUMULADO EM R$</t>
  </si>
  <si>
    <t>02.01.01</t>
  </si>
  <si>
    <t>ADMINISTRAÇÃO LOCAL DA OBRA, COMPOSIÇÃO EM APENSO, CONFORME ACORDÃO 325/2007 DO TRIBUNAL DE CONTAS DA UNIÃO - TCU</t>
  </si>
  <si>
    <t>ESTAÇÃO DE TRATAMENTO DE ESGOTOS</t>
  </si>
  <si>
    <t>74115/001</t>
  </si>
  <si>
    <t xml:space="preserve">CAIXA DE PASSAGEM EM ALVENARIA (0,60 X 0,60 X 0,60 M)                                                                                                                               </t>
  </si>
  <si>
    <t>74142/004</t>
  </si>
  <si>
    <t>CERCA COM MOURÕES DE CONCRETO, SEÇÃO "T" PONTA INCLINADA, 7,5X7,5CM, ESPAÇAMENTO DE 3M, CRAVADOS 0,5M, COM 11 FIOS DE ARAME FARPADO Nº14 CLASSE 250 - FORNEC E COLOC.</t>
  </si>
  <si>
    <t>74075/005</t>
  </si>
  <si>
    <t>FORMA MADEIRA COMP RESINADA 14MM P/ESTRUTURA REAPROV 2 VEZES - CORTE/MONTAGEM/ESCORAMENTO/DESFORMA</t>
  </si>
  <si>
    <t>74118/001</t>
  </si>
  <si>
    <t xml:space="preserve">CERCA VIVA DE HISBICO, CEDRIHO, CALIAMDRA, ACALIFA - FORNEC. E PLANTIO   </t>
  </si>
  <si>
    <t>73967/002</t>
  </si>
  <si>
    <t>PLANTIO DE ARVORE COM ALTURA MAIOR DO QUE 2,00 METROS</t>
  </si>
  <si>
    <t>URBANIZAÇÃO E PAISAGISMO</t>
  </si>
  <si>
    <t>Item</t>
  </si>
  <si>
    <t>Fonte</t>
  </si>
  <si>
    <t>Código</t>
  </si>
  <si>
    <t>Discriminação</t>
  </si>
  <si>
    <t>Unidade</t>
  </si>
  <si>
    <t>Quantidade</t>
  </si>
  <si>
    <t xml:space="preserve">FOLHA RESUMO </t>
  </si>
  <si>
    <t>TOTAL GERAL</t>
  </si>
  <si>
    <t>h</t>
  </si>
  <si>
    <t>SINAPI</t>
  </si>
  <si>
    <t>73805/001</t>
  </si>
  <si>
    <t>BARRACAO DE OBRA PARA ALOJAMENTO/ESCRITORIO, PISO EM PINHO 3A, PAREDES EM COMPENSADO 10MM, COBERTURA EM TELHA AMIANTO 6MM, INCLUSO INSTALACOES ELETRICAS E ESQUADRIAS</t>
  </si>
  <si>
    <t>m²</t>
  </si>
  <si>
    <t>74209/001</t>
  </si>
  <si>
    <t>PLACA DE OBRA EM CHAPA DE ACO GALVANIZADO</t>
  </si>
  <si>
    <t>mês</t>
  </si>
  <si>
    <t xml:space="preserve">TRANSPORTE COMERCIAL COM CAMINHAO CARROCERIA 9 T, RODOVIA PAVIMENTADA     </t>
  </si>
  <si>
    <t>74210/001</t>
  </si>
  <si>
    <t>02.01.00</t>
  </si>
  <si>
    <t>m</t>
  </si>
  <si>
    <t>74221/001</t>
  </si>
  <si>
    <t>SINALIZACAO DE TRANSITO - NOTURNA</t>
  </si>
  <si>
    <t>COPASA</t>
  </si>
  <si>
    <t xml:space="preserve">un </t>
  </si>
  <si>
    <t>74219/001</t>
  </si>
  <si>
    <t>PASSADICOS DE MADEIRA PARA PEDESTRES</t>
  </si>
  <si>
    <t>m³</t>
  </si>
  <si>
    <t>73965/010</t>
  </si>
  <si>
    <t>ESCAVACAO MANUAL DE VALA EM MATERIAL DE 1A CATEGORIA ATE 1,5M EXCLUINDO ESGOTAMENTO / ESCORAMENTO</t>
  </si>
  <si>
    <t>73965/011</t>
  </si>
  <si>
    <t>ESCAVACAO MANUAL DE VALA EM MATERIAL DE 1A CATEGORIA DE 1,5 ATE 3M EXCLUINDO ESGOTAMENTO / ESCORAMENTO</t>
  </si>
  <si>
    <t>73965/008</t>
  </si>
  <si>
    <t>ESCAVACAO MANUAL DE VALA EM LODO, ATE 1,5M, EXCLUINDO ESGOTAMENTO/ESCORAMENTO</t>
  </si>
  <si>
    <t>73965/009</t>
  </si>
  <si>
    <t xml:space="preserve">ESCAVACAO MANUAL DE VALA EM LODO, DE 1,5 ATE 3M, EXCLUINDO ESGOTAMENTO   </t>
  </si>
  <si>
    <t>74151/001</t>
  </si>
  <si>
    <t>74015/001</t>
  </si>
  <si>
    <t>REATERRO E COMPACTACAO MECANICO DE VALA COM COMPACTADOR MANUAL TIPO SOQUETE VIBRATORIO</t>
  </si>
  <si>
    <t>74034/001</t>
  </si>
  <si>
    <t>ESPALHAMENTO DE MATERIAL DE 1A CATEGORIA COM TRATOR DE ESTEIRA COM 153 HP</t>
  </si>
  <si>
    <t>73891/001</t>
  </si>
  <si>
    <t>ESGOTAMENTO COM MOTO-BOMBA AUTOESCOVANTE</t>
  </si>
  <si>
    <t>73902/001</t>
  </si>
  <si>
    <t>CAMADA DRENANTE COM BRITA NUM 3</t>
  </si>
  <si>
    <t>LOCAÇÃO DE ADUTORAS, COLETORES TRONCO E INTERCEPTORES - ATÉ DN 500 MM, INCLUSIVE TOPOGRAFO</t>
  </si>
  <si>
    <t>03.01.02</t>
  </si>
  <si>
    <t>73962/021</t>
  </si>
  <si>
    <t>ESCAVACAO DE VALA ESCORADA EM MATERIAL 1A CATEGORIA , PROFUNDIDADE ATE 1,5 M COM ESCAVADEIRA HIDRAULICA 105 HP(CAPACIDADE DE 0,78M3), SEM ESGOTAMENTO</t>
  </si>
  <si>
    <t>ESCAVACAO E CARGA MATERIAL 1A CATEGORIA, UTILIZANDO TRATOR DE ESTEIRAS DE 110 A 160HP COM LAMINA, PESO OPERACIONAL * 13T E PA CARREGADEIRA COM 170 HP.</t>
  </si>
  <si>
    <t>COTOVELO FERRO GALV 90G C/ ROSCA 3/4"</t>
  </si>
  <si>
    <t>NIPEL DUPLO PVC C/ ROSCA P/ AGUA FRIA PREDIAL 3/4"</t>
  </si>
  <si>
    <t>NIPEL DUPLO PVC C/ C/ ROSCA P/ AGUA FRIA PREDIAL 1/2"</t>
  </si>
  <si>
    <t>TUBO PVC SOLDÁVEL P/ ESG PREDIAL DN 40MM</t>
  </si>
  <si>
    <t>JOELHO PVC SOLD 90G PB P/ ESG PREDIAL DN 40MM</t>
  </si>
  <si>
    <t>JOELHO PVC C/ROSCA 90G P/AGUA FRIA PREDIAL 3/4"</t>
  </si>
  <si>
    <t>JOELHO FERRO GALV 90G ROSCA MACHO/FEMEA 1/2"</t>
  </si>
  <si>
    <t>JOELHO REDUCAO 90G PVC C/ ROSCA P/AGUA FRIA PREDIAL 3/4"X1/2"</t>
  </si>
  <si>
    <t>TUBO DE DESCIDA (DESCARGA) EXTERNO PVC P/ CX DESCARGA EXTERNA - 40MM X 1,60M</t>
  </si>
  <si>
    <t>REGISTRO PRESSAO 1/2" REF 1416 - C/ CANOPLA ACAB CROMADO SIMPLES</t>
  </si>
  <si>
    <t>LIGACAO FLEXIVEL PVC 1/2" 40 CM</t>
  </si>
  <si>
    <t>JOELHO PVC SERIE R P/ ESG PREDIAL 90G DN 100 MM</t>
  </si>
  <si>
    <t>JOELHO PVC SERIE R P/ ESG PREDIAL 45G DN 50MM</t>
  </si>
  <si>
    <t>CE-001</t>
  </si>
  <si>
    <t>CE-002</t>
  </si>
  <si>
    <t>CE-005</t>
  </si>
  <si>
    <t>CE-006</t>
  </si>
  <si>
    <t>04.01.00</t>
  </si>
  <si>
    <t>06.01.00</t>
  </si>
  <si>
    <t>08.01.00</t>
  </si>
  <si>
    <t>10.01.00</t>
  </si>
  <si>
    <t>73834/001</t>
  </si>
  <si>
    <t>INSTALACAO DE CONJ.MOTO BOMBA SUBMERSIVEL ATE 10 CV</t>
  </si>
  <si>
    <t>74138/004</t>
  </si>
  <si>
    <t>74254/002</t>
  </si>
  <si>
    <t>CE-010</t>
  </si>
  <si>
    <t>CE-011</t>
  </si>
  <si>
    <t>CE-008</t>
  </si>
  <si>
    <t xml:space="preserve">CAIXA D'AGUA FIBRA DE VIDRO 500L </t>
  </si>
  <si>
    <t>RALO SIFONADO PVC REDONDO CONICO 100X40MM C/ GRELHA PVC BRANCA</t>
  </si>
  <si>
    <t>VALVULA EM PLASTICO CROMADO 1" S/UNHO C/LADRAO P/LAVATORIO</t>
  </si>
  <si>
    <t>CONJUNTO DE LIGACAO (TUBO + CANOPLA) PVC RIGIDO C/ TUBO 1.1/2" X 20CM P/ BACIA SANITARIA</t>
  </si>
  <si>
    <t>73823/001</t>
  </si>
  <si>
    <t>CE-016</t>
  </si>
  <si>
    <t>73998/004</t>
  </si>
  <si>
    <t>ALVENARIA DE BLOCOS DE CONCRETO ESTRUTURAL 14X19X39CM, ESPESSURA 14CM</t>
  </si>
  <si>
    <t>01.01.03</t>
  </si>
  <si>
    <t>03.01.03</t>
  </si>
  <si>
    <t>03.01.04</t>
  </si>
  <si>
    <t>03.01.05</t>
  </si>
  <si>
    <t>03.01.06</t>
  </si>
  <si>
    <t>03.01.07</t>
  </si>
  <si>
    <t>03.01.08</t>
  </si>
  <si>
    <t>03.01.09</t>
  </si>
  <si>
    <t>03.01.00</t>
  </si>
  <si>
    <t>03.01.01</t>
  </si>
  <si>
    <t>04.01.01</t>
  </si>
  <si>
    <t>04.01.02</t>
  </si>
  <si>
    <t>04.01.03</t>
  </si>
  <si>
    <t>04.01.04</t>
  </si>
  <si>
    <t>04.01.05</t>
  </si>
  <si>
    <t>04.01.06</t>
  </si>
  <si>
    <t>04.01.07</t>
  </si>
  <si>
    <t>04.01.08</t>
  </si>
  <si>
    <t>04.01.09</t>
  </si>
  <si>
    <t>05.01.01</t>
  </si>
  <si>
    <t>05.01.02</t>
  </si>
  <si>
    <t>05.01.03</t>
  </si>
  <si>
    <t>06.01.01</t>
  </si>
  <si>
    <t>06.01.02</t>
  </si>
  <si>
    <t>06.01.04</t>
  </si>
  <si>
    <t>06.01.05</t>
  </si>
  <si>
    <t>06.01.06</t>
  </si>
  <si>
    <t>06.01.07</t>
  </si>
  <si>
    <t>06.01.08</t>
  </si>
  <si>
    <t>06.01.09</t>
  </si>
  <si>
    <t>06.01.10</t>
  </si>
  <si>
    <t>06.01.11</t>
  </si>
  <si>
    <t>06.01.12</t>
  </si>
  <si>
    <t>08.01.01</t>
  </si>
  <si>
    <t>08.01.02</t>
  </si>
  <si>
    <t>10.01.01</t>
  </si>
  <si>
    <t>11.01.01</t>
  </si>
  <si>
    <t>11.01.02</t>
  </si>
  <si>
    <t>COMPOSIÇÕES DE CUSTO</t>
  </si>
  <si>
    <t>%</t>
  </si>
  <si>
    <t>ADMINISTRAÇÃO LOCAL DA OBRA</t>
  </si>
  <si>
    <t>01.01.00</t>
  </si>
  <si>
    <t>MÃO DE OBRA INDIRETA</t>
  </si>
  <si>
    <t>AUXILIAR DE ESCRITÓRIO</t>
  </si>
  <si>
    <t>APONTADOR OU APROPRIADOR</t>
  </si>
  <si>
    <t>01.01.06</t>
  </si>
  <si>
    <t>SERVENTE (FAXINA E FOLGA DO VIGIA)</t>
  </si>
  <si>
    <t>01.01.07</t>
  </si>
  <si>
    <t>01.01.08</t>
  </si>
  <si>
    <t>VIGIA NOTURNO</t>
  </si>
  <si>
    <t>01.02.00</t>
  </si>
  <si>
    <t xml:space="preserve">VEÍCULOS, MÁQUINAS EQUIPAMENTOS </t>
  </si>
  <si>
    <t>01.02.01</t>
  </si>
  <si>
    <t>VEICULO COMERCIAL LEVE - CAPACIDADE DE CARGA ATE 700 KG COM MOTOR A GASOLINA TIPO VW-SAVEIRO OU SIMILAR</t>
  </si>
  <si>
    <t>01.02.02</t>
  </si>
  <si>
    <t>CAMINHÃO BASCULANTE 5,0M3/11T DIESEL TIPO MERCEDES 142HP LK-1214 OU EQUIV (INCL MANUT/OPERACAO)</t>
  </si>
  <si>
    <t>01.02.03</t>
  </si>
  <si>
    <t>01.02.04</t>
  </si>
  <si>
    <t>01.02.05</t>
  </si>
  <si>
    <t>NIVEL OTICO C/ PRECISAO +/- 0,7MM TIPO WILD NA-2 OU EQUIVALENTE</t>
  </si>
  <si>
    <t>01.02.06</t>
  </si>
  <si>
    <t>VIBRADOR DE IMERSAO C/ MOTOR ELETRICO 2HP MONOFASICO QUALQUER DIAM C/ MANGOTE</t>
  </si>
  <si>
    <t>01.02.07</t>
  </si>
  <si>
    <t>BETONEIRA 320L DIESEL 5,5HP S/ CARREGADOR MECANICO</t>
  </si>
  <si>
    <t>CONSUMOS</t>
  </si>
  <si>
    <t>01.03.01</t>
  </si>
  <si>
    <t>TARIFA DE CONSUMO DE ENERGIA ELETRICA COMERCIAL, BAIXA TENSAO</t>
  </si>
  <si>
    <t>kwh</t>
  </si>
  <si>
    <t>01.03.02</t>
  </si>
  <si>
    <t>OLEO DIESEL COMBUSTIVEL COMUM</t>
  </si>
  <si>
    <t>L</t>
  </si>
  <si>
    <t>01.03.03</t>
  </si>
  <si>
    <t>GASOLINA COMUM</t>
  </si>
  <si>
    <t>CHAPA ALUMINIO E = 6MM</t>
  </si>
  <si>
    <t xml:space="preserve">CANTONEIRA "U" ALUMINIO ABAS IGUAIS 1" E = 3/32 " </t>
  </si>
  <si>
    <t xml:space="preserve">AUXILIAR DE SERRALHEIRO </t>
  </si>
  <si>
    <t>SERRALHEIRO</t>
  </si>
  <si>
    <t>AUXILIAR DE ENCANADOR OU BOMBEIRO HIDRAULICO</t>
  </si>
  <si>
    <t>ENCANADOR OU BOMBEIRO HIDRAULICO</t>
  </si>
  <si>
    <t>SERVENTE</t>
  </si>
  <si>
    <t>Descrição</t>
  </si>
  <si>
    <t>Percentual</t>
  </si>
  <si>
    <t>Valor</t>
  </si>
  <si>
    <t>01.00</t>
  </si>
  <si>
    <t>CUSTO DIRETO</t>
  </si>
  <si>
    <t>02.00</t>
  </si>
  <si>
    <t>CUSTOS INDIRETOS</t>
  </si>
  <si>
    <t>02.01</t>
  </si>
  <si>
    <t>Administração central</t>
  </si>
  <si>
    <t>02.02</t>
  </si>
  <si>
    <t>Garantias e seguros</t>
  </si>
  <si>
    <t>02.03</t>
  </si>
  <si>
    <t>Riscos</t>
  </si>
  <si>
    <t>02.04</t>
  </si>
  <si>
    <t>EPI e ferramentas</t>
  </si>
  <si>
    <t>Percentuais incidentes sobre o custo direto</t>
  </si>
  <si>
    <t>03.00</t>
  </si>
  <si>
    <t>PREÇO DE CUSTO</t>
  </si>
  <si>
    <t>04.00</t>
  </si>
  <si>
    <t>TRIBUTOS</t>
  </si>
  <si>
    <t>04.01</t>
  </si>
  <si>
    <t>Cofins</t>
  </si>
  <si>
    <t>04.02</t>
  </si>
  <si>
    <t>Pis/Pasep</t>
  </si>
  <si>
    <t>04.03</t>
  </si>
  <si>
    <t>Iss</t>
  </si>
  <si>
    <t>Percentuais incidentes sobre o preço de venda</t>
  </si>
  <si>
    <t>05.00</t>
  </si>
  <si>
    <t>LUCRO LÍQUIDO</t>
  </si>
  <si>
    <t>Percentual incidente sobre o preço de venda</t>
  </si>
  <si>
    <t>06.00</t>
  </si>
  <si>
    <t>PREÇO DE VENDA</t>
  </si>
  <si>
    <t>07.00</t>
  </si>
  <si>
    <t>BDI</t>
  </si>
  <si>
    <t xml:space="preserve">Planilha elaborada conforme proferido no acordão 325/2007 do </t>
  </si>
  <si>
    <t xml:space="preserve">Tribunal de Contas da União - TCU </t>
  </si>
  <si>
    <t>DEMONSTRATIVO DO CÁLCULO DO BDI DE MATERIAIS</t>
  </si>
  <si>
    <t>03.02.00</t>
  </si>
  <si>
    <t>03.02.01</t>
  </si>
  <si>
    <t>03.02.02</t>
  </si>
  <si>
    <t>04.02.00</t>
  </si>
  <si>
    <t xml:space="preserve">m </t>
  </si>
  <si>
    <t>COMPOSIÇÃO</t>
  </si>
  <si>
    <t>ADMINISTRAÇÃO DA OBRA</t>
  </si>
  <si>
    <t>MOBILIZAÇÃO E DESMOBILIZAÇÃO</t>
  </si>
  <si>
    <t>MÁXIMO</t>
  </si>
  <si>
    <t>FORNECIMENTO E APLICAÇÃO DO MATERIAL HIDRÁULICO DA ELEVATÓRIA</t>
  </si>
  <si>
    <t>FORNECIMENTO E APLICAÇÃO DO MATERIAL HIDRÁULICO DA UNIDADE DE APOIO</t>
  </si>
  <si>
    <t>CE-014</t>
  </si>
  <si>
    <t>16.01.00</t>
  </si>
  <si>
    <t>16.01.01</t>
  </si>
  <si>
    <t>16.01.02</t>
  </si>
  <si>
    <t>16.01.03</t>
  </si>
  <si>
    <t>16.01.04</t>
  </si>
  <si>
    <t>16.01.05</t>
  </si>
  <si>
    <t>16.01.06</t>
  </si>
  <si>
    <t>16.01.07</t>
  </si>
  <si>
    <t>16.01.08</t>
  </si>
  <si>
    <t>16.01.09</t>
  </si>
  <si>
    <t>16.01.10</t>
  </si>
  <si>
    <t>INTERLIGAÇÕES DAS UNIDADES DA ETE</t>
  </si>
  <si>
    <t>01.01</t>
  </si>
  <si>
    <t>01.02</t>
  </si>
  <si>
    <t>01.03</t>
  </si>
  <si>
    <t>01.04</t>
  </si>
  <si>
    <t>FORNECIMENTO DO MATERIAL HIDRÁULICO DA REDE INTERCEPTORA E COLETORA DE ESGOTOS</t>
  </si>
  <si>
    <t>FORNECIMENTO E APLICAÇÃO DO MATERIAL HIDRÁULICO DA INTERLIGAÇÃO DAS UNIDADES DA ETE</t>
  </si>
  <si>
    <t>AUXILIAR DE SERRALHEIRO</t>
  </si>
  <si>
    <t>11.01.03</t>
  </si>
  <si>
    <t>73963/033</t>
  </si>
  <si>
    <t>73963/030</t>
  </si>
  <si>
    <t>73963/028</t>
  </si>
  <si>
    <t>POCO VISITA ESG SANIT ANEL CONC PRE-MOLD PROF=1,20M C/TAMPAO FF TIPO MEDIO(AD)D=60CM 125KG/DEGRAUS FF/REJUNTAMENTO ANEIS/REVEST LISO CALHA INTERNA C/ARG CIM/AREIA 1:4. BASE/BANQUETA EM CONCR FCK=10MPA</t>
  </si>
  <si>
    <t>POCO VISITA ESG SANIT ANEL CONC PRE-MOLD PROF=1,50M C/TAMPAO FF TIPO MEDIO(AD)D=60CM 125KG/DEGRAUS FF/REJUNTAMENTO ANEIS/REVEST LISO CALHA INTERNA C/ARG CIM/AREIA 1:4. BASE/BANQUETA EM CONCR FCK=10MPA</t>
  </si>
  <si>
    <t>POCO VISITA ESG SANIT ANEL CONC PRE-MOLD PROF=2,00M C/TAMPAO FF TIPO MEDIO(AD)D=60CM 125KG/DEGRAUS FF/REJUNTAMENTO ANEIS/REVEST LISO CALHA INTERNA C/ARG CIM/AREIA 1:4. BASE/BANQUETA EM CONCR FCK=10MPA</t>
  </si>
  <si>
    <t>COMPACTAÇÃO MANUAL FUNDO DE VALAS COM MAÇO=10 KG PARA REDE DE ESGOTO</t>
  </si>
  <si>
    <t>74219/002</t>
  </si>
  <si>
    <t>TRAVESSIA DE MADEIRA PARA VEICULOS</t>
  </si>
  <si>
    <t>74220/001</t>
  </si>
  <si>
    <t>TAPUME DE CHAPA DE MADEIRA COMPENSADA (6MM) - PINTURA A CAL- APROVEITAMENTO 2 X</t>
  </si>
  <si>
    <t xml:space="preserve">DRENAGEM                                                                                                              </t>
  </si>
  <si>
    <t>POÇOS DE VISITA</t>
  </si>
  <si>
    <t>FORNECIMENTO E ASSENTAMENTO DE TUBULAÇÃO</t>
  </si>
  <si>
    <t>ESCAVAÇÃO DE VALAS</t>
  </si>
  <si>
    <t>COMPACTAÇÃO DE FUNDO E ATERRO DE VALAS</t>
  </si>
  <si>
    <t>SERVIÇOS PRELIMINARES</t>
  </si>
  <si>
    <t>DEMOLIÇÃO E RECOMPOSIÇÃO DE PAVIMENTOS</t>
  </si>
  <si>
    <t>EMPRÉSTIMOS E BOTA FORA</t>
  </si>
  <si>
    <t>73877/001</t>
  </si>
  <si>
    <t>ESCORAMENTO DE VALAS TIPO CONTINUO</t>
  </si>
  <si>
    <t>ESCORAMENTO DE VALAS TIPO DESCONTINUO</t>
  </si>
  <si>
    <t>ESCORAMENTO DE VALAS COM PRANCHOES METALICOS - AREA CRAVADA</t>
  </si>
  <si>
    <t>73877/002</t>
  </si>
  <si>
    <t>ESCORAMENTO DE VALAS COM PRANCHOES METALICOS - AREA NAO CRAVADA</t>
  </si>
  <si>
    <t>LIGAÇÕES DOMICILIARES</t>
  </si>
  <si>
    <t>73816/001</t>
  </si>
  <si>
    <t>EXECUÇÃO DE DRENO COM TUBOS DE PVC CORRUGADO FLEXÍVEL PERFURADO - DN 100</t>
  </si>
  <si>
    <t>73784/001</t>
  </si>
  <si>
    <t>LIGAÇÃO DE ESGOTO EM TUBO PVC ESGOTO SÉRIE-R DN 100MM, DA CAIXA ATÉ A REDE, INCLUINDO ESCAVAÇÃO E REATERRO ATÉ 1,00M, COMPOSTO POR 10,50 M DE TUBO PVC SÉRIE-R ESGOTO DN 100MM, JUNÇÃO SIMPLES PVC PARA ESGOTO PREDIAL DN 100X100MM E CURVA PVC 90GRAUS PARA REDES COLETORAS DE ESGOTOS</t>
  </si>
  <si>
    <t>73892/002</t>
  </si>
  <si>
    <t>EXECUÇÃO DE CALÇADA EM CONCRETO 1:3:5 (FCK=12 MPA) PREPARO MECÂNICO, E= 7CM</t>
  </si>
  <si>
    <t>73801/002</t>
  </si>
  <si>
    <t>DEMOLICAO DE CAMADA DE ASSENTAMENTO/CONTRAPISO COM USO DE PONTEIRO, ESPESSURA ATE 4CM</t>
  </si>
  <si>
    <t>73960/001</t>
  </si>
  <si>
    <t>TRANSPORTE COMERCIAL COM CAMINHAO BASCULANTE 6 M3, RODOVIA EM LEITO NATURAL</t>
  </si>
  <si>
    <t>74010/001</t>
  </si>
  <si>
    <t>CARGA E DESCARGA MECANICA DE SOLO UTILIZANDO CAMINHAO BASCULANTE 5,0M3/11T E PA CARREGADEIRA SOBRE PNEUS * 105 HP * CAP. 1,72M3.</t>
  </si>
  <si>
    <t>79507/006</t>
  </si>
  <si>
    <t>ESCAVACAO MANUAL VALA ATE 2M EM ROCHA C/EXPLOSIVO</t>
  </si>
  <si>
    <t>73790/002</t>
  </si>
  <si>
    <t>REASSENTAMENTO DE PARALELEPIPEDO SOBRE COLCHAO DE PO DE PEDRA ESPESSURA 10CM, REJUNTADO COM BETUME E PEDRISCO, CONSIDERANDO APROVEITAMENTO DO PARALELEPIPEDO</t>
  </si>
  <si>
    <t>R$/m</t>
  </si>
  <si>
    <t>03.02.03</t>
  </si>
  <si>
    <t>03.02.04</t>
  </si>
  <si>
    <t>03.02.05</t>
  </si>
  <si>
    <t>03.02.06</t>
  </si>
  <si>
    <t>03.02.07</t>
  </si>
  <si>
    <t>03.03.00</t>
  </si>
  <si>
    <t>03.03.01</t>
  </si>
  <si>
    <t>03.03.02</t>
  </si>
  <si>
    <t>03.03.03</t>
  </si>
  <si>
    <t>03.03.04</t>
  </si>
  <si>
    <t>03.04.00</t>
  </si>
  <si>
    <t>03.04.02</t>
  </si>
  <si>
    <t>03.05.00</t>
  </si>
  <si>
    <t>03.05.01</t>
  </si>
  <si>
    <t>03.05.02</t>
  </si>
  <si>
    <t>03.05.03</t>
  </si>
  <si>
    <t>03.05.04</t>
  </si>
  <si>
    <t>03.06.00</t>
  </si>
  <si>
    <t>03.06.01</t>
  </si>
  <si>
    <t>03.06.02</t>
  </si>
  <si>
    <t>03.06.03</t>
  </si>
  <si>
    <t>03.07.00</t>
  </si>
  <si>
    <t>03.07.01</t>
  </si>
  <si>
    <t>03.07.02</t>
  </si>
  <si>
    <t>03.07.03</t>
  </si>
  <si>
    <t>03.08.00</t>
  </si>
  <si>
    <t>03.08.01</t>
  </si>
  <si>
    <t>03.08.02</t>
  </si>
  <si>
    <t>03.09.00</t>
  </si>
  <si>
    <t>03.09.01</t>
  </si>
  <si>
    <t>CADASTRO DE REDES, INCLUSIVE TOPOGRAFO E DESENHISTA M 0,66</t>
  </si>
  <si>
    <t>03.07.04</t>
  </si>
  <si>
    <t>03.09.02</t>
  </si>
  <si>
    <t>03.09.04</t>
  </si>
  <si>
    <t>03.10.00</t>
  </si>
  <si>
    <t>03.10.01</t>
  </si>
  <si>
    <t>74023/005</t>
  </si>
  <si>
    <t>TRANSPORTE HORIZONTAL DE MATERIAIS DIVERSOS A 100M</t>
  </si>
  <si>
    <t>74077/002</t>
  </si>
  <si>
    <t>CORTE</t>
  </si>
  <si>
    <t>BARRA FERRO RETANGULAR CHATA 2 X 5/16" - (3,162KG/M) M 9,42</t>
  </si>
  <si>
    <t>SINAP</t>
  </si>
  <si>
    <t>73741/001</t>
  </si>
  <si>
    <t>EMBOCO PAULISTA (MASSA UNICA) TRACO 1:4 (CIMENTO E AREIA), ESPESSURA 2,0CM, PREPARO MANUAL, INCLUSO ADITIVO IMPERMEABILIZANTE</t>
  </si>
  <si>
    <t>03.10.02</t>
  </si>
  <si>
    <t>LIGAÇÃO DOMICILIAR DE ESGOTO DN 100MM, DA CASA ATÉ A CAIXA, COMPOSTO POR 10,0M TUBO DE PVC ESGOTO PREDIAL DN 100MM E CAIXA DE ALVENARIA COM TAMPA DE CONCRETO - FORNECIMENTO E INSTALAÇÃO</t>
  </si>
  <si>
    <t>74140/002</t>
  </si>
  <si>
    <t>CARGA, TRANSPORTE E DESCARGA MECANICA ATE 5,00 KM</t>
  </si>
  <si>
    <t>73922/002</t>
  </si>
  <si>
    <t>PISO CIMENTADO LISO DESEMPENADO, TRACO 1:4 (CIMENTO E AREIA), ESPESSURA 2,5CM, PREPARO MANUAL</t>
  </si>
  <si>
    <t>DISSIPADOR DE ENERGIA CONFORME PROJETO</t>
  </si>
  <si>
    <t>CE-003</t>
  </si>
  <si>
    <t>CE-007</t>
  </si>
  <si>
    <t>05.01.06</t>
  </si>
  <si>
    <t>07.01.00</t>
  </si>
  <si>
    <t>07.01.01</t>
  </si>
  <si>
    <t>07.01.02</t>
  </si>
  <si>
    <t>07.01.03</t>
  </si>
  <si>
    <t>07.01.04</t>
  </si>
  <si>
    <t>73943/001</t>
  </si>
  <si>
    <t>ALVENARIA DE TIJOLOS MACICOS, E=10 CM , C/ ARGAMASSA CIM/CAL/AREIA,TRACO 1:2:8</t>
  </si>
  <si>
    <t>73944/001</t>
  </si>
  <si>
    <t>CONCRETO SIMPLES ( 13,5 MPA), C/ BETONEIRA, LANÇAMENTO E ADENSAMENTO C/ VIBRADOR.</t>
  </si>
  <si>
    <t>ENROCAMENTO COM PEDRA ARGAMASSADA TRAÇO 1:4 COM PEDRA DE MÃO</t>
  </si>
  <si>
    <t>ALMOXARIFE</t>
  </si>
  <si>
    <t>TOPÓGRAFO</t>
  </si>
  <si>
    <t>AUXILIAR DE TOPOGRAFIA</t>
  </si>
  <si>
    <t>MOTORISTA DE BASCULANTE</t>
  </si>
  <si>
    <t>MOTORISTA DE CAMINHAO</t>
  </si>
  <si>
    <t>CAMINHAO FORD F-4000 OU EQUIV C/ CARROCERIA MADEIRA FIXA - CAP CARGA ATE 5,0T (INCL.MANUT/OPERACAO)</t>
  </si>
  <si>
    <t>73847/005</t>
  </si>
  <si>
    <t>ALUGUEL CONTAINER/SANIT C/7 VASOS/1 LAVAT/1 MIC LARG=2,20M COMPR=6,20M ALT=2,50M CHAPA ACO NERV TRAPEZ FORRO C/ISOLTERMO-ACUST CHASSIS REFORC PISO COMPENS NAVAL INCL INST ELET/HIDRO-SANIT EXCL TRANSP/CARGA/DESCARGA</t>
  </si>
  <si>
    <t>01.01.09</t>
  </si>
  <si>
    <t>01.01.10</t>
  </si>
  <si>
    <t>01.01.11</t>
  </si>
  <si>
    <t>01.01.12</t>
  </si>
  <si>
    <t xml:space="preserve">74039/001 </t>
  </si>
  <si>
    <t>CERCA COM MOURÕES DE MADEIRA ROLIÇA D=11CM, ESPAÇAMENTO DE 2M, ALTURA LIVRE DE 1M, CRAVADOS 0,50M, COM 5 FIOS DE ARAME FARPADO Nº14 CLASSE 2 50 - FORNEC E COLOC.</t>
  </si>
  <si>
    <t>01.05</t>
  </si>
  <si>
    <t>01.06</t>
  </si>
  <si>
    <t>01.07</t>
  </si>
  <si>
    <t xml:space="preserve">73803/001 </t>
  </si>
  <si>
    <t>01.08</t>
  </si>
  <si>
    <t>POCO VISITA ESG SANIT ANEL CONC PRE-MOLD PROF=1,40M C/TAMPAO FF TIPO MEDIO(AD)D=60CM 125KG/DEGRAUS FF/REJUNTAMENTO ANEIS/REVEST LISO CALHA INTERNA C/ARG CIM/AREIA 1:4. BASE/BANQUETA EM CONCR FCK=10MPA</t>
  </si>
  <si>
    <t>73963/029</t>
  </si>
  <si>
    <t>POCO VISITA ESG SANIT ANEL CONC PRE-MOLD PROF=1,60M C/TAMPAO FF TIPO MEDIO(AD)D=60CM 125KG/DEGRAUS FF/REJUNTAMENTO ANEIS/REVEST LISO CALHA INTERNA C/ARG CIM/AREIA 1:4. BASE/BANQUETA EM CONCR FCK=10MPA</t>
  </si>
  <si>
    <t>73963/031</t>
  </si>
  <si>
    <t>POCO VISITA ESG SANIT ANEL CONC PRE-MOLD PROF=2,30M C/TAMPAO FF TIPO MEDIO(AD)D=60CM 125KG/DEGRAUS FF/REJUNTAMENTO ANEIS/REVEST LISO CALHA INTERNA C/ARG CIM/AREIA 1:4. BASE/BANQUETA EM CONCR FCK=10MPA</t>
  </si>
  <si>
    <t>73963/034</t>
  </si>
  <si>
    <t>03.07.06</t>
  </si>
  <si>
    <t>MURETA PARA ABRIGO DOS QUADROS DE COMANDO DOS MOTORES "QCM's"</t>
  </si>
  <si>
    <t>MURETA PARA PADRÃO DE ENTRADA DE ENERGIA</t>
  </si>
  <si>
    <t>PADRÃO DE ENTRADA DE ÁGUA</t>
  </si>
  <si>
    <t>ALVENARIA DE BLOCOS DE CONCRETO VEDACAO 14X19X39CM, ESPESSURA 14CM, ASSENTADOS COM ARGAMASSA TRACO 1:0,5:8 (CIMENTO, CAL E AREIA), COM JUNTA DE 10 MM</t>
  </si>
  <si>
    <t>73933/003</t>
  </si>
  <si>
    <t>PORTA DE FERRO, DE ABRIR, VENEZIANA SEM BANDEIRA SEM FERRAGENS</t>
  </si>
  <si>
    <t>DOBRADICA ACO ZINCADO 3 X 3 1/2" COM ANEIS</t>
  </si>
  <si>
    <t>FECHO DE EMBUTIR (TP UNHA) C/ ALAVANCA LATAO CROMADO - 40CM</t>
  </si>
  <si>
    <t>73954/002</t>
  </si>
  <si>
    <t>PINTURA LATEX ACRILICA AMBIENTES INTERNOS/EXTERNOS, DUAS DEMAOS</t>
  </si>
  <si>
    <t>73794/001</t>
  </si>
  <si>
    <t>PINTURA COM TINTA GRAFITE ESMALTE EM FERRO</t>
  </si>
  <si>
    <t>LIGAÇÃO DOMICILIAR DE ÁGUA, DA REDE AO HIDRÔMETRO, COMPOSTO POR COLAR DE TOMADA DE PVC COM TRAVAS DE 50MMX1/2, ADAPTADOR PVC SOLDÁVEL/ROSCA20MMX1/2, TUBO PVC SOLDÁVEL ÁGUA FRIA 20MM E REGISTRO DE PVC ESFERA ROSCÁVEL 1/2 - FORNECIMENTO E INSTALAÇÃO</t>
  </si>
  <si>
    <t>73827/001</t>
  </si>
  <si>
    <t>KIT CAVALETE PVC COM REGISTRO 1/2" - FORNECIMENTO E INSTALAÇÃO</t>
  </si>
  <si>
    <t>74217/001</t>
  </si>
  <si>
    <t>HIDROMETRO 3,00M3/H, D=1/2" - FORNECIMENTO E INSTALACAO</t>
  </si>
  <si>
    <t>DESC</t>
  </si>
  <si>
    <t>CONT</t>
  </si>
  <si>
    <t>NÃO CRAVADA</t>
  </si>
  <si>
    <t>CRAVADA</t>
  </si>
  <si>
    <t>Preço Total (R$)</t>
  </si>
  <si>
    <t>Preço Unitário (R$) Simples</t>
  </si>
  <si>
    <t>Preço Unitário (R$) BDI ou ADM</t>
  </si>
  <si>
    <t>07.00.00</t>
  </si>
  <si>
    <t>05.00.00</t>
  </si>
  <si>
    <t>04.00.00</t>
  </si>
  <si>
    <t>03.00.00</t>
  </si>
  <si>
    <t>02.00.00</t>
  </si>
  <si>
    <t>01.03.00</t>
  </si>
  <si>
    <t>01.00.00</t>
  </si>
  <si>
    <t>05.01.04</t>
  </si>
  <si>
    <t>05.01.05</t>
  </si>
  <si>
    <t>05.01.07</t>
  </si>
  <si>
    <t>05.01.08</t>
  </si>
  <si>
    <t>05.01.09</t>
  </si>
  <si>
    <t>05.01.10</t>
  </si>
  <si>
    <t>06.00.00</t>
  </si>
  <si>
    <t>07.01.05</t>
  </si>
  <si>
    <t>07.01.06</t>
  </si>
  <si>
    <t>07.01.07</t>
  </si>
  <si>
    <t>07.01.08</t>
  </si>
  <si>
    <t>07.01.09</t>
  </si>
  <si>
    <t>08.00.00</t>
  </si>
  <si>
    <t>10.00.00</t>
  </si>
  <si>
    <t>11.00.00</t>
  </si>
  <si>
    <t>11.01.00</t>
  </si>
  <si>
    <t>10.01.02</t>
  </si>
  <si>
    <t>14.00.00</t>
  </si>
  <si>
    <t>16.00.00</t>
  </si>
  <si>
    <t>03.09.03</t>
  </si>
  <si>
    <t>ELÉTRICO</t>
  </si>
  <si>
    <t>73972/002</t>
  </si>
  <si>
    <t xml:space="preserve">CONCRETO ESTRUTURAL FCK=20MPA, VIRADO EM BETONEIRA, NA OBRA, SEM LANÇAMENTO </t>
  </si>
  <si>
    <t>04.02.01</t>
  </si>
  <si>
    <t>04.02.02</t>
  </si>
  <si>
    <t>STOP LOG DE MADEIRA (90 X 10 X3 CM )</t>
  </si>
  <si>
    <t>PAVIMENTO EM PARALELEPIPEDO SOBRE COLCHAO DE AREIA REJUNTADO COM ARGAMASSA DE CIMENTO E AREIA NO TRAÇO 1:3 (PEDRAS PEQUENAS - 42 PECAS POR M2)</t>
  </si>
  <si>
    <t>04.03.01</t>
  </si>
  <si>
    <t>04.03.02</t>
  </si>
  <si>
    <t>04.03.03</t>
  </si>
  <si>
    <t>04.03.05</t>
  </si>
  <si>
    <t>04.03.06</t>
  </si>
  <si>
    <t>04.03.07</t>
  </si>
  <si>
    <t>04.03.08</t>
  </si>
  <si>
    <t>04.03.09</t>
  </si>
  <si>
    <t>04.03.10</t>
  </si>
  <si>
    <t>04.03.11</t>
  </si>
  <si>
    <t>04.03.12</t>
  </si>
  <si>
    <t>04.03.13</t>
  </si>
  <si>
    <t>04.03.14</t>
  </si>
  <si>
    <t>04.03.15</t>
  </si>
  <si>
    <t>04.03.16</t>
  </si>
  <si>
    <t>04.03.17</t>
  </si>
  <si>
    <t>04.06.01</t>
  </si>
  <si>
    <t>04.06.02</t>
  </si>
  <si>
    <t>04.06.03</t>
  </si>
  <si>
    <t>04.06.04</t>
  </si>
  <si>
    <t>04.06.05</t>
  </si>
  <si>
    <t>04.06.06</t>
  </si>
  <si>
    <t>04.06.08</t>
  </si>
  <si>
    <t>04.06.09</t>
  </si>
  <si>
    <t>04.06.15</t>
  </si>
  <si>
    <t>04.06.16</t>
  </si>
  <si>
    <t>04.06.17</t>
  </si>
  <si>
    <t>04.06.18</t>
  </si>
  <si>
    <t>04.07.01</t>
  </si>
  <si>
    <t>04.07.02</t>
  </si>
  <si>
    <t>04.07.03</t>
  </si>
  <si>
    <t>04.07.05</t>
  </si>
  <si>
    <t>04.07.08</t>
  </si>
  <si>
    <t>04.07.09</t>
  </si>
  <si>
    <t>VALVULA RETENCAO HORIZONTAL BRONZE (PN-25) 2" 400PSI TAMPA C/ PORCA DE UNIAO - EXTREMIDADES C/ ROSCA"</t>
  </si>
  <si>
    <t>REGISTRO GAVETA 2" BRUTO LATAO REF 1502-B</t>
  </si>
  <si>
    <t>TUBO ACO GALV C/ COSTURA DIN 2440/NBR 5580 CLASSE MEDIA DN 2" (50MM) E=3,65MM - 5,10KG/M</t>
  </si>
  <si>
    <t>JUNCAO FERRO GALV 45 ROSCA 2"</t>
  </si>
  <si>
    <t>LUVA FERRO GALV ROSCA 2"</t>
  </si>
  <si>
    <t>MANGOTE PVC FLEXIVEL 2" COR LARANJA</t>
  </si>
  <si>
    <t>JOELHO FERRO GALV 90G ROSCA 2"</t>
  </si>
  <si>
    <t>TE FERRO GALVANIZADO 45G 2"</t>
  </si>
  <si>
    <t>ADAPTADOR PVC PBA JE BOLSA / ROSCA DN 50 / DE 60MM</t>
  </si>
  <si>
    <t>UNIAO FERRO GALV ROSCA 2"</t>
  </si>
  <si>
    <t>NIPEL FERRO GALV ROSCA 2"</t>
  </si>
  <si>
    <t>CURVA FERRO GALVANIZADO 90G ROSCA FEMEA REF. 2"</t>
  </si>
  <si>
    <t>TUBO ACO PRETO SEM COSTURA SCHEDULE 40/NBR 5590 DN INT 2" E = 3,91MM - 5,43KG/M</t>
  </si>
  <si>
    <t>PORTAO EM CHAPA DE FERRO E TELA, INCLUSIVE PINTURA E PILARES DE APOIO (PARA VEICULOS)</t>
  </si>
  <si>
    <t>PORTAO EM CHAPA DE FERRO E TELA, INCLUSIVE PINTURA E PILARES DE APOIO (PARA PEDESTRES)</t>
  </si>
  <si>
    <t>73823/002</t>
  </si>
  <si>
    <t>FORNECIMENTO E INSTALAÇÃO DE COMPORTA DE ALUMÍNIO OU FIBRA DE VIDRO, DIMENSÕES (L=45 x H=80) CM, ESPESSURA MÍNIMA DE 6 MM, CONFORME PROJETO</t>
  </si>
  <si>
    <t>LIMPEZA MECANIZADA DE TERRENO, INCLUSIVE RETIRADA DE ARVORE ENTRE 0,05M E 0,15M DE DIAMETRO</t>
  </si>
  <si>
    <t>JULHO 2012</t>
  </si>
  <si>
    <t>04.07.13</t>
  </si>
  <si>
    <t>04.07.14</t>
  </si>
  <si>
    <t>GEOMEMBRANA LISA PEAD ESPESSURA 2MM</t>
  </si>
  <si>
    <t>74033/001</t>
  </si>
  <si>
    <t>CAIXA DE ENTRADA CONFECCIONADA EM ALVENARIA DE BLOCOS DE CONCRETO PREENCHIDOS  COM CONCRETO</t>
  </si>
  <si>
    <t>CAIXA DE SAÍDA CONFECCIONADA EM ALVENARIA DE BLOCOS DE CONCRETO PREENCHIDOS  COM CONCRETO</t>
  </si>
  <si>
    <t>FORNECIMENTO E INSTALAÇÃO DE COMPORTA DE ALUMÍNIO OU FIBRA DE VIDRO, DIMENSÕES (L=43,2 x H=50) CM, ESPESSURA MÍNIMA DE 6 MM, CONFORME PROJETO</t>
  </si>
  <si>
    <t>POCO DE VISITA PARA REDE DE ESG. SANIT., EM ANEIS DE CONCRETO, DIÂMETRO = 60CM E 110CM, PROF = 105CM, INCLUINDO DEGRAU, EXCLUINDO TAMPAO FERRO FUNDIDO.</t>
  </si>
  <si>
    <t>3963/004</t>
  </si>
  <si>
    <t>GRADE DE FERRO EM BARRA CHATA 3/16"</t>
  </si>
  <si>
    <t>73932/001</t>
  </si>
  <si>
    <t>ESCAVACAO MANUAL CAMPO ABERTO P/TUBULAO</t>
  </si>
  <si>
    <t>CONCRETO CICLOPICO C/CONC DOS RAC 10 MPA 30% PED DE MAO INCL TRANSP HORIZ C/CARRINHOS ATE 20M E COLOCACAO.</t>
  </si>
  <si>
    <t>CONCRETO ARMADO, FCK = 18,0 MPA E 77KG/M3 DE AÇO, PREPARO COM BETONEIRA INCLUI LANCAMENTO.</t>
  </si>
  <si>
    <t>PILARETE PARA SUSTENTAÇÃO/APOIO DA TUBULAÇÃO ALTURA MÉDIA=1,10 M</t>
  </si>
  <si>
    <t>FORNECIMENTO E INSTALAÇÃO DE STOP LOG, EM ALUMÍNIO OU PRFV, NAS DIMENSÕES (90X10X3)CM, CONFORME PROJETO</t>
  </si>
  <si>
    <t>04.04.10</t>
  </si>
  <si>
    <t>04.04.11</t>
  </si>
  <si>
    <t>04.04.03</t>
  </si>
  <si>
    <t>04.04.05</t>
  </si>
  <si>
    <t>04.04.15</t>
  </si>
  <si>
    <t>03.07.05</t>
  </si>
  <si>
    <t>03.08.03</t>
  </si>
  <si>
    <t>04.03.04</t>
  </si>
  <si>
    <t>CE-004</t>
  </si>
  <si>
    <t>CE-009</t>
  </si>
  <si>
    <t>CE-012</t>
  </si>
  <si>
    <t>CE-013</t>
  </si>
  <si>
    <t>CE-015</t>
  </si>
  <si>
    <t>CE-017</t>
  </si>
  <si>
    <t>GRADE PARA RETENÇÃO DE SOLIDOS</t>
  </si>
  <si>
    <t>0.4.01.00</t>
  </si>
  <si>
    <t>0.4.01.01</t>
  </si>
  <si>
    <t>0.4.01.02</t>
  </si>
  <si>
    <t>0.4.01.03</t>
  </si>
  <si>
    <t>05.01.11</t>
  </si>
  <si>
    <t>05.01.12</t>
  </si>
  <si>
    <t>05.01.13</t>
  </si>
  <si>
    <t>05.01.14</t>
  </si>
  <si>
    <t>05.01.15</t>
  </si>
  <si>
    <t>06.01.03</t>
  </si>
  <si>
    <t>08.01.03</t>
  </si>
  <si>
    <t>08.01.04</t>
  </si>
  <si>
    <t>08.01.05</t>
  </si>
  <si>
    <t>08.01.06</t>
  </si>
  <si>
    <t>09.00.00</t>
  </si>
  <si>
    <t>09.01.00</t>
  </si>
  <si>
    <t>09.01.01</t>
  </si>
  <si>
    <t>09.01.02</t>
  </si>
  <si>
    <t>09.01.03</t>
  </si>
  <si>
    <t>12.00.00</t>
  </si>
  <si>
    <t>12.01.00</t>
  </si>
  <si>
    <t>12.01.01</t>
  </si>
  <si>
    <t>12.01.02</t>
  </si>
  <si>
    <t>12.01.03</t>
  </si>
  <si>
    <t>12.01.04</t>
  </si>
  <si>
    <t>12.01.05</t>
  </si>
  <si>
    <t>12.01.06</t>
  </si>
  <si>
    <t>12.01.07</t>
  </si>
  <si>
    <t>12.01.08</t>
  </si>
  <si>
    <t>12.01.09</t>
  </si>
  <si>
    <t>12.01.10</t>
  </si>
  <si>
    <t>12.01.11</t>
  </si>
  <si>
    <t>12.01.12</t>
  </si>
  <si>
    <t>12.01.13</t>
  </si>
  <si>
    <t>12.01.14</t>
  </si>
  <si>
    <t>12.01.15</t>
  </si>
  <si>
    <t>12.01.16</t>
  </si>
  <si>
    <t>12.01.17</t>
  </si>
  <si>
    <t>12.01.18</t>
  </si>
  <si>
    <t>12.01.19</t>
  </si>
  <si>
    <t>12.01.20</t>
  </si>
  <si>
    <t>12.01.21</t>
  </si>
  <si>
    <t>12.01.22</t>
  </si>
  <si>
    <t>12.01.23</t>
  </si>
  <si>
    <t>12.01.24</t>
  </si>
  <si>
    <t>12.01.25</t>
  </si>
  <si>
    <t>12.01.26</t>
  </si>
  <si>
    <t>12.01.27</t>
  </si>
  <si>
    <t>12.01.28</t>
  </si>
  <si>
    <t>12.01.29</t>
  </si>
  <si>
    <t>12.01.30</t>
  </si>
  <si>
    <t>12.01.31</t>
  </si>
  <si>
    <t>12.01.32</t>
  </si>
  <si>
    <t>12.01.33</t>
  </si>
  <si>
    <t>12.01.34</t>
  </si>
  <si>
    <t>12.01.35</t>
  </si>
  <si>
    <t>12.01.36</t>
  </si>
  <si>
    <t>12.01.37</t>
  </si>
  <si>
    <t>12.01.38</t>
  </si>
  <si>
    <t>12.01.39</t>
  </si>
  <si>
    <t>12.01.40</t>
  </si>
  <si>
    <t>12.01.41</t>
  </si>
  <si>
    <t>12.01.42</t>
  </si>
  <si>
    <t>13.00.00</t>
  </si>
  <si>
    <t>13.01.00</t>
  </si>
  <si>
    <t>13.01.01</t>
  </si>
  <si>
    <t>13.01.02</t>
  </si>
  <si>
    <t>13.01.03</t>
  </si>
  <si>
    <t>13.01.04</t>
  </si>
  <si>
    <t>13.01.05</t>
  </si>
  <si>
    <t>13.01.06</t>
  </si>
  <si>
    <t>13.01.07</t>
  </si>
  <si>
    <t>13.01.08</t>
  </si>
  <si>
    <t>13.01.09</t>
  </si>
  <si>
    <t>15.00.00</t>
  </si>
  <si>
    <t>15.01.12</t>
  </si>
  <si>
    <t>17.00.00</t>
  </si>
  <si>
    <t>17.01.00</t>
  </si>
  <si>
    <t>17.01.01</t>
  </si>
  <si>
    <t>17.01.02</t>
  </si>
  <si>
    <t>PLANILHA  DE  ORÇAMENTO - INSTALAÇÕES ELÉTRICAS</t>
  </si>
  <si>
    <t xml:space="preserve">CLIENTE: </t>
  </si>
  <si>
    <t>BDI =</t>
  </si>
  <si>
    <t xml:space="preserve">PROJETO:        </t>
  </si>
  <si>
    <t>PREÇO</t>
  </si>
  <si>
    <t>Unitário (R$)</t>
  </si>
  <si>
    <t>TOTAL (R$)</t>
  </si>
  <si>
    <t>SIMPLES</t>
  </si>
  <si>
    <t>L. SOCIAIS</t>
  </si>
  <si>
    <t>TOTAL DAS INSTALAÇÕES ELÉTRICAS</t>
  </si>
  <si>
    <t>SEM BDI</t>
  </si>
  <si>
    <t>ETE - ILUMINAÇÃO EXTERNA</t>
  </si>
  <si>
    <t>MATERIAIS</t>
  </si>
  <si>
    <t>ELETRODUTO PVC A.CH.C/R.K11/2 3MT 14021949 TIG</t>
  </si>
  <si>
    <t>01.01.02</t>
  </si>
  <si>
    <t>CABO 1KV.3X06,00MM2 SINTENAX FLEXIVEL BOBINA</t>
  </si>
  <si>
    <t>CABO COBRE NU M.DURO 07 FIO.006,00MM2 18,75M/K</t>
  </si>
  <si>
    <t>LUMINARIA IP ABERTA E27 26MM P/VN.125W IP100 C</t>
  </si>
  <si>
    <t>POSTE ACO GALV. PA4 102MM 2,00MM 7,0M CEMIG</t>
  </si>
  <si>
    <t>TAMPÃO ALUMÍNIO S/ROSCA 102MM</t>
  </si>
  <si>
    <t>MÃO DE OBRA</t>
  </si>
  <si>
    <t>ELETRICISTA OU OFICIAL ELETRICISTA</t>
  </si>
  <si>
    <t>AJUDANTE DE ELETRICISTA</t>
  </si>
  <si>
    <t xml:space="preserve">SERVENTE </t>
  </si>
  <si>
    <t>ELETRODUTO GALV. ELETROLIT.H 3/4 ÁREDE 0,75MM</t>
  </si>
  <si>
    <t>02.01.02</t>
  </si>
  <si>
    <t>CABO 1KV 002,50 MM2 SINTAX FLEXIVEL BOBINA PR</t>
  </si>
  <si>
    <t>02.01.03</t>
  </si>
  <si>
    <t>CABO 1KV 004,00 MM2 SINTAX FLEXIVEL BOBINA PR</t>
  </si>
  <si>
    <t>02.01.04</t>
  </si>
  <si>
    <t>CONDULETE ALUMINIO S/ROSCA S/TAMPA C H 3/4</t>
  </si>
  <si>
    <t>02.01.05</t>
  </si>
  <si>
    <t>TAMPA P/ CONDUL. 1/2 E 3/4 P/ 1 TECLA VERTICAL</t>
  </si>
  <si>
    <t>02.01.06</t>
  </si>
  <si>
    <t>INTERRUPTOR SILEN. 1SS S/PL</t>
  </si>
  <si>
    <t>02.01.07</t>
  </si>
  <si>
    <t>02.01.08</t>
  </si>
  <si>
    <t>TAMPA P/ CONDUL. 1/2 E 3/4 P/ 1 T. NBR14136</t>
  </si>
  <si>
    <t>02.01.09</t>
  </si>
  <si>
    <t>TOMADA SILENT. 2P+T 20A 250 S/P NBR14136</t>
  </si>
  <si>
    <t>02.01.10</t>
  </si>
  <si>
    <t>QUADRO S.C / B.T+G. 18 DIS. UL 150A 4018</t>
  </si>
  <si>
    <t>02.01.11</t>
  </si>
  <si>
    <t>DISJUNTOR 1X10A 220V 03KA TQC1210</t>
  </si>
  <si>
    <t>02.01.12</t>
  </si>
  <si>
    <t>DISJUNTOR 2X10A 220V 05KA TQC2410</t>
  </si>
  <si>
    <t>02.01.13</t>
  </si>
  <si>
    <t>DISJUNTOR 2X20A 220V 05KA TQC2420</t>
  </si>
  <si>
    <t>02.01.14</t>
  </si>
  <si>
    <t>INTERRUPTOR DIF. 2X 40A IF 30MA</t>
  </si>
  <si>
    <t>02.01.15</t>
  </si>
  <si>
    <t>INTERRUPTOR DIF. 4X 25A 30MA</t>
  </si>
  <si>
    <t>02.01.16</t>
  </si>
  <si>
    <t>INTERRUPTOR DIF. 4X 40A IF 30MA</t>
  </si>
  <si>
    <t>02.01.17</t>
  </si>
  <si>
    <t>LUMINÁRIA ARTICULAVEL 100W E27 56152/011</t>
  </si>
  <si>
    <t>02.01.18</t>
  </si>
  <si>
    <t>LAMPADA FLUOR. ELET. ESPI. 27W 127V E27 LD.</t>
  </si>
  <si>
    <t>02.01.19</t>
  </si>
  <si>
    <t>PLAFON B CR SOB. 2X60W V. FOS. CL730PBC</t>
  </si>
  <si>
    <t>02.01.20</t>
  </si>
  <si>
    <t>LAMPADA FLUOR. ELET. TRIP. 15W 127V LD. SOL.</t>
  </si>
  <si>
    <t>02.01.21</t>
  </si>
  <si>
    <t>CONDULETE ALUMINIO S/ROSCA S/TAMPA LR H 3/4</t>
  </si>
  <si>
    <t>02.01.22</t>
  </si>
  <si>
    <t>CONDULETE ALUMINIO S/ROSCA S/TAMPA LL H 3/4</t>
  </si>
  <si>
    <t>02.01.23</t>
  </si>
  <si>
    <t>CONDULETE ALUMINIO S/ROSCA S/TAMPA T H 3/4</t>
  </si>
  <si>
    <t>02.01.24</t>
  </si>
  <si>
    <t>CONDULETE ALUMINIO S/ROSCA S/TAMPA TB H 3/4</t>
  </si>
  <si>
    <t>02.01.25</t>
  </si>
  <si>
    <t>ABRAÇADEIRA GALV. D P/ELETRODUTO H 3/4 C/CUNHA</t>
  </si>
  <si>
    <t>02.01.26</t>
  </si>
  <si>
    <t>PARAFUSO A. ATAR. C. CHATA FENDA 3,9X32MM</t>
  </si>
  <si>
    <t>02.01.27</t>
  </si>
  <si>
    <t>BUCHA NYLON FIXAÇÃO S-06 S/PARAFUSO</t>
  </si>
  <si>
    <t>02.01.28</t>
  </si>
  <si>
    <t>ARRUELA LISA GALVANIZADA C 1/4</t>
  </si>
  <si>
    <t>02.02.00</t>
  </si>
  <si>
    <t>02.02.01</t>
  </si>
  <si>
    <t xml:space="preserve">h </t>
  </si>
  <si>
    <t>02.02.02</t>
  </si>
  <si>
    <t>ETE- UNIDADE DE APOIO -SPDA/ATERRAMENTO</t>
  </si>
  <si>
    <t>CABO COBRE NU M. DURO 07 FIO. 6,00MM 18,75M/KG</t>
  </si>
  <si>
    <t>PRESILHA COBRE 35-50MM FURO 7MM</t>
  </si>
  <si>
    <t>ABRAÇADEIRA ROSCA "WW" DIÂMETRO 1/4" PARA TUBO DE PROTEÇÃO DIÂMETRO 2"</t>
  </si>
  <si>
    <t>ELETRODUTO PVC A.CH.C/R.L 2 3MT</t>
  </si>
  <si>
    <t>CAIXA CEMARBOX 150X110X70MM S/BEM.T.OPA.914053</t>
  </si>
  <si>
    <t>HASTE TERRA GALV-FG C/COM. 5,00X25,4X2400 P.CEM</t>
  </si>
  <si>
    <t>CONECTOR P. FEND. BIMETALICO 10MM2</t>
  </si>
  <si>
    <t>CONECTOR P. FEND. PRESSÃO 6MM2</t>
  </si>
  <si>
    <t>CAIXA PISO P/INSP. TERRA 30X30 S/TAMPA</t>
  </si>
  <si>
    <t>03.01.10</t>
  </si>
  <si>
    <t>TAMPA FERRO FUNDIDO 300MM</t>
  </si>
  <si>
    <t>03.01.11</t>
  </si>
  <si>
    <t>03.01.12</t>
  </si>
  <si>
    <t>03.01.13</t>
  </si>
  <si>
    <t>03.01.14</t>
  </si>
  <si>
    <t>ETE-BANCO DE DUTOS E ALIMENTAÇÃO DOS MOTORES</t>
  </si>
  <si>
    <t>DUTO FLEX PE KL110MM 4" C/50M P. CEMIG</t>
  </si>
  <si>
    <t>DUTO FLEX PE KL63MM 2" C/50M P. CEMIG</t>
  </si>
  <si>
    <t>CABO 1KV 16,0MM2 SINTENAX BOBINA PR</t>
  </si>
  <si>
    <t>CABO 1KV 10,0MM2 SINTENAX FLEXIVEL BOBINA PR</t>
  </si>
  <si>
    <t>CABO 1KV 6,0MM2 SINTENAX BOBINA PR</t>
  </si>
  <si>
    <t>CABO 1KV 4X2,5MM2 SINTENAX FLEXIVEL BOBINA</t>
  </si>
  <si>
    <t>CHAVE BOIA INFERIOR 20A 1NA I20</t>
  </si>
  <si>
    <t xml:space="preserve">CAIXA DE PASSAGEM EM ALVENARIA (0,60 X 0,60 X 0,60 M)                                                                                                                                                                                           </t>
  </si>
  <si>
    <t>74248/001</t>
  </si>
  <si>
    <t>CAIXA DE PASSAGEM EM ALVENARIA COM TAMPA CONCRETO 40X40X40 CM</t>
  </si>
  <si>
    <t>EQUIPAMENTOS - QCM</t>
  </si>
  <si>
    <t>05.00.01</t>
  </si>
  <si>
    <t>QUADRO DE FORÇA E ALIMENTAÇÃO DE MOTORES QCM 2X0,5CV, CONFORME PROJETO</t>
  </si>
  <si>
    <t>PADRÃO DE ENTRADA TIPO C1</t>
  </si>
  <si>
    <t>CABO FLEXIVEL 750V 16,0MM2 PR BOBINA</t>
  </si>
  <si>
    <t>ELETRODUTO GALV. ELETROLIT. H 3/4 PAREDE 0,75MM 3MT</t>
  </si>
  <si>
    <t>ROLDANA PORCELANA S/PARAFUSO B.TENSÃO 48X48MM</t>
  </si>
  <si>
    <t>ARMAÇÃO REX GALV-FG 4,76MM 1 LINH. S/ROL 237230</t>
  </si>
  <si>
    <t>ARAME GALV. 14BWG 2,1MM 40MT/KG</t>
  </si>
  <si>
    <t>ABRAÇADEIRA GF AJUS. POST. CIRC. 437MM BAP-1 C/PA</t>
  </si>
  <si>
    <t>POSTE AÇO GALV. FG PA4 102MM 2,0MM 7,0M CEMIG</t>
  </si>
  <si>
    <t>CABEÇOTE PVC H 3/4"</t>
  </si>
  <si>
    <t>CAIXA CEMIG CM04 POL.57X49X26 MED. S/DISJ.</t>
  </si>
  <si>
    <t>TERMINAL PRESSÃO 6MM2</t>
  </si>
  <si>
    <t>CABO COBRE NU M. DURO 7 FIOS 6,0MM2 18,75M/KG</t>
  </si>
  <si>
    <t>06.01.13</t>
  </si>
  <si>
    <t>06.01.14</t>
  </si>
  <si>
    <t>HASTE TERRA GALV-FG C/COM. 5,0X25,4X2400 P. CEMIG</t>
  </si>
  <si>
    <t>06.01.15</t>
  </si>
  <si>
    <t>DISJUNTOR 3X60A 220V 05KA TQC3460</t>
  </si>
  <si>
    <t>06.01.16</t>
  </si>
  <si>
    <t>NIPLE LONGO GALVANIZADO H 3/4 50MM BSP/CONEX</t>
  </si>
  <si>
    <t>06.01.17</t>
  </si>
  <si>
    <t>CURVA GALV. ELETROLITIC. S H 3/4</t>
  </si>
  <si>
    <t>06.01.18</t>
  </si>
  <si>
    <t>06.01.19</t>
  </si>
  <si>
    <t>06.01.20</t>
  </si>
  <si>
    <t>06.01.21</t>
  </si>
  <si>
    <t>06.02.00</t>
  </si>
  <si>
    <t>06.02.01</t>
  </si>
  <si>
    <t>06.02.02</t>
  </si>
  <si>
    <t>06.02.03</t>
  </si>
  <si>
    <t xml:space="preserve">PEDREIRO </t>
  </si>
  <si>
    <t>04.05.29</t>
  </si>
  <si>
    <t>04.05.30</t>
  </si>
  <si>
    <t xml:space="preserve">PREÇOS TABELAS SINAPI MARÇO DE 2012 </t>
  </si>
  <si>
    <t>ET E - UNIDADE DE APOIO - ILUMINAÇÃO/TOMADAS</t>
  </si>
  <si>
    <t xml:space="preserve">SERVIÇO DE SANEAMENTO AMBIENTAL MUNICIPAL </t>
  </si>
  <si>
    <t>SISTEMA DE ESGOTOS SANITÁRIOS DA LOCALIDADE SÃO JOSÉ</t>
  </si>
  <si>
    <t>MUNICÍPIO:</t>
  </si>
  <si>
    <t>CARMÓPOLIS DE MINAS</t>
  </si>
  <si>
    <t>DEMONSTRATIVO DO CÁLCULO DO BDI DE SERVIÇOS</t>
  </si>
  <si>
    <t>18.00.00</t>
  </si>
  <si>
    <t>CE-018</t>
  </si>
  <si>
    <t>TRAVESSIA SOBRE CURSO D'ÁGUA EM VIGA METÁLICA TRELISSADA APOIADA EM BLOCOS DE CONCRETO</t>
  </si>
  <si>
    <t>PERFIL ACO ESTRUTURAL "U" - 4" X 1 5/8" ESP=6,27 MM (9,30 KG/M)</t>
  </si>
  <si>
    <t>PERFIL ACO ESTRUTURAL "U" - 6" X 2" (QUALQUER ESPESSURA) KG 3,08</t>
  </si>
  <si>
    <t>SOLDADOR</t>
  </si>
  <si>
    <t>ELETRODO AWS E-6010 (0K 22.50; WI 610) D = 4MM ( SOLDA ELETRICA )</t>
  </si>
  <si>
    <t>AUXILIAR</t>
  </si>
  <si>
    <t>ARRASAMENTO DE TUBULAO DE CONCRETO D=1,00 A 1,20M. (INCLUI ENCARREGADO)</t>
  </si>
  <si>
    <t>CONCRETO ESTRUTURAL FCK=15MPA, VIRADO EM BETONEIRA, NA OBRA, INCLUSIVE APLICAÇÃO E ADENSAMENTO. (CONFORME NBR 6118, PERMITIDO APENAS PARA FUNDAÇÕES)</t>
  </si>
  <si>
    <t>ESCORAMENTO DE VALAS E TRAVESSIA</t>
  </si>
  <si>
    <t>18.01.01</t>
  </si>
  <si>
    <t>18.01.02</t>
  </si>
  <si>
    <t>18.01.03</t>
  </si>
  <si>
    <t>18.01.04</t>
  </si>
  <si>
    <t>18.01.05</t>
  </si>
  <si>
    <t>18.01.06</t>
  </si>
  <si>
    <t>18.01.07</t>
  </si>
  <si>
    <t>18.01.08</t>
  </si>
  <si>
    <t>18.01.09</t>
  </si>
  <si>
    <t>MUNICÍPIO: POTIM - SP</t>
  </si>
  <si>
    <t>PROJETO: SISTEMA DE ESGOTOS SANITÁRIOS DE POTIM</t>
  </si>
  <si>
    <t>DATA: FEVEREIRO / 2016</t>
  </si>
  <si>
    <t>MUNICÍPIO : POTIM - SP</t>
  </si>
  <si>
    <t>LOCALIDADE: POTIM - SP</t>
  </si>
  <si>
    <t>DATA:  FEVEREIRO / 2016</t>
  </si>
  <si>
    <t>CLIENTE: PREFEITURA MUNICIPAL DE POTIM</t>
  </si>
  <si>
    <t>ELEVATÓRIA FINAL</t>
  </si>
  <si>
    <t>LAGOAS ANAERÓBIAS (02 UNIDADES)</t>
  </si>
  <si>
    <t>LAGOAS FACULTATIVAS (02 UNIDADES)</t>
  </si>
  <si>
    <t>tXkm</t>
  </si>
  <si>
    <t xml:space="preserve">74210/001 </t>
  </si>
  <si>
    <t>BARRACAO PARA DEPOSITO EM TABUAS DE MADEIRA, COBERTURA EM FIBROCIMENTO 4 MM, INCLUSO PISO ARGAMASSA TRAÇO 1:6 (CIMENTO E AREIA)</t>
  </si>
  <si>
    <t>GALPAO ABERTO PROVISORIO EM MADEIRA, COBERTURA EM TELHA DE FIBROCIMENTO 6MM, INCLUSO PREPARO DO TERRENO M2 120,99</t>
  </si>
  <si>
    <t>INSTAL/LIGACAO PROVISORIA ELETRICA BAIXA TENSAO P/CANT OBRA ,M3-CHAVE 100A CARGA 3KWH,20CV EXCL FORN MEDIDOR</t>
  </si>
  <si>
    <t>01.09</t>
  </si>
  <si>
    <t>74198/002</t>
  </si>
  <si>
    <t>SUMIDOURO EM ALVENARIA DE TIJOLO CERAMICO MACIÇO DIAMETRO 1,40M E ALTURA 5,00M, COM TAMPA EM CONCRETO ARMADO DIAMETRO 1,60M E ESPESSURA 10CM</t>
  </si>
  <si>
    <t>01.10</t>
  </si>
  <si>
    <t>BARRACAO PARA DEPOSITO EM TABUAS DE MADEIRA, COBERTURA EM FIBROCIMENTO  4 MM, INCLUSO PISO ARGAMASSA TRAÇO 1:6 (CIMENTO E AREIA) "PARA ESTOCAGEM DE TUBOS DE PVC."</t>
  </si>
  <si>
    <t>ENGENHEIRO OU ARQUITETO/PLENO  - DE OBRA</t>
  </si>
  <si>
    <t>FEITOR OU ENCARREGADO GERAL DA OBRA DA ETE</t>
  </si>
  <si>
    <t>FEITOR OU ENCARREGADO GERAL DOS INTERCEPTORES</t>
  </si>
  <si>
    <t>MOTORISTA DE VEICULO LEVE</t>
  </si>
  <si>
    <t>01.01.13</t>
  </si>
  <si>
    <t>REGULARIZACAO E COMPACTACAO MANUAL DE TERRENO COM SOQUETE</t>
  </si>
  <si>
    <t>04.10.01</t>
  </si>
  <si>
    <t>04.10.04</t>
  </si>
  <si>
    <t>74005/001</t>
  </si>
  <si>
    <t xml:space="preserve">COMPACTACAO MECANICA, SEM CONTROLE DO GC (C/COMPACTADOR PLACA 400 KG)     </t>
  </si>
  <si>
    <t>04.10.05</t>
  </si>
  <si>
    <t>04.10.06</t>
  </si>
  <si>
    <t>CONCRETO NAO ESTRUTURAL, CONSUMO 210KG/M3, PREPARO COM BETONEIRA, SEM LANCAMENTO</t>
  </si>
  <si>
    <t>04.10.07</t>
  </si>
  <si>
    <t>CONCRETO USINADO BOMBEADO FCK=30MPA, INCLUSIVE COLOCACAO, ESPALHAMENTO E ADENSAMENTO MECANICO.</t>
  </si>
  <si>
    <t>04.10.08</t>
  </si>
  <si>
    <t>74007/002</t>
  </si>
  <si>
    <t>FORMA TABUAS MADEIRA 3A P/ PECAS CONCRETO ARM, REAPR 2X, INCL MONTAGEM E DESMONTAGEM.</t>
  </si>
  <si>
    <t>04.10.09</t>
  </si>
  <si>
    <t>ARMACAO ACO CA-50, DIAM. 6,3 (1/4) À 12,5MM(1/2) -FORNECIMENTO/ CORTE (PERDA DE 10%) / DOBRA / COLOCAÇÃO.</t>
  </si>
  <si>
    <t>04.10.10</t>
  </si>
  <si>
    <t>73974/001</t>
  </si>
  <si>
    <t xml:space="preserve">PISO CIMENTADO RUSTICO TRACO 1:3 (CIMENTO E AREIA), ESPESSURA 2,0CM, P   </t>
  </si>
  <si>
    <t>04.10.11</t>
  </si>
  <si>
    <t>74104/001</t>
  </si>
  <si>
    <t xml:space="preserve">CAIXA EM ALVENARIA ENTERRADA, DE TIJOLOS CERAMICOS MACICOS 1/2 VEZ DIM   </t>
  </si>
  <si>
    <t>04.10.12</t>
  </si>
  <si>
    <t>74051/001</t>
  </si>
  <si>
    <t>CAIXA DE GORDURA DUPLA EM CONCRETO PRE-MOLDADO DN 60MM COM TAMPA - FORNECIMENTO E INSTALACAO</t>
  </si>
  <si>
    <t>04.10.13</t>
  </si>
  <si>
    <t>ALV ESTRUTURAL BL CONC 15X20X40CM -4.5MPA, ARG.CIM/CAL/AREIA 1:5:11</t>
  </si>
  <si>
    <t>04.10.14</t>
  </si>
  <si>
    <t>74088/001</t>
  </si>
  <si>
    <t>TELHAMENTO COM TELHA DE FIBROCIMENTO ONDULADA, ESPESSURA 6MM, INCLUSO JUNTAS DE VEDACAO E ACESSORIOS DE FIXACAO</t>
  </si>
  <si>
    <t>04.10.15</t>
  </si>
  <si>
    <t>73910/005</t>
  </si>
  <si>
    <t>PORTA DE MADEIRA COMPENSADA LISA PARA CERA/VERNIZ, 0,80X2,10M, INCLUSOADUELA 1A, ALIZAR 1A E DOBRADICA COM ANEL</t>
  </si>
  <si>
    <t>04.10.16</t>
  </si>
  <si>
    <t>73910/002</t>
  </si>
  <si>
    <t>PORTA DE MADEIRA COMPENSADA LISA PARA CERA/VERNIZ, 0,60X2,10M, INCLUSOADUELA 1A, ALIZAR 1A E DOBRADICA COM ANEL</t>
  </si>
  <si>
    <t>04.10.17</t>
  </si>
  <si>
    <t>74067/002</t>
  </si>
  <si>
    <t>JANELA ALUMINIO DE CORRER, 2 FOLHAS PARA VIDRO, COM BANDEIRA, LINHA 25</t>
  </si>
  <si>
    <t>04.10.18</t>
  </si>
  <si>
    <t>CHAPISCO APLICADO TANTO EM PILARES E VIGAS DE CONCRETO COMO EM ALVENARIAS DE PAREDES INTERNAS, COM ROLO PARA TEXTURA ACRÍLICA. ARGAMASSA TRAÇO 1:4 E EMULSÃO POLIMÉRICA (ADESIVO) COM PREPARO EM BETONEIRA 400L. AF_06/2014</t>
  </si>
  <si>
    <t>04.10.19</t>
  </si>
  <si>
    <t>04.10.20</t>
  </si>
  <si>
    <t>APLICAÇÃO MANUAL DE PINTURA COM TINTA LÁTEX ACRÍLICA EM PAREDES, DUAS DEMÃOS. AF_06/2014</t>
  </si>
  <si>
    <t>04.10.21</t>
  </si>
  <si>
    <t>AZULEJO COR BRILHANTE 15 X 15 CM EXTRA</t>
  </si>
  <si>
    <t>04.10.22</t>
  </si>
  <si>
    <t>TANQUE DE MÁRMORE SINTÉTICO SUSPENSO, 22L OU EQUIVALENTE, INCLUSO SIFÃ O TIPO GARRAFA EM PVC, VÁLVULA PLÁSTICA E TORNEIRA DE METAL CROMADO PADRÃO POPULAR - FORNECIMENTO E INSTALAÇÃO. AF_12/2013_P</t>
  </si>
  <si>
    <t>04.10.23</t>
  </si>
  <si>
    <t>BANCADA DO LABORATÓRIO EM LAMINADO MELAMÍNICO TIPO POST-FORMING E CUBA DE AÇO INOX 40X35X15 CM</t>
  </si>
  <si>
    <t>04.10.24</t>
  </si>
  <si>
    <t>BANCADA DA COPA EM MÁRMORE DUPLA POLIDA, ESPESSURA 2 CM, COM CUBA DE AÇO INOX 40X35X15 CM</t>
  </si>
  <si>
    <t>04.10.25</t>
  </si>
  <si>
    <t>73774/001</t>
  </si>
  <si>
    <t>DIVISORIA EM MARMORITE ESPESSURA 35MM, CHUMBAMENTO NO PISO E PAREDE COM ARGAMASSA DE CIMENTO E AREIA, POLIMENTO MANUAL, EXCLUSIVE FERRAGENSDIVISORIAS EM MADEIRA OU PAINEIS PRE-FABRICADOS</t>
  </si>
  <si>
    <t>04.10.26</t>
  </si>
  <si>
    <t>EXECUCAO DE CIMBRAMENTO PARA ESCORAMENTO DE FORMAS ELEVADAS DE  MADEIRA (LAJES E VIGAS), ACIMA DE 3,30 M DE PE DIREITO, COM PONTALETES (8,0 X8,0 CM) DE MADEIRA DE LEI 1A QUALIDADE E PECAS DE MADEIRA DE 2,5 X 10,0 CM DE 2A QUALIDADE, NAO APARELHADA.</t>
  </si>
  <si>
    <t>04.10.27</t>
  </si>
  <si>
    <t>FORNECIMENTO DO MATERIAL HIDRÁULICO DA UNIDADE DE APOIO</t>
  </si>
  <si>
    <t>04.10.28</t>
  </si>
  <si>
    <t>APLICAÇÃO DO MATERIAL HIDRÁULICO DA UNIDADE DE APOIO</t>
  </si>
  <si>
    <t>CE-036</t>
  </si>
  <si>
    <t>CE-037</t>
  </si>
  <si>
    <t>CE-038</t>
  </si>
  <si>
    <t>CE-039</t>
  </si>
  <si>
    <t>M3</t>
  </si>
  <si>
    <t>74005/002</t>
  </si>
  <si>
    <t>04.04.04</t>
  </si>
  <si>
    <t>04.04.06</t>
  </si>
  <si>
    <t>04.04.09</t>
  </si>
  <si>
    <t>COMPACTACAO MECANICA C/ CONTROLE DO GC&gt;=95% DO PN (AREAS) (C/MONIVELADORA 140 HP E ROLO COMPRESSOR VIBRATORIO 80 HP)</t>
  </si>
  <si>
    <t>LAGOA DE MATURAÇÃO COM CHICANAS</t>
  </si>
  <si>
    <t>73972/001</t>
  </si>
  <si>
    <t>CONCRETO FCK=25MPA, VIRADO EM BETONEIRA, SEM LANCAMENTO</t>
  </si>
  <si>
    <t>LANÇAMENTO COM USO DE BALDES, ADENSAMENTO E ACABAMENTO DE CONCRETO EM ESTRUTURAS. AF_12/2015</t>
  </si>
  <si>
    <t>CHICANAS DA LAGOA DE MATURAÇÃO</t>
  </si>
  <si>
    <t>APILOAMENTO COM MACO DE 30KG</t>
  </si>
  <si>
    <t>ALVENARIA DE VEDAÇÃO DE BLOCOS VAZADOS DE CONCRETO DE 19X19X39CM (ESPESSURA 19CM) DE PAREDES COM ÁREA LÍQUIDA MENOR QUE 6M² SEM VÃOS E ARGAMASSA DE ASSENTAMENTO COM PREPARO EM BETONEIRA. AF_06/2014</t>
  </si>
  <si>
    <t>CHAPISCO APLICADO SOMENTE EM PILARES E VIGAS DAS PAREDES INTERNAS, COM ROLO PARA TEXTURA ACRÍLICA. ARGAMASSA TRAÇO 1:4 E EMULSÃO POLIMÉRICA (ADESIVO) COM PREPARO MANUAL. AF_06/2014</t>
  </si>
  <si>
    <t>EMBOÇO OU MASSA ÚNICA EM ARGAMASSA TRAÇO 1:2:8, PREPARO MECÂNICO COM BETONEIRA 400 L, APLICADA MANUALMENTE EM PANOS DE FACHADA COM PRESENÇA DE VÃOS, ESPESSURA DE 25 MM. AF_06/2014</t>
  </si>
  <si>
    <t>CONCRETO NAO ESTRUTURAL, CONSUMO 150KG/M3, PREPARO COM BETONEIRA, SEM LANCAMENTO</t>
  </si>
  <si>
    <t>04.02.21</t>
  </si>
  <si>
    <t>PÓRTICO PARA RETIRADA DAS BOMBAS EM PERFIS METÁLICOS, CONFORME PROJETO</t>
  </si>
  <si>
    <t>04.02.22</t>
  </si>
  <si>
    <t>CONJUNTO MOTO BOMBA KSB, MODELO KRT K 150 - 315, 1160 RPM, ROTOR 250 mm, POTÊNCIA 10 CV, CÓDIGO DO MOTOR 9 6U PONTO DE OPERAÇÃO : Q = 211,93 m³/h e H = 7,68 m</t>
  </si>
  <si>
    <t>04.02.23</t>
  </si>
  <si>
    <t>04.02.24</t>
  </si>
  <si>
    <t>FORNECIMENTO DE CESTO EM FIO DE AÇO DE 3 MM, MALHA DE 5 CM, NAS DIMENSÕES (45x45x45) CM, INCLUSIVE GUIAS LATERAIS EM TUBO GALVANIZADO DN 2" E SISTEMA DE FIXAÇÃO,  CONFORME PROJETO</t>
  </si>
  <si>
    <t>04.02.25</t>
  </si>
  <si>
    <t>FORNECIMENTO DO MATERIAL HIDRÁULICO DA ELEVATÓRIA FINAL</t>
  </si>
  <si>
    <t>04.02.26</t>
  </si>
  <si>
    <t>APLICAÇÃO DO MATERIAL HIDRÁULICO EM ELEVATÓRIAS DE ESGOTOS</t>
  </si>
  <si>
    <t>04.02.27</t>
  </si>
  <si>
    <t>QUADRO DE COMANDO PARA ACIONAMENTO DE 02 MOTORES ELÉTRICOS DE INDUÇÃO EM BAIXA TENSÃO, POTÊNCIA 10 CV, 220V-CA, TRIFÁSICOS, PARTIDA POR INVERSOR DE FREQUÊNCIA, USO ABRIGADO.</t>
  </si>
  <si>
    <t>ESCAVACAO MEC DE VALA ESCORADA COM RETRO 75 HP, EM MATERIAL DE 1A CATEGORIA ATÉ 1,5M DE PROFUNDIDADE, EXCLUINDO ESGOTAMENTO E ESCORAMENTO</t>
  </si>
  <si>
    <t>CARGA MECANIZADA E REMOCAO E ENTULHO COM TRANSPORTE ATE 1KM</t>
  </si>
  <si>
    <t>73929/001</t>
  </si>
  <si>
    <t>IMPERMEABILIZACAO DE SUPERFICIE COM CIMENTO ESPECIAL CRISTALIZANTE COM ADESIVO LIQUIDO DE ALTA PERFORMANCE A BASE DE RESINA ACRÍLICA, UMA DE MAO.</t>
  </si>
  <si>
    <t>COMPORTA MANUAL EM  AÇO INOX, NAS DIMENSÕES UTEIS (80X50)CM, COM VEDAÇÃO EM BORRACHA E FECHAMENTO EM PARAFUSOS, CONFORME PROJETO</t>
  </si>
  <si>
    <t>FORNECIMENTO DO MATERIAL HIDRÁULICO DO TRATAMENTO PRELIMINAR</t>
  </si>
  <si>
    <t>MONTAGEM HIDRÁULICA DO TRATAMENTO PRELIMINAR</t>
  </si>
  <si>
    <t>REFERENCIAS DE PREÇOS: SINAPI  (INSUMOS E SERVIÇOS C/ DESONERAÇÃO - DEZEMBRO / 2015)</t>
  </si>
  <si>
    <t>ESCAVACAO MANUAL DE VALAS EM TERRA COMPACTA, PROF. DE 0 M &lt; H &lt;= 1 M</t>
  </si>
  <si>
    <t>73964/004</t>
  </si>
  <si>
    <t>REATERRO DE VALAS / CAVAS, COMPACTADA A MAÇO, EM CAMADAS DE ATÉ 30 CM.</t>
  </si>
  <si>
    <t>73907/006</t>
  </si>
  <si>
    <t>LASTRO DE CONCRETO, ESPESSURA 3CM, PREPARO MECANICO</t>
  </si>
  <si>
    <t>73990/001</t>
  </si>
  <si>
    <t xml:space="preserve">ARMACAO ACO CA-50 P/1,0M3 DE CONCRETO </t>
  </si>
  <si>
    <t>um</t>
  </si>
  <si>
    <t>ALVENARIA DE VEDAÇÃO DE BLOCOS VAZADOS DE CONCRETO DE 9X19X39CM (ESPESSURA 9CM) DE PAREDES COM ÁREA LÍQUIDA MENOR QUE 6M² SEM VÃOS E ARGAMASSA DE ASSENTAMENTO COM PREPARO EM BETONEIRA. AF_06/2014</t>
  </si>
  <si>
    <t>CONCRETO NAO ESTRUTURAL, CONSUMO 150KG/M3, PREPARO COM BETONEIRA, SEM LANÇAMENTO</t>
  </si>
  <si>
    <t>REDE COLETORA DE ESGOTOS</t>
  </si>
  <si>
    <t>73822/001</t>
  </si>
  <si>
    <t>CAPINA E LIMPEZA MANUAL DE TERRENO COM PEQUENOS ARBUSTOS</t>
  </si>
  <si>
    <t>ESCAVACAO MEC VALA N ESCOR MAT 1A CAT C/RETROESCAV ATE 1,50M EXCL ESGOTAMENTO</t>
  </si>
  <si>
    <t>ESCAVACAO MEC.VALA ESCORADA MAT 1A CAT C/RETRO DE 1,5 A 3M- EXCLUSIVE ESGOT E ESCORAMENTO</t>
  </si>
  <si>
    <t>73888/005</t>
  </si>
  <si>
    <t>ASSENTAMENTO TUBO PVC COM JUNTA ELASTICA, DN 200 MM - (OU RPVC, OU PVC DEFOFO, OU PRFV</t>
  </si>
  <si>
    <t>73888/007</t>
  </si>
  <si>
    <t>ASSENTAMENTO TUBO PVC COM JUNTA ELASTICA, DN 300 MM - (OU RPVC, OU PVC DEFOFO, OU PRFV</t>
  </si>
  <si>
    <t>TUBO PVC EB 644 P/ REDE COLET ESG JE DN 200MM</t>
  </si>
  <si>
    <t>TUBO PVC EB-644 P/ REDE COLET ESG JE DN 300MM</t>
  </si>
  <si>
    <t>ESCAVACAO E CARGA MATERIAL 1A CATEGORIA, UTILIZANDO TRATOR DE ESTEIRAS DE 110 A 160HP COM LAMINA, PESO OPERACIONAL * 13T E PA CARREGADEIRA COM 170 HP. (BOTA FORA)</t>
  </si>
  <si>
    <t>TRANSPORTE COMERCIAL COM CAMINHAO BASCULANTE 6 M3, RODOVIA EM LEITO NATURAL (BOTA FORA)</t>
  </si>
  <si>
    <t>ESCAVACAO E CARGA MATERIAL 1A CATEGORIA, UTILIZANDO TRATOR DE ESTEIRAS DE 110 A 160HP COM LAMINA, PESO OPERACIONAL * 13T E PA CARREGADEIRA COM 170 HP. (EMPRÉSTIMO)</t>
  </si>
  <si>
    <t>TRANSPORTE COMERCIAL COM CAMINHAO BASCULANTE 6 M3, RODOVIA EM LEITO NATURAL (EMPRÉSTIMO)</t>
  </si>
  <si>
    <t>ESCAVACAO MECANICA PARA ACERTO DE TALUDES, EM MATERIAL DE 1A CATEGORIA, COM ESCAVADEIRA HIDRAULI</t>
  </si>
  <si>
    <t>CAIXA DE PASSAGEM 60X60X70 FUNDO BRITA COM TAMPA</t>
  </si>
  <si>
    <t>41.01</t>
  </si>
  <si>
    <t>41.02</t>
  </si>
  <si>
    <t>41.03</t>
  </si>
  <si>
    <t>41.04</t>
  </si>
  <si>
    <t>41.05</t>
  </si>
  <si>
    <t>41.06</t>
  </si>
  <si>
    <t>41.07</t>
  </si>
  <si>
    <t>41.08</t>
  </si>
  <si>
    <t>FORMA TABUAS MADEIRA 3A P/ PECAS CONCRETO ARM, REAPR 2X, INCL MONTAGEM E DESMONTAGEM</t>
  </si>
  <si>
    <t>41.09</t>
  </si>
  <si>
    <t>41.10</t>
  </si>
  <si>
    <t>41.11</t>
  </si>
  <si>
    <t>EMBOÇO, PARA RECEBIMENTO DE CERÂMICA, EM ARGAMASSA TRAÇO 1:2:8, PREPARO MECÂNICO COM BETONEIRA 400L, APLICADO MANUALMENTE EM FACES INTERNAS DE PAREDES DE AMBIENTES COM ÁREA MENOR QUE 5M2, ESPESSURA DE 20MM, COM EXECUÇÃO DE TALISCAS. AF_06/2014</t>
  </si>
  <si>
    <t>73818/001</t>
  </si>
  <si>
    <t>PAVIMENTACAO EM PEDRISCO, ESPESSURA 5CM</t>
  </si>
  <si>
    <t>68051 LOCACAO ALVENARIA M CR 4,87</t>
  </si>
  <si>
    <t>04.12.09</t>
  </si>
  <si>
    <t>QUEIMADOR DE BIOGÁS COM IGNITOR AUTOMÁTICO E ENERGIA SOLAR MODELO LGM - 3.2 MARCA ITACRETO (EQUIPAMENTO PATENTEADO)APRESENTADA APENAS UMA COTAÇÃO</t>
  </si>
  <si>
    <t>E S T I M A T I V A   O R Ç A M E N T Á R I A</t>
  </si>
  <si>
    <t>A L T E R N A T I V A  0 1  -  S I S T E M A   A U S T R A L I A N O</t>
  </si>
  <si>
    <t>ELEVATÓRIA NA REDE COLETORA DE ESGOTOS</t>
  </si>
  <si>
    <t>LOCAÇÃO CONVENCIONAL DE OBRA ATRAVËS DE GABARITO DE TÁBUAS CORRIDAS PONTALETEADAS SEM REPAROVEITAMENTO</t>
  </si>
  <si>
    <t>73962/004</t>
  </si>
  <si>
    <t>ESCAVACAO DE VALA NAO ESCORADA EM MATERIAL DE 1A CATEGORIA COM PROFUNDIDADE DE 1,5 ATE 3M COM RETROESCAVADEIRA 75HP, SEM ESGOTAMENTO</t>
  </si>
  <si>
    <t>04.01.10</t>
  </si>
  <si>
    <t>04.01.11</t>
  </si>
  <si>
    <t>04.01.12</t>
  </si>
  <si>
    <t>73983/001</t>
  </si>
  <si>
    <t>CONCRETO ARMADO FCK=15MPA (PREP.NA OBRA C/BETONEIRA), INCLUSIVE IMPERMEABILIZANTE (ESTRUTURAS</t>
  </si>
  <si>
    <t>04.01.13</t>
  </si>
  <si>
    <t>FORNECIMENTO DO MATERIAL HIDRÁULICO DAS ELEVATÓRIAS</t>
  </si>
  <si>
    <t>04.01.14</t>
  </si>
  <si>
    <t>APLICAÇÃO DO MATERIAL HIDRÁULICO DAS ELEVATÓRIAS</t>
  </si>
  <si>
    <t>04.01.16</t>
  </si>
  <si>
    <t>BOMBA SUBMERSIVEL SCHNEIDER BCS 320 POTÊNCIA 4,0CV, 3450 rpm, TRIFÁSICA OU SIMILAR</t>
  </si>
  <si>
    <t>04.01.17</t>
  </si>
  <si>
    <t>04.01.18</t>
  </si>
  <si>
    <t>CE-031</t>
  </si>
  <si>
    <t>04.01.20</t>
  </si>
  <si>
    <t>ELT-002</t>
  </si>
  <si>
    <t>INSTALAÇÕES ELÉTRICAS ELEVATÓRIAS DE 4 CV</t>
  </si>
  <si>
    <t>04.01.21</t>
  </si>
  <si>
    <t>FORNECIMENTO E INSTALAÇÃO DE CESTO EM FIO DE AÇO DE 3 MM, MALHA DE 5 CM, NAS DIMENSÕES (45x45x45) CM, INCLUSIVE GUIAS LATERAIS EM TUBO GALVANIZADO DN 2" E SISTEMA DE FIXAÇÃO,  CONFORME PROJETO</t>
  </si>
  <si>
    <t>LINHA DE RECALQUE / GRAVIDADE</t>
  </si>
  <si>
    <t>04.02.03</t>
  </si>
  <si>
    <t>04.02.04</t>
  </si>
  <si>
    <t>04.02.06</t>
  </si>
  <si>
    <t>73888/004</t>
  </si>
  <si>
    <t>ASSENTAMENTO TUBO PVC COM JUNTA ELASTICA, DN 150 MM - (OU RPVC, OU PVC DEFOFO, OU PRFV).</t>
  </si>
  <si>
    <t>04.02.07</t>
  </si>
  <si>
    <t>FORNECIMENTO DO MATERIAL HIDRÁULICO DAS LINHAS DE RECALQUE</t>
  </si>
  <si>
    <t>04.02.08</t>
  </si>
  <si>
    <t>04.02.09</t>
  </si>
  <si>
    <t>04.02.10</t>
  </si>
  <si>
    <t>DEMOLICAO DE PAVIMENTACAO ASFALTICA, EXCLUSIVE TRANSPORTE DO MATERIAL RETIRADO</t>
  </si>
  <si>
    <t>04.02.11</t>
  </si>
  <si>
    <t>RECOMPOSIÇÃO DE PAVIMENTACAO ASFALTICA, EXCLUSIVE TRANSPORTE DO MATERIAL RETIRADO</t>
  </si>
  <si>
    <t>05.02.00</t>
  </si>
  <si>
    <t>05.03.00</t>
  </si>
  <si>
    <t>05.04.00</t>
  </si>
  <si>
    <t>05.05.00</t>
  </si>
  <si>
    <t>05.06.00</t>
  </si>
  <si>
    <t>05.07.00</t>
  </si>
  <si>
    <t>05.08.00</t>
  </si>
  <si>
    <t>05.09.00</t>
  </si>
  <si>
    <t>ELEVATÓRIA E LINHA DE RECALQUE - BAIRRO MIGUEL VIEIRA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</si>
</sst>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(* #,##0.00_);_(* \(#,##0.00\);_(* &quot;-&quot;??_);_(@_)"/>
    <numFmt numFmtId="165" formatCode="0.00000"/>
    <numFmt numFmtId="166" formatCode="dd/mm/yy;@"/>
    <numFmt numFmtId="167" formatCode="#,##0.00;[Red]#,##0.00"/>
    <numFmt numFmtId="168" formatCode="0.0%"/>
    <numFmt numFmtId="169" formatCode="0.0"/>
    <numFmt numFmtId="170" formatCode="#,##0.0000"/>
    <numFmt numFmtId="171" formatCode="0.000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  <font>
      <b/>
      <sz val="14"/>
      <name val="Arial"/>
      <family val="2"/>
    </font>
    <font>
      <sz val="11"/>
      <name val="Arial Black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5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/>
    <xf numFmtId="0" fontId="3" fillId="0" borderId="0" xfId="0" applyFont="1" applyBorder="1" applyAlignment="1"/>
    <xf numFmtId="0" fontId="3" fillId="0" borderId="0" xfId="0" applyFont="1" applyAlignment="1"/>
    <xf numFmtId="0" fontId="3" fillId="2" borderId="0" xfId="0" applyFont="1" applyFill="1" applyBorder="1" applyAlignment="1"/>
    <xf numFmtId="0" fontId="3" fillId="2" borderId="0" xfId="0" applyFont="1" applyFill="1" applyAlignment="1">
      <alignment wrapText="1"/>
    </xf>
    <xf numFmtId="0" fontId="3" fillId="2" borderId="0" xfId="0" applyFont="1" applyFill="1" applyAlignment="1"/>
    <xf numFmtId="0" fontId="3" fillId="2" borderId="0" xfId="0" applyFont="1" applyFill="1" applyBorder="1" applyAlignment="1">
      <alignment horizontal="center" vertical="center"/>
    </xf>
    <xf numFmtId="2" fontId="3" fillId="0" borderId="0" xfId="0" applyNumberFormat="1" applyFont="1" applyBorder="1" applyAlignment="1"/>
    <xf numFmtId="0" fontId="0" fillId="0" borderId="0" xfId="0" applyAlignment="1">
      <alignment vertical="center"/>
    </xf>
    <xf numFmtId="0" fontId="7" fillId="0" borderId="0" xfId="0" applyFont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5" fontId="3" fillId="0" borderId="0" xfId="0" applyNumberFormat="1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2" fontId="3" fillId="0" borderId="11" xfId="0" applyNumberFormat="1" applyFont="1" applyBorder="1" applyAlignment="1">
      <alignment horizontal="center" vertical="center" wrapText="1"/>
    </xf>
    <xf numFmtId="164" fontId="4" fillId="0" borderId="12" xfId="2" applyFont="1" applyBorder="1" applyAlignment="1">
      <alignment horizontal="right" vertical="center"/>
    </xf>
    <xf numFmtId="164" fontId="3" fillId="0" borderId="0" xfId="2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2" fontId="3" fillId="0" borderId="14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/>
    </xf>
    <xf numFmtId="2" fontId="4" fillId="0" borderId="11" xfId="1" applyNumberFormat="1" applyFont="1" applyBorder="1" applyAlignment="1">
      <alignment horizontal="center" vertical="center"/>
    </xf>
    <xf numFmtId="164" fontId="4" fillId="0" borderId="14" xfId="2" applyFont="1" applyBorder="1" applyAlignment="1">
      <alignment horizontal="center" vertical="center"/>
    </xf>
    <xf numFmtId="164" fontId="4" fillId="0" borderId="16" xfId="2" applyFont="1" applyBorder="1" applyAlignment="1">
      <alignment vertical="center"/>
    </xf>
    <xf numFmtId="2" fontId="4" fillId="0" borderId="14" xfId="1" applyNumberFormat="1" applyFont="1" applyBorder="1" applyAlignment="1">
      <alignment horizontal="center" vertical="center"/>
    </xf>
    <xf numFmtId="164" fontId="4" fillId="0" borderId="15" xfId="2" applyFont="1" applyBorder="1" applyAlignment="1">
      <alignment horizontal="center" vertical="center"/>
    </xf>
    <xf numFmtId="164" fontId="4" fillId="0" borderId="17" xfId="2" applyFont="1" applyBorder="1" applyAlignment="1">
      <alignment vertical="center"/>
    </xf>
    <xf numFmtId="0" fontId="8" fillId="0" borderId="0" xfId="0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164" fontId="9" fillId="0" borderId="0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4" fillId="0" borderId="17" xfId="0" applyFont="1" applyBorder="1" applyAlignment="1">
      <alignment horizontal="left" vertical="center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/>
    <xf numFmtId="0" fontId="3" fillId="3" borderId="0" xfId="0" applyFont="1" applyFill="1" applyAlignment="1">
      <alignment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164" fontId="3" fillId="2" borderId="20" xfId="2" applyFont="1" applyFill="1" applyBorder="1" applyAlignment="1">
      <alignment horizontal="center" vertical="center" wrapText="1"/>
    </xf>
    <xf numFmtId="164" fontId="3" fillId="0" borderId="20" xfId="2" applyFont="1" applyFill="1" applyBorder="1" applyAlignment="1">
      <alignment horizontal="center" vertical="center" wrapText="1"/>
    </xf>
    <xf numFmtId="164" fontId="3" fillId="2" borderId="40" xfId="2" applyFont="1" applyFill="1" applyBorder="1" applyAlignment="1">
      <alignment horizontal="center" vertical="center" wrapText="1"/>
    </xf>
    <xf numFmtId="164" fontId="3" fillId="2" borderId="21" xfId="2" applyFont="1" applyFill="1" applyBorder="1" applyAlignment="1">
      <alignment horizontal="center" vertical="center" wrapText="1"/>
    </xf>
    <xf numFmtId="164" fontId="3" fillId="3" borderId="20" xfId="2" applyFont="1" applyFill="1" applyBorder="1" applyAlignment="1">
      <alignment horizontal="center" vertical="center" wrapText="1"/>
    </xf>
    <xf numFmtId="164" fontId="3" fillId="2" borderId="0" xfId="2" applyFont="1" applyFill="1" applyAlignment="1">
      <alignment wrapText="1"/>
    </xf>
    <xf numFmtId="164" fontId="3" fillId="0" borderId="0" xfId="2" applyFont="1" applyAlignment="1">
      <alignment horizontal="center" vertical="center" wrapText="1"/>
    </xf>
    <xf numFmtId="164" fontId="3" fillId="0" borderId="0" xfId="2" applyFont="1" applyAlignment="1">
      <alignment vertical="center" wrapText="1"/>
    </xf>
    <xf numFmtId="164" fontId="4" fillId="2" borderId="21" xfId="2" applyFont="1" applyFill="1" applyBorder="1" applyAlignment="1">
      <alignment horizontal="center" vertical="center" wrapText="1"/>
    </xf>
    <xf numFmtId="164" fontId="3" fillId="0" borderId="21" xfId="2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/>
    <xf numFmtId="164" fontId="3" fillId="2" borderId="0" xfId="2" applyFont="1" applyFill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64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vertical="center" wrapText="1"/>
    </xf>
    <xf numFmtId="0" fontId="5" fillId="0" borderId="0" xfId="0" applyFont="1" applyAlignment="1">
      <alignment horizontal="right"/>
    </xf>
    <xf numFmtId="0" fontId="10" fillId="0" borderId="10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0" borderId="25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6" fillId="0" borderId="13" xfId="0" applyFont="1" applyBorder="1" applyAlignment="1">
      <alignment horizontal="center"/>
    </xf>
    <xf numFmtId="164" fontId="5" fillId="0" borderId="0" xfId="2" applyFont="1"/>
    <xf numFmtId="0" fontId="10" fillId="0" borderId="13" xfId="0" applyFont="1" applyBorder="1" applyAlignment="1">
      <alignment horizontal="center"/>
    </xf>
    <xf numFmtId="0" fontId="10" fillId="0" borderId="14" xfId="0" applyFont="1" applyBorder="1"/>
    <xf numFmtId="0" fontId="10" fillId="0" borderId="14" xfId="0" applyFont="1" applyBorder="1" applyAlignment="1">
      <alignment horizontal="center"/>
    </xf>
    <xf numFmtId="0" fontId="10" fillId="0" borderId="16" xfId="0" applyFont="1" applyBorder="1"/>
    <xf numFmtId="43" fontId="5" fillId="0" borderId="0" xfId="0" applyNumberFormat="1" applyFont="1"/>
    <xf numFmtId="10" fontId="10" fillId="0" borderId="14" xfId="0" applyNumberFormat="1" applyFont="1" applyBorder="1" applyAlignment="1">
      <alignment horizontal="center"/>
    </xf>
    <xf numFmtId="43" fontId="10" fillId="0" borderId="16" xfId="0" applyNumberFormat="1" applyFont="1" applyBorder="1"/>
    <xf numFmtId="43" fontId="0" fillId="0" borderId="0" xfId="0" applyNumberFormat="1"/>
    <xf numFmtId="0" fontId="10" fillId="0" borderId="29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44" xfId="0" applyBorder="1"/>
    <xf numFmtId="0" fontId="6" fillId="0" borderId="1" xfId="0" applyFont="1" applyBorder="1"/>
    <xf numFmtId="0" fontId="0" fillId="0" borderId="5" xfId="0" applyFill="1" applyBorder="1"/>
    <xf numFmtId="0" fontId="0" fillId="0" borderId="6" xfId="0" applyFill="1" applyBorder="1"/>
    <xf numFmtId="0" fontId="0" fillId="0" borderId="6" xfId="0" applyBorder="1"/>
    <xf numFmtId="0" fontId="0" fillId="0" borderId="18" xfId="0" applyBorder="1"/>
    <xf numFmtId="0" fontId="4" fillId="0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3" borderId="20" xfId="0" applyFont="1" applyFill="1" applyBorder="1" applyAlignment="1">
      <alignment horizontal="left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2" borderId="20" xfId="0" quotePrefix="1" applyFont="1" applyFill="1" applyBorder="1" applyAlignment="1">
      <alignment horizontal="center" vertical="center" wrapText="1"/>
    </xf>
    <xf numFmtId="164" fontId="3" fillId="2" borderId="21" xfId="2" applyFont="1" applyFill="1" applyBorder="1" applyAlignment="1">
      <alignment vertical="center" wrapText="1"/>
    </xf>
    <xf numFmtId="164" fontId="4" fillId="2" borderId="21" xfId="2" applyFont="1" applyFill="1" applyBorder="1" applyAlignment="1">
      <alignment vertical="center" wrapText="1"/>
    </xf>
    <xf numFmtId="0" fontId="4" fillId="0" borderId="52" xfId="0" applyFont="1" applyBorder="1" applyAlignment="1">
      <alignment horizontal="center" vertical="center"/>
    </xf>
    <xf numFmtId="164" fontId="3" fillId="0" borderId="53" xfId="2" applyFont="1" applyBorder="1" applyAlignment="1">
      <alignment vertical="center"/>
    </xf>
    <xf numFmtId="164" fontId="3" fillId="0" borderId="54" xfId="2" applyFont="1" applyBorder="1" applyAlignment="1">
      <alignment vertical="center"/>
    </xf>
    <xf numFmtId="164" fontId="3" fillId="0" borderId="55" xfId="2" applyFont="1" applyBorder="1" applyAlignment="1">
      <alignment vertical="center"/>
    </xf>
    <xf numFmtId="164" fontId="3" fillId="0" borderId="57" xfId="2" applyFont="1" applyBorder="1" applyAlignment="1">
      <alignment vertical="center"/>
    </xf>
    <xf numFmtId="164" fontId="3" fillId="0" borderId="58" xfId="2" applyFont="1" applyBorder="1" applyAlignment="1">
      <alignment vertical="center"/>
    </xf>
    <xf numFmtId="164" fontId="3" fillId="0" borderId="60" xfId="2" applyFont="1" applyBorder="1" applyAlignment="1">
      <alignment vertical="center"/>
    </xf>
    <xf numFmtId="164" fontId="3" fillId="0" borderId="61" xfId="2" applyFont="1" applyBorder="1" applyAlignment="1">
      <alignment vertical="center"/>
    </xf>
    <xf numFmtId="164" fontId="3" fillId="0" borderId="62" xfId="2" applyFont="1" applyBorder="1" applyAlignment="1">
      <alignment vertical="center"/>
    </xf>
    <xf numFmtId="164" fontId="4" fillId="0" borderId="0" xfId="2" applyNumberFormat="1" applyFont="1" applyBorder="1" applyAlignment="1">
      <alignment vertical="center"/>
    </xf>
    <xf numFmtId="164" fontId="3" fillId="3" borderId="21" xfId="2" applyFont="1" applyFill="1" applyBorder="1" applyAlignment="1">
      <alignment horizontal="center" vertical="center" wrapText="1"/>
    </xf>
    <xf numFmtId="164" fontId="3" fillId="3" borderId="0" xfId="2" applyFont="1" applyFill="1" applyAlignment="1"/>
    <xf numFmtId="164" fontId="3" fillId="3" borderId="0" xfId="2" applyFont="1" applyFill="1" applyAlignment="1">
      <alignment wrapText="1"/>
    </xf>
    <xf numFmtId="0" fontId="3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wrapText="1"/>
    </xf>
    <xf numFmtId="164" fontId="4" fillId="3" borderId="0" xfId="2" applyFont="1" applyFill="1" applyAlignment="1"/>
    <xf numFmtId="164" fontId="4" fillId="3" borderId="0" xfId="2" applyFont="1" applyFill="1" applyAlignment="1">
      <alignment wrapText="1"/>
    </xf>
    <xf numFmtId="0" fontId="3" fillId="0" borderId="20" xfId="0" quotePrefix="1" applyFont="1" applyFill="1" applyBorder="1" applyAlignment="1">
      <alignment horizontal="center" vertical="center" wrapText="1"/>
    </xf>
    <xf numFmtId="0" fontId="3" fillId="2" borderId="63" xfId="0" applyFont="1" applyFill="1" applyBorder="1" applyAlignment="1">
      <alignment horizontal="center" vertical="center" wrapText="1"/>
    </xf>
    <xf numFmtId="0" fontId="3" fillId="2" borderId="65" xfId="0" applyFont="1" applyFill="1" applyBorder="1" applyAlignment="1">
      <alignment horizontal="center" vertical="center" wrapText="1"/>
    </xf>
    <xf numFmtId="0" fontId="4" fillId="4" borderId="65" xfId="0" applyFont="1" applyFill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center" vertical="center" wrapText="1"/>
    </xf>
    <xf numFmtId="0" fontId="4" fillId="4" borderId="66" xfId="0" quotePrefix="1" applyFont="1" applyFill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left" vertical="center" wrapText="1"/>
    </xf>
    <xf numFmtId="4" fontId="4" fillId="4" borderId="66" xfId="0" applyNumberFormat="1" applyFont="1" applyFill="1" applyBorder="1" applyAlignment="1">
      <alignment horizontal="right" vertical="center" wrapText="1"/>
    </xf>
    <xf numFmtId="164" fontId="4" fillId="4" borderId="66" xfId="0" applyNumberFormat="1" applyFont="1" applyFill="1" applyBorder="1" applyAlignment="1">
      <alignment horizontal="center" vertical="center" wrapText="1"/>
    </xf>
    <xf numFmtId="164" fontId="4" fillId="4" borderId="67" xfId="0" applyNumberFormat="1" applyFont="1" applyFill="1" applyBorder="1" applyAlignment="1">
      <alignment vertical="center" wrapText="1"/>
    </xf>
    <xf numFmtId="0" fontId="3" fillId="3" borderId="66" xfId="0" applyFont="1" applyFill="1" applyBorder="1" applyAlignment="1">
      <alignment horizontal="left" vertical="distributed" wrapText="1"/>
    </xf>
    <xf numFmtId="0" fontId="3" fillId="3" borderId="66" xfId="0" applyFont="1" applyFill="1" applyBorder="1" applyAlignment="1">
      <alignment horizontal="center" vertical="center" wrapText="1"/>
    </xf>
    <xf numFmtId="164" fontId="3" fillId="0" borderId="66" xfId="2" applyFont="1" applyFill="1" applyBorder="1" applyAlignment="1">
      <alignment horizontal="center" vertical="center" wrapText="1"/>
    </xf>
    <xf numFmtId="164" fontId="3" fillId="3" borderId="66" xfId="2" applyFont="1" applyFill="1" applyBorder="1" applyAlignment="1">
      <alignment horizontal="center" vertical="center" wrapText="1"/>
    </xf>
    <xf numFmtId="4" fontId="3" fillId="4" borderId="66" xfId="0" applyNumberFormat="1" applyFont="1" applyFill="1" applyBorder="1" applyAlignment="1">
      <alignment horizontal="right" vertical="center" wrapText="1"/>
    </xf>
    <xf numFmtId="164" fontId="3" fillId="4" borderId="66" xfId="0" applyNumberFormat="1" applyFont="1" applyFill="1" applyBorder="1" applyAlignment="1">
      <alignment horizontal="center" vertical="center" wrapText="1"/>
    </xf>
    <xf numFmtId="0" fontId="3" fillId="3" borderId="66" xfId="0" applyFont="1" applyFill="1" applyBorder="1"/>
    <xf numFmtId="0" fontId="3" fillId="3" borderId="65" xfId="0" applyFont="1" applyFill="1" applyBorder="1" applyAlignment="1">
      <alignment horizontal="center" vertical="center" wrapText="1"/>
    </xf>
    <xf numFmtId="164" fontId="3" fillId="3" borderId="67" xfId="2" applyFont="1" applyFill="1" applyBorder="1" applyAlignment="1">
      <alignment horizontal="center" vertical="center" wrapText="1"/>
    </xf>
    <xf numFmtId="164" fontId="3" fillId="3" borderId="66" xfId="2" applyFont="1" applyFill="1" applyBorder="1" applyAlignment="1">
      <alignment horizontal="center" vertical="center"/>
    </xf>
    <xf numFmtId="169" fontId="4" fillId="0" borderId="15" xfId="0" applyNumberFormat="1" applyFont="1" applyBorder="1" applyAlignment="1">
      <alignment horizontal="left" vertical="center"/>
    </xf>
    <xf numFmtId="169" fontId="4" fillId="0" borderId="23" xfId="0" applyNumberFormat="1" applyFont="1" applyBorder="1" applyAlignment="1">
      <alignment horizontal="left" vertical="center"/>
    </xf>
    <xf numFmtId="1" fontId="4" fillId="0" borderId="11" xfId="1" applyNumberFormat="1" applyFont="1" applyBorder="1" applyAlignment="1">
      <alignment horizontal="center" vertical="center"/>
    </xf>
    <xf numFmtId="1" fontId="4" fillId="0" borderId="22" xfId="1" applyNumberFormat="1" applyFont="1" applyBorder="1" applyAlignment="1">
      <alignment horizontal="center" vertical="center"/>
    </xf>
    <xf numFmtId="1" fontId="4" fillId="0" borderId="14" xfId="1" applyNumberFormat="1" applyFont="1" applyBorder="1" applyAlignment="1">
      <alignment horizontal="center" vertical="center"/>
    </xf>
    <xf numFmtId="1" fontId="4" fillId="4" borderId="11" xfId="1" applyNumberFormat="1" applyFont="1" applyFill="1" applyBorder="1" applyAlignment="1">
      <alignment horizontal="center" vertical="center"/>
    </xf>
    <xf numFmtId="1" fontId="4" fillId="4" borderId="22" xfId="1" applyNumberFormat="1" applyFont="1" applyFill="1" applyBorder="1" applyAlignment="1">
      <alignment horizontal="center" vertical="center"/>
    </xf>
    <xf numFmtId="1" fontId="4" fillId="4" borderId="14" xfId="1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center" wrapText="1"/>
    </xf>
    <xf numFmtId="164" fontId="4" fillId="0" borderId="20" xfId="2" applyFont="1" applyFill="1" applyBorder="1" applyAlignment="1">
      <alignment horizontal="center" vertical="center" wrapText="1"/>
    </xf>
    <xf numFmtId="164" fontId="4" fillId="0" borderId="21" xfId="2" applyFont="1" applyFill="1" applyBorder="1" applyAlignment="1">
      <alignment horizontal="right" vertical="center" wrapText="1"/>
    </xf>
    <xf numFmtId="164" fontId="3" fillId="0" borderId="21" xfId="2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60" xfId="0" applyFont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 wrapText="1"/>
    </xf>
    <xf numFmtId="10" fontId="3" fillId="0" borderId="48" xfId="1" applyNumberFormat="1" applyFont="1" applyBorder="1" applyAlignment="1">
      <alignment vertical="center" wrapText="1"/>
    </xf>
    <xf numFmtId="10" fontId="3" fillId="0" borderId="61" xfId="1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vertical="center" wrapText="1"/>
    </xf>
    <xf numFmtId="10" fontId="3" fillId="0" borderId="62" xfId="1" applyNumberFormat="1" applyFont="1" applyBorder="1" applyAlignment="1">
      <alignment horizontal="center" vertical="center" wrapText="1"/>
    </xf>
    <xf numFmtId="2" fontId="4" fillId="0" borderId="45" xfId="0" applyNumberFormat="1" applyFont="1" applyBorder="1" applyAlignment="1">
      <alignment vertical="center" wrapText="1"/>
    </xf>
    <xf numFmtId="0" fontId="4" fillId="0" borderId="46" xfId="0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 wrapText="1"/>
    </xf>
    <xf numFmtId="43" fontId="3" fillId="0" borderId="0" xfId="0" applyNumberFormat="1" applyFont="1" applyBorder="1" applyAlignment="1">
      <alignment vertical="center" wrapText="1"/>
    </xf>
    <xf numFmtId="10" fontId="3" fillId="0" borderId="55" xfId="0" applyNumberFormat="1" applyFont="1" applyBorder="1" applyAlignment="1">
      <alignment vertical="center" wrapText="1"/>
    </xf>
    <xf numFmtId="10" fontId="3" fillId="0" borderId="56" xfId="1" applyNumberFormat="1" applyFont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43" fontId="3" fillId="2" borderId="55" xfId="0" applyNumberFormat="1" applyFont="1" applyFill="1" applyBorder="1" applyAlignment="1">
      <alignment vertical="center" wrapText="1"/>
    </xf>
    <xf numFmtId="4" fontId="3" fillId="2" borderId="0" xfId="0" applyNumberFormat="1" applyFont="1" applyFill="1" applyBorder="1" applyAlignment="1">
      <alignment vertical="center" wrapText="1"/>
    </xf>
    <xf numFmtId="43" fontId="3" fillId="2" borderId="56" xfId="0" applyNumberFormat="1" applyFont="1" applyFill="1" applyBorder="1" applyAlignment="1">
      <alignment vertical="center" wrapText="1"/>
    </xf>
    <xf numFmtId="4" fontId="3" fillId="2" borderId="0" xfId="0" applyNumberFormat="1" applyFont="1" applyFill="1" applyAlignment="1">
      <alignment vertical="center" wrapText="1"/>
    </xf>
    <xf numFmtId="43" fontId="3" fillId="2" borderId="0" xfId="0" applyNumberFormat="1" applyFont="1" applyFill="1" applyBorder="1" applyAlignment="1">
      <alignment vertical="center" wrapText="1"/>
    </xf>
    <xf numFmtId="9" fontId="4" fillId="2" borderId="0" xfId="1" applyFont="1" applyFill="1" applyBorder="1" applyAlignment="1">
      <alignment vertical="center" wrapText="1"/>
    </xf>
    <xf numFmtId="164" fontId="3" fillId="2" borderId="0" xfId="0" applyNumberFormat="1" applyFont="1" applyFill="1" applyBorder="1" applyAlignment="1">
      <alignment vertical="center" wrapText="1"/>
    </xf>
    <xf numFmtId="168" fontId="4" fillId="2" borderId="0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64" fontId="4" fillId="2" borderId="0" xfId="2" applyFont="1" applyFill="1" applyBorder="1" applyAlignment="1">
      <alignment vertical="center" wrapText="1"/>
    </xf>
    <xf numFmtId="164" fontId="4" fillId="2" borderId="0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9" fontId="4" fillId="3" borderId="0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2" borderId="7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3" borderId="0" xfId="0" applyFont="1" applyFill="1" applyBorder="1"/>
    <xf numFmtId="4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Border="1" applyAlignment="1"/>
    <xf numFmtId="164" fontId="3" fillId="2" borderId="0" xfId="0" applyNumberFormat="1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/>
    </xf>
    <xf numFmtId="0" fontId="6" fillId="4" borderId="14" xfId="0" applyFont="1" applyFill="1" applyBorder="1"/>
    <xf numFmtId="0" fontId="6" fillId="4" borderId="14" xfId="0" applyFont="1" applyFill="1" applyBorder="1" applyAlignment="1">
      <alignment horizontal="center"/>
    </xf>
    <xf numFmtId="164" fontId="6" fillId="4" borderId="16" xfId="2" applyFont="1" applyFill="1" applyBorder="1"/>
    <xf numFmtId="10" fontId="6" fillId="4" borderId="14" xfId="0" applyNumberFormat="1" applyFont="1" applyFill="1" applyBorder="1" applyAlignment="1">
      <alignment horizontal="center"/>
    </xf>
    <xf numFmtId="43" fontId="6" fillId="4" borderId="16" xfId="0" applyNumberFormat="1" applyFont="1" applyFill="1" applyBorder="1"/>
    <xf numFmtId="0" fontId="10" fillId="4" borderId="14" xfId="0" applyFont="1" applyFill="1" applyBorder="1" applyAlignment="1">
      <alignment horizontal="center"/>
    </xf>
    <xf numFmtId="0" fontId="10" fillId="4" borderId="16" xfId="0" applyFont="1" applyFill="1" applyBorder="1"/>
    <xf numFmtId="4" fontId="4" fillId="0" borderId="12" xfId="2" applyNumberFormat="1" applyFont="1" applyBorder="1" applyAlignment="1">
      <alignment horizontal="center" vertical="center"/>
    </xf>
    <xf numFmtId="0" fontId="4" fillId="4" borderId="75" xfId="0" applyFont="1" applyFill="1" applyBorder="1" applyAlignment="1">
      <alignment horizontal="center" vertical="center" wrapText="1"/>
    </xf>
    <xf numFmtId="0" fontId="4" fillId="4" borderId="76" xfId="0" applyFont="1" applyFill="1" applyBorder="1" applyAlignment="1">
      <alignment horizontal="center" vertical="center" wrapText="1"/>
    </xf>
    <xf numFmtId="0" fontId="4" fillId="4" borderId="76" xfId="0" quotePrefix="1" applyFont="1" applyFill="1" applyBorder="1" applyAlignment="1">
      <alignment horizontal="center" vertical="center" wrapText="1"/>
    </xf>
    <xf numFmtId="0" fontId="4" fillId="4" borderId="76" xfId="0" applyFont="1" applyFill="1" applyBorder="1" applyAlignment="1">
      <alignment horizontal="left" vertical="center" wrapText="1"/>
    </xf>
    <xf numFmtId="4" fontId="3" fillId="4" borderId="76" xfId="0" applyNumberFormat="1" applyFont="1" applyFill="1" applyBorder="1" applyAlignment="1">
      <alignment horizontal="center" vertical="center" wrapText="1"/>
    </xf>
    <xf numFmtId="164" fontId="3" fillId="4" borderId="76" xfId="0" applyNumberFormat="1" applyFont="1" applyFill="1" applyBorder="1" applyAlignment="1">
      <alignment horizontal="center" vertical="center" wrapText="1"/>
    </xf>
    <xf numFmtId="164" fontId="4" fillId="4" borderId="77" xfId="0" applyNumberFormat="1" applyFont="1" applyFill="1" applyBorder="1" applyAlignment="1">
      <alignment vertical="center" wrapText="1"/>
    </xf>
    <xf numFmtId="0" fontId="4" fillId="0" borderId="78" xfId="0" applyFont="1" applyFill="1" applyBorder="1" applyAlignment="1">
      <alignment horizontal="center" vertical="center" wrapText="1"/>
    </xf>
    <xf numFmtId="164" fontId="4" fillId="0" borderId="78" xfId="2" applyFont="1" applyFill="1" applyBorder="1" applyAlignment="1">
      <alignment horizontal="center" vertical="center" wrapText="1"/>
    </xf>
    <xf numFmtId="0" fontId="4" fillId="0" borderId="79" xfId="0" applyFont="1" applyFill="1" applyBorder="1" applyAlignment="1">
      <alignment horizontal="center" vertical="center" wrapText="1"/>
    </xf>
    <xf numFmtId="164" fontId="4" fillId="0" borderId="80" xfId="2" applyFont="1" applyFill="1" applyBorder="1" applyAlignment="1">
      <alignment horizontal="center" vertical="center" wrapText="1"/>
    </xf>
    <xf numFmtId="0" fontId="3" fillId="3" borderId="66" xfId="0" applyFont="1" applyFill="1" applyBorder="1" applyAlignment="1">
      <alignment horizontal="center"/>
    </xf>
    <xf numFmtId="4" fontId="3" fillId="3" borderId="66" xfId="0" applyNumberFormat="1" applyFont="1" applyFill="1" applyBorder="1" applyAlignment="1">
      <alignment horizontal="right"/>
    </xf>
    <xf numFmtId="4" fontId="3" fillId="3" borderId="66" xfId="0" applyNumberFormat="1" applyFont="1" applyFill="1" applyBorder="1" applyAlignment="1"/>
    <xf numFmtId="164" fontId="3" fillId="3" borderId="66" xfId="0" applyNumberFormat="1" applyFont="1" applyFill="1" applyBorder="1" applyAlignment="1">
      <alignment horizontal="center" vertical="center" wrapText="1"/>
    </xf>
    <xf numFmtId="164" fontId="3" fillId="3" borderId="67" xfId="0" applyNumberFormat="1" applyFont="1" applyFill="1" applyBorder="1" applyAlignment="1">
      <alignment vertical="center" wrapText="1"/>
    </xf>
    <xf numFmtId="0" fontId="3" fillId="3" borderId="0" xfId="0" applyFont="1" applyFill="1" applyAlignment="1"/>
    <xf numFmtId="0" fontId="3" fillId="3" borderId="81" xfId="0" applyFont="1" applyFill="1" applyBorder="1" applyAlignment="1">
      <alignment horizontal="center" vertical="center" wrapText="1"/>
    </xf>
    <xf numFmtId="0" fontId="3" fillId="3" borderId="82" xfId="0" applyFont="1" applyFill="1" applyBorder="1" applyAlignment="1">
      <alignment horizontal="center" vertical="center" wrapText="1"/>
    </xf>
    <xf numFmtId="0" fontId="3" fillId="3" borderId="82" xfId="0" applyFont="1" applyFill="1" applyBorder="1"/>
    <xf numFmtId="0" fontId="3" fillId="3" borderId="19" xfId="0" applyFont="1" applyFill="1" applyBorder="1" applyAlignment="1">
      <alignment horizontal="center" vertical="center" wrapText="1"/>
    </xf>
    <xf numFmtId="170" fontId="3" fillId="3" borderId="66" xfId="0" applyNumberFormat="1" applyFont="1" applyFill="1" applyBorder="1" applyAlignment="1">
      <alignment horizontal="right"/>
    </xf>
    <xf numFmtId="0" fontId="3" fillId="3" borderId="82" xfId="0" applyFont="1" applyFill="1" applyBorder="1" applyAlignment="1">
      <alignment horizontal="center"/>
    </xf>
    <xf numFmtId="4" fontId="3" fillId="3" borderId="82" xfId="0" applyNumberFormat="1" applyFont="1" applyFill="1" applyBorder="1" applyAlignment="1">
      <alignment horizontal="right"/>
    </xf>
    <xf numFmtId="4" fontId="3" fillId="3" borderId="82" xfId="0" applyNumberFormat="1" applyFont="1" applyFill="1" applyBorder="1" applyAlignment="1"/>
    <xf numFmtId="9" fontId="3" fillId="0" borderId="0" xfId="1" applyFont="1" applyFill="1" applyBorder="1" applyAlignment="1">
      <alignment vertical="center" wrapText="1"/>
    </xf>
    <xf numFmtId="9" fontId="4" fillId="0" borderId="0" xfId="1" applyFont="1" applyFill="1" applyBorder="1" applyAlignment="1">
      <alignment vertical="center" wrapText="1"/>
    </xf>
    <xf numFmtId="9" fontId="4" fillId="0" borderId="0" xfId="0" applyNumberFormat="1" applyFont="1" applyFill="1" applyBorder="1" applyAlignment="1">
      <alignment vertical="center" wrapText="1"/>
    </xf>
    <xf numFmtId="9" fontId="4" fillId="0" borderId="0" xfId="1" applyFont="1" applyAlignment="1">
      <alignment vertical="center" wrapText="1"/>
    </xf>
    <xf numFmtId="0" fontId="3" fillId="5" borderId="0" xfId="0" applyFont="1" applyFill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84" xfId="0" applyFont="1" applyFill="1" applyBorder="1" applyAlignment="1">
      <alignment horizontal="center" vertical="center" wrapText="1"/>
    </xf>
    <xf numFmtId="0" fontId="3" fillId="0" borderId="84" xfId="0" quotePrefix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left" vertical="center" wrapText="1"/>
    </xf>
    <xf numFmtId="0" fontId="3" fillId="0" borderId="27" xfId="0" applyFont="1" applyFill="1" applyBorder="1" applyAlignment="1">
      <alignment horizontal="center" vertical="center" wrapText="1"/>
    </xf>
    <xf numFmtId="164" fontId="3" fillId="0" borderId="85" xfId="2" applyFont="1" applyFill="1" applyBorder="1" applyAlignment="1">
      <alignment horizontal="center" vertical="center" wrapText="1"/>
    </xf>
    <xf numFmtId="164" fontId="3" fillId="0" borderId="28" xfId="2" applyFont="1" applyFill="1" applyBorder="1" applyAlignment="1">
      <alignment horizontal="center" vertical="center" wrapText="1"/>
    </xf>
    <xf numFmtId="2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left" vertical="center" wrapText="1"/>
    </xf>
    <xf numFmtId="164" fontId="4" fillId="6" borderId="40" xfId="2" applyFont="1" applyFill="1" applyBorder="1" applyAlignment="1">
      <alignment horizontal="center" vertical="center" wrapText="1"/>
    </xf>
    <xf numFmtId="164" fontId="4" fillId="6" borderId="21" xfId="2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4" fontId="4" fillId="4" borderId="2" xfId="0" applyNumberFormat="1" applyFont="1" applyFill="1" applyBorder="1" applyAlignment="1">
      <alignment horizontal="center" vertical="center"/>
    </xf>
    <xf numFmtId="0" fontId="0" fillId="4" borderId="2" xfId="0" applyFill="1" applyBorder="1" applyAlignment="1">
      <alignment vertical="center"/>
    </xf>
    <xf numFmtId="0" fontId="4" fillId="4" borderId="3" xfId="0" quotePrefix="1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4" fontId="3" fillId="0" borderId="2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4" fillId="4" borderId="27" xfId="0" quotePrefix="1" applyFont="1" applyFill="1" applyBorder="1" applyAlignment="1">
      <alignment vertical="distributed" wrapText="1"/>
    </xf>
    <xf numFmtId="0" fontId="3" fillId="3" borderId="26" xfId="0" applyFont="1" applyFill="1" applyBorder="1" applyAlignment="1">
      <alignment horizontal="center"/>
    </xf>
    <xf numFmtId="0" fontId="3" fillId="3" borderId="84" xfId="0" applyFont="1" applyFill="1" applyBorder="1" applyAlignment="1">
      <alignment horizontal="center"/>
    </xf>
    <xf numFmtId="0" fontId="3" fillId="3" borderId="0" xfId="0" applyFont="1" applyFill="1"/>
    <xf numFmtId="0" fontId="0" fillId="3" borderId="0" xfId="0" applyFill="1"/>
    <xf numFmtId="0" fontId="4" fillId="3" borderId="86" xfId="0" applyFont="1" applyFill="1" applyBorder="1" applyAlignment="1">
      <alignment horizontal="left" vertical="center" wrapText="1"/>
    </xf>
    <xf numFmtId="9" fontId="4" fillId="2" borderId="0" xfId="1" applyNumberFormat="1" applyFont="1" applyFill="1" applyBorder="1" applyAlignment="1">
      <alignment vertical="center" wrapText="1"/>
    </xf>
    <xf numFmtId="0" fontId="3" fillId="3" borderId="20" xfId="0" quotePrefix="1" applyFont="1" applyFill="1" applyBorder="1" applyAlignment="1">
      <alignment horizontal="center" vertical="center" wrapText="1"/>
    </xf>
    <xf numFmtId="0" fontId="3" fillId="3" borderId="76" xfId="0" applyFont="1" applyFill="1" applyBorder="1" applyAlignment="1">
      <alignment horizontal="center" vertical="center" wrapText="1"/>
    </xf>
    <xf numFmtId="0" fontId="3" fillId="3" borderId="76" xfId="0" applyFont="1" applyFill="1" applyBorder="1" applyAlignment="1">
      <alignment horizontal="left" vertical="distributed" wrapText="1"/>
    </xf>
    <xf numFmtId="164" fontId="3" fillId="3" borderId="76" xfId="2" applyFont="1" applyFill="1" applyBorder="1" applyAlignment="1">
      <alignment horizontal="center" vertical="center" wrapText="1"/>
    </xf>
    <xf numFmtId="164" fontId="3" fillId="3" borderId="76" xfId="2" applyFont="1" applyFill="1" applyBorder="1" applyAlignment="1">
      <alignment horizontal="center" vertical="center"/>
    </xf>
    <xf numFmtId="164" fontId="3" fillId="3" borderId="77" xfId="2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164" fontId="3" fillId="3" borderId="0" xfId="0" applyNumberFormat="1" applyFont="1" applyFill="1" applyBorder="1" applyAlignment="1">
      <alignment vertical="center" wrapText="1"/>
    </xf>
    <xf numFmtId="0" fontId="0" fillId="3" borderId="66" xfId="0" applyNumberFormat="1" applyFill="1" applyBorder="1"/>
    <xf numFmtId="0" fontId="3" fillId="3" borderId="66" xfId="0" quotePrefix="1" applyFont="1" applyFill="1" applyBorder="1" applyAlignment="1">
      <alignment horizontal="center" vertical="center" wrapText="1"/>
    </xf>
    <xf numFmtId="0" fontId="3" fillId="3" borderId="66" xfId="0" applyFont="1" applyFill="1" applyBorder="1" applyAlignment="1">
      <alignment horizontal="left" vertical="center" wrapText="1"/>
    </xf>
    <xf numFmtId="4" fontId="3" fillId="3" borderId="66" xfId="0" applyNumberFormat="1" applyFont="1" applyFill="1" applyBorder="1" applyAlignment="1">
      <alignment horizontal="right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left" vertical="center" wrapText="1"/>
    </xf>
    <xf numFmtId="2" fontId="3" fillId="3" borderId="0" xfId="0" applyNumberFormat="1" applyFont="1" applyFill="1" applyAlignment="1">
      <alignment horizontal="right" vertical="center" wrapText="1"/>
    </xf>
    <xf numFmtId="164" fontId="3" fillId="3" borderId="0" xfId="0" applyNumberFormat="1" applyFont="1" applyFill="1" applyAlignment="1">
      <alignment horizontal="center" vertical="center" wrapText="1"/>
    </xf>
    <xf numFmtId="164" fontId="3" fillId="3" borderId="0" xfId="0" applyNumberFormat="1" applyFont="1" applyFill="1" applyAlignment="1">
      <alignment vertical="center" wrapText="1"/>
    </xf>
    <xf numFmtId="0" fontId="3" fillId="3" borderId="82" xfId="0" applyFont="1" applyFill="1" applyBorder="1" applyAlignment="1">
      <alignment horizontal="left" vertical="distributed" wrapText="1"/>
    </xf>
    <xf numFmtId="164" fontId="3" fillId="3" borderId="82" xfId="2" applyFont="1" applyFill="1" applyBorder="1" applyAlignment="1">
      <alignment horizontal="center" vertical="center" wrapText="1"/>
    </xf>
    <xf numFmtId="164" fontId="3" fillId="3" borderId="82" xfId="2" applyFont="1" applyFill="1" applyBorder="1" applyAlignment="1">
      <alignment horizontal="center" vertical="center"/>
    </xf>
    <xf numFmtId="164" fontId="3" fillId="3" borderId="83" xfId="2" applyFont="1" applyFill="1" applyBorder="1" applyAlignment="1">
      <alignment horizontal="center" vertical="center" wrapText="1"/>
    </xf>
    <xf numFmtId="2" fontId="3" fillId="3" borderId="66" xfId="0" applyNumberFormat="1" applyFont="1" applyFill="1" applyBorder="1" applyAlignment="1">
      <alignment horizontal="right" vertical="center" wrapText="1"/>
    </xf>
    <xf numFmtId="0" fontId="3" fillId="3" borderId="69" xfId="0" applyFont="1" applyFill="1" applyBorder="1" applyAlignment="1">
      <alignment horizontal="center" vertical="center" wrapText="1"/>
    </xf>
    <xf numFmtId="164" fontId="3" fillId="3" borderId="68" xfId="0" applyNumberFormat="1" applyFont="1" applyFill="1" applyBorder="1" applyAlignment="1">
      <alignment vertical="center" wrapText="1"/>
    </xf>
    <xf numFmtId="0" fontId="3" fillId="3" borderId="0" xfId="0" applyFont="1" applyFill="1" applyBorder="1" applyAlignment="1">
      <alignment horizontal="left" vertical="distributed" wrapText="1"/>
    </xf>
    <xf numFmtId="0" fontId="4" fillId="3" borderId="65" xfId="0" applyFont="1" applyFill="1" applyBorder="1" applyAlignment="1">
      <alignment horizontal="center" vertical="center" wrapText="1"/>
    </xf>
    <xf numFmtId="164" fontId="3" fillId="3" borderId="63" xfId="2" applyFont="1" applyFill="1" applyBorder="1" applyAlignment="1">
      <alignment horizontal="center" vertical="center" wrapText="1"/>
    </xf>
    <xf numFmtId="164" fontId="3" fillId="3" borderId="64" xfId="2" applyFont="1" applyFill="1" applyBorder="1" applyAlignment="1">
      <alignment horizontal="center" vertical="center" wrapText="1"/>
    </xf>
    <xf numFmtId="10" fontId="3" fillId="3" borderId="55" xfId="0" applyNumberFormat="1" applyFont="1" applyFill="1" applyBorder="1" applyAlignment="1">
      <alignment vertical="center" wrapText="1"/>
    </xf>
    <xf numFmtId="10" fontId="3" fillId="3" borderId="56" xfId="1" applyNumberFormat="1" applyFont="1" applyFill="1" applyBorder="1" applyAlignment="1">
      <alignment horizontal="center" vertical="center" wrapText="1"/>
    </xf>
    <xf numFmtId="0" fontId="3" fillId="3" borderId="63" xfId="0" applyFont="1" applyFill="1" applyBorder="1" applyAlignment="1">
      <alignment horizontal="center" vertical="center" wrapText="1"/>
    </xf>
    <xf numFmtId="0" fontId="3" fillId="3" borderId="63" xfId="0" applyFont="1" applyFill="1" applyBorder="1" applyAlignment="1">
      <alignment horizontal="left" vertical="center" wrapText="1"/>
    </xf>
    <xf numFmtId="0" fontId="3" fillId="3" borderId="55" xfId="0" applyFont="1" applyFill="1" applyBorder="1" applyAlignment="1">
      <alignment vertical="center" wrapText="1"/>
    </xf>
    <xf numFmtId="0" fontId="3" fillId="3" borderId="56" xfId="0" applyFont="1" applyFill="1" applyBorder="1" applyAlignment="1">
      <alignment horizontal="center" vertical="center" wrapText="1"/>
    </xf>
    <xf numFmtId="164" fontId="3" fillId="3" borderId="55" xfId="0" applyNumberFormat="1" applyFont="1" applyFill="1" applyBorder="1" applyAlignment="1">
      <alignment vertical="center" wrapText="1"/>
    </xf>
    <xf numFmtId="0" fontId="3" fillId="3" borderId="56" xfId="0" applyFont="1" applyFill="1" applyBorder="1" applyAlignment="1">
      <alignment vertical="center" wrapText="1"/>
    </xf>
    <xf numFmtId="10" fontId="3" fillId="3" borderId="57" xfId="0" applyNumberFormat="1" applyFont="1" applyFill="1" applyBorder="1" applyAlignment="1">
      <alignment vertical="center" wrapText="1"/>
    </xf>
    <xf numFmtId="4" fontId="3" fillId="3" borderId="58" xfId="0" applyNumberFormat="1" applyFont="1" applyFill="1" applyBorder="1" applyAlignment="1">
      <alignment vertical="center" wrapText="1"/>
    </xf>
    <xf numFmtId="10" fontId="3" fillId="3" borderId="59" xfId="1" applyNumberFormat="1" applyFont="1" applyFill="1" applyBorder="1" applyAlignment="1">
      <alignment horizontal="center" vertical="center" wrapText="1"/>
    </xf>
    <xf numFmtId="4" fontId="3" fillId="3" borderId="0" xfId="0" applyNumberFormat="1" applyFont="1" applyFill="1" applyAlignment="1">
      <alignment vertical="center" wrapText="1"/>
    </xf>
    <xf numFmtId="4" fontId="3" fillId="3" borderId="0" xfId="0" applyNumberFormat="1" applyFont="1" applyFill="1" applyBorder="1" applyAlignment="1">
      <alignment vertical="center" wrapText="1"/>
    </xf>
    <xf numFmtId="168" fontId="4" fillId="3" borderId="0" xfId="1" applyNumberFormat="1" applyFont="1" applyFill="1" applyBorder="1" applyAlignment="1">
      <alignment vertical="center" wrapText="1"/>
    </xf>
    <xf numFmtId="164" fontId="4" fillId="3" borderId="0" xfId="2" applyFont="1" applyFill="1" applyBorder="1" applyAlignment="1">
      <alignment vertical="center" wrapText="1"/>
    </xf>
    <xf numFmtId="9" fontId="3" fillId="3" borderId="0" xfId="1" applyFont="1" applyFill="1" applyBorder="1" applyAlignment="1">
      <alignment vertical="center" wrapText="1"/>
    </xf>
    <xf numFmtId="2" fontId="11" fillId="3" borderId="20" xfId="0" applyNumberFormat="1" applyFont="1" applyFill="1" applyBorder="1" applyAlignment="1">
      <alignment vertical="center" wrapText="1"/>
    </xf>
    <xf numFmtId="9" fontId="4" fillId="3" borderId="0" xfId="1" applyFont="1" applyFill="1" applyBorder="1" applyAlignment="1">
      <alignment vertical="center" wrapText="1"/>
    </xf>
    <xf numFmtId="0" fontId="3" fillId="3" borderId="20" xfId="0" applyFont="1" applyFill="1" applyBorder="1" applyAlignment="1">
      <alignment horizontal="left" vertical="distributed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left" vertical="center" wrapText="1"/>
    </xf>
    <xf numFmtId="4" fontId="3" fillId="2" borderId="30" xfId="0" applyNumberFormat="1" applyFont="1" applyFill="1" applyBorder="1" applyAlignment="1">
      <alignment horizontal="center" vertical="center" wrapText="1"/>
    </xf>
    <xf numFmtId="2" fontId="3" fillId="2" borderId="30" xfId="0" applyNumberFormat="1" applyFont="1" applyFill="1" applyBorder="1" applyAlignment="1">
      <alignment horizontal="center" vertical="center" wrapText="1"/>
    </xf>
    <xf numFmtId="164" fontId="3" fillId="2" borderId="30" xfId="0" applyNumberFormat="1" applyFont="1" applyFill="1" applyBorder="1" applyAlignment="1">
      <alignment horizontal="center" vertical="center" wrapText="1"/>
    </xf>
    <xf numFmtId="164" fontId="3" fillId="2" borderId="31" xfId="0" applyNumberFormat="1" applyFont="1" applyFill="1" applyBorder="1" applyAlignment="1">
      <alignment vertical="center" wrapText="1"/>
    </xf>
    <xf numFmtId="0" fontId="3" fillId="0" borderId="45" xfId="0" applyFont="1" applyBorder="1" applyAlignment="1">
      <alignment horizontal="center"/>
    </xf>
    <xf numFmtId="9" fontId="3" fillId="0" borderId="46" xfId="1" applyFont="1" applyBorder="1" applyAlignment="1"/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4" fontId="3" fillId="2" borderId="27" xfId="0" applyNumberFormat="1" applyFont="1" applyFill="1" applyBorder="1" applyAlignment="1">
      <alignment horizontal="center" vertical="center" wrapText="1"/>
    </xf>
    <xf numFmtId="2" fontId="3" fillId="2" borderId="27" xfId="0" applyNumberFormat="1" applyFont="1" applyFill="1" applyBorder="1" applyAlignment="1">
      <alignment horizontal="center" vertical="center" wrapText="1"/>
    </xf>
    <xf numFmtId="164" fontId="3" fillId="2" borderId="27" xfId="0" applyNumberFormat="1" applyFont="1" applyFill="1" applyBorder="1" applyAlignment="1">
      <alignment horizontal="center" vertical="center" wrapText="1"/>
    </xf>
    <xf numFmtId="164" fontId="3" fillId="2" borderId="28" xfId="0" applyNumberFormat="1" applyFont="1" applyFill="1" applyBorder="1" applyAlignment="1">
      <alignment vertical="center" wrapText="1"/>
    </xf>
    <xf numFmtId="4" fontId="3" fillId="2" borderId="20" xfId="0" applyNumberFormat="1" applyFont="1" applyFill="1" applyBorder="1" applyAlignment="1">
      <alignment horizontal="center" vertical="center" wrapText="1"/>
    </xf>
    <xf numFmtId="2" fontId="3" fillId="0" borderId="20" xfId="0" applyNumberFormat="1" applyFont="1" applyFill="1" applyBorder="1" applyAlignment="1">
      <alignment horizontal="center" vertical="center" wrapText="1"/>
    </xf>
    <xf numFmtId="164" fontId="3" fillId="2" borderId="40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/>
    <xf numFmtId="4" fontId="4" fillId="2" borderId="20" xfId="0" applyNumberFormat="1" applyFont="1" applyFill="1" applyBorder="1" applyAlignment="1">
      <alignment horizontal="center" vertical="center" wrapText="1"/>
    </xf>
    <xf numFmtId="2" fontId="4" fillId="0" borderId="20" xfId="0" applyNumberFormat="1" applyFont="1" applyFill="1" applyBorder="1" applyAlignment="1">
      <alignment horizontal="center" vertical="center" wrapText="1"/>
    </xf>
    <xf numFmtId="164" fontId="4" fillId="2" borderId="40" xfId="0" applyNumberFormat="1" applyFont="1" applyFill="1" applyBorder="1" applyAlignment="1">
      <alignment horizontal="center" vertical="center" wrapText="1"/>
    </xf>
    <xf numFmtId="0" fontId="4" fillId="2" borderId="87" xfId="0" applyFont="1" applyFill="1" applyBorder="1" applyAlignment="1">
      <alignment horizontal="center" vertical="center" wrapText="1"/>
    </xf>
    <xf numFmtId="0" fontId="3" fillId="2" borderId="88" xfId="0" applyFont="1" applyFill="1" applyBorder="1" applyAlignment="1">
      <alignment horizontal="center" vertical="center" wrapText="1"/>
    </xf>
    <xf numFmtId="0" fontId="4" fillId="2" borderId="88" xfId="0" applyFont="1" applyFill="1" applyBorder="1" applyAlignment="1">
      <alignment horizontal="left" vertical="center" wrapText="1"/>
    </xf>
    <xf numFmtId="4" fontId="3" fillId="2" borderId="88" xfId="0" applyNumberFormat="1" applyFont="1" applyFill="1" applyBorder="1" applyAlignment="1">
      <alignment horizontal="center" vertical="center" wrapText="1"/>
    </xf>
    <xf numFmtId="2" fontId="3" fillId="0" borderId="88" xfId="0" applyNumberFormat="1" applyFont="1" applyFill="1" applyBorder="1" applyAlignment="1">
      <alignment horizontal="center" vertical="center" wrapText="1"/>
    </xf>
    <xf numFmtId="164" fontId="3" fillId="2" borderId="89" xfId="0" applyNumberFormat="1" applyFont="1" applyFill="1" applyBorder="1" applyAlignment="1">
      <alignment horizontal="center" vertical="center" wrapText="1"/>
    </xf>
    <xf numFmtId="164" fontId="4" fillId="2" borderId="90" xfId="0" applyNumberFormat="1" applyFont="1" applyFill="1" applyBorder="1" applyAlignment="1">
      <alignment vertical="center" wrapText="1"/>
    </xf>
    <xf numFmtId="0" fontId="4" fillId="2" borderId="70" xfId="0" applyFont="1" applyFill="1" applyBorder="1" applyAlignment="1">
      <alignment horizontal="center" vertical="center" wrapText="1"/>
    </xf>
    <xf numFmtId="0" fontId="4" fillId="2" borderId="63" xfId="0" applyFont="1" applyFill="1" applyBorder="1" applyAlignment="1">
      <alignment horizontal="left" vertical="center" wrapText="1"/>
    </xf>
    <xf numFmtId="4" fontId="3" fillId="2" borderId="63" xfId="0" applyNumberFormat="1" applyFont="1" applyFill="1" applyBorder="1" applyAlignment="1">
      <alignment horizontal="center" vertical="center" wrapText="1"/>
    </xf>
    <xf numFmtId="2" fontId="3" fillId="0" borderId="63" xfId="0" applyNumberFormat="1" applyFont="1" applyFill="1" applyBorder="1" applyAlignment="1">
      <alignment horizontal="center" vertical="center" wrapText="1"/>
    </xf>
    <xf numFmtId="164" fontId="3" fillId="2" borderId="91" xfId="0" applyNumberFormat="1" applyFont="1" applyFill="1" applyBorder="1" applyAlignment="1">
      <alignment horizontal="center" vertical="center" wrapText="1"/>
    </xf>
    <xf numFmtId="164" fontId="4" fillId="2" borderId="64" xfId="0" applyNumberFormat="1" applyFont="1" applyFill="1" applyBorder="1" applyAlignment="1">
      <alignment vertical="center" wrapText="1"/>
    </xf>
    <xf numFmtId="2" fontId="3" fillId="0" borderId="20" xfId="0" applyNumberFormat="1" applyFont="1" applyBorder="1" applyAlignment="1">
      <alignment horizontal="center"/>
    </xf>
    <xf numFmtId="164" fontId="3" fillId="2" borderId="21" xfId="0" applyNumberFormat="1" applyFont="1" applyFill="1" applyBorder="1" applyAlignment="1">
      <alignment vertical="center" wrapText="1"/>
    </xf>
    <xf numFmtId="2" fontId="3" fillId="0" borderId="20" xfId="0" applyNumberFormat="1" applyFont="1" applyFill="1" applyBorder="1" applyAlignment="1">
      <alignment horizontal="center" wrapText="1"/>
    </xf>
    <xf numFmtId="4" fontId="3" fillId="0" borderId="20" xfId="0" applyNumberFormat="1" applyFont="1" applyFill="1" applyBorder="1" applyAlignment="1">
      <alignment horizontal="center" vertical="center" wrapText="1"/>
    </xf>
    <xf numFmtId="0" fontId="3" fillId="2" borderId="87" xfId="0" applyFont="1" applyFill="1" applyBorder="1" applyAlignment="1">
      <alignment horizontal="center" vertical="center" wrapText="1"/>
    </xf>
    <xf numFmtId="0" fontId="3" fillId="2" borderId="88" xfId="0" applyFont="1" applyFill="1" applyBorder="1" applyAlignment="1">
      <alignment horizontal="left" vertical="center" wrapText="1"/>
    </xf>
    <xf numFmtId="2" fontId="3" fillId="0" borderId="88" xfId="0" applyNumberFormat="1" applyFont="1" applyFill="1" applyBorder="1" applyAlignment="1">
      <alignment horizontal="center" wrapText="1"/>
    </xf>
    <xf numFmtId="164" fontId="3" fillId="2" borderId="90" xfId="0" applyNumberFormat="1" applyFont="1" applyFill="1" applyBorder="1" applyAlignment="1">
      <alignment vertical="center" wrapText="1"/>
    </xf>
    <xf numFmtId="0" fontId="3" fillId="2" borderId="63" xfId="0" applyFont="1" applyFill="1" applyBorder="1" applyAlignment="1">
      <alignment horizontal="left" vertical="center" wrapText="1"/>
    </xf>
    <xf numFmtId="2" fontId="3" fillId="0" borderId="63" xfId="0" applyNumberFormat="1" applyFont="1" applyFill="1" applyBorder="1" applyAlignment="1">
      <alignment horizontal="center" wrapText="1"/>
    </xf>
    <xf numFmtId="164" fontId="3" fillId="2" borderId="64" xfId="0" applyNumberFormat="1" applyFont="1" applyFill="1" applyBorder="1" applyAlignment="1">
      <alignment vertical="center" wrapText="1"/>
    </xf>
    <xf numFmtId="2" fontId="3" fillId="0" borderId="20" xfId="0" applyNumberFormat="1" applyFont="1" applyFill="1" applyBorder="1" applyAlignment="1">
      <alignment horizontal="center"/>
    </xf>
    <xf numFmtId="2" fontId="3" fillId="0" borderId="20" xfId="0" applyNumberFormat="1" applyFont="1" applyFill="1" applyBorder="1" applyAlignment="1">
      <alignment horizontal="center" vertical="center"/>
    </xf>
    <xf numFmtId="164" fontId="3" fillId="0" borderId="40" xfId="0" applyNumberFormat="1" applyFont="1" applyFill="1" applyBorder="1" applyAlignment="1">
      <alignment horizontal="center" vertical="center" wrapText="1"/>
    </xf>
    <xf numFmtId="164" fontId="3" fillId="0" borderId="21" xfId="0" applyNumberFormat="1" applyFont="1" applyFill="1" applyBorder="1" applyAlignment="1">
      <alignment vertical="center" wrapText="1"/>
    </xf>
    <xf numFmtId="0" fontId="3" fillId="7" borderId="1" xfId="0" applyFont="1" applyFill="1" applyBorder="1" applyAlignment="1"/>
    <xf numFmtId="0" fontId="3" fillId="7" borderId="0" xfId="0" applyFont="1" applyFill="1" applyBorder="1" applyAlignment="1"/>
    <xf numFmtId="0" fontId="3" fillId="7" borderId="0" xfId="0" applyFont="1" applyFill="1" applyAlignment="1">
      <alignment wrapText="1"/>
    </xf>
    <xf numFmtId="0" fontId="3" fillId="2" borderId="92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2" fontId="3" fillId="0" borderId="88" xfId="0" applyNumberFormat="1" applyFont="1" applyBorder="1" applyAlignment="1">
      <alignment horizontal="center"/>
    </xf>
    <xf numFmtId="2" fontId="3" fillId="0" borderId="63" xfId="0" applyNumberFormat="1" applyFont="1" applyBorder="1" applyAlignment="1">
      <alignment horizontal="center"/>
    </xf>
    <xf numFmtId="2" fontId="4" fillId="0" borderId="20" xfId="0" applyNumberFormat="1" applyFont="1" applyBorder="1" applyAlignment="1">
      <alignment horizontal="center"/>
    </xf>
    <xf numFmtId="0" fontId="3" fillId="0" borderId="88" xfId="0" applyFont="1" applyFill="1" applyBorder="1" applyAlignment="1">
      <alignment horizontal="left" vertical="center" wrapText="1"/>
    </xf>
    <xf numFmtId="0" fontId="3" fillId="0" borderId="63" xfId="0" applyFont="1" applyFill="1" applyBorder="1" applyAlignment="1">
      <alignment horizontal="left" vertical="center" wrapText="1"/>
    </xf>
    <xf numFmtId="0" fontId="4" fillId="2" borderId="95" xfId="0" applyFont="1" applyFill="1" applyBorder="1" applyAlignment="1">
      <alignment horizontal="center" vertical="center" wrapText="1"/>
    </xf>
    <xf numFmtId="0" fontId="3" fillId="2" borderId="96" xfId="0" applyFont="1" applyFill="1" applyBorder="1" applyAlignment="1">
      <alignment horizontal="center" vertical="center" wrapText="1"/>
    </xf>
    <xf numFmtId="0" fontId="3" fillId="2" borderId="96" xfId="0" applyFont="1" applyFill="1" applyBorder="1" applyAlignment="1">
      <alignment horizontal="left" vertical="center" wrapText="1"/>
    </xf>
    <xf numFmtId="4" fontId="3" fillId="2" borderId="96" xfId="0" applyNumberFormat="1" applyFont="1" applyFill="1" applyBorder="1" applyAlignment="1">
      <alignment horizontal="center" vertical="center" wrapText="1"/>
    </xf>
    <xf numFmtId="2" fontId="3" fillId="0" borderId="96" xfId="0" applyNumberFormat="1" applyFont="1" applyFill="1" applyBorder="1" applyAlignment="1">
      <alignment horizontal="center" vertical="center" wrapText="1"/>
    </xf>
    <xf numFmtId="0" fontId="4" fillId="2" borderId="96" xfId="0" applyFont="1" applyFill="1" applyBorder="1" applyAlignment="1">
      <alignment horizontal="left" vertical="center" wrapText="1"/>
    </xf>
    <xf numFmtId="0" fontId="4" fillId="2" borderId="88" xfId="0" applyFont="1" applyFill="1" applyBorder="1" applyAlignment="1">
      <alignment horizontal="center" vertical="center" wrapText="1"/>
    </xf>
    <xf numFmtId="4" fontId="4" fillId="2" borderId="88" xfId="0" applyNumberFormat="1" applyFont="1" applyFill="1" applyBorder="1" applyAlignment="1">
      <alignment horizontal="center" vertical="center" wrapText="1"/>
    </xf>
    <xf numFmtId="2" fontId="4" fillId="0" borderId="88" xfId="0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horizontal="center" wrapText="1"/>
    </xf>
    <xf numFmtId="2" fontId="3" fillId="0" borderId="0" xfId="0" applyNumberFormat="1" applyFont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2" fontId="4" fillId="4" borderId="6" xfId="0" applyNumberFormat="1" applyFont="1" applyFill="1" applyBorder="1" applyAlignment="1">
      <alignment horizontal="center" vertical="center" wrapText="1"/>
    </xf>
    <xf numFmtId="164" fontId="4" fillId="4" borderId="6" xfId="0" applyNumberFormat="1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2" fontId="4" fillId="4" borderId="2" xfId="0" applyNumberFormat="1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vertical="center" wrapText="1"/>
    </xf>
    <xf numFmtId="2" fontId="4" fillId="4" borderId="24" xfId="0" applyNumberFormat="1" applyFont="1" applyFill="1" applyBorder="1" applyAlignment="1">
      <alignment horizontal="center" vertical="center" wrapText="1"/>
    </xf>
    <xf numFmtId="164" fontId="5" fillId="4" borderId="24" xfId="0" applyNumberFormat="1" applyFont="1" applyFill="1" applyBorder="1" applyAlignment="1">
      <alignment horizontal="center" vertical="center" wrapText="1"/>
    </xf>
    <xf numFmtId="164" fontId="5" fillId="4" borderId="25" xfId="0" applyNumberFormat="1" applyFont="1" applyFill="1" applyBorder="1" applyAlignment="1">
      <alignment horizontal="center" vertical="center" wrapText="1"/>
    </xf>
    <xf numFmtId="2" fontId="4" fillId="4" borderId="14" xfId="0" applyNumberFormat="1" applyFont="1" applyFill="1" applyBorder="1" applyAlignment="1">
      <alignment horizontal="center" vertical="center" wrapText="1"/>
    </xf>
    <xf numFmtId="164" fontId="5" fillId="4" borderId="14" xfId="0" applyNumberFormat="1" applyFont="1" applyFill="1" applyBorder="1" applyAlignment="1">
      <alignment horizontal="center" vertical="center" wrapText="1"/>
    </xf>
    <xf numFmtId="164" fontId="5" fillId="4" borderId="16" xfId="0" applyNumberFormat="1" applyFont="1" applyFill="1" applyBorder="1" applyAlignment="1">
      <alignment horizontal="center" vertical="center" wrapText="1"/>
    </xf>
    <xf numFmtId="164" fontId="14" fillId="4" borderId="14" xfId="0" applyNumberFormat="1" applyFont="1" applyFill="1" applyBorder="1" applyAlignment="1">
      <alignment horizontal="center" vertical="center" wrapText="1"/>
    </xf>
    <xf numFmtId="14" fontId="6" fillId="4" borderId="18" xfId="0" quotePrefix="1" applyNumberFormat="1" applyFont="1" applyFill="1" applyBorder="1" applyAlignment="1">
      <alignment horizontal="left" vertical="center" wrapText="1"/>
    </xf>
    <xf numFmtId="0" fontId="4" fillId="0" borderId="49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left" vertical="center" wrapText="1"/>
    </xf>
    <xf numFmtId="4" fontId="3" fillId="0" borderId="50" xfId="0" applyNumberFormat="1" applyFont="1" applyFill="1" applyBorder="1" applyAlignment="1">
      <alignment horizontal="right" vertical="center" wrapText="1"/>
    </xf>
    <xf numFmtId="164" fontId="3" fillId="0" borderId="50" xfId="0" applyNumberFormat="1" applyFont="1" applyFill="1" applyBorder="1" applyAlignment="1">
      <alignment horizontal="center" vertical="center" wrapText="1"/>
    </xf>
    <xf numFmtId="164" fontId="3" fillId="0" borderId="51" xfId="0" applyNumberFormat="1" applyFont="1" applyFill="1" applyBorder="1" applyAlignment="1">
      <alignment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left" vertical="center" wrapText="1"/>
    </xf>
    <xf numFmtId="4" fontId="3" fillId="0" borderId="30" xfId="0" applyNumberFormat="1" applyFont="1" applyFill="1" applyBorder="1" applyAlignment="1">
      <alignment horizontal="right" vertical="center" wrapText="1"/>
    </xf>
    <xf numFmtId="164" fontId="3" fillId="0" borderId="30" xfId="0" applyNumberFormat="1" applyFont="1" applyFill="1" applyBorder="1" applyAlignment="1">
      <alignment horizontal="center" vertical="center" wrapText="1"/>
    </xf>
    <xf numFmtId="164" fontId="3" fillId="0" borderId="31" xfId="0" applyNumberFormat="1" applyFont="1" applyFill="1" applyBorder="1" applyAlignment="1">
      <alignment vertical="center" wrapText="1"/>
    </xf>
    <xf numFmtId="0" fontId="6" fillId="4" borderId="26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9" xfId="0" applyFont="1" applyFill="1" applyBorder="1" applyAlignment="1">
      <alignment vertical="center" wrapText="1"/>
    </xf>
    <xf numFmtId="0" fontId="3" fillId="0" borderId="30" xfId="0" applyFont="1" applyFill="1" applyBorder="1" applyAlignment="1">
      <alignment vertical="center" wrapText="1"/>
    </xf>
    <xf numFmtId="0" fontId="3" fillId="0" borderId="31" xfId="0" applyFont="1" applyFill="1" applyBorder="1" applyAlignment="1">
      <alignment vertical="center" wrapText="1"/>
    </xf>
    <xf numFmtId="164" fontId="3" fillId="0" borderId="40" xfId="2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left" vertical="center" wrapText="1"/>
    </xf>
    <xf numFmtId="164" fontId="4" fillId="4" borderId="20" xfId="2" applyFont="1" applyFill="1" applyBorder="1" applyAlignment="1">
      <alignment horizontal="center" vertical="center" wrapText="1"/>
    </xf>
    <xf numFmtId="164" fontId="4" fillId="4" borderId="40" xfId="2" applyFont="1" applyFill="1" applyBorder="1" applyAlignment="1">
      <alignment horizontal="center" vertical="center" wrapText="1"/>
    </xf>
    <xf numFmtId="164" fontId="4" fillId="4" borderId="21" xfId="2" applyFont="1" applyFill="1" applyBorder="1" applyAlignment="1">
      <alignment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4" borderId="20" xfId="0" quotePrefix="1" applyFont="1" applyFill="1" applyBorder="1" applyAlignment="1">
      <alignment horizontal="center" vertical="center" wrapText="1"/>
    </xf>
    <xf numFmtId="164" fontId="3" fillId="4" borderId="20" xfId="2" applyFont="1" applyFill="1" applyBorder="1" applyAlignment="1">
      <alignment horizontal="center" vertical="center" wrapText="1"/>
    </xf>
    <xf numFmtId="164" fontId="4" fillId="4" borderId="21" xfId="2" applyFont="1" applyFill="1" applyBorder="1" applyAlignment="1">
      <alignment horizontal="center" vertical="center" wrapText="1"/>
    </xf>
    <xf numFmtId="164" fontId="4" fillId="0" borderId="0" xfId="2" applyFont="1" applyAlignment="1">
      <alignment vertical="center" wrapText="1"/>
    </xf>
    <xf numFmtId="164" fontId="4" fillId="0" borderId="0" xfId="2" applyFont="1" applyAlignment="1">
      <alignment horizontal="center" vertical="center" wrapText="1"/>
    </xf>
    <xf numFmtId="164" fontId="3" fillId="2" borderId="88" xfId="2" applyFont="1" applyFill="1" applyBorder="1" applyAlignment="1">
      <alignment horizontal="center" vertical="center" wrapText="1"/>
    </xf>
    <xf numFmtId="164" fontId="3" fillId="2" borderId="89" xfId="2" applyFont="1" applyFill="1" applyBorder="1" applyAlignment="1">
      <alignment horizontal="center" vertical="center" wrapText="1"/>
    </xf>
    <xf numFmtId="164" fontId="4" fillId="2" borderId="90" xfId="2" applyFont="1" applyFill="1" applyBorder="1" applyAlignment="1">
      <alignment vertical="center" wrapText="1"/>
    </xf>
    <xf numFmtId="0" fontId="3" fillId="3" borderId="70" xfId="0" applyFont="1" applyFill="1" applyBorder="1" applyAlignment="1">
      <alignment horizontal="center" vertical="center" wrapText="1"/>
    </xf>
    <xf numFmtId="0" fontId="3" fillId="3" borderId="87" xfId="0" applyFont="1" applyFill="1" applyBorder="1" applyAlignment="1">
      <alignment horizontal="center" vertical="center" wrapText="1"/>
    </xf>
    <xf numFmtId="0" fontId="3" fillId="3" borderId="88" xfId="0" applyFont="1" applyFill="1" applyBorder="1" applyAlignment="1">
      <alignment horizontal="center" vertical="center" wrapText="1"/>
    </xf>
    <xf numFmtId="0" fontId="3" fillId="3" borderId="88" xfId="0" applyFont="1" applyFill="1" applyBorder="1" applyAlignment="1">
      <alignment horizontal="left" vertical="center" wrapText="1"/>
    </xf>
    <xf numFmtId="164" fontId="3" fillId="3" borderId="88" xfId="2" applyFont="1" applyFill="1" applyBorder="1" applyAlignment="1">
      <alignment horizontal="center" vertical="center" wrapText="1"/>
    </xf>
    <xf numFmtId="164" fontId="3" fillId="3" borderId="90" xfId="2" applyFont="1" applyFill="1" applyBorder="1" applyAlignment="1">
      <alignment horizontal="center" vertical="center" wrapText="1"/>
    </xf>
    <xf numFmtId="0" fontId="3" fillId="3" borderId="63" xfId="0" quotePrefix="1" applyFont="1" applyFill="1" applyBorder="1" applyAlignment="1">
      <alignment horizontal="center" vertical="center" wrapText="1"/>
    </xf>
    <xf numFmtId="0" fontId="3" fillId="3" borderId="88" xfId="0" quotePrefix="1" applyFont="1" applyFill="1" applyBorder="1" applyAlignment="1">
      <alignment horizontal="center" vertical="center" wrapText="1"/>
    </xf>
    <xf numFmtId="0" fontId="3" fillId="2" borderId="75" xfId="0" applyFont="1" applyFill="1" applyBorder="1" applyAlignment="1">
      <alignment horizontal="center" vertical="center" wrapText="1"/>
    </xf>
    <xf numFmtId="0" fontId="3" fillId="2" borderId="76" xfId="0" applyFont="1" applyFill="1" applyBorder="1" applyAlignment="1">
      <alignment horizontal="center" vertical="center" wrapText="1"/>
    </xf>
    <xf numFmtId="0" fontId="3" fillId="2" borderId="76" xfId="0" applyFont="1" applyFill="1" applyBorder="1" applyAlignment="1">
      <alignment horizontal="left" vertical="center" wrapText="1"/>
    </xf>
    <xf numFmtId="4" fontId="3" fillId="2" borderId="76" xfId="0" applyNumberFormat="1" applyFont="1" applyFill="1" applyBorder="1" applyAlignment="1">
      <alignment horizontal="center" vertical="center" wrapText="1"/>
    </xf>
    <xf numFmtId="164" fontId="3" fillId="2" borderId="76" xfId="0" applyNumberFormat="1" applyFont="1" applyFill="1" applyBorder="1" applyAlignment="1">
      <alignment horizontal="center" vertical="center" wrapText="1"/>
    </xf>
    <xf numFmtId="164" fontId="3" fillId="2" borderId="77" xfId="0" applyNumberFormat="1" applyFont="1" applyFill="1" applyBorder="1" applyAlignment="1">
      <alignment vertical="center" wrapText="1"/>
    </xf>
    <xf numFmtId="0" fontId="3" fillId="3" borderId="75" xfId="0" applyFont="1" applyFill="1" applyBorder="1" applyAlignment="1">
      <alignment horizontal="center" vertical="center" wrapText="1"/>
    </xf>
    <xf numFmtId="0" fontId="3" fillId="3" borderId="97" xfId="0" applyFont="1" applyFill="1" applyBorder="1" applyAlignment="1">
      <alignment horizontal="center" vertical="center" wrapText="1"/>
    </xf>
    <xf numFmtId="0" fontId="3" fillId="3" borderId="98" xfId="0" applyFont="1" applyFill="1" applyBorder="1" applyAlignment="1">
      <alignment horizontal="center" vertical="center" wrapText="1"/>
    </xf>
    <xf numFmtId="0" fontId="3" fillId="3" borderId="98" xfId="0" applyFont="1" applyFill="1" applyBorder="1" applyAlignment="1">
      <alignment horizontal="left" vertical="distributed" wrapText="1"/>
    </xf>
    <xf numFmtId="164" fontId="3" fillId="3" borderId="98" xfId="2" applyFont="1" applyFill="1" applyBorder="1" applyAlignment="1">
      <alignment horizontal="center" vertical="center" wrapText="1"/>
    </xf>
    <xf numFmtId="164" fontId="3" fillId="3" borderId="99" xfId="2" applyFont="1" applyFill="1" applyBorder="1" applyAlignment="1">
      <alignment horizontal="center" vertical="center" wrapText="1"/>
    </xf>
    <xf numFmtId="164" fontId="3" fillId="3" borderId="98" xfId="0" applyNumberFormat="1" applyFont="1" applyFill="1" applyBorder="1" applyAlignment="1">
      <alignment horizontal="center" vertical="center" wrapText="1"/>
    </xf>
    <xf numFmtId="0" fontId="3" fillId="3" borderId="100" xfId="0" applyFont="1" applyFill="1" applyBorder="1" applyAlignment="1">
      <alignment horizontal="center" vertical="center" wrapText="1"/>
    </xf>
    <xf numFmtId="0" fontId="3" fillId="3" borderId="76" xfId="0" applyFont="1" applyFill="1" applyBorder="1" applyAlignment="1">
      <alignment horizontal="left" vertical="center" wrapText="1"/>
    </xf>
    <xf numFmtId="2" fontId="3" fillId="3" borderId="76" xfId="0" applyNumberFormat="1" applyFont="1" applyFill="1" applyBorder="1" applyAlignment="1">
      <alignment horizontal="right" vertical="center" wrapText="1"/>
    </xf>
    <xf numFmtId="164" fontId="3" fillId="3" borderId="76" xfId="0" applyNumberFormat="1" applyFont="1" applyFill="1" applyBorder="1" applyAlignment="1">
      <alignment horizontal="center" vertical="center" wrapText="1"/>
    </xf>
    <xf numFmtId="164" fontId="3" fillId="3" borderId="101" xfId="0" applyNumberFormat="1" applyFont="1" applyFill="1" applyBorder="1" applyAlignment="1">
      <alignment vertical="center" wrapText="1"/>
    </xf>
    <xf numFmtId="0" fontId="3" fillId="3" borderId="98" xfId="0" applyFont="1" applyFill="1" applyBorder="1" applyAlignment="1">
      <alignment horizontal="left" vertical="center" wrapText="1"/>
    </xf>
    <xf numFmtId="2" fontId="3" fillId="3" borderId="98" xfId="0" applyNumberFormat="1" applyFont="1" applyFill="1" applyBorder="1" applyAlignment="1">
      <alignment horizontal="right" vertical="center" wrapText="1"/>
    </xf>
    <xf numFmtId="164" fontId="3" fillId="3" borderId="102" xfId="0" applyNumberFormat="1" applyFont="1" applyFill="1" applyBorder="1" applyAlignment="1">
      <alignment vertical="center" wrapText="1"/>
    </xf>
    <xf numFmtId="0" fontId="3" fillId="3" borderId="86" xfId="0" applyFont="1" applyFill="1" applyBorder="1" applyAlignment="1">
      <alignment horizontal="center" vertical="center" wrapText="1"/>
    </xf>
    <xf numFmtId="0" fontId="3" fillId="3" borderId="103" xfId="0" applyFont="1" applyFill="1" applyBorder="1" applyAlignment="1">
      <alignment horizontal="center" vertical="center" wrapText="1"/>
    </xf>
    <xf numFmtId="164" fontId="3" fillId="0" borderId="76" xfId="2" applyFont="1" applyFill="1" applyBorder="1" applyAlignment="1">
      <alignment horizontal="center" vertical="center" wrapText="1"/>
    </xf>
    <xf numFmtId="164" fontId="3" fillId="2" borderId="76" xfId="2" applyFont="1" applyFill="1" applyBorder="1" applyAlignment="1">
      <alignment horizontal="center" vertical="center" wrapText="1"/>
    </xf>
    <xf numFmtId="164" fontId="3" fillId="2" borderId="77" xfId="2" applyFont="1" applyFill="1" applyBorder="1" applyAlignment="1">
      <alignment horizontal="center" vertical="center" wrapText="1"/>
    </xf>
    <xf numFmtId="164" fontId="3" fillId="3" borderId="98" xfId="2" applyFont="1" applyFill="1" applyBorder="1" applyAlignment="1">
      <alignment horizontal="center" vertical="center"/>
    </xf>
    <xf numFmtId="164" fontId="3" fillId="8" borderId="20" xfId="2" applyFont="1" applyFill="1" applyBorder="1" applyAlignment="1">
      <alignment horizontal="center" vertical="center" wrapText="1"/>
    </xf>
    <xf numFmtId="164" fontId="3" fillId="8" borderId="63" xfId="2" applyFont="1" applyFill="1" applyBorder="1" applyAlignment="1">
      <alignment horizontal="center" vertical="center" wrapText="1"/>
    </xf>
    <xf numFmtId="164" fontId="3" fillId="8" borderId="88" xfId="2" applyFont="1" applyFill="1" applyBorder="1" applyAlignment="1">
      <alignment horizontal="center" vertical="center" wrapText="1"/>
    </xf>
    <xf numFmtId="164" fontId="4" fillId="8" borderId="20" xfId="2" applyFont="1" applyFill="1" applyBorder="1" applyAlignment="1">
      <alignment horizontal="center" vertical="center" wrapText="1"/>
    </xf>
    <xf numFmtId="164" fontId="3" fillId="0" borderId="0" xfId="2" applyFont="1" applyFill="1" applyBorder="1" applyAlignment="1">
      <alignment horizontal="center" vertical="center" wrapText="1"/>
    </xf>
    <xf numFmtId="0" fontId="3" fillId="8" borderId="19" xfId="0" applyFont="1" applyFill="1" applyBorder="1" applyAlignment="1">
      <alignment horizontal="center" vertical="center" wrapText="1"/>
    </xf>
    <xf numFmtId="0" fontId="3" fillId="8" borderId="20" xfId="0" applyFont="1" applyFill="1" applyBorder="1" applyAlignment="1">
      <alignment horizontal="center" vertical="center" wrapText="1"/>
    </xf>
    <xf numFmtId="0" fontId="3" fillId="8" borderId="20" xfId="0" quotePrefix="1" applyFont="1" applyFill="1" applyBorder="1" applyAlignment="1">
      <alignment horizontal="center" vertical="center" wrapText="1"/>
    </xf>
    <xf numFmtId="0" fontId="3" fillId="8" borderId="20" xfId="0" applyFont="1" applyFill="1" applyBorder="1" applyAlignment="1">
      <alignment horizontal="left" vertical="center" wrapText="1"/>
    </xf>
    <xf numFmtId="164" fontId="3" fillId="8" borderId="21" xfId="2" applyFont="1" applyFill="1" applyBorder="1" applyAlignment="1">
      <alignment horizontal="center" vertical="center" wrapText="1"/>
    </xf>
    <xf numFmtId="164" fontId="3" fillId="3" borderId="40" xfId="2" applyFont="1" applyFill="1" applyBorder="1" applyAlignment="1">
      <alignment horizontal="center" vertical="center" wrapText="1"/>
    </xf>
    <xf numFmtId="171" fontId="4" fillId="0" borderId="4" xfId="0" applyNumberFormat="1" applyFont="1" applyFill="1" applyBorder="1" applyAlignment="1"/>
    <xf numFmtId="164" fontId="4" fillId="2" borderId="20" xfId="2" applyFont="1" applyFill="1" applyBorder="1" applyAlignment="1">
      <alignment vertical="center" wrapText="1"/>
    </xf>
    <xf numFmtId="164" fontId="3" fillId="2" borderId="20" xfId="2" applyFont="1" applyFill="1" applyBorder="1" applyAlignment="1">
      <alignment vertical="center" wrapText="1"/>
    </xf>
    <xf numFmtId="164" fontId="3" fillId="0" borderId="20" xfId="2" applyFont="1" applyFill="1" applyBorder="1" applyAlignment="1">
      <alignment vertical="center" wrapText="1"/>
    </xf>
    <xf numFmtId="164" fontId="3" fillId="8" borderId="20" xfId="2" applyFont="1" applyFill="1" applyBorder="1" applyAlignment="1">
      <alignment vertical="center" wrapText="1"/>
    </xf>
    <xf numFmtId="164" fontId="3" fillId="7" borderId="20" xfId="2" applyFont="1" applyFill="1" applyBorder="1" applyAlignment="1">
      <alignment horizontal="center" vertical="center" wrapText="1"/>
    </xf>
    <xf numFmtId="4" fontId="3" fillId="7" borderId="27" xfId="0" applyNumberFormat="1" applyFont="1" applyFill="1" applyBorder="1"/>
    <xf numFmtId="0" fontId="3" fillId="7" borderId="19" xfId="0" applyFont="1" applyFill="1" applyBorder="1" applyAlignment="1">
      <alignment horizontal="center" vertical="center" wrapText="1"/>
    </xf>
    <xf numFmtId="0" fontId="3" fillId="7" borderId="20" xfId="0" applyFont="1" applyFill="1" applyBorder="1" applyAlignment="1">
      <alignment horizontal="center" vertical="center" wrapText="1"/>
    </xf>
    <xf numFmtId="0" fontId="3" fillId="7" borderId="20" xfId="0" applyFont="1" applyFill="1" applyBorder="1" applyAlignment="1">
      <alignment horizontal="left" vertical="center" wrapText="1"/>
    </xf>
    <xf numFmtId="164" fontId="3" fillId="7" borderId="21" xfId="2" applyFont="1" applyFill="1" applyBorder="1" applyAlignment="1">
      <alignment horizontal="center" vertical="center" wrapText="1"/>
    </xf>
    <xf numFmtId="0" fontId="3" fillId="7" borderId="84" xfId="0" applyFont="1" applyFill="1" applyBorder="1" applyAlignment="1">
      <alignment horizontal="center"/>
    </xf>
    <xf numFmtId="0" fontId="3" fillId="7" borderId="27" xfId="0" applyFont="1" applyFill="1" applyBorder="1"/>
    <xf numFmtId="167" fontId="3" fillId="7" borderId="20" xfId="0" applyNumberFormat="1" applyFont="1" applyFill="1" applyBorder="1" applyAlignment="1">
      <alignment vertical="center" wrapText="1"/>
    </xf>
    <xf numFmtId="43" fontId="1" fillId="0" borderId="20" xfId="2" applyNumberFormat="1" applyFont="1" applyFill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3" fillId="7" borderId="20" xfId="0" quotePrefix="1" applyFont="1" applyFill="1" applyBorder="1" applyAlignment="1">
      <alignment horizontal="center" vertical="center" wrapText="1"/>
    </xf>
    <xf numFmtId="4" fontId="3" fillId="7" borderId="27" xfId="0" applyNumberFormat="1" applyFont="1" applyFill="1" applyBorder="1" applyAlignment="1">
      <alignment vertical="distributed" wrapText="1"/>
    </xf>
    <xf numFmtId="43" fontId="1" fillId="0" borderId="0" xfId="2" applyNumberFormat="1" applyFont="1" applyFill="1" applyBorder="1" applyAlignment="1">
      <alignment horizontal="right" vertical="center"/>
    </xf>
    <xf numFmtId="0" fontId="3" fillId="2" borderId="95" xfId="0" applyFont="1" applyFill="1" applyBorder="1" applyAlignment="1">
      <alignment horizontal="center" vertical="center" wrapText="1"/>
    </xf>
    <xf numFmtId="0" fontId="4" fillId="2" borderId="96" xfId="0" applyFont="1" applyFill="1" applyBorder="1" applyAlignment="1">
      <alignment horizontal="center" vertical="center" wrapText="1"/>
    </xf>
    <xf numFmtId="164" fontId="3" fillId="2" borderId="104" xfId="2" applyFont="1" applyFill="1" applyBorder="1" applyAlignment="1">
      <alignment horizontal="center" vertical="center" wrapText="1"/>
    </xf>
    <xf numFmtId="164" fontId="4" fillId="2" borderId="105" xfId="2" applyFont="1" applyFill="1" applyBorder="1" applyAlignment="1">
      <alignment vertical="center" wrapText="1"/>
    </xf>
    <xf numFmtId="164" fontId="3" fillId="0" borderId="88" xfId="2" applyFont="1" applyFill="1" applyBorder="1" applyAlignment="1">
      <alignment horizontal="center" vertical="center" wrapText="1"/>
    </xf>
    <xf numFmtId="43" fontId="3" fillId="3" borderId="0" xfId="0" applyNumberFormat="1" applyFont="1" applyFill="1" applyAlignment="1"/>
    <xf numFmtId="0" fontId="3" fillId="7" borderId="66" xfId="0" applyFont="1" applyFill="1" applyBorder="1" applyAlignment="1">
      <alignment horizontal="center" vertical="center" wrapText="1"/>
    </xf>
    <xf numFmtId="0" fontId="3" fillId="7" borderId="66" xfId="0" applyFont="1" applyFill="1" applyBorder="1" applyAlignment="1">
      <alignment horizontal="left" vertical="distributed" wrapText="1"/>
    </xf>
    <xf numFmtId="164" fontId="3" fillId="7" borderId="66" xfId="2" applyFont="1" applyFill="1" applyBorder="1" applyAlignment="1">
      <alignment horizontal="center" vertical="center" wrapText="1"/>
    </xf>
    <xf numFmtId="164" fontId="3" fillId="7" borderId="66" xfId="2" applyFont="1" applyFill="1" applyBorder="1" applyAlignment="1">
      <alignment horizontal="center" vertical="center"/>
    </xf>
    <xf numFmtId="164" fontId="3" fillId="7" borderId="67" xfId="2" applyFont="1" applyFill="1" applyBorder="1" applyAlignment="1">
      <alignment horizontal="center" vertical="center" wrapText="1"/>
    </xf>
    <xf numFmtId="0" fontId="3" fillId="7" borderId="27" xfId="0" quotePrefix="1" applyFont="1" applyFill="1" applyBorder="1" applyAlignment="1">
      <alignment vertical="distributed" wrapText="1"/>
    </xf>
    <xf numFmtId="0" fontId="3" fillId="7" borderId="88" xfId="0" applyFont="1" applyFill="1" applyBorder="1" applyAlignment="1">
      <alignment horizontal="center" vertical="center" wrapText="1"/>
    </xf>
    <xf numFmtId="0" fontId="3" fillId="7" borderId="88" xfId="0" quotePrefix="1" applyFont="1" applyFill="1" applyBorder="1" applyAlignment="1">
      <alignment horizontal="center" vertical="center" wrapText="1"/>
    </xf>
    <xf numFmtId="0" fontId="3" fillId="7" borderId="88" xfId="0" applyFont="1" applyFill="1" applyBorder="1" applyAlignment="1">
      <alignment horizontal="left" vertical="center" wrapText="1"/>
    </xf>
    <xf numFmtId="4" fontId="3" fillId="7" borderId="88" xfId="0" applyNumberFormat="1" applyFont="1" applyFill="1" applyBorder="1"/>
    <xf numFmtId="164" fontId="3" fillId="7" borderId="88" xfId="2" applyFont="1" applyFill="1" applyBorder="1" applyAlignment="1">
      <alignment horizontal="center" vertical="center" wrapText="1"/>
    </xf>
    <xf numFmtId="164" fontId="3" fillId="7" borderId="90" xfId="2" applyFont="1" applyFill="1" applyBorder="1" applyAlignment="1">
      <alignment horizontal="center" vertical="center" wrapText="1"/>
    </xf>
    <xf numFmtId="164" fontId="3" fillId="7" borderId="76" xfId="2" applyFont="1" applyFill="1" applyBorder="1" applyAlignment="1">
      <alignment horizontal="center" vertical="center"/>
    </xf>
    <xf numFmtId="0" fontId="3" fillId="7" borderId="65" xfId="0" applyFont="1" applyFill="1" applyBorder="1" applyAlignment="1">
      <alignment horizontal="center" vertical="center" wrapText="1"/>
    </xf>
    <xf numFmtId="0" fontId="3" fillId="7" borderId="75" xfId="0" applyFont="1" applyFill="1" applyBorder="1" applyAlignment="1">
      <alignment horizontal="center" vertical="center" wrapText="1"/>
    </xf>
    <xf numFmtId="0" fontId="3" fillId="7" borderId="76" xfId="0" applyFont="1" applyFill="1" applyBorder="1" applyAlignment="1">
      <alignment horizontal="center" vertical="center" wrapText="1"/>
    </xf>
    <xf numFmtId="0" fontId="3" fillId="7" borderId="76" xfId="0" applyFont="1" applyFill="1" applyBorder="1" applyAlignment="1">
      <alignment horizontal="left" vertical="distributed" wrapText="1"/>
    </xf>
    <xf numFmtId="164" fontId="3" fillId="7" borderId="76" xfId="2" applyFont="1" applyFill="1" applyBorder="1" applyAlignment="1">
      <alignment horizontal="center" vertical="center" wrapText="1"/>
    </xf>
    <xf numFmtId="164" fontId="3" fillId="7" borderId="77" xfId="2" applyFont="1" applyFill="1" applyBorder="1" applyAlignment="1">
      <alignment horizontal="center" vertical="center" wrapText="1"/>
    </xf>
    <xf numFmtId="0" fontId="3" fillId="7" borderId="66" xfId="0" applyFont="1" applyFill="1" applyBorder="1" applyAlignment="1">
      <alignment horizontal="center"/>
    </xf>
    <xf numFmtId="164" fontId="3" fillId="7" borderId="66" xfId="0" applyNumberFormat="1" applyFont="1" applyFill="1" applyBorder="1" applyAlignment="1">
      <alignment horizontal="center" vertical="center" wrapText="1"/>
    </xf>
    <xf numFmtId="164" fontId="3" fillId="7" borderId="67" xfId="0" applyNumberFormat="1" applyFont="1" applyFill="1" applyBorder="1" applyAlignment="1">
      <alignment vertical="center" wrapText="1"/>
    </xf>
    <xf numFmtId="0" fontId="3" fillId="7" borderId="0" xfId="0" applyFont="1" applyFill="1" applyBorder="1" applyAlignment="1">
      <alignment horizontal="left" vertical="distributed" wrapText="1"/>
    </xf>
    <xf numFmtId="0" fontId="3" fillId="7" borderId="66" xfId="0" applyFont="1" applyFill="1" applyBorder="1" applyAlignment="1">
      <alignment horizontal="left" vertical="center" wrapText="1"/>
    </xf>
    <xf numFmtId="4" fontId="3" fillId="7" borderId="66" xfId="0" applyNumberFormat="1" applyFont="1" applyFill="1" applyBorder="1" applyAlignment="1">
      <alignment horizontal="right" vertical="center" wrapText="1"/>
    </xf>
    <xf numFmtId="164" fontId="3" fillId="7" borderId="98" xfId="2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164" fontId="3" fillId="4" borderId="0" xfId="2" applyFont="1" applyFill="1" applyBorder="1" applyAlignment="1">
      <alignment horizontal="center" vertical="center" wrapText="1"/>
    </xf>
    <xf numFmtId="0" fontId="3" fillId="7" borderId="19" xfId="0" applyNumberFormat="1" applyFont="1" applyFill="1" applyBorder="1" applyAlignment="1">
      <alignment horizontal="center" vertical="center"/>
    </xf>
    <xf numFmtId="0" fontId="3" fillId="7" borderId="20" xfId="0" applyFont="1" applyFill="1" applyBorder="1" applyAlignment="1">
      <alignment horizontal="center" vertical="center"/>
    </xf>
    <xf numFmtId="0" fontId="3" fillId="7" borderId="20" xfId="0" applyFont="1" applyFill="1" applyBorder="1" applyAlignment="1">
      <alignment vertical="center" wrapText="1"/>
    </xf>
    <xf numFmtId="0" fontId="3" fillId="7" borderId="20" xfId="0" applyFont="1" applyFill="1" applyBorder="1" applyAlignment="1">
      <alignment horizontal="left" vertical="distributed" wrapText="1"/>
    </xf>
    <xf numFmtId="164" fontId="3" fillId="0" borderId="96" xfId="2" applyFont="1" applyFill="1" applyBorder="1" applyAlignment="1">
      <alignment horizontal="center" vertical="center" wrapText="1"/>
    </xf>
    <xf numFmtId="164" fontId="3" fillId="0" borderId="27" xfId="2" applyFont="1" applyFill="1" applyBorder="1" applyAlignment="1">
      <alignment horizontal="center" vertical="center" wrapText="1"/>
    </xf>
    <xf numFmtId="4" fontId="3" fillId="0" borderId="27" xfId="0" applyNumberFormat="1" applyFont="1" applyFill="1" applyBorder="1" applyAlignment="1">
      <alignment vertical="center"/>
    </xf>
    <xf numFmtId="0" fontId="4" fillId="3" borderId="20" xfId="0" applyFont="1" applyFill="1" applyBorder="1" applyAlignment="1">
      <alignment horizontal="left" vertical="center" wrapText="1"/>
    </xf>
    <xf numFmtId="0" fontId="3" fillId="0" borderId="19" xfId="0" applyNumberFormat="1" applyFont="1" applyFill="1" applyBorder="1" applyAlignment="1">
      <alignment horizontal="center" vertical="center"/>
    </xf>
    <xf numFmtId="164" fontId="3" fillId="0" borderId="20" xfId="2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left" vertical="distributed" wrapText="1"/>
    </xf>
    <xf numFmtId="4" fontId="3" fillId="8" borderId="27" xfId="0" applyNumberFormat="1" applyFont="1" applyFill="1" applyBorder="1" applyAlignment="1">
      <alignment vertical="distributed" wrapText="1"/>
    </xf>
    <xf numFmtId="0" fontId="3" fillId="8" borderId="84" xfId="0" applyFont="1" applyFill="1" applyBorder="1" applyAlignment="1">
      <alignment horizontal="center"/>
    </xf>
    <xf numFmtId="4" fontId="3" fillId="8" borderId="27" xfId="0" applyNumberFormat="1" applyFont="1" applyFill="1" applyBorder="1"/>
    <xf numFmtId="167" fontId="3" fillId="0" borderId="20" xfId="0" applyNumberFormat="1" applyFont="1" applyFill="1" applyBorder="1" applyAlignment="1">
      <alignment vertical="center" wrapText="1"/>
    </xf>
    <xf numFmtId="0" fontId="3" fillId="3" borderId="20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vertical="center" wrapText="1"/>
    </xf>
    <xf numFmtId="0" fontId="3" fillId="8" borderId="27" xfId="0" applyFont="1" applyFill="1" applyBorder="1"/>
    <xf numFmtId="164" fontId="3" fillId="3" borderId="20" xfId="2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vertical="center" wrapText="1"/>
    </xf>
    <xf numFmtId="0" fontId="3" fillId="7" borderId="87" xfId="0" applyFont="1" applyFill="1" applyBorder="1" applyAlignment="1">
      <alignment horizontal="center" vertical="center" wrapText="1"/>
    </xf>
    <xf numFmtId="0" fontId="3" fillId="7" borderId="70" xfId="0" applyFont="1" applyFill="1" applyBorder="1" applyAlignment="1">
      <alignment horizontal="center" vertical="center" wrapText="1"/>
    </xf>
    <xf numFmtId="0" fontId="3" fillId="7" borderId="63" xfId="0" applyFont="1" applyFill="1" applyBorder="1" applyAlignment="1">
      <alignment horizontal="center" vertical="center" wrapText="1"/>
    </xf>
    <xf numFmtId="0" fontId="3" fillId="7" borderId="63" xfId="0" applyFont="1" applyFill="1" applyBorder="1" applyAlignment="1">
      <alignment horizontal="left" vertical="center" wrapText="1"/>
    </xf>
    <xf numFmtId="164" fontId="3" fillId="7" borderId="63" xfId="2" applyFont="1" applyFill="1" applyBorder="1" applyAlignment="1">
      <alignment horizontal="center" vertical="center" wrapText="1"/>
    </xf>
    <xf numFmtId="164" fontId="3" fillId="7" borderId="64" xfId="2" applyFont="1" applyFill="1" applyBorder="1" applyAlignment="1">
      <alignment horizontal="center" vertical="center" wrapText="1"/>
    </xf>
    <xf numFmtId="0" fontId="3" fillId="9" borderId="2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3" fillId="0" borderId="44" xfId="0" applyNumberFormat="1" applyFont="1" applyFill="1" applyBorder="1" applyAlignment="1">
      <alignment vertical="center" wrapText="1"/>
    </xf>
    <xf numFmtId="0" fontId="3" fillId="4" borderId="70" xfId="0" applyFont="1" applyFill="1" applyBorder="1" applyAlignment="1">
      <alignment horizontal="center" vertical="center" wrapText="1"/>
    </xf>
    <xf numFmtId="0" fontId="3" fillId="4" borderId="63" xfId="0" applyFont="1" applyFill="1" applyBorder="1" applyAlignment="1">
      <alignment horizontal="center" vertical="center" wrapText="1"/>
    </xf>
    <xf numFmtId="0" fontId="4" fillId="4" borderId="63" xfId="0" applyFont="1" applyFill="1" applyBorder="1" applyAlignment="1">
      <alignment horizontal="center" vertical="center" wrapText="1"/>
    </xf>
    <xf numFmtId="164" fontId="3" fillId="4" borderId="63" xfId="2" applyFont="1" applyFill="1" applyBorder="1" applyAlignment="1">
      <alignment horizontal="center" vertical="center" wrapText="1"/>
    </xf>
    <xf numFmtId="164" fontId="3" fillId="4" borderId="64" xfId="2" applyFont="1" applyFill="1" applyBorder="1" applyAlignment="1">
      <alignment vertical="center" wrapText="1"/>
    </xf>
    <xf numFmtId="0" fontId="3" fillId="4" borderId="19" xfId="0" applyFont="1" applyFill="1" applyBorder="1" applyAlignment="1">
      <alignment horizontal="center" vertical="center" wrapText="1"/>
    </xf>
    <xf numFmtId="164" fontId="4" fillId="4" borderId="73" xfId="2" applyFont="1" applyFill="1" applyBorder="1" applyAlignment="1">
      <alignment horizontal="center" vertical="center" wrapText="1"/>
    </xf>
    <xf numFmtId="164" fontId="4" fillId="4" borderId="28" xfId="2" applyFont="1" applyFill="1" applyBorder="1" applyAlignment="1">
      <alignment horizontal="center" vertical="center" wrapText="1"/>
    </xf>
    <xf numFmtId="164" fontId="4" fillId="4" borderId="74" xfId="2" applyFont="1" applyFill="1" applyBorder="1" applyAlignment="1">
      <alignment horizontal="center" vertical="center" wrapText="1"/>
    </xf>
    <xf numFmtId="164" fontId="4" fillId="4" borderId="32" xfId="2" applyFont="1" applyFill="1" applyBorder="1" applyAlignment="1">
      <alignment horizontal="center" vertical="center" wrapText="1"/>
    </xf>
    <xf numFmtId="164" fontId="4" fillId="4" borderId="27" xfId="2" applyFont="1" applyFill="1" applyBorder="1" applyAlignment="1">
      <alignment horizontal="center" vertical="center" wrapText="1"/>
    </xf>
    <xf numFmtId="164" fontId="4" fillId="4" borderId="72" xfId="2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71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4" fillId="4" borderId="7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left" vertical="center"/>
    </xf>
    <xf numFmtId="0" fontId="4" fillId="4" borderId="34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14" fontId="4" fillId="4" borderId="34" xfId="0" quotePrefix="1" applyNumberFormat="1" applyFont="1" applyFill="1" applyBorder="1" applyAlignment="1">
      <alignment horizontal="right" vertical="center" wrapText="1"/>
    </xf>
    <xf numFmtId="14" fontId="4" fillId="4" borderId="47" xfId="0" quotePrefix="1" applyNumberFormat="1" applyFont="1" applyFill="1" applyBorder="1" applyAlignment="1">
      <alignment horizontal="right" vertical="center" wrapText="1"/>
    </xf>
    <xf numFmtId="0" fontId="3" fillId="0" borderId="33" xfId="0" applyFont="1" applyBorder="1" applyAlignment="1">
      <alignment horizontal="right" vertical="center" wrapText="1"/>
    </xf>
    <xf numFmtId="0" fontId="3" fillId="0" borderId="34" xfId="0" applyFont="1" applyBorder="1" applyAlignment="1">
      <alignment horizontal="right" vertical="center" wrapText="1"/>
    </xf>
    <xf numFmtId="0" fontId="3" fillId="0" borderId="35" xfId="0" applyFont="1" applyBorder="1" applyAlignment="1">
      <alignment horizontal="right" vertical="center" wrapText="1"/>
    </xf>
    <xf numFmtId="4" fontId="6" fillId="4" borderId="4" xfId="0" applyNumberFormat="1" applyFont="1" applyFill="1" applyBorder="1" applyAlignment="1">
      <alignment horizontal="center" vertical="center"/>
    </xf>
    <xf numFmtId="0" fontId="0" fillId="4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3" fillId="0" borderId="36" xfId="0" applyFont="1" applyBorder="1" applyAlignment="1">
      <alignment horizontal="right" vertical="center" wrapText="1"/>
    </xf>
    <xf numFmtId="0" fontId="3" fillId="0" borderId="37" xfId="0" applyFont="1" applyBorder="1" applyAlignment="1">
      <alignment horizontal="right" vertical="center" wrapText="1"/>
    </xf>
    <xf numFmtId="0" fontId="3" fillId="0" borderId="38" xfId="0" applyFont="1" applyBorder="1" applyAlignment="1">
      <alignment horizontal="right" vertical="center" wrapText="1"/>
    </xf>
    <xf numFmtId="0" fontId="3" fillId="0" borderId="29" xfId="0" applyFont="1" applyBorder="1" applyAlignment="1">
      <alignment horizontal="right" vertical="center" wrapText="1"/>
    </xf>
    <xf numFmtId="0" fontId="3" fillId="0" borderId="30" xfId="0" applyFont="1" applyBorder="1" applyAlignment="1">
      <alignment horizontal="right" vertical="center" wrapText="1"/>
    </xf>
    <xf numFmtId="0" fontId="3" fillId="0" borderId="39" xfId="0" applyFont="1" applyBorder="1" applyAlignment="1">
      <alignment horizontal="right" vertical="center" wrapText="1"/>
    </xf>
    <xf numFmtId="166" fontId="4" fillId="4" borderId="2" xfId="0" quotePrefix="1" applyNumberFormat="1" applyFont="1" applyFill="1" applyBorder="1" applyAlignment="1">
      <alignment horizontal="center" vertical="center"/>
    </xf>
    <xf numFmtId="166" fontId="4" fillId="4" borderId="3" xfId="0" quotePrefix="1" applyNumberFormat="1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" fillId="0" borderId="93" xfId="0" applyFont="1" applyFill="1" applyBorder="1" applyAlignment="1">
      <alignment horizontal="center" vertical="center" wrapText="1"/>
    </xf>
    <xf numFmtId="0" fontId="3" fillId="0" borderId="89" xfId="0" applyFont="1" applyFill="1" applyBorder="1" applyAlignment="1">
      <alignment horizontal="center" vertical="center" wrapText="1"/>
    </xf>
    <xf numFmtId="0" fontId="3" fillId="0" borderId="94" xfId="0" applyFont="1" applyFill="1" applyBorder="1" applyAlignment="1">
      <alignment horizontal="center" vertical="center" wrapText="1"/>
    </xf>
    <xf numFmtId="0" fontId="3" fillId="0" borderId="91" xfId="0" applyFont="1" applyFill="1" applyBorder="1" applyAlignment="1">
      <alignment horizontal="center" vertical="center" wrapText="1"/>
    </xf>
    <xf numFmtId="0" fontId="3" fillId="0" borderId="92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2" borderId="93" xfId="0" applyFont="1" applyFill="1" applyBorder="1" applyAlignment="1">
      <alignment horizontal="center" vertical="center" wrapText="1"/>
    </xf>
    <xf numFmtId="0" fontId="3" fillId="2" borderId="89" xfId="0" applyFont="1" applyFill="1" applyBorder="1" applyAlignment="1">
      <alignment horizontal="center" vertical="center" wrapText="1"/>
    </xf>
    <xf numFmtId="0" fontId="3" fillId="2" borderId="94" xfId="0" applyFont="1" applyFill="1" applyBorder="1" applyAlignment="1">
      <alignment horizontal="center" vertical="center" wrapText="1"/>
    </xf>
    <xf numFmtId="0" fontId="3" fillId="2" borderId="91" xfId="0" applyFont="1" applyFill="1" applyBorder="1" applyAlignment="1">
      <alignment horizontal="center" vertical="center" wrapText="1"/>
    </xf>
    <xf numFmtId="0" fontId="3" fillId="2" borderId="92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center" vertical="center" wrapText="1"/>
    </xf>
    <xf numFmtId="0" fontId="4" fillId="4" borderId="42" xfId="0" applyFont="1" applyFill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4" fontId="12" fillId="4" borderId="24" xfId="0" applyNumberFormat="1" applyFont="1" applyFill="1" applyBorder="1" applyAlignment="1">
      <alignment horizontal="center" vertical="center" wrapText="1"/>
    </xf>
    <xf numFmtId="4" fontId="12" fillId="4" borderId="14" xfId="0" applyNumberFormat="1" applyFont="1" applyFill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center" vertical="center" wrapText="1"/>
    </xf>
    <xf numFmtId="0" fontId="10" fillId="0" borderId="29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6" fillId="4" borderId="41" xfId="0" applyFont="1" applyFill="1" applyBorder="1" applyAlignment="1">
      <alignment horizontal="center" vertical="center" wrapText="1"/>
    </xf>
    <xf numFmtId="0" fontId="6" fillId="4" borderId="42" xfId="0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6" fillId="4" borderId="3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1"/>
  <sheetViews>
    <sheetView tabSelected="1" view="pageBreakPreview" zoomScale="80" zoomScaleNormal="100" zoomScaleSheetLayoutView="80" workbookViewId="0">
      <selection activeCell="D134" sqref="D134"/>
    </sheetView>
  </sheetViews>
  <sheetFormatPr defaultRowHeight="14.25" x14ac:dyDescent="0.2"/>
  <cols>
    <col min="1" max="1" width="10.7109375" style="2" customWidth="1"/>
    <col min="2" max="2" width="15.85546875" style="2" customWidth="1"/>
    <col min="3" max="3" width="12.7109375" style="2" customWidth="1"/>
    <col min="4" max="4" width="92.7109375" style="44" customWidth="1"/>
    <col min="5" max="5" width="9.42578125" style="2" customWidth="1"/>
    <col min="6" max="6" width="13.42578125" style="59" bestFit="1" customWidth="1"/>
    <col min="7" max="7" width="12.7109375" style="59" customWidth="1"/>
    <col min="8" max="8" width="13.7109375" style="59" bestFit="1" customWidth="1"/>
    <col min="9" max="9" width="19.85546875" style="60" bestFit="1" customWidth="1"/>
    <col min="10" max="10" width="6.7109375" style="159" customWidth="1"/>
    <col min="11" max="11" width="11.42578125" style="159" customWidth="1"/>
    <col min="12" max="12" width="10.5703125" style="159" bestFit="1" customWidth="1"/>
    <col min="13" max="13" width="11.140625" style="159" customWidth="1"/>
    <col min="14" max="14" width="15.28515625" style="159" bestFit="1" customWidth="1"/>
    <col min="15" max="16384" width="9.140625" style="159"/>
  </cols>
  <sheetData>
    <row r="1" spans="1:17" ht="19.5" thickTop="1" thickBot="1" x14ac:dyDescent="0.25">
      <c r="A1" s="591" t="s">
        <v>1002</v>
      </c>
      <c r="B1" s="592"/>
      <c r="C1" s="592"/>
      <c r="D1" s="592"/>
      <c r="E1" s="592"/>
      <c r="F1" s="592"/>
      <c r="G1" s="592"/>
      <c r="H1" s="592"/>
      <c r="I1" s="593"/>
      <c r="J1" s="156"/>
      <c r="K1" s="157" t="s">
        <v>269</v>
      </c>
      <c r="L1" s="158"/>
      <c r="M1" s="158"/>
      <c r="N1" s="158"/>
      <c r="O1" s="158"/>
      <c r="P1" s="158"/>
      <c r="Q1" s="158"/>
    </row>
    <row r="2" spans="1:17" ht="5.0999999999999996" customHeight="1" thickBot="1" x14ac:dyDescent="0.25">
      <c r="A2" s="409"/>
      <c r="B2" s="410"/>
      <c r="C2" s="410"/>
      <c r="D2" s="411"/>
      <c r="E2" s="410"/>
      <c r="F2" s="412"/>
      <c r="G2" s="413"/>
      <c r="H2" s="413"/>
      <c r="I2" s="414"/>
      <c r="J2" s="156"/>
      <c r="K2" s="158"/>
      <c r="L2" s="158"/>
      <c r="M2" s="158"/>
      <c r="N2" s="158"/>
      <c r="O2" s="158"/>
      <c r="P2" s="158"/>
      <c r="Q2" s="158"/>
    </row>
    <row r="3" spans="1:17" ht="18.75" thickBot="1" x14ac:dyDescent="0.25">
      <c r="A3" s="591" t="s">
        <v>1003</v>
      </c>
      <c r="B3" s="592"/>
      <c r="C3" s="592"/>
      <c r="D3" s="592"/>
      <c r="E3" s="592"/>
      <c r="F3" s="592"/>
      <c r="G3" s="592"/>
      <c r="H3" s="592"/>
      <c r="I3" s="593"/>
      <c r="J3" s="156"/>
      <c r="K3" s="158"/>
      <c r="L3" s="158"/>
      <c r="M3" s="158"/>
      <c r="N3" s="158"/>
      <c r="O3" s="158"/>
      <c r="P3" s="158"/>
      <c r="Q3" s="158"/>
    </row>
    <row r="4" spans="1:17" ht="5.0999999999999996" customHeight="1" thickBot="1" x14ac:dyDescent="0.25">
      <c r="A4" s="574"/>
      <c r="B4" s="154"/>
      <c r="C4" s="154"/>
      <c r="D4" s="575"/>
      <c r="E4" s="154"/>
      <c r="F4" s="576"/>
      <c r="G4" s="577"/>
      <c r="H4" s="577"/>
      <c r="I4" s="578"/>
      <c r="J4" s="156"/>
      <c r="K4" s="158"/>
      <c r="L4" s="158"/>
      <c r="M4" s="158"/>
      <c r="N4" s="158"/>
      <c r="O4" s="158"/>
      <c r="P4" s="158"/>
      <c r="Q4" s="158"/>
    </row>
    <row r="5" spans="1:17" ht="16.5" customHeight="1" thickBot="1" x14ac:dyDescent="0.3">
      <c r="A5" s="606" t="s">
        <v>837</v>
      </c>
      <c r="B5" s="607"/>
      <c r="C5" s="607"/>
      <c r="D5" s="607"/>
      <c r="E5" s="607"/>
      <c r="F5" s="607"/>
      <c r="G5" s="607"/>
      <c r="H5" s="610" t="s">
        <v>833</v>
      </c>
      <c r="I5" s="611"/>
      <c r="J5" s="156"/>
      <c r="K5" s="492">
        <v>0.26435686690255822</v>
      </c>
      <c r="L5" s="158"/>
      <c r="M5" s="158"/>
      <c r="N5" s="158"/>
      <c r="O5" s="158"/>
      <c r="P5" s="158"/>
      <c r="Q5" s="158"/>
    </row>
    <row r="6" spans="1:17" ht="5.0999999999999996" customHeight="1" thickBot="1" x14ac:dyDescent="0.25">
      <c r="A6" s="415"/>
      <c r="B6" s="416"/>
      <c r="C6" s="416"/>
      <c r="D6" s="417"/>
      <c r="E6" s="416"/>
      <c r="F6" s="418"/>
      <c r="G6" s="419"/>
      <c r="H6" s="419"/>
      <c r="I6" s="420"/>
      <c r="J6" s="156"/>
      <c r="K6" s="158"/>
      <c r="L6" s="158"/>
      <c r="M6" s="158"/>
      <c r="N6" s="158"/>
      <c r="O6" s="158"/>
      <c r="P6" s="158"/>
      <c r="Q6" s="158"/>
    </row>
    <row r="7" spans="1:17" ht="15.75" thickBot="1" x14ac:dyDescent="0.3">
      <c r="A7" s="608" t="s">
        <v>832</v>
      </c>
      <c r="B7" s="609"/>
      <c r="C7" s="609"/>
      <c r="D7" s="609"/>
      <c r="E7" s="609"/>
      <c r="F7" s="609"/>
      <c r="G7" s="609"/>
      <c r="H7" s="609"/>
      <c r="I7" s="396"/>
      <c r="J7" s="156"/>
      <c r="K7" s="492">
        <v>0.16800393244303136</v>
      </c>
      <c r="L7" s="158"/>
      <c r="M7" s="158"/>
      <c r="N7" s="158"/>
      <c r="O7" s="158"/>
      <c r="P7" s="158"/>
      <c r="Q7" s="158"/>
    </row>
    <row r="8" spans="1:17" ht="5.0999999999999996" customHeight="1" thickBot="1" x14ac:dyDescent="0.25">
      <c r="A8" s="415"/>
      <c r="B8" s="416"/>
      <c r="C8" s="416"/>
      <c r="D8" s="417"/>
      <c r="E8" s="416"/>
      <c r="F8" s="418"/>
      <c r="G8" s="419"/>
      <c r="H8" s="419"/>
      <c r="I8" s="420"/>
      <c r="J8" s="156"/>
      <c r="K8" s="158"/>
      <c r="L8" s="158"/>
      <c r="M8" s="158"/>
      <c r="N8" s="158"/>
      <c r="O8" s="158"/>
      <c r="P8" s="158"/>
      <c r="Q8" s="158"/>
    </row>
    <row r="9" spans="1:17" ht="15.75" thickBot="1" x14ac:dyDescent="0.25">
      <c r="A9" s="608" t="s">
        <v>831</v>
      </c>
      <c r="B9" s="609"/>
      <c r="C9" s="609"/>
      <c r="D9" s="609"/>
      <c r="E9" s="609"/>
      <c r="F9" s="609"/>
      <c r="G9" s="609"/>
      <c r="H9" s="609"/>
      <c r="I9" s="400"/>
      <c r="J9" s="156"/>
      <c r="K9" s="158"/>
      <c r="L9" s="158"/>
      <c r="M9" s="158"/>
      <c r="N9" s="158"/>
      <c r="O9" s="158"/>
      <c r="P9" s="158"/>
      <c r="Q9" s="158"/>
    </row>
    <row r="10" spans="1:17" ht="5.0999999999999996" customHeight="1" thickBot="1" x14ac:dyDescent="0.25">
      <c r="A10" s="603"/>
      <c r="B10" s="604"/>
      <c r="C10" s="604"/>
      <c r="D10" s="604"/>
      <c r="E10" s="604"/>
      <c r="F10" s="604"/>
      <c r="G10" s="604"/>
      <c r="H10" s="604"/>
      <c r="I10" s="605"/>
      <c r="J10" s="156"/>
      <c r="K10" s="158"/>
      <c r="L10" s="158"/>
      <c r="M10" s="158"/>
      <c r="N10" s="158"/>
      <c r="O10" s="158"/>
      <c r="P10" s="158"/>
      <c r="Q10" s="158"/>
    </row>
    <row r="11" spans="1:17" x14ac:dyDescent="0.2">
      <c r="A11" s="597" t="s">
        <v>71</v>
      </c>
      <c r="B11" s="594" t="s">
        <v>72</v>
      </c>
      <c r="C11" s="594" t="s">
        <v>73</v>
      </c>
      <c r="D11" s="600" t="s">
        <v>74</v>
      </c>
      <c r="E11" s="594" t="s">
        <v>75</v>
      </c>
      <c r="F11" s="594" t="s">
        <v>76</v>
      </c>
      <c r="G11" s="588" t="s">
        <v>460</v>
      </c>
      <c r="H11" s="588" t="s">
        <v>461</v>
      </c>
      <c r="I11" s="585" t="s">
        <v>459</v>
      </c>
      <c r="J11" s="156"/>
      <c r="K11" s="158"/>
      <c r="L11" s="158"/>
      <c r="M11" s="158"/>
      <c r="N11" s="158"/>
      <c r="O11" s="158"/>
      <c r="P11" s="158"/>
      <c r="Q11" s="158"/>
    </row>
    <row r="12" spans="1:17" x14ac:dyDescent="0.2">
      <c r="A12" s="598"/>
      <c r="B12" s="595"/>
      <c r="C12" s="595"/>
      <c r="D12" s="601"/>
      <c r="E12" s="595"/>
      <c r="F12" s="595"/>
      <c r="G12" s="589"/>
      <c r="H12" s="589"/>
      <c r="I12" s="586"/>
      <c r="J12" s="156"/>
      <c r="K12" s="158"/>
      <c r="L12" s="158"/>
      <c r="M12" s="158"/>
      <c r="N12" s="158"/>
      <c r="O12" s="158"/>
      <c r="P12" s="158"/>
      <c r="Q12" s="158"/>
    </row>
    <row r="13" spans="1:17" ht="15" thickBot="1" x14ac:dyDescent="0.25">
      <c r="A13" s="599"/>
      <c r="B13" s="596"/>
      <c r="C13" s="596"/>
      <c r="D13" s="602"/>
      <c r="E13" s="596"/>
      <c r="F13" s="596"/>
      <c r="G13" s="590"/>
      <c r="H13" s="590"/>
      <c r="I13" s="587"/>
      <c r="J13" s="156"/>
      <c r="K13" s="158"/>
      <c r="L13" s="158"/>
      <c r="M13" s="158"/>
      <c r="N13" s="158"/>
      <c r="O13" s="158"/>
      <c r="P13" s="158"/>
      <c r="Q13" s="158"/>
    </row>
    <row r="14" spans="1:17" ht="15.75" thickTop="1" x14ac:dyDescent="0.2">
      <c r="A14" s="579"/>
      <c r="B14" s="580"/>
      <c r="C14" s="580"/>
      <c r="D14" s="581" t="s">
        <v>77</v>
      </c>
      <c r="E14" s="580"/>
      <c r="F14" s="582"/>
      <c r="G14" s="582"/>
      <c r="H14" s="582"/>
      <c r="I14" s="583"/>
      <c r="J14" s="156"/>
      <c r="K14" s="158"/>
      <c r="L14" s="158"/>
      <c r="M14" s="160" t="s">
        <v>281</v>
      </c>
      <c r="N14" s="158"/>
      <c r="O14" s="158"/>
      <c r="P14" s="158"/>
      <c r="Q14" s="158"/>
    </row>
    <row r="15" spans="1:17" ht="30" x14ac:dyDescent="0.2">
      <c r="A15" s="45"/>
      <c r="B15" s="46"/>
      <c r="C15" s="46"/>
      <c r="D15" s="553" t="s">
        <v>956</v>
      </c>
      <c r="E15" s="46"/>
      <c r="F15" s="53"/>
      <c r="G15" s="53"/>
      <c r="H15" s="53"/>
      <c r="I15" s="102"/>
      <c r="J15" s="158"/>
      <c r="K15" s="158"/>
      <c r="L15" s="158"/>
      <c r="M15" s="161"/>
      <c r="N15" s="158"/>
      <c r="O15" s="158"/>
      <c r="P15" s="158"/>
      <c r="Q15" s="158"/>
    </row>
    <row r="16" spans="1:17" ht="15.75" thickBot="1" x14ac:dyDescent="0.25">
      <c r="A16" s="45"/>
      <c r="B16" s="46"/>
      <c r="C16" s="46"/>
      <c r="D16" s="553"/>
      <c r="E16" s="46"/>
      <c r="F16" s="53"/>
      <c r="G16" s="53"/>
      <c r="H16" s="53"/>
      <c r="I16" s="102"/>
      <c r="J16" s="158"/>
      <c r="K16" s="158"/>
      <c r="L16" s="158"/>
      <c r="M16" s="161"/>
      <c r="N16" s="158"/>
      <c r="O16" s="158"/>
      <c r="P16" s="158"/>
      <c r="Q16" s="158"/>
    </row>
    <row r="17" spans="1:17" ht="16.5" thickTop="1" thickBot="1" x14ac:dyDescent="0.25">
      <c r="A17" s="95" t="str">
        <f>A48</f>
        <v>01.00.00</v>
      </c>
      <c r="B17" s="149"/>
      <c r="C17" s="149"/>
      <c r="D17" s="150" t="str">
        <f>D48</f>
        <v>MOBILIZAÇÃO E DESMOBILIZAÇÃO</v>
      </c>
      <c r="E17" s="149"/>
      <c r="F17" s="151"/>
      <c r="G17" s="151"/>
      <c r="H17" s="151"/>
      <c r="I17" s="152">
        <f>I48</f>
        <v>132925.28000000003</v>
      </c>
      <c r="J17" s="156"/>
      <c r="K17" s="162">
        <f>I17/I46</f>
        <v>3.6337172008610162E-2</v>
      </c>
      <c r="L17" s="158"/>
      <c r="M17" s="163">
        <v>0.04</v>
      </c>
      <c r="N17" s="158"/>
      <c r="O17" s="158"/>
      <c r="P17" s="158"/>
      <c r="Q17" s="158"/>
    </row>
    <row r="18" spans="1:17" ht="16.5" thickTop="1" thickBot="1" x14ac:dyDescent="0.25">
      <c r="A18" s="95"/>
      <c r="B18" s="149"/>
      <c r="C18" s="149"/>
      <c r="D18" s="150"/>
      <c r="E18" s="149"/>
      <c r="F18" s="151"/>
      <c r="G18" s="151"/>
      <c r="H18" s="151"/>
      <c r="I18" s="152"/>
      <c r="J18" s="156"/>
      <c r="K18" s="164"/>
      <c r="L18" s="158"/>
      <c r="M18" s="161"/>
      <c r="N18" s="158"/>
      <c r="O18" s="158"/>
      <c r="P18" s="158"/>
      <c r="Q18" s="158"/>
    </row>
    <row r="19" spans="1:17" ht="16.5" thickTop="1" thickBot="1" x14ac:dyDescent="0.25">
      <c r="A19" s="95" t="str">
        <f>A63</f>
        <v>02.00.00</v>
      </c>
      <c r="B19" s="149"/>
      <c r="C19" s="149"/>
      <c r="D19" s="150" t="str">
        <f>D63</f>
        <v>ADMINISTRAÇÃO DA OBRA</v>
      </c>
      <c r="E19" s="149"/>
      <c r="F19" s="151"/>
      <c r="G19" s="151"/>
      <c r="H19" s="151"/>
      <c r="I19" s="152">
        <f>I63</f>
        <v>296705.03999999998</v>
      </c>
      <c r="J19" s="156"/>
      <c r="K19" s="162">
        <f>I19/I46</f>
        <v>8.1108891207914369E-2</v>
      </c>
      <c r="L19" s="158"/>
      <c r="M19" s="165">
        <v>0.1</v>
      </c>
      <c r="N19" s="158"/>
      <c r="O19" s="158"/>
      <c r="P19" s="158"/>
      <c r="Q19" s="158"/>
    </row>
    <row r="20" spans="1:17" ht="15.75" thickTop="1" thickBot="1" x14ac:dyDescent="0.25">
      <c r="A20" s="51"/>
      <c r="B20" s="52"/>
      <c r="C20" s="52"/>
      <c r="D20" s="98"/>
      <c r="E20" s="52"/>
      <c r="F20" s="54"/>
      <c r="G20" s="54"/>
      <c r="H20" s="54"/>
      <c r="I20" s="153"/>
      <c r="J20" s="156"/>
      <c r="K20" s="158"/>
      <c r="L20" s="158"/>
      <c r="M20" s="158"/>
      <c r="N20" s="158"/>
      <c r="O20" s="158"/>
      <c r="P20" s="158"/>
      <c r="Q20" s="158"/>
    </row>
    <row r="21" spans="1:17" ht="16.5" thickTop="1" thickBot="1" x14ac:dyDescent="0.25">
      <c r="A21" s="95" t="str">
        <f>A66</f>
        <v>03.00.00</v>
      </c>
      <c r="B21" s="149"/>
      <c r="C21" s="149"/>
      <c r="D21" s="150" t="str">
        <f>D66</f>
        <v>REDE COLETORA DE ESGOTOS</v>
      </c>
      <c r="E21" s="149"/>
      <c r="F21" s="151"/>
      <c r="G21" s="151"/>
      <c r="H21" s="151"/>
      <c r="I21" s="152">
        <f>I66</f>
        <v>338589.68000000005</v>
      </c>
      <c r="J21" s="156"/>
      <c r="K21" s="166">
        <f>I21/F68</f>
        <v>128.98654476190478</v>
      </c>
      <c r="L21" s="167" t="s">
        <v>347</v>
      </c>
      <c r="M21" s="158"/>
      <c r="N21" s="158"/>
      <c r="O21" s="158"/>
      <c r="P21" s="158"/>
      <c r="Q21" s="158"/>
    </row>
    <row r="22" spans="1:17" ht="15.75" thickTop="1" x14ac:dyDescent="0.2">
      <c r="A22" s="95"/>
      <c r="B22" s="149"/>
      <c r="C22" s="149"/>
      <c r="D22" s="150"/>
      <c r="E22" s="149"/>
      <c r="F22" s="151"/>
      <c r="G22" s="151"/>
      <c r="H22" s="151"/>
      <c r="I22" s="152"/>
      <c r="J22" s="156"/>
      <c r="K22" s="244"/>
      <c r="L22" s="245"/>
      <c r="M22" s="158"/>
      <c r="N22" s="158"/>
      <c r="O22" s="158"/>
      <c r="P22" s="158"/>
      <c r="Q22" s="158"/>
    </row>
    <row r="23" spans="1:17" ht="15" x14ac:dyDescent="0.2">
      <c r="A23" s="95" t="str">
        <f>A130</f>
        <v>04.00.00</v>
      </c>
      <c r="B23" s="149"/>
      <c r="C23" s="149"/>
      <c r="D23" s="150" t="str">
        <f>D130</f>
        <v>ELEVATÓRIA E LINHA DE RECALQUE - BAIRRO MIGUEL VIEIRA</v>
      </c>
      <c r="E23" s="149"/>
      <c r="F23" s="151"/>
      <c r="G23" s="151"/>
      <c r="H23" s="151"/>
      <c r="I23" s="152">
        <f>I130</f>
        <v>138615.96</v>
      </c>
      <c r="J23" s="156"/>
      <c r="K23" s="244"/>
      <c r="L23" s="245"/>
      <c r="M23" s="158"/>
      <c r="N23" s="158"/>
      <c r="O23" s="158"/>
      <c r="P23" s="158"/>
      <c r="Q23" s="158"/>
    </row>
    <row r="24" spans="1:17" ht="15" x14ac:dyDescent="0.2">
      <c r="A24" s="95"/>
      <c r="B24" s="149"/>
      <c r="C24" s="149"/>
      <c r="D24" s="150"/>
      <c r="E24" s="149"/>
      <c r="F24" s="151"/>
      <c r="G24" s="151"/>
      <c r="H24" s="151"/>
      <c r="I24" s="152"/>
      <c r="J24" s="156"/>
      <c r="K24" s="244"/>
      <c r="L24" s="245"/>
      <c r="M24" s="158"/>
      <c r="N24" s="158"/>
      <c r="O24" s="158"/>
      <c r="P24" s="158"/>
      <c r="Q24" s="158"/>
    </row>
    <row r="25" spans="1:17" ht="15" x14ac:dyDescent="0.2">
      <c r="A25" s="95" t="str">
        <f>A188</f>
        <v>05.01.00</v>
      </c>
      <c r="B25" s="149"/>
      <c r="C25" s="149"/>
      <c r="D25" s="150" t="str">
        <f>D188</f>
        <v>SERVIÇOS PRELIMINARES</v>
      </c>
      <c r="E25" s="149"/>
      <c r="F25" s="151"/>
      <c r="G25" s="151"/>
      <c r="H25" s="151"/>
      <c r="I25" s="152">
        <f>I188</f>
        <v>119800.81</v>
      </c>
      <c r="J25" s="156"/>
      <c r="K25" s="158"/>
      <c r="L25" s="158"/>
      <c r="M25" s="158"/>
      <c r="N25" s="158"/>
      <c r="O25" s="158"/>
      <c r="P25" s="158"/>
      <c r="Q25" s="158"/>
    </row>
    <row r="26" spans="1:17" ht="15" x14ac:dyDescent="0.2">
      <c r="A26" s="95"/>
      <c r="B26" s="149"/>
      <c r="C26" s="149"/>
      <c r="D26" s="150"/>
      <c r="E26" s="149"/>
      <c r="F26" s="151"/>
      <c r="G26" s="151"/>
      <c r="H26" s="151"/>
      <c r="I26" s="152"/>
      <c r="J26" s="156"/>
      <c r="K26" s="158"/>
      <c r="L26" s="158"/>
      <c r="M26" s="158"/>
      <c r="N26" s="158"/>
      <c r="O26" s="158"/>
      <c r="P26" s="158"/>
      <c r="Q26" s="158"/>
    </row>
    <row r="27" spans="1:17" ht="15" x14ac:dyDescent="0.2">
      <c r="A27" s="95" t="str">
        <f>A196</f>
        <v>05.02.00</v>
      </c>
      <c r="B27" s="149"/>
      <c r="C27" s="149"/>
      <c r="D27" s="150" t="str">
        <f>D196</f>
        <v>ELEVATÓRIA FINAL</v>
      </c>
      <c r="E27" s="149"/>
      <c r="F27" s="151"/>
      <c r="G27" s="151"/>
      <c r="H27" s="151"/>
      <c r="I27" s="152">
        <f>I196</f>
        <v>96202.050000000017</v>
      </c>
      <c r="J27" s="156"/>
      <c r="K27" s="158"/>
      <c r="L27" s="158"/>
      <c r="M27" s="158"/>
      <c r="N27" s="158"/>
      <c r="O27" s="158"/>
      <c r="P27" s="158"/>
      <c r="Q27" s="158"/>
    </row>
    <row r="28" spans="1:17" ht="15" x14ac:dyDescent="0.2">
      <c r="A28" s="95"/>
      <c r="B28" s="149"/>
      <c r="C28" s="149"/>
      <c r="D28" s="150"/>
      <c r="E28" s="149"/>
      <c r="F28" s="151"/>
      <c r="G28" s="151"/>
      <c r="H28" s="151"/>
      <c r="I28" s="152"/>
      <c r="J28" s="156"/>
      <c r="K28" s="158"/>
      <c r="L28" s="158"/>
      <c r="M28" s="158"/>
      <c r="N28" s="158"/>
      <c r="O28" s="158"/>
      <c r="P28" s="158"/>
      <c r="Q28" s="158"/>
    </row>
    <row r="29" spans="1:17" ht="15" x14ac:dyDescent="0.2">
      <c r="A29" s="95" t="str">
        <f>A206</f>
        <v>05.03.00</v>
      </c>
      <c r="B29" s="149"/>
      <c r="C29" s="149"/>
      <c r="D29" s="150" t="str">
        <f>D206</f>
        <v>TRATAMENTO PRELIMINAR</v>
      </c>
      <c r="E29" s="149"/>
      <c r="F29" s="151"/>
      <c r="G29" s="151"/>
      <c r="H29" s="151"/>
      <c r="I29" s="152">
        <f>I206</f>
        <v>36887.49</v>
      </c>
      <c r="J29" s="156"/>
      <c r="K29" s="158"/>
      <c r="L29" s="158"/>
      <c r="M29" s="158"/>
      <c r="N29" s="158"/>
      <c r="O29" s="158"/>
      <c r="P29" s="158"/>
      <c r="Q29" s="158"/>
    </row>
    <row r="30" spans="1:17" ht="15" x14ac:dyDescent="0.2">
      <c r="A30" s="95"/>
      <c r="B30" s="149"/>
      <c r="C30" s="149"/>
      <c r="D30" s="150"/>
      <c r="E30" s="149"/>
      <c r="F30" s="151"/>
      <c r="G30" s="151"/>
      <c r="H30" s="151"/>
      <c r="I30" s="152"/>
      <c r="J30" s="156"/>
      <c r="K30" s="158"/>
      <c r="L30" s="158"/>
      <c r="M30" s="158"/>
      <c r="N30" s="158"/>
      <c r="O30" s="158"/>
      <c r="P30" s="158"/>
      <c r="Q30" s="158"/>
    </row>
    <row r="31" spans="1:17" ht="15" x14ac:dyDescent="0.2">
      <c r="A31" s="95" t="str">
        <f>A225</f>
        <v>05.04.00</v>
      </c>
      <c r="B31" s="149"/>
      <c r="C31" s="149"/>
      <c r="D31" s="150" t="str">
        <f>D225</f>
        <v>LAGOAS ANAERÓBIAS (02 UNIDADES)</v>
      </c>
      <c r="E31" s="149"/>
      <c r="F31" s="151"/>
      <c r="G31" s="151"/>
      <c r="H31" s="151"/>
      <c r="I31" s="152">
        <f>I225</f>
        <v>569021.93999999994</v>
      </c>
      <c r="J31" s="156"/>
      <c r="K31" s="158"/>
      <c r="L31" s="158"/>
      <c r="M31" s="158"/>
      <c r="N31" s="158"/>
      <c r="O31" s="158"/>
      <c r="P31" s="158"/>
      <c r="Q31" s="158"/>
    </row>
    <row r="32" spans="1:17" x14ac:dyDescent="0.2">
      <c r="A32" s="51"/>
      <c r="B32" s="52"/>
      <c r="C32" s="52"/>
      <c r="D32" s="98"/>
      <c r="E32" s="52"/>
      <c r="F32" s="54"/>
      <c r="G32" s="54"/>
      <c r="H32" s="54"/>
      <c r="I32" s="153"/>
      <c r="J32" s="156"/>
      <c r="K32" s="158"/>
      <c r="L32" s="158"/>
      <c r="M32" s="158"/>
      <c r="N32" s="158"/>
      <c r="O32" s="158"/>
      <c r="P32" s="158"/>
      <c r="Q32" s="158"/>
    </row>
    <row r="33" spans="1:17" ht="15" x14ac:dyDescent="0.2">
      <c r="A33" s="95" t="str">
        <f>A229</f>
        <v>05.05.00</v>
      </c>
      <c r="B33" s="149"/>
      <c r="C33" s="149"/>
      <c r="D33" s="150" t="str">
        <f>D229</f>
        <v>LAGOAS FACULTATIVAS (02 UNIDADES)</v>
      </c>
      <c r="E33" s="149"/>
      <c r="F33" s="151"/>
      <c r="G33" s="151"/>
      <c r="H33" s="151"/>
      <c r="I33" s="152">
        <f>I229</f>
        <v>609964.35</v>
      </c>
      <c r="J33" s="156"/>
      <c r="K33" s="158"/>
      <c r="L33" s="158"/>
      <c r="M33" s="158"/>
      <c r="N33" s="168">
        <f>I19</f>
        <v>296705.03999999998</v>
      </c>
      <c r="O33" s="158"/>
      <c r="P33" s="158"/>
      <c r="Q33" s="158"/>
    </row>
    <row r="34" spans="1:17" ht="15" x14ac:dyDescent="0.2">
      <c r="A34" s="95"/>
      <c r="B34" s="149"/>
      <c r="C34" s="149"/>
      <c r="D34" s="150"/>
      <c r="E34" s="149"/>
      <c r="F34" s="151"/>
      <c r="G34" s="151"/>
      <c r="H34" s="151"/>
      <c r="I34" s="152"/>
      <c r="J34" s="156"/>
      <c r="K34" s="158"/>
      <c r="L34" s="158"/>
      <c r="M34" s="158"/>
      <c r="N34" s="168"/>
      <c r="O34" s="158"/>
      <c r="P34" s="158"/>
      <c r="Q34" s="158"/>
    </row>
    <row r="35" spans="1:17" ht="15" x14ac:dyDescent="0.2">
      <c r="A35" s="95" t="str">
        <f>A238</f>
        <v>05.06.00</v>
      </c>
      <c r="B35" s="149"/>
      <c r="C35" s="149"/>
      <c r="D35" s="150" t="str">
        <f>D238</f>
        <v>LAGOA DE MATURAÇÃO COM CHICANAS</v>
      </c>
      <c r="E35" s="149"/>
      <c r="F35" s="151"/>
      <c r="G35" s="151"/>
      <c r="H35" s="151"/>
      <c r="I35" s="152">
        <f>I238</f>
        <v>639725.85000000009</v>
      </c>
      <c r="J35" s="156"/>
      <c r="K35" s="158"/>
      <c r="L35" s="158"/>
      <c r="M35" s="158"/>
      <c r="N35" s="168"/>
      <c r="O35" s="158"/>
      <c r="P35" s="158"/>
      <c r="Q35" s="158"/>
    </row>
    <row r="36" spans="1:17" ht="15" x14ac:dyDescent="0.2">
      <c r="A36" s="95"/>
      <c r="B36" s="149"/>
      <c r="C36" s="149"/>
      <c r="D36" s="150"/>
      <c r="E36" s="149"/>
      <c r="F36" s="151"/>
      <c r="G36" s="151"/>
      <c r="H36" s="151"/>
      <c r="I36" s="152"/>
      <c r="J36" s="156"/>
      <c r="K36" s="158"/>
      <c r="L36" s="158"/>
      <c r="M36" s="158"/>
      <c r="N36" s="168"/>
      <c r="O36" s="158"/>
      <c r="P36" s="158"/>
      <c r="Q36" s="158"/>
    </row>
    <row r="37" spans="1:17" ht="15" x14ac:dyDescent="0.2">
      <c r="A37" s="95" t="str">
        <f>A249</f>
        <v>05.07.00</v>
      </c>
      <c r="B37" s="149"/>
      <c r="C37" s="149"/>
      <c r="D37" s="150" t="str">
        <f>D249</f>
        <v>UNIDADE DE APOIO</v>
      </c>
      <c r="E37" s="149"/>
      <c r="F37" s="151"/>
      <c r="G37" s="151"/>
      <c r="H37" s="151"/>
      <c r="I37" s="152">
        <f>I249</f>
        <v>96891.98000000001</v>
      </c>
      <c r="J37" s="156"/>
      <c r="K37" s="158"/>
      <c r="L37" s="158"/>
      <c r="M37" s="158"/>
      <c r="N37" s="158"/>
      <c r="O37" s="158"/>
      <c r="P37" s="158"/>
      <c r="Q37" s="158"/>
    </row>
    <row r="38" spans="1:17" ht="15" x14ac:dyDescent="0.2">
      <c r="A38" s="51"/>
      <c r="B38" s="52"/>
      <c r="C38" s="52"/>
      <c r="D38" s="150"/>
      <c r="E38" s="52"/>
      <c r="F38" s="54"/>
      <c r="G38" s="54"/>
      <c r="H38" s="54"/>
      <c r="I38" s="152"/>
      <c r="J38" s="156"/>
      <c r="K38" s="158"/>
      <c r="L38" s="158"/>
      <c r="M38" s="158"/>
      <c r="N38" s="168">
        <f>I21</f>
        <v>338589.68000000005</v>
      </c>
      <c r="O38" s="158"/>
      <c r="P38" s="158"/>
      <c r="Q38" s="158"/>
    </row>
    <row r="39" spans="1:17" ht="15" x14ac:dyDescent="0.2">
      <c r="A39" s="95" t="str">
        <f>A281</f>
        <v>05.08.00</v>
      </c>
      <c r="B39" s="52"/>
      <c r="C39" s="52"/>
      <c r="D39" s="150" t="str">
        <f>D281</f>
        <v>INTERLIGAÇÕES DAS UNIDADES DA ETE</v>
      </c>
      <c r="E39" s="52"/>
      <c r="F39" s="54"/>
      <c r="G39" s="54"/>
      <c r="H39" s="54"/>
      <c r="I39" s="152">
        <f>I281</f>
        <v>95153.82</v>
      </c>
      <c r="J39" s="156"/>
      <c r="K39" s="158"/>
      <c r="L39" s="158"/>
      <c r="M39" s="158"/>
      <c r="N39" s="168" t="e">
        <f>#REF!</f>
        <v>#REF!</v>
      </c>
      <c r="O39" s="158"/>
      <c r="P39" s="158"/>
      <c r="Q39" s="158"/>
    </row>
    <row r="40" spans="1:17" ht="15" x14ac:dyDescent="0.2">
      <c r="A40" s="51"/>
      <c r="B40" s="52"/>
      <c r="C40" s="52"/>
      <c r="D40" s="150"/>
      <c r="E40" s="52"/>
      <c r="F40" s="54"/>
      <c r="G40" s="54"/>
      <c r="H40" s="54"/>
      <c r="I40" s="153"/>
      <c r="J40" s="156"/>
      <c r="K40" s="158"/>
      <c r="L40" s="158"/>
      <c r="M40" s="158"/>
      <c r="N40" s="168">
        <f>I186</f>
        <v>2751271.5</v>
      </c>
      <c r="O40" s="158"/>
      <c r="P40" s="158"/>
      <c r="Q40" s="158"/>
    </row>
    <row r="41" spans="1:17" ht="15" x14ac:dyDescent="0.2">
      <c r="A41" s="95" t="str">
        <f>A295</f>
        <v>05.09.00</v>
      </c>
      <c r="B41" s="149"/>
      <c r="C41" s="149"/>
      <c r="D41" s="150" t="str">
        <f>D295</f>
        <v>URBANIZAÇÃO E PAISAGISMO</v>
      </c>
      <c r="E41" s="149"/>
      <c r="F41" s="151"/>
      <c r="G41" s="151"/>
      <c r="H41" s="151"/>
      <c r="I41" s="152">
        <f>I295</f>
        <v>487623.20999999996</v>
      </c>
      <c r="J41" s="156"/>
      <c r="K41" s="158"/>
      <c r="L41" s="158"/>
      <c r="M41" s="158"/>
      <c r="N41" s="158"/>
      <c r="O41" s="158"/>
      <c r="P41" s="158"/>
      <c r="Q41" s="158"/>
    </row>
    <row r="42" spans="1:17" ht="15" x14ac:dyDescent="0.2">
      <c r="A42" s="95"/>
      <c r="B42" s="149"/>
      <c r="C42" s="149"/>
      <c r="D42" s="150"/>
      <c r="E42" s="149"/>
      <c r="F42" s="151"/>
      <c r="G42" s="151"/>
      <c r="H42" s="151"/>
      <c r="I42" s="152"/>
      <c r="J42" s="156"/>
      <c r="K42" s="158"/>
      <c r="L42" s="158"/>
      <c r="M42" s="158"/>
      <c r="N42" s="168" t="e">
        <f>SUM(N33:N41)</f>
        <v>#REF!</v>
      </c>
      <c r="O42" s="158"/>
      <c r="P42" s="158"/>
      <c r="Q42" s="158"/>
    </row>
    <row r="43" spans="1:17" ht="15" x14ac:dyDescent="0.2">
      <c r="A43" s="51"/>
      <c r="B43" s="52"/>
      <c r="C43" s="52"/>
      <c r="D43" s="150"/>
      <c r="E43" s="52"/>
      <c r="F43" s="54"/>
      <c r="G43" s="54"/>
      <c r="H43" s="54"/>
      <c r="I43" s="153"/>
      <c r="J43" s="156"/>
      <c r="K43" s="158"/>
      <c r="L43" s="158"/>
      <c r="M43" s="158"/>
      <c r="N43" s="158"/>
      <c r="O43" s="158"/>
      <c r="P43" s="158"/>
      <c r="Q43" s="158"/>
    </row>
    <row r="44" spans="1:17" x14ac:dyDescent="0.2">
      <c r="A44" s="45"/>
      <c r="B44" s="46"/>
      <c r="C44" s="46"/>
      <c r="D44" s="97"/>
      <c r="E44" s="46"/>
      <c r="F44" s="53"/>
      <c r="G44" s="53"/>
      <c r="H44" s="53"/>
      <c r="I44" s="102"/>
      <c r="J44" s="156"/>
      <c r="K44" s="158"/>
      <c r="L44" s="158"/>
      <c r="M44" s="158"/>
      <c r="N44" s="158"/>
      <c r="O44" s="158"/>
      <c r="P44" s="158"/>
      <c r="Q44" s="158"/>
    </row>
    <row r="45" spans="1:17" x14ac:dyDescent="0.2">
      <c r="A45" s="45"/>
      <c r="B45" s="46"/>
      <c r="C45" s="46"/>
      <c r="D45" s="97"/>
      <c r="E45" s="46"/>
      <c r="F45" s="53"/>
      <c r="G45" s="53"/>
      <c r="H45" s="53"/>
      <c r="I45" s="102"/>
      <c r="J45" s="156"/>
      <c r="K45" s="158"/>
      <c r="L45" s="158"/>
      <c r="M45" s="158"/>
      <c r="N45" s="158"/>
      <c r="O45" s="158"/>
      <c r="P45" s="158"/>
      <c r="Q45" s="158"/>
    </row>
    <row r="46" spans="1:17" ht="15" x14ac:dyDescent="0.2">
      <c r="A46" s="584"/>
      <c r="B46" s="437"/>
      <c r="C46" s="437"/>
      <c r="D46" s="432" t="s">
        <v>78</v>
      </c>
      <c r="E46" s="437"/>
      <c r="F46" s="439"/>
      <c r="G46" s="439"/>
      <c r="H46" s="439"/>
      <c r="I46" s="436">
        <f>SUM(I17:I43)</f>
        <v>3658107.46</v>
      </c>
      <c r="J46" s="156"/>
      <c r="K46" s="169"/>
      <c r="L46" s="158"/>
      <c r="M46" s="158"/>
      <c r="N46" s="158"/>
      <c r="O46" s="158"/>
      <c r="P46" s="158"/>
      <c r="Q46" s="158"/>
    </row>
    <row r="47" spans="1:17" ht="15" x14ac:dyDescent="0.2">
      <c r="A47" s="45"/>
      <c r="B47" s="46"/>
      <c r="C47" s="46"/>
      <c r="D47" s="48"/>
      <c r="E47" s="46"/>
      <c r="F47" s="53"/>
      <c r="G47" s="53"/>
      <c r="H47" s="55"/>
      <c r="I47" s="103"/>
      <c r="J47" s="156"/>
      <c r="K47" s="169"/>
      <c r="L47" s="158"/>
      <c r="M47" s="158"/>
      <c r="N47" s="158"/>
      <c r="O47" s="158"/>
      <c r="P47" s="158"/>
      <c r="Q47" s="158"/>
    </row>
    <row r="48" spans="1:17" ht="15" x14ac:dyDescent="0.2">
      <c r="A48" s="431" t="s">
        <v>468</v>
      </c>
      <c r="B48" s="432"/>
      <c r="C48" s="432"/>
      <c r="D48" s="433" t="s">
        <v>280</v>
      </c>
      <c r="E48" s="432"/>
      <c r="F48" s="434"/>
      <c r="G48" s="434"/>
      <c r="H48" s="435"/>
      <c r="I48" s="436">
        <f>SUM(I49:I58)</f>
        <v>132925.28000000003</v>
      </c>
      <c r="J48" s="156"/>
      <c r="K48" s="170">
        <f>K17</f>
        <v>3.6337172008610162E-2</v>
      </c>
      <c r="L48" s="158"/>
      <c r="M48" s="171">
        <v>0.04</v>
      </c>
      <c r="N48" s="158"/>
      <c r="O48" s="158"/>
      <c r="P48" s="158"/>
      <c r="Q48" s="158"/>
    </row>
    <row r="49" spans="1:18" s="187" customFormat="1" ht="14.25" customHeight="1" x14ac:dyDescent="0.2">
      <c r="A49" s="546" t="s">
        <v>297</v>
      </c>
      <c r="B49" s="547" t="s">
        <v>80</v>
      </c>
      <c r="C49" s="547">
        <v>72840</v>
      </c>
      <c r="D49" s="548" t="s">
        <v>87</v>
      </c>
      <c r="E49" s="547" t="s">
        <v>841</v>
      </c>
      <c r="F49" s="497">
        <v>50000</v>
      </c>
      <c r="G49" s="497">
        <v>0.45</v>
      </c>
      <c r="H49" s="497">
        <f>G49*(1+$K$5)</f>
        <v>0.56896059010615119</v>
      </c>
      <c r="I49" s="502">
        <f t="shared" ref="I49:I58" si="0">ROUND(F49*H49,2)</f>
        <v>28448.03</v>
      </c>
      <c r="J49" s="185"/>
      <c r="K49" s="295"/>
      <c r="L49" s="186"/>
      <c r="M49" s="296"/>
      <c r="N49" s="186"/>
      <c r="O49" s="186"/>
      <c r="P49" s="186"/>
      <c r="Q49" s="186"/>
    </row>
    <row r="50" spans="1:18" s="187" customFormat="1" ht="42.75" x14ac:dyDescent="0.2">
      <c r="A50" s="546" t="s">
        <v>298</v>
      </c>
      <c r="B50" s="547" t="s">
        <v>80</v>
      </c>
      <c r="C50" s="547" t="s">
        <v>81</v>
      </c>
      <c r="D50" s="548" t="s">
        <v>82</v>
      </c>
      <c r="E50" s="547" t="s">
        <v>83</v>
      </c>
      <c r="F50" s="497">
        <v>50</v>
      </c>
      <c r="G50" s="497">
        <v>302.44</v>
      </c>
      <c r="H50" s="497">
        <f t="shared" ref="H50:H58" si="1">G50*(1+$K$5)</f>
        <v>382.39209082600968</v>
      </c>
      <c r="I50" s="502">
        <f t="shared" si="0"/>
        <v>19119.599999999999</v>
      </c>
      <c r="J50" s="185"/>
      <c r="K50" s="299"/>
      <c r="L50" s="186"/>
      <c r="M50" s="300"/>
      <c r="N50" s="186"/>
      <c r="O50" s="186"/>
      <c r="P50" s="186"/>
      <c r="Q50" s="186"/>
    </row>
    <row r="51" spans="1:18" s="187" customFormat="1" ht="28.5" x14ac:dyDescent="0.2">
      <c r="A51" s="546" t="s">
        <v>299</v>
      </c>
      <c r="B51" s="547" t="s">
        <v>80</v>
      </c>
      <c r="C51" s="547" t="s">
        <v>842</v>
      </c>
      <c r="D51" s="548" t="s">
        <v>843</v>
      </c>
      <c r="E51" s="547" t="s">
        <v>83</v>
      </c>
      <c r="F51" s="497">
        <v>50</v>
      </c>
      <c r="G51" s="497">
        <v>322.47000000000003</v>
      </c>
      <c r="H51" s="497">
        <f t="shared" si="1"/>
        <v>407.71715887006798</v>
      </c>
      <c r="I51" s="502">
        <f t="shared" si="0"/>
        <v>20385.86</v>
      </c>
      <c r="J51" s="185"/>
      <c r="K51" s="299"/>
      <c r="L51" s="186"/>
      <c r="M51" s="300"/>
      <c r="N51" s="186"/>
      <c r="O51" s="186"/>
      <c r="P51" s="186"/>
      <c r="Q51" s="186"/>
    </row>
    <row r="52" spans="1:18" s="187" customFormat="1" ht="28.5" customHeight="1" x14ac:dyDescent="0.2">
      <c r="A52" s="546" t="s">
        <v>300</v>
      </c>
      <c r="B52" s="547" t="s">
        <v>80</v>
      </c>
      <c r="C52" s="547" t="s">
        <v>429</v>
      </c>
      <c r="D52" s="548" t="s">
        <v>844</v>
      </c>
      <c r="E52" s="547" t="s">
        <v>83</v>
      </c>
      <c r="F52" s="497">
        <v>60</v>
      </c>
      <c r="G52" s="497">
        <v>231.95</v>
      </c>
      <c r="H52" s="497">
        <f t="shared" si="1"/>
        <v>293.26757527804835</v>
      </c>
      <c r="I52" s="502">
        <f t="shared" si="0"/>
        <v>17596.05</v>
      </c>
      <c r="J52" s="185"/>
      <c r="K52" s="299"/>
      <c r="L52" s="186"/>
      <c r="M52" s="300"/>
      <c r="N52" s="186"/>
      <c r="O52" s="186"/>
      <c r="P52" s="186"/>
      <c r="Q52" s="186"/>
    </row>
    <row r="53" spans="1:18" s="187" customFormat="1" ht="28.5" x14ac:dyDescent="0.2">
      <c r="A53" s="546" t="s">
        <v>426</v>
      </c>
      <c r="B53" s="547" t="s">
        <v>80</v>
      </c>
      <c r="C53" s="547" t="s">
        <v>339</v>
      </c>
      <c r="D53" s="548" t="s">
        <v>845</v>
      </c>
      <c r="E53" s="547" t="s">
        <v>94</v>
      </c>
      <c r="F53" s="497">
        <v>1</v>
      </c>
      <c r="G53" s="497">
        <v>1393.17</v>
      </c>
      <c r="H53" s="497">
        <f t="shared" si="1"/>
        <v>1761.4640562626371</v>
      </c>
      <c r="I53" s="502">
        <f t="shared" si="0"/>
        <v>1761.46</v>
      </c>
      <c r="J53" s="185"/>
      <c r="K53" s="301"/>
      <c r="L53" s="186"/>
      <c r="M53" s="302"/>
      <c r="N53" s="186"/>
      <c r="O53" s="186"/>
      <c r="P53" s="186"/>
      <c r="Q53" s="186"/>
    </row>
    <row r="54" spans="1:18" s="187" customFormat="1" x14ac:dyDescent="0.2">
      <c r="A54" s="546" t="s">
        <v>427</v>
      </c>
      <c r="B54" s="547" t="s">
        <v>80</v>
      </c>
      <c r="C54" s="547" t="s">
        <v>84</v>
      </c>
      <c r="D54" s="548" t="s">
        <v>85</v>
      </c>
      <c r="E54" s="547" t="s">
        <v>83</v>
      </c>
      <c r="F54" s="497">
        <v>12</v>
      </c>
      <c r="G54" s="497">
        <v>316.17</v>
      </c>
      <c r="H54" s="497">
        <f t="shared" si="1"/>
        <v>399.75171060858185</v>
      </c>
      <c r="I54" s="502">
        <f t="shared" si="0"/>
        <v>4797.0200000000004</v>
      </c>
      <c r="J54" s="186"/>
      <c r="K54" s="301"/>
      <c r="L54" s="186"/>
      <c r="M54" s="302"/>
      <c r="N54" s="186"/>
      <c r="O54" s="186"/>
      <c r="P54" s="186"/>
      <c r="Q54" s="186"/>
    </row>
    <row r="55" spans="1:18" s="187" customFormat="1" ht="28.5" x14ac:dyDescent="0.2">
      <c r="A55" s="546" t="s">
        <v>428</v>
      </c>
      <c r="B55" s="547" t="s">
        <v>80</v>
      </c>
      <c r="C55" s="547" t="s">
        <v>314</v>
      </c>
      <c r="D55" s="548" t="s">
        <v>315</v>
      </c>
      <c r="E55" s="547" t="s">
        <v>83</v>
      </c>
      <c r="F55" s="497">
        <v>140</v>
      </c>
      <c r="G55" s="497">
        <v>46.06</v>
      </c>
      <c r="H55" s="497">
        <f t="shared" si="1"/>
        <v>58.236277289531834</v>
      </c>
      <c r="I55" s="502">
        <f t="shared" si="0"/>
        <v>8153.08</v>
      </c>
      <c r="J55" s="186"/>
      <c r="K55" s="301"/>
      <c r="L55" s="186"/>
      <c r="M55" s="302"/>
      <c r="N55" s="186"/>
      <c r="O55" s="186"/>
      <c r="P55" s="186"/>
      <c r="Q55" s="186"/>
    </row>
    <row r="56" spans="1:18" s="187" customFormat="1" ht="42.75" x14ac:dyDescent="0.2">
      <c r="A56" s="546" t="s">
        <v>430</v>
      </c>
      <c r="B56" s="547" t="s">
        <v>80</v>
      </c>
      <c r="C56" s="547" t="s">
        <v>424</v>
      </c>
      <c r="D56" s="548" t="s">
        <v>425</v>
      </c>
      <c r="E56" s="547" t="s">
        <v>90</v>
      </c>
      <c r="F56" s="497">
        <v>200</v>
      </c>
      <c r="G56" s="497">
        <v>18.89</v>
      </c>
      <c r="H56" s="497">
        <f t="shared" si="1"/>
        <v>23.883701215789326</v>
      </c>
      <c r="I56" s="502">
        <f t="shared" si="0"/>
        <v>4776.74</v>
      </c>
      <c r="J56" s="186"/>
      <c r="K56" s="299"/>
      <c r="L56" s="186"/>
      <c r="M56" s="302"/>
      <c r="N56" s="186"/>
      <c r="O56" s="186"/>
      <c r="Q56" s="186"/>
    </row>
    <row r="57" spans="1:18" s="187" customFormat="1" ht="28.5" x14ac:dyDescent="0.2">
      <c r="A57" s="546" t="s">
        <v>846</v>
      </c>
      <c r="B57" s="547" t="s">
        <v>80</v>
      </c>
      <c r="C57" s="547" t="s">
        <v>847</v>
      </c>
      <c r="D57" s="548" t="s">
        <v>848</v>
      </c>
      <c r="E57" s="547" t="s">
        <v>94</v>
      </c>
      <c r="F57" s="497">
        <v>2</v>
      </c>
      <c r="G57" s="497">
        <v>1354.21</v>
      </c>
      <c r="H57" s="497">
        <f t="shared" si="1"/>
        <v>1712.2047127281135</v>
      </c>
      <c r="I57" s="502">
        <f t="shared" si="0"/>
        <v>3424.41</v>
      </c>
      <c r="J57" s="186"/>
      <c r="K57" s="299"/>
      <c r="L57" s="186"/>
      <c r="M57" s="302"/>
      <c r="N57" s="186"/>
      <c r="O57" s="186"/>
      <c r="Q57" s="186"/>
    </row>
    <row r="58" spans="1:18" s="187" customFormat="1" ht="42.75" x14ac:dyDescent="0.2">
      <c r="A58" s="546" t="s">
        <v>849</v>
      </c>
      <c r="B58" s="547" t="s">
        <v>80</v>
      </c>
      <c r="C58" s="547" t="s">
        <v>88</v>
      </c>
      <c r="D58" s="548" t="s">
        <v>850</v>
      </c>
      <c r="E58" s="547" t="s">
        <v>83</v>
      </c>
      <c r="F58" s="497">
        <v>60</v>
      </c>
      <c r="G58" s="497">
        <v>322.47000000000003</v>
      </c>
      <c r="H58" s="497">
        <f t="shared" si="1"/>
        <v>407.71715887006798</v>
      </c>
      <c r="I58" s="502">
        <f t="shared" si="0"/>
        <v>24463.03</v>
      </c>
      <c r="J58" s="186"/>
      <c r="K58" s="299"/>
      <c r="L58" s="186"/>
      <c r="M58" s="302"/>
      <c r="N58" s="186"/>
      <c r="O58" s="186"/>
      <c r="Q58" s="186"/>
    </row>
    <row r="59" spans="1:18" s="187" customFormat="1" x14ac:dyDescent="0.2">
      <c r="A59" s="227"/>
      <c r="B59" s="100"/>
      <c r="C59" s="100"/>
      <c r="D59" s="99"/>
      <c r="E59" s="100"/>
      <c r="F59" s="54"/>
      <c r="G59" s="54"/>
      <c r="H59" s="293"/>
      <c r="I59" s="294"/>
      <c r="J59" s="186"/>
      <c r="K59" s="299"/>
      <c r="L59" s="186"/>
      <c r="M59" s="302"/>
      <c r="N59" s="186"/>
      <c r="O59" s="186"/>
      <c r="Q59" s="186"/>
    </row>
    <row r="60" spans="1:18" s="187" customFormat="1" x14ac:dyDescent="0.2">
      <c r="A60" s="227"/>
      <c r="B60" s="100"/>
      <c r="C60" s="100"/>
      <c r="D60" s="99"/>
      <c r="E60" s="100"/>
      <c r="F60" s="54"/>
      <c r="G60" s="54"/>
      <c r="H60" s="293"/>
      <c r="I60" s="294"/>
      <c r="J60" s="186"/>
      <c r="K60" s="299"/>
      <c r="L60" s="186"/>
      <c r="M60" s="302"/>
      <c r="N60" s="186"/>
      <c r="O60" s="186"/>
      <c r="Q60" s="186"/>
    </row>
    <row r="61" spans="1:18" s="187" customFormat="1" x14ac:dyDescent="0.2">
      <c r="A61" s="227"/>
      <c r="B61" s="100"/>
      <c r="C61" s="100"/>
      <c r="D61" s="99"/>
      <c r="E61" s="100"/>
      <c r="F61" s="54"/>
      <c r="G61" s="54"/>
      <c r="H61" s="293"/>
      <c r="I61" s="294"/>
      <c r="J61" s="186"/>
      <c r="K61" s="299"/>
      <c r="L61" s="186"/>
      <c r="M61" s="302"/>
      <c r="N61" s="186"/>
      <c r="O61" s="186"/>
      <c r="Q61" s="186"/>
    </row>
    <row r="62" spans="1:18" x14ac:dyDescent="0.2">
      <c r="A62" s="51"/>
      <c r="B62" s="46"/>
      <c r="C62" s="101"/>
      <c r="D62" s="98"/>
      <c r="E62" s="52"/>
      <c r="F62" s="54"/>
      <c r="G62" s="54"/>
      <c r="H62" s="54"/>
      <c r="I62" s="62"/>
      <c r="J62" s="172"/>
      <c r="K62" s="174"/>
      <c r="L62" s="175"/>
      <c r="M62" s="176"/>
      <c r="N62" s="172"/>
      <c r="O62" s="172"/>
      <c r="P62" s="177"/>
      <c r="Q62" s="172"/>
      <c r="R62" s="173"/>
    </row>
    <row r="63" spans="1:18" ht="15" x14ac:dyDescent="0.2">
      <c r="A63" s="431" t="s">
        <v>466</v>
      </c>
      <c r="B63" s="437"/>
      <c r="C63" s="438"/>
      <c r="D63" s="433" t="s">
        <v>279</v>
      </c>
      <c r="E63" s="437"/>
      <c r="F63" s="437"/>
      <c r="G63" s="437"/>
      <c r="H63" s="439"/>
      <c r="I63" s="440">
        <f>I64</f>
        <v>296705.03999999998</v>
      </c>
      <c r="J63" s="172"/>
      <c r="K63" s="174"/>
      <c r="L63" s="175"/>
      <c r="M63" s="176"/>
      <c r="N63" s="172"/>
      <c r="O63" s="172"/>
      <c r="P63" s="177"/>
      <c r="Q63" s="172"/>
      <c r="R63" s="173"/>
    </row>
    <row r="64" spans="1:18" s="187" customFormat="1" ht="29.25" thickBot="1" x14ac:dyDescent="0.25">
      <c r="A64" s="227" t="s">
        <v>243</v>
      </c>
      <c r="B64" s="100" t="s">
        <v>278</v>
      </c>
      <c r="C64" s="267" t="s">
        <v>133</v>
      </c>
      <c r="D64" s="99" t="s">
        <v>58</v>
      </c>
      <c r="E64" s="100" t="s">
        <v>86</v>
      </c>
      <c r="F64" s="497">
        <v>8</v>
      </c>
      <c r="G64" s="497">
        <f>'COMPOSIÇÕES DE CUSTO'!I13</f>
        <v>37088.129999999997</v>
      </c>
      <c r="H64" s="57">
        <f>G64</f>
        <v>37088.129999999997</v>
      </c>
      <c r="I64" s="114">
        <f t="shared" ref="I64" si="2">ROUND(F64*H64,2)</f>
        <v>296705.03999999998</v>
      </c>
      <c r="J64" s="186"/>
      <c r="K64" s="303">
        <f>K19</f>
        <v>8.1108891207914369E-2</v>
      </c>
      <c r="L64" s="304"/>
      <c r="M64" s="305">
        <v>0.1</v>
      </c>
      <c r="N64" s="186"/>
      <c r="O64" s="186"/>
      <c r="P64" s="306"/>
      <c r="Q64" s="186"/>
    </row>
    <row r="65" spans="1:18" ht="15.75" thickTop="1" thickBot="1" x14ac:dyDescent="0.25">
      <c r="A65" s="45"/>
      <c r="B65" s="46"/>
      <c r="C65" s="46"/>
      <c r="D65" s="97"/>
      <c r="E65" s="46"/>
      <c r="F65" s="54"/>
      <c r="G65" s="54"/>
      <c r="H65" s="53"/>
      <c r="I65" s="56"/>
      <c r="J65" s="172"/>
      <c r="K65" s="178"/>
      <c r="L65" s="175"/>
      <c r="M65" s="178"/>
      <c r="N65" s="172"/>
      <c r="O65" s="172"/>
      <c r="P65" s="177"/>
      <c r="Q65" s="172"/>
      <c r="R65" s="173"/>
    </row>
    <row r="66" spans="1:18" ht="16.5" thickTop="1" thickBot="1" x14ac:dyDescent="0.25">
      <c r="A66" s="431" t="s">
        <v>465</v>
      </c>
      <c r="B66" s="432"/>
      <c r="C66" s="432"/>
      <c r="D66" s="433" t="s">
        <v>967</v>
      </c>
      <c r="E66" s="437"/>
      <c r="F66" s="437"/>
      <c r="G66" s="437"/>
      <c r="H66" s="439"/>
      <c r="I66" s="440">
        <f>I67+I78+I87+I93+I96+I102+I107+I115+I120+I126</f>
        <v>338589.68000000005</v>
      </c>
      <c r="J66" s="172"/>
      <c r="K66" s="166">
        <f>I66/F68</f>
        <v>128.98654476190478</v>
      </c>
      <c r="L66" s="167" t="s">
        <v>347</v>
      </c>
      <c r="M66" s="172"/>
      <c r="N66" s="172"/>
      <c r="O66" s="172"/>
      <c r="P66" s="177"/>
      <c r="Q66" s="172"/>
      <c r="R66" s="173"/>
    </row>
    <row r="67" spans="1:18" ht="15.75" thickTop="1" x14ac:dyDescent="0.2">
      <c r="A67" s="47" t="s">
        <v>164</v>
      </c>
      <c r="B67" s="48"/>
      <c r="C67" s="48"/>
      <c r="D67" s="96" t="s">
        <v>321</v>
      </c>
      <c r="E67" s="46"/>
      <c r="F67" s="54"/>
      <c r="G67" s="54"/>
      <c r="H67" s="53"/>
      <c r="I67" s="61">
        <f>SUM(I68:I74)</f>
        <v>54102.200000000004</v>
      </c>
      <c r="J67" s="172"/>
      <c r="K67" s="179">
        <f>I67/I66</f>
        <v>0.1597869137653575</v>
      </c>
      <c r="L67" s="175"/>
      <c r="M67" s="172"/>
      <c r="N67" s="172"/>
      <c r="O67" s="172"/>
      <c r="P67" s="177"/>
      <c r="Q67" s="172"/>
      <c r="R67" s="173"/>
    </row>
    <row r="68" spans="1:18" s="187" customFormat="1" ht="28.5" x14ac:dyDescent="0.2">
      <c r="A68" s="227" t="s">
        <v>165</v>
      </c>
      <c r="B68" s="100" t="s">
        <v>80</v>
      </c>
      <c r="C68" s="100">
        <v>73679</v>
      </c>
      <c r="D68" s="99" t="s">
        <v>115</v>
      </c>
      <c r="E68" s="100" t="s">
        <v>90</v>
      </c>
      <c r="F68" s="497">
        <f>900+400+1325</f>
        <v>2625</v>
      </c>
      <c r="G68" s="497">
        <v>1.53</v>
      </c>
      <c r="H68" s="57">
        <f t="shared" ref="H68:H116" si="3">ROUND((1+K$5)*G68,2)</f>
        <v>1.93</v>
      </c>
      <c r="I68" s="114">
        <f t="shared" ref="I68:I116" si="4">ROUND(F68*H68,2)</f>
        <v>5066.25</v>
      </c>
      <c r="J68" s="186"/>
      <c r="K68" s="186"/>
      <c r="L68" s="186"/>
      <c r="M68" s="186"/>
      <c r="N68" s="186"/>
      <c r="O68" s="186"/>
      <c r="Q68" s="186"/>
    </row>
    <row r="69" spans="1:18" s="187" customFormat="1" x14ac:dyDescent="0.2">
      <c r="A69" s="227" t="s">
        <v>116</v>
      </c>
      <c r="B69" s="100" t="s">
        <v>80</v>
      </c>
      <c r="C69" s="100">
        <v>73682</v>
      </c>
      <c r="D69" s="99" t="s">
        <v>378</v>
      </c>
      <c r="E69" s="100" t="s">
        <v>90</v>
      </c>
      <c r="F69" s="497">
        <f>F68</f>
        <v>2625</v>
      </c>
      <c r="G69" s="497">
        <v>1.1499999999999999</v>
      </c>
      <c r="H69" s="57">
        <f t="shared" ref="H69:H74" si="5">ROUND((1+K$5)*G69,2)</f>
        <v>1.45</v>
      </c>
      <c r="I69" s="114">
        <f t="shared" ref="I69:I74" si="6">ROUND(F69*H69,2)</f>
        <v>3806.25</v>
      </c>
      <c r="J69" s="186"/>
      <c r="K69" s="186"/>
      <c r="L69" s="186"/>
      <c r="M69" s="186"/>
      <c r="N69" s="186"/>
      <c r="O69" s="186"/>
      <c r="Q69" s="186"/>
    </row>
    <row r="70" spans="1:18" s="187" customFormat="1" x14ac:dyDescent="0.2">
      <c r="A70" s="227" t="s">
        <v>157</v>
      </c>
      <c r="B70" s="100" t="s">
        <v>80</v>
      </c>
      <c r="C70" s="100" t="s">
        <v>968</v>
      </c>
      <c r="D70" s="99" t="s">
        <v>969</v>
      </c>
      <c r="E70" s="100" t="s">
        <v>83</v>
      </c>
      <c r="F70" s="497">
        <f>F68*3</f>
        <v>7875</v>
      </c>
      <c r="G70" s="497">
        <v>4.22</v>
      </c>
      <c r="H70" s="57">
        <f t="shared" si="5"/>
        <v>5.34</v>
      </c>
      <c r="I70" s="114">
        <f t="shared" si="6"/>
        <v>42052.5</v>
      </c>
      <c r="J70" s="186"/>
      <c r="K70" s="307"/>
      <c r="L70" s="186"/>
      <c r="M70" s="186"/>
      <c r="N70" s="186"/>
      <c r="O70" s="186"/>
      <c r="Q70" s="186"/>
      <c r="R70" s="186"/>
    </row>
    <row r="71" spans="1:18" s="187" customFormat="1" ht="28.5" x14ac:dyDescent="0.2">
      <c r="A71" s="227" t="s">
        <v>158</v>
      </c>
      <c r="B71" s="100" t="s">
        <v>80</v>
      </c>
      <c r="C71" s="100" t="s">
        <v>314</v>
      </c>
      <c r="D71" s="99" t="s">
        <v>315</v>
      </c>
      <c r="E71" s="100" t="s">
        <v>83</v>
      </c>
      <c r="F71" s="497">
        <v>20</v>
      </c>
      <c r="G71" s="497">
        <v>46.06</v>
      </c>
      <c r="H71" s="57">
        <f t="shared" si="5"/>
        <v>58.24</v>
      </c>
      <c r="I71" s="114">
        <f t="shared" si="6"/>
        <v>1164.8</v>
      </c>
      <c r="J71" s="274"/>
      <c r="K71" s="308" t="e">
        <f>(I71+I74+#REF!+#REF!)/I66</f>
        <v>#REF!</v>
      </c>
      <c r="L71" s="186"/>
      <c r="M71" s="186"/>
      <c r="N71" s="186"/>
      <c r="O71" s="186"/>
      <c r="Q71" s="186"/>
      <c r="R71" s="186"/>
    </row>
    <row r="72" spans="1:18" s="187" customFormat="1" ht="15" x14ac:dyDescent="0.2">
      <c r="A72" s="227" t="s">
        <v>159</v>
      </c>
      <c r="B72" s="100" t="s">
        <v>80</v>
      </c>
      <c r="C72" s="100" t="s">
        <v>95</v>
      </c>
      <c r="D72" s="99" t="s">
        <v>96</v>
      </c>
      <c r="E72" s="100" t="s">
        <v>83</v>
      </c>
      <c r="F72" s="497">
        <v>15</v>
      </c>
      <c r="G72" s="497">
        <v>50.3</v>
      </c>
      <c r="H72" s="57">
        <f t="shared" si="5"/>
        <v>63.6</v>
      </c>
      <c r="I72" s="114">
        <f t="shared" si="6"/>
        <v>954</v>
      </c>
      <c r="J72" s="274"/>
      <c r="K72" s="308">
        <f>(I72+I73)/I66</f>
        <v>5.1637722685464009E-3</v>
      </c>
      <c r="L72" s="186"/>
      <c r="M72" s="186"/>
      <c r="N72" s="186"/>
      <c r="O72" s="186"/>
      <c r="Q72" s="186"/>
      <c r="R72" s="186"/>
    </row>
    <row r="73" spans="1:18" s="187" customFormat="1" x14ac:dyDescent="0.2">
      <c r="A73" s="227" t="s">
        <v>160</v>
      </c>
      <c r="B73" s="100" t="s">
        <v>80</v>
      </c>
      <c r="C73" s="100" t="s">
        <v>312</v>
      </c>
      <c r="D73" s="99" t="s">
        <v>313</v>
      </c>
      <c r="E73" s="100" t="s">
        <v>83</v>
      </c>
      <c r="F73" s="497">
        <v>15</v>
      </c>
      <c r="G73" s="505">
        <v>41.89</v>
      </c>
      <c r="H73" s="57">
        <f t="shared" si="5"/>
        <v>52.96</v>
      </c>
      <c r="I73" s="114">
        <f t="shared" si="6"/>
        <v>794.4</v>
      </c>
      <c r="J73" s="186"/>
      <c r="K73" s="186"/>
      <c r="L73" s="186"/>
      <c r="M73" s="186"/>
      <c r="N73" s="186"/>
      <c r="O73" s="186"/>
      <c r="Q73" s="186"/>
    </row>
    <row r="74" spans="1:18" s="187" customFormat="1" x14ac:dyDescent="0.2">
      <c r="A74" s="227" t="s">
        <v>161</v>
      </c>
      <c r="B74" s="100" t="s">
        <v>80</v>
      </c>
      <c r="C74" s="100" t="s">
        <v>91</v>
      </c>
      <c r="D74" s="99" t="s">
        <v>92</v>
      </c>
      <c r="E74" s="100" t="s">
        <v>90</v>
      </c>
      <c r="F74" s="497">
        <v>100</v>
      </c>
      <c r="G74" s="497">
        <v>2.09</v>
      </c>
      <c r="H74" s="57">
        <f t="shared" si="5"/>
        <v>2.64</v>
      </c>
      <c r="I74" s="114">
        <f t="shared" si="6"/>
        <v>264</v>
      </c>
      <c r="J74" s="185"/>
      <c r="K74" s="186"/>
      <c r="L74" s="186"/>
      <c r="M74" s="186"/>
      <c r="N74" s="186"/>
      <c r="O74" s="186"/>
      <c r="P74" s="186"/>
      <c r="Q74" s="186"/>
    </row>
    <row r="75" spans="1:18" s="173" customFormat="1" x14ac:dyDescent="0.2">
      <c r="A75" s="227"/>
      <c r="B75" s="100"/>
      <c r="C75" s="100"/>
      <c r="D75" s="99"/>
      <c r="E75" s="100"/>
      <c r="F75" s="54"/>
      <c r="G75" s="54"/>
      <c r="H75" s="57"/>
      <c r="I75" s="114"/>
      <c r="J75" s="182"/>
      <c r="K75" s="172"/>
      <c r="L75" s="172"/>
      <c r="M75" s="172"/>
      <c r="N75" s="172"/>
      <c r="O75" s="172"/>
      <c r="P75" s="172"/>
      <c r="Q75" s="172"/>
    </row>
    <row r="76" spans="1:18" s="173" customFormat="1" ht="15.75" thickBot="1" x14ac:dyDescent="0.25">
      <c r="A76" s="355"/>
      <c r="B76" s="339"/>
      <c r="C76" s="339"/>
      <c r="D76" s="382"/>
      <c r="E76" s="339"/>
      <c r="F76" s="516"/>
      <c r="G76" s="516"/>
      <c r="H76" s="444"/>
      <c r="I76" s="445"/>
      <c r="J76" s="182"/>
      <c r="K76" s="172"/>
      <c r="L76" s="172"/>
      <c r="M76" s="172"/>
      <c r="N76" s="172"/>
      <c r="O76" s="172"/>
      <c r="P76" s="172"/>
      <c r="Q76" s="172"/>
    </row>
    <row r="77" spans="1:18" s="173" customFormat="1" x14ac:dyDescent="0.2">
      <c r="A77" s="227"/>
      <c r="B77" s="100"/>
      <c r="C77" s="100"/>
      <c r="D77" s="99"/>
      <c r="E77" s="100"/>
      <c r="F77" s="54"/>
      <c r="G77" s="54"/>
      <c r="H77" s="57"/>
      <c r="I77" s="114"/>
      <c r="J77" s="182"/>
      <c r="K77" s="172"/>
      <c r="L77" s="172"/>
      <c r="M77" s="172"/>
      <c r="N77" s="172"/>
      <c r="O77" s="172"/>
      <c r="P77" s="172"/>
      <c r="Q77" s="172"/>
    </row>
    <row r="78" spans="1:18" s="173" customFormat="1" ht="15" x14ac:dyDescent="0.2">
      <c r="A78" s="431" t="s">
        <v>273</v>
      </c>
      <c r="B78" s="432"/>
      <c r="C78" s="432"/>
      <c r="D78" s="433" t="s">
        <v>319</v>
      </c>
      <c r="E78" s="432"/>
      <c r="F78" s="435"/>
      <c r="G78" s="435"/>
      <c r="H78" s="435"/>
      <c r="I78" s="436">
        <f>SUM(I79:I85)</f>
        <v>68819.510000000009</v>
      </c>
      <c r="J78" s="182"/>
      <c r="K78" s="179">
        <f>I78/I66</f>
        <v>0.20325341871022176</v>
      </c>
      <c r="L78" s="181">
        <v>0.9</v>
      </c>
      <c r="M78" s="183">
        <f>L78*N$78</f>
        <v>2835</v>
      </c>
      <c r="N78" s="184">
        <f>F68*0.6*2</f>
        <v>3150</v>
      </c>
      <c r="O78" s="172"/>
      <c r="P78" s="172"/>
      <c r="Q78" s="172"/>
    </row>
    <row r="79" spans="1:18" s="187" customFormat="1" ht="42.75" customHeight="1" x14ac:dyDescent="0.2">
      <c r="A79" s="227" t="s">
        <v>274</v>
      </c>
      <c r="B79" s="100" t="s">
        <v>80</v>
      </c>
      <c r="C79" s="561">
        <v>3061</v>
      </c>
      <c r="D79" s="562" t="s">
        <v>970</v>
      </c>
      <c r="E79" s="100" t="s">
        <v>97</v>
      </c>
      <c r="F79" s="497">
        <f>0.83*M78</f>
        <v>2353.0499999999997</v>
      </c>
      <c r="G79" s="497">
        <v>5.0199999999999996</v>
      </c>
      <c r="H79" s="57">
        <f t="shared" si="3"/>
        <v>6.35</v>
      </c>
      <c r="I79" s="114">
        <f t="shared" si="4"/>
        <v>14941.87</v>
      </c>
      <c r="J79" s="185"/>
      <c r="K79" s="186"/>
      <c r="L79" s="308">
        <v>0.1</v>
      </c>
      <c r="M79" s="309">
        <f>L79*N$78</f>
        <v>315</v>
      </c>
      <c r="N79" s="186"/>
      <c r="O79" s="186"/>
      <c r="P79" s="186"/>
      <c r="Q79" s="186"/>
    </row>
    <row r="80" spans="1:18" s="187" customFormat="1" ht="28.5" customHeight="1" x14ac:dyDescent="0.2">
      <c r="A80" s="227" t="s">
        <v>275</v>
      </c>
      <c r="B80" s="100" t="s">
        <v>80</v>
      </c>
      <c r="C80" s="561">
        <v>3071</v>
      </c>
      <c r="D80" s="562" t="s">
        <v>971</v>
      </c>
      <c r="E80" s="100" t="s">
        <v>97</v>
      </c>
      <c r="F80" s="497">
        <f>0.83*M79</f>
        <v>261.45</v>
      </c>
      <c r="G80" s="481">
        <v>7.73</v>
      </c>
      <c r="H80" s="57">
        <f t="shared" ref="H80:H85" si="7">ROUND((1+K$5)*G80,2)</f>
        <v>9.77</v>
      </c>
      <c r="I80" s="114">
        <f t="shared" ref="I80:I85" si="8">ROUND(F80*H80,2)</f>
        <v>2554.37</v>
      </c>
      <c r="J80" s="185"/>
      <c r="K80" s="186"/>
      <c r="L80" s="186"/>
      <c r="M80" s="186"/>
      <c r="N80" s="186"/>
      <c r="O80" s="186"/>
      <c r="P80" s="186"/>
      <c r="Q80" s="186"/>
    </row>
    <row r="81" spans="1:17" s="187" customFormat="1" ht="28.5" x14ac:dyDescent="0.2">
      <c r="A81" s="227" t="s">
        <v>348</v>
      </c>
      <c r="B81" s="100" t="s">
        <v>80</v>
      </c>
      <c r="C81" s="561" t="s">
        <v>98</v>
      </c>
      <c r="D81" s="562" t="s">
        <v>99</v>
      </c>
      <c r="E81" s="100" t="s">
        <v>97</v>
      </c>
      <c r="F81" s="497">
        <f>0.1*M78</f>
        <v>283.5</v>
      </c>
      <c r="G81" s="497">
        <v>49.27</v>
      </c>
      <c r="H81" s="57">
        <f t="shared" si="7"/>
        <v>62.29</v>
      </c>
      <c r="I81" s="114">
        <f t="shared" si="8"/>
        <v>17659.22</v>
      </c>
      <c r="J81" s="185"/>
      <c r="K81" s="186"/>
      <c r="L81" s="186"/>
      <c r="M81" s="186"/>
      <c r="N81" s="186"/>
      <c r="O81" s="186"/>
      <c r="P81" s="186"/>
      <c r="Q81" s="186"/>
    </row>
    <row r="82" spans="1:17" s="187" customFormat="1" ht="28.5" x14ac:dyDescent="0.2">
      <c r="A82" s="227" t="s">
        <v>349</v>
      </c>
      <c r="B82" s="100" t="s">
        <v>80</v>
      </c>
      <c r="C82" s="100" t="s">
        <v>100</v>
      </c>
      <c r="D82" s="99" t="s">
        <v>101</v>
      </c>
      <c r="E82" s="100" t="s">
        <v>97</v>
      </c>
      <c r="F82" s="497">
        <f>0.12*M79</f>
        <v>37.799999999999997</v>
      </c>
      <c r="G82" s="497">
        <v>63.35</v>
      </c>
      <c r="H82" s="57">
        <f t="shared" si="7"/>
        <v>80.099999999999994</v>
      </c>
      <c r="I82" s="114">
        <f t="shared" si="8"/>
        <v>3027.78</v>
      </c>
      <c r="J82" s="185"/>
      <c r="K82" s="186"/>
      <c r="L82" s="186"/>
      <c r="M82" s="186"/>
      <c r="N82" s="186"/>
      <c r="O82" s="186"/>
      <c r="P82" s="186"/>
      <c r="Q82" s="186"/>
    </row>
    <row r="83" spans="1:17" s="187" customFormat="1" ht="28.5" x14ac:dyDescent="0.2">
      <c r="A83" s="227" t="s">
        <v>350</v>
      </c>
      <c r="B83" s="100" t="s">
        <v>80</v>
      </c>
      <c r="C83" s="100" t="s">
        <v>102</v>
      </c>
      <c r="D83" s="99" t="s">
        <v>103</v>
      </c>
      <c r="E83" s="100" t="s">
        <v>97</v>
      </c>
      <c r="F83" s="497">
        <f>0.06*M78</f>
        <v>170.1</v>
      </c>
      <c r="G83" s="497">
        <v>77.430000000000007</v>
      </c>
      <c r="H83" s="57">
        <f t="shared" si="7"/>
        <v>97.9</v>
      </c>
      <c r="I83" s="114">
        <f t="shared" si="8"/>
        <v>16652.79</v>
      </c>
      <c r="J83" s="185"/>
      <c r="K83" s="186"/>
      <c r="L83" s="186"/>
      <c r="M83" s="186"/>
      <c r="N83" s="186"/>
      <c r="O83" s="186"/>
      <c r="P83" s="186"/>
      <c r="Q83" s="186"/>
    </row>
    <row r="84" spans="1:17" s="187" customFormat="1" x14ac:dyDescent="0.2">
      <c r="A84" s="227" t="s">
        <v>351</v>
      </c>
      <c r="B84" s="100" t="s">
        <v>80</v>
      </c>
      <c r="C84" s="100" t="s">
        <v>104</v>
      </c>
      <c r="D84" s="99" t="s">
        <v>105</v>
      </c>
      <c r="E84" s="100" t="s">
        <v>97</v>
      </c>
      <c r="F84" s="497">
        <f>0.05*M79</f>
        <v>15.75</v>
      </c>
      <c r="G84" s="497">
        <v>140.79</v>
      </c>
      <c r="H84" s="57">
        <f t="shared" si="7"/>
        <v>178.01</v>
      </c>
      <c r="I84" s="114">
        <f t="shared" si="8"/>
        <v>2803.66</v>
      </c>
      <c r="J84" s="185"/>
      <c r="K84" s="186"/>
      <c r="L84" s="186"/>
      <c r="M84" s="186"/>
      <c r="N84" s="186"/>
      <c r="O84" s="186"/>
      <c r="P84" s="186"/>
      <c r="Q84" s="186"/>
    </row>
    <row r="85" spans="1:17" s="187" customFormat="1" x14ac:dyDescent="0.2">
      <c r="A85" s="227" t="s">
        <v>352</v>
      </c>
      <c r="B85" s="100" t="s">
        <v>80</v>
      </c>
      <c r="C85" s="100" t="s">
        <v>343</v>
      </c>
      <c r="D85" s="99" t="s">
        <v>344</v>
      </c>
      <c r="E85" s="100" t="s">
        <v>97</v>
      </c>
      <c r="F85" s="497">
        <f>0.01*M78</f>
        <v>28.35</v>
      </c>
      <c r="G85" s="560">
        <v>311.89999999999998</v>
      </c>
      <c r="H85" s="57">
        <f t="shared" si="7"/>
        <v>394.35</v>
      </c>
      <c r="I85" s="114">
        <f t="shared" si="8"/>
        <v>11179.82</v>
      </c>
      <c r="J85" s="185"/>
      <c r="K85" s="186"/>
      <c r="L85" s="186"/>
      <c r="M85" s="186"/>
      <c r="N85" s="186"/>
      <c r="O85" s="186"/>
      <c r="P85" s="186"/>
      <c r="Q85" s="186"/>
    </row>
    <row r="86" spans="1:17" s="173" customFormat="1" x14ac:dyDescent="0.2">
      <c r="A86" s="51"/>
      <c r="B86" s="46"/>
      <c r="C86" s="46"/>
      <c r="D86" s="97"/>
      <c r="E86" s="46"/>
      <c r="F86" s="54"/>
      <c r="G86" s="560"/>
      <c r="H86" s="54"/>
      <c r="I86" s="62"/>
      <c r="J86" s="182"/>
      <c r="K86" s="172"/>
      <c r="L86" s="172"/>
      <c r="M86" s="172"/>
      <c r="N86" s="172"/>
      <c r="O86" s="172"/>
      <c r="P86" s="172"/>
      <c r="Q86" s="172"/>
    </row>
    <row r="87" spans="1:17" s="173" customFormat="1" ht="15" x14ac:dyDescent="0.2">
      <c r="A87" s="431" t="s">
        <v>353</v>
      </c>
      <c r="B87" s="432"/>
      <c r="C87" s="432"/>
      <c r="D87" s="433" t="s">
        <v>821</v>
      </c>
      <c r="E87" s="432"/>
      <c r="F87" s="432"/>
      <c r="G87" s="432"/>
      <c r="H87" s="435"/>
      <c r="I87" s="436">
        <f>SUM(I88:I91)</f>
        <v>17492.91</v>
      </c>
      <c r="J87" s="182"/>
      <c r="K87" s="179">
        <f>I87/I66</f>
        <v>5.1664037722590948E-2</v>
      </c>
      <c r="L87" s="172"/>
      <c r="M87" s="172"/>
      <c r="N87" s="172"/>
      <c r="O87" s="172"/>
      <c r="P87" s="172"/>
      <c r="Q87" s="172"/>
    </row>
    <row r="88" spans="1:17" s="187" customFormat="1" x14ac:dyDescent="0.2">
      <c r="A88" s="227" t="s">
        <v>354</v>
      </c>
      <c r="B88" s="100" t="s">
        <v>80</v>
      </c>
      <c r="C88" s="100">
        <v>83867</v>
      </c>
      <c r="D88" s="99" t="s">
        <v>326</v>
      </c>
      <c r="E88" s="100" t="s">
        <v>83</v>
      </c>
      <c r="F88" s="497">
        <f>N89*K89</f>
        <v>135</v>
      </c>
      <c r="G88" s="505">
        <v>39.049999999999997</v>
      </c>
      <c r="H88" s="57">
        <f t="shared" ref="H88:H91" si="9">ROUND((1+K$5)*G88,2)</f>
        <v>49.37</v>
      </c>
      <c r="I88" s="114">
        <f t="shared" ref="I88:I91" si="10">ROUND(F88*H88,2)</f>
        <v>6664.95</v>
      </c>
      <c r="J88" s="185"/>
      <c r="K88" s="186"/>
      <c r="L88" s="186"/>
      <c r="M88" s="186"/>
      <c r="N88" s="186"/>
      <c r="O88" s="186"/>
      <c r="P88" s="186"/>
      <c r="Q88" s="186"/>
    </row>
    <row r="89" spans="1:17" s="187" customFormat="1" ht="15" x14ac:dyDescent="0.2">
      <c r="A89" s="227" t="s">
        <v>355</v>
      </c>
      <c r="B89" s="100" t="s">
        <v>80</v>
      </c>
      <c r="C89" s="100">
        <v>83868</v>
      </c>
      <c r="D89" s="99" t="s">
        <v>325</v>
      </c>
      <c r="E89" s="100" t="s">
        <v>83</v>
      </c>
      <c r="F89" s="497">
        <f>N89*K90</f>
        <v>120</v>
      </c>
      <c r="G89" s="505">
        <v>54.53</v>
      </c>
      <c r="H89" s="57">
        <f t="shared" si="9"/>
        <v>68.95</v>
      </c>
      <c r="I89" s="114">
        <f t="shared" si="10"/>
        <v>8274</v>
      </c>
      <c r="J89" s="185"/>
      <c r="K89" s="310">
        <v>0.45</v>
      </c>
      <c r="L89" s="186" t="s">
        <v>455</v>
      </c>
      <c r="M89" s="186"/>
      <c r="N89" s="311">
        <v>300</v>
      </c>
      <c r="O89" s="186"/>
      <c r="P89" s="186"/>
      <c r="Q89" s="186"/>
    </row>
    <row r="90" spans="1:17" s="187" customFormat="1" x14ac:dyDescent="0.2">
      <c r="A90" s="227" t="s">
        <v>356</v>
      </c>
      <c r="B90" s="100" t="s">
        <v>80</v>
      </c>
      <c r="C90" s="100" t="s">
        <v>328</v>
      </c>
      <c r="D90" s="99" t="s">
        <v>329</v>
      </c>
      <c r="E90" s="100" t="s">
        <v>83</v>
      </c>
      <c r="F90" s="497">
        <f>N89*K91</f>
        <v>24</v>
      </c>
      <c r="G90" s="505">
        <v>38.68</v>
      </c>
      <c r="H90" s="57">
        <f t="shared" si="9"/>
        <v>48.91</v>
      </c>
      <c r="I90" s="114">
        <f t="shared" si="10"/>
        <v>1173.8399999999999</v>
      </c>
      <c r="J90" s="185"/>
      <c r="K90" s="310">
        <v>0.4</v>
      </c>
      <c r="L90" s="186" t="s">
        <v>456</v>
      </c>
      <c r="M90" s="186"/>
      <c r="N90" s="186"/>
      <c r="O90" s="186"/>
      <c r="P90" s="186"/>
      <c r="Q90" s="186"/>
    </row>
    <row r="91" spans="1:17" s="187" customFormat="1" ht="14.25" customHeight="1" x14ac:dyDescent="0.2">
      <c r="A91" s="227" t="s">
        <v>357</v>
      </c>
      <c r="B91" s="100" t="s">
        <v>80</v>
      </c>
      <c r="C91" s="100" t="s">
        <v>324</v>
      </c>
      <c r="D91" s="99" t="s">
        <v>327</v>
      </c>
      <c r="E91" s="100" t="s">
        <v>83</v>
      </c>
      <c r="F91" s="497">
        <f>N89*K92</f>
        <v>21.000000000000004</v>
      </c>
      <c r="G91" s="505">
        <v>51.98</v>
      </c>
      <c r="H91" s="57">
        <f t="shared" si="9"/>
        <v>65.72</v>
      </c>
      <c r="I91" s="114">
        <f t="shared" si="10"/>
        <v>1380.12</v>
      </c>
      <c r="J91" s="185"/>
      <c r="K91" s="310">
        <v>0.08</v>
      </c>
      <c r="L91" s="186" t="s">
        <v>457</v>
      </c>
      <c r="M91" s="186"/>
      <c r="N91" s="186"/>
      <c r="O91" s="186"/>
      <c r="P91" s="186"/>
      <c r="Q91" s="186"/>
    </row>
    <row r="92" spans="1:17" s="191" customFormat="1" ht="14.25" customHeight="1" x14ac:dyDescent="0.2">
      <c r="A92" s="51"/>
      <c r="B92" s="52"/>
      <c r="C92" s="52"/>
      <c r="D92" s="98"/>
      <c r="E92" s="52"/>
      <c r="F92" s="54"/>
      <c r="G92" s="560"/>
      <c r="H92" s="54"/>
      <c r="I92" s="62"/>
      <c r="J92" s="189"/>
      <c r="K92" s="232">
        <v>7.0000000000000007E-2</v>
      </c>
      <c r="L92" s="190" t="s">
        <v>458</v>
      </c>
      <c r="M92" s="190"/>
      <c r="N92" s="190"/>
      <c r="O92" s="190"/>
      <c r="P92" s="190"/>
      <c r="Q92" s="190"/>
    </row>
    <row r="93" spans="1:17" s="191" customFormat="1" ht="15" x14ac:dyDescent="0.2">
      <c r="A93" s="246" t="s">
        <v>358</v>
      </c>
      <c r="B93" s="247"/>
      <c r="C93" s="247"/>
      <c r="D93" s="248" t="s">
        <v>320</v>
      </c>
      <c r="E93" s="247"/>
      <c r="F93" s="247"/>
      <c r="G93" s="247"/>
      <c r="H93" s="249"/>
      <c r="I93" s="250">
        <f>SUM(I94:I94)</f>
        <v>59962.22</v>
      </c>
      <c r="J93" s="189"/>
      <c r="K93" s="233">
        <f>I93/I66</f>
        <v>0.17709405673557443</v>
      </c>
      <c r="L93" s="190"/>
      <c r="M93" s="190"/>
      <c r="N93" s="190"/>
      <c r="O93" s="190"/>
      <c r="P93" s="190"/>
      <c r="Q93" s="190"/>
    </row>
    <row r="94" spans="1:17" s="187" customFormat="1" ht="28.5" x14ac:dyDescent="0.2">
      <c r="A94" s="227" t="s">
        <v>359</v>
      </c>
      <c r="B94" s="100" t="s">
        <v>80</v>
      </c>
      <c r="C94" s="100" t="s">
        <v>107</v>
      </c>
      <c r="D94" s="99" t="s">
        <v>108</v>
      </c>
      <c r="E94" s="100" t="s">
        <v>97</v>
      </c>
      <c r="F94" s="497">
        <f>F68*0.7*0.95</f>
        <v>1745.6249999999998</v>
      </c>
      <c r="G94" s="497">
        <v>27.17</v>
      </c>
      <c r="H94" s="57">
        <f>ROUND((1+K$5)*G94,2)</f>
        <v>34.35</v>
      </c>
      <c r="I94" s="114">
        <f>ROUND(F94*H94,2)</f>
        <v>59962.22</v>
      </c>
      <c r="J94" s="185"/>
      <c r="K94" s="186"/>
      <c r="L94" s="186"/>
      <c r="M94" s="186"/>
      <c r="N94" s="186"/>
      <c r="O94" s="186"/>
      <c r="P94" s="186"/>
      <c r="Q94" s="186"/>
    </row>
    <row r="95" spans="1:17" s="173" customFormat="1" x14ac:dyDescent="0.2">
      <c r="A95" s="45"/>
      <c r="B95" s="46"/>
      <c r="C95" s="46"/>
      <c r="D95" s="97"/>
      <c r="E95" s="46"/>
      <c r="F95" s="54"/>
      <c r="G95" s="54"/>
      <c r="H95" s="53"/>
      <c r="I95" s="56"/>
      <c r="J95" s="182"/>
      <c r="K95" s="172"/>
      <c r="L95" s="172"/>
      <c r="M95" s="172"/>
      <c r="N95" s="172"/>
      <c r="O95" s="172"/>
      <c r="P95" s="172"/>
      <c r="Q95" s="172"/>
    </row>
    <row r="96" spans="1:17" s="173" customFormat="1" ht="15" x14ac:dyDescent="0.2">
      <c r="A96" s="246" t="s">
        <v>360</v>
      </c>
      <c r="B96" s="247"/>
      <c r="C96" s="247"/>
      <c r="D96" s="248" t="s">
        <v>323</v>
      </c>
      <c r="E96" s="247"/>
      <c r="F96" s="247"/>
      <c r="G96" s="247"/>
      <c r="H96" s="249"/>
      <c r="I96" s="250">
        <f>SUM(I97:I100)</f>
        <v>4791.22</v>
      </c>
      <c r="J96" s="182"/>
      <c r="K96" s="179">
        <f>I96/I66</f>
        <v>1.4150519885898469E-2</v>
      </c>
      <c r="L96" s="172"/>
      <c r="M96" s="172"/>
      <c r="N96" s="172"/>
      <c r="O96" s="172"/>
      <c r="P96" s="172"/>
      <c r="Q96" s="172"/>
    </row>
    <row r="97" spans="1:17" s="187" customFormat="1" ht="28.5" customHeight="1" x14ac:dyDescent="0.2">
      <c r="A97" s="227" t="s">
        <v>361</v>
      </c>
      <c r="B97" s="100" t="s">
        <v>80</v>
      </c>
      <c r="C97" s="100" t="s">
        <v>106</v>
      </c>
      <c r="D97" s="99" t="s">
        <v>119</v>
      </c>
      <c r="E97" s="100" t="s">
        <v>97</v>
      </c>
      <c r="F97" s="497">
        <f>SUM(F83:F84)</f>
        <v>185.85</v>
      </c>
      <c r="G97" s="497">
        <v>3.07</v>
      </c>
      <c r="H97" s="57">
        <f t="shared" ref="H97" si="11">ROUND((1+K$5)*G97,2)</f>
        <v>3.88</v>
      </c>
      <c r="I97" s="114">
        <f t="shared" ref="I97" si="12">ROUND(F97*H97,2)</f>
        <v>721.1</v>
      </c>
      <c r="J97" s="185"/>
      <c r="K97" s="186"/>
      <c r="L97" s="186"/>
      <c r="M97" s="186"/>
      <c r="N97" s="186"/>
      <c r="O97" s="186"/>
      <c r="P97" s="186"/>
      <c r="Q97" s="186"/>
    </row>
    <row r="98" spans="1:17" s="187" customFormat="1" ht="28.5" x14ac:dyDescent="0.2">
      <c r="A98" s="227" t="s">
        <v>362</v>
      </c>
      <c r="B98" s="100" t="s">
        <v>80</v>
      </c>
      <c r="C98" s="100" t="s">
        <v>341</v>
      </c>
      <c r="D98" s="99" t="s">
        <v>342</v>
      </c>
      <c r="E98" s="100" t="s">
        <v>97</v>
      </c>
      <c r="F98" s="497">
        <f>F97</f>
        <v>185.85</v>
      </c>
      <c r="G98" s="497">
        <v>1.45</v>
      </c>
      <c r="H98" s="57">
        <f t="shared" ref="H98:H100" si="13">ROUND((1+K$5)*G98,2)</f>
        <v>1.83</v>
      </c>
      <c r="I98" s="114">
        <f t="shared" ref="I98:I100" si="14">ROUND(F98*H98,2)</f>
        <v>340.11</v>
      </c>
      <c r="J98" s="185"/>
      <c r="K98" s="186"/>
      <c r="L98" s="186"/>
      <c r="M98" s="186"/>
      <c r="N98" s="186"/>
      <c r="O98" s="186"/>
      <c r="P98" s="186"/>
      <c r="Q98" s="186"/>
    </row>
    <row r="99" spans="1:17" s="187" customFormat="1" ht="28.5" customHeight="1" x14ac:dyDescent="0.2">
      <c r="A99" s="227" t="s">
        <v>363</v>
      </c>
      <c r="B99" s="100" t="s">
        <v>80</v>
      </c>
      <c r="C99" s="100">
        <v>72841</v>
      </c>
      <c r="D99" s="99" t="s">
        <v>340</v>
      </c>
      <c r="E99" s="100" t="s">
        <v>13</v>
      </c>
      <c r="F99" s="497">
        <f>(F97+F98)*1.6*5</f>
        <v>2973.6000000000004</v>
      </c>
      <c r="G99" s="497">
        <v>0.86</v>
      </c>
      <c r="H99" s="57">
        <f t="shared" si="13"/>
        <v>1.0900000000000001</v>
      </c>
      <c r="I99" s="114">
        <f t="shared" si="14"/>
        <v>3241.22</v>
      </c>
      <c r="J99" s="185"/>
      <c r="K99" s="186"/>
      <c r="L99" s="186"/>
      <c r="M99" s="186"/>
      <c r="N99" s="186"/>
      <c r="O99" s="186"/>
      <c r="P99" s="186"/>
      <c r="Q99" s="186"/>
    </row>
    <row r="100" spans="1:17" s="187" customFormat="1" ht="14.25" customHeight="1" x14ac:dyDescent="0.2">
      <c r="A100" s="227" t="s">
        <v>364</v>
      </c>
      <c r="B100" s="100" t="s">
        <v>80</v>
      </c>
      <c r="C100" s="100" t="s">
        <v>109</v>
      </c>
      <c r="D100" s="99" t="s">
        <v>110</v>
      </c>
      <c r="E100" s="100" t="s">
        <v>97</v>
      </c>
      <c r="F100" s="497">
        <f>F97</f>
        <v>185.85</v>
      </c>
      <c r="G100" s="497">
        <v>2.08</v>
      </c>
      <c r="H100" s="57">
        <f t="shared" si="13"/>
        <v>2.63</v>
      </c>
      <c r="I100" s="114">
        <f t="shared" si="14"/>
        <v>488.79</v>
      </c>
      <c r="J100" s="185"/>
      <c r="K100" s="186"/>
      <c r="L100" s="186"/>
      <c r="M100" s="186"/>
      <c r="N100" s="186"/>
      <c r="O100" s="186"/>
      <c r="P100" s="186"/>
      <c r="Q100" s="186"/>
    </row>
    <row r="101" spans="1:17" s="187" customFormat="1" x14ac:dyDescent="0.2">
      <c r="A101" s="446"/>
      <c r="B101" s="297"/>
      <c r="C101" s="297"/>
      <c r="D101" s="298"/>
      <c r="E101" s="297"/>
      <c r="F101" s="297"/>
      <c r="G101" s="297"/>
      <c r="H101" s="293"/>
      <c r="I101" s="294"/>
      <c r="J101" s="185"/>
      <c r="K101" s="186"/>
      <c r="L101" s="186"/>
      <c r="M101" s="186"/>
      <c r="N101" s="186"/>
      <c r="O101" s="186"/>
      <c r="P101" s="186"/>
      <c r="Q101" s="186"/>
    </row>
    <row r="102" spans="1:17" s="173" customFormat="1" ht="15" x14ac:dyDescent="0.2">
      <c r="A102" s="431" t="s">
        <v>365</v>
      </c>
      <c r="B102" s="432"/>
      <c r="C102" s="432"/>
      <c r="D102" s="433" t="s">
        <v>316</v>
      </c>
      <c r="E102" s="432"/>
      <c r="F102" s="435"/>
      <c r="G102" s="435"/>
      <c r="H102" s="435"/>
      <c r="I102" s="436">
        <f>SUM(I103:I105)</f>
        <v>997.95</v>
      </c>
      <c r="J102" s="182"/>
      <c r="K102" s="266">
        <f>I102/I66</f>
        <v>2.9473727610363075E-3</v>
      </c>
      <c r="L102" s="172"/>
      <c r="M102" s="172"/>
      <c r="N102" s="172"/>
      <c r="O102" s="172"/>
      <c r="P102" s="172"/>
      <c r="Q102" s="172"/>
    </row>
    <row r="103" spans="1:17" s="187" customFormat="1" x14ac:dyDescent="0.2">
      <c r="A103" s="227" t="s">
        <v>366</v>
      </c>
      <c r="B103" s="100" t="s">
        <v>80</v>
      </c>
      <c r="C103" s="100" t="s">
        <v>111</v>
      </c>
      <c r="D103" s="99" t="s">
        <v>112</v>
      </c>
      <c r="E103" s="100" t="s">
        <v>79</v>
      </c>
      <c r="F103" s="497">
        <v>10</v>
      </c>
      <c r="G103" s="505">
        <v>5.92</v>
      </c>
      <c r="H103" s="57">
        <f t="shared" si="3"/>
        <v>7.48</v>
      </c>
      <c r="I103" s="114">
        <f t="shared" si="4"/>
        <v>74.8</v>
      </c>
      <c r="J103" s="185"/>
      <c r="K103" s="186">
        <v>114.4</v>
      </c>
      <c r="L103" s="186"/>
      <c r="M103" s="186"/>
      <c r="N103" s="186"/>
      <c r="O103" s="186"/>
      <c r="P103" s="186"/>
      <c r="Q103" s="186"/>
    </row>
    <row r="104" spans="1:17" s="187" customFormat="1" x14ac:dyDescent="0.2">
      <c r="A104" s="227" t="s">
        <v>367</v>
      </c>
      <c r="B104" s="100" t="s">
        <v>80</v>
      </c>
      <c r="C104" s="100" t="s">
        <v>113</v>
      </c>
      <c r="D104" s="99" t="s">
        <v>114</v>
      </c>
      <c r="E104" s="100" t="s">
        <v>97</v>
      </c>
      <c r="F104" s="497">
        <v>5</v>
      </c>
      <c r="G104" s="505">
        <v>95.12</v>
      </c>
      <c r="H104" s="57">
        <f t="shared" ref="H104:H105" si="15">ROUND((1+K$5)*G104,2)</f>
        <v>120.27</v>
      </c>
      <c r="I104" s="114">
        <f t="shared" ref="I104:I105" si="16">ROUND(F104*H104,2)</f>
        <v>601.35</v>
      </c>
      <c r="J104" s="185"/>
      <c r="K104" s="186">
        <v>60.984000000000002</v>
      </c>
      <c r="L104" s="186"/>
      <c r="M104" s="186"/>
      <c r="N104" s="186"/>
      <c r="O104" s="186"/>
      <c r="P104" s="186"/>
      <c r="Q104" s="186"/>
    </row>
    <row r="105" spans="1:17" s="187" customFormat="1" ht="14.25" customHeight="1" x14ac:dyDescent="0.2">
      <c r="A105" s="227" t="s">
        <v>368</v>
      </c>
      <c r="B105" s="100" t="s">
        <v>80</v>
      </c>
      <c r="C105" s="100" t="s">
        <v>331</v>
      </c>
      <c r="D105" s="99" t="s">
        <v>332</v>
      </c>
      <c r="E105" s="100" t="s">
        <v>90</v>
      </c>
      <c r="F105" s="497">
        <v>10</v>
      </c>
      <c r="G105" s="505">
        <v>25.45</v>
      </c>
      <c r="H105" s="57">
        <f t="shared" si="15"/>
        <v>32.18</v>
      </c>
      <c r="I105" s="114">
        <f t="shared" si="16"/>
        <v>321.8</v>
      </c>
      <c r="J105" s="185"/>
      <c r="K105" s="186">
        <v>217.8</v>
      </c>
      <c r="L105" s="186"/>
      <c r="M105" s="186"/>
      <c r="N105" s="186"/>
      <c r="O105" s="186"/>
      <c r="P105" s="186"/>
      <c r="Q105" s="186"/>
    </row>
    <row r="106" spans="1:17" s="173" customFormat="1" x14ac:dyDescent="0.2">
      <c r="A106" s="45"/>
      <c r="B106" s="46"/>
      <c r="C106" s="46"/>
      <c r="D106" s="99"/>
      <c r="E106" s="46"/>
      <c r="F106" s="53"/>
      <c r="G106" s="53"/>
      <c r="H106" s="53"/>
      <c r="I106" s="56"/>
      <c r="J106" s="182"/>
      <c r="K106" s="172"/>
      <c r="L106" s="172"/>
      <c r="M106" s="172"/>
      <c r="N106" s="172"/>
      <c r="O106" s="172"/>
      <c r="P106" s="172"/>
      <c r="Q106" s="172"/>
    </row>
    <row r="107" spans="1:17" s="173" customFormat="1" ht="15" x14ac:dyDescent="0.2">
      <c r="A107" s="431" t="s">
        <v>369</v>
      </c>
      <c r="B107" s="432"/>
      <c r="C107" s="432"/>
      <c r="D107" s="433" t="s">
        <v>317</v>
      </c>
      <c r="E107" s="432"/>
      <c r="F107" s="432"/>
      <c r="G107" s="432"/>
      <c r="H107" s="435"/>
      <c r="I107" s="436">
        <f>SUM(I108:I113)</f>
        <v>28008.760000000002</v>
      </c>
      <c r="J107" s="182"/>
      <c r="K107" s="179">
        <f>I107/I66</f>
        <v>8.2721836058322853E-2</v>
      </c>
      <c r="L107" s="172"/>
      <c r="M107" s="172"/>
      <c r="N107" s="172"/>
      <c r="O107" s="172"/>
      <c r="P107" s="172"/>
      <c r="Q107" s="172"/>
    </row>
    <row r="108" spans="1:17" s="187" customFormat="1" ht="42.75" x14ac:dyDescent="0.2">
      <c r="A108" s="227" t="s">
        <v>370</v>
      </c>
      <c r="B108" s="100" t="s">
        <v>80</v>
      </c>
      <c r="C108" s="100" t="s">
        <v>307</v>
      </c>
      <c r="D108" s="99" t="s">
        <v>308</v>
      </c>
      <c r="E108" s="100" t="s">
        <v>8</v>
      </c>
      <c r="F108" s="481">
        <v>0</v>
      </c>
      <c r="G108" s="481">
        <v>0</v>
      </c>
      <c r="H108" s="57">
        <f t="shared" ref="H108" si="17">ROUND((1+K$5)*G108,2)</f>
        <v>0</v>
      </c>
      <c r="I108" s="114">
        <f t="shared" ref="I108" si="18">ROUND(F108*H108,2)</f>
        <v>0</v>
      </c>
      <c r="J108" s="185"/>
      <c r="K108" s="186"/>
      <c r="L108" s="186"/>
      <c r="M108" s="186"/>
      <c r="N108" s="186"/>
      <c r="O108" s="186"/>
      <c r="P108" s="186"/>
      <c r="Q108" s="186"/>
    </row>
    <row r="109" spans="1:17" s="187" customFormat="1" ht="42.75" x14ac:dyDescent="0.2">
      <c r="A109" s="227" t="s">
        <v>371</v>
      </c>
      <c r="B109" s="100" t="s">
        <v>80</v>
      </c>
      <c r="C109" s="100" t="s">
        <v>432</v>
      </c>
      <c r="D109" s="99" t="s">
        <v>431</v>
      </c>
      <c r="E109" s="100" t="s">
        <v>8</v>
      </c>
      <c r="F109" s="481">
        <v>0</v>
      </c>
      <c r="G109" s="481">
        <v>0</v>
      </c>
      <c r="H109" s="57">
        <f t="shared" ref="H109:H113" si="19">ROUND((1+K$5)*G109,2)</f>
        <v>0</v>
      </c>
      <c r="I109" s="114">
        <f t="shared" ref="I109:I113" si="20">ROUND(F109*H109,2)</f>
        <v>0</v>
      </c>
      <c r="J109" s="185"/>
      <c r="K109" s="186"/>
      <c r="L109" s="186"/>
      <c r="M109" s="186"/>
      <c r="N109" s="186"/>
      <c r="O109" s="186"/>
      <c r="P109" s="186"/>
      <c r="Q109" s="186"/>
    </row>
    <row r="110" spans="1:17" s="187" customFormat="1" ht="42.75" x14ac:dyDescent="0.2">
      <c r="A110" s="227" t="s">
        <v>372</v>
      </c>
      <c r="B110" s="100" t="s">
        <v>80</v>
      </c>
      <c r="C110" s="100" t="s">
        <v>306</v>
      </c>
      <c r="D110" s="99" t="s">
        <v>309</v>
      </c>
      <c r="E110" s="100" t="s">
        <v>8</v>
      </c>
      <c r="F110" s="481">
        <v>0</v>
      </c>
      <c r="G110" s="481">
        <v>0</v>
      </c>
      <c r="H110" s="57">
        <f t="shared" si="19"/>
        <v>0</v>
      </c>
      <c r="I110" s="114">
        <f t="shared" si="20"/>
        <v>0</v>
      </c>
      <c r="J110" s="185"/>
      <c r="K110" s="186"/>
      <c r="L110" s="186"/>
      <c r="M110" s="186"/>
      <c r="N110" s="186"/>
      <c r="O110" s="186"/>
      <c r="P110" s="186"/>
      <c r="Q110" s="186"/>
    </row>
    <row r="111" spans="1:17" s="187" customFormat="1" ht="42.75" x14ac:dyDescent="0.2">
      <c r="A111" s="227" t="s">
        <v>379</v>
      </c>
      <c r="B111" s="100" t="s">
        <v>80</v>
      </c>
      <c r="C111" s="100" t="s">
        <v>434</v>
      </c>
      <c r="D111" s="99" t="s">
        <v>433</v>
      </c>
      <c r="E111" s="100" t="s">
        <v>8</v>
      </c>
      <c r="F111" s="497">
        <v>10</v>
      </c>
      <c r="G111" s="497">
        <v>1174.46</v>
      </c>
      <c r="H111" s="57">
        <f t="shared" si="19"/>
        <v>1484.94</v>
      </c>
      <c r="I111" s="114">
        <f t="shared" si="20"/>
        <v>14849.4</v>
      </c>
      <c r="J111" s="185"/>
      <c r="K111" s="186"/>
      <c r="L111" s="186"/>
      <c r="M111" s="186"/>
      <c r="N111" s="186"/>
      <c r="O111" s="186"/>
      <c r="P111" s="186"/>
      <c r="Q111" s="186"/>
    </row>
    <row r="112" spans="1:17" s="187" customFormat="1" ht="42.75" x14ac:dyDescent="0.2">
      <c r="A112" s="227" t="s">
        <v>570</v>
      </c>
      <c r="B112" s="100" t="s">
        <v>80</v>
      </c>
      <c r="C112" s="100" t="s">
        <v>305</v>
      </c>
      <c r="D112" s="99" t="s">
        <v>310</v>
      </c>
      <c r="E112" s="100" t="s">
        <v>8</v>
      </c>
      <c r="F112" s="497">
        <v>8</v>
      </c>
      <c r="G112" s="497">
        <v>1300.99</v>
      </c>
      <c r="H112" s="57">
        <f t="shared" si="19"/>
        <v>1644.92</v>
      </c>
      <c r="I112" s="114">
        <f t="shared" si="20"/>
        <v>13159.36</v>
      </c>
      <c r="J112" s="185"/>
      <c r="K112" s="186"/>
      <c r="L112" s="186"/>
      <c r="M112" s="186"/>
      <c r="N112" s="186"/>
      <c r="O112" s="186"/>
      <c r="P112" s="186"/>
      <c r="Q112" s="186"/>
    </row>
    <row r="113" spans="1:17" s="187" customFormat="1" ht="42.75" x14ac:dyDescent="0.2">
      <c r="A113" s="227" t="s">
        <v>437</v>
      </c>
      <c r="B113" s="100" t="s">
        <v>80</v>
      </c>
      <c r="C113" s="100" t="s">
        <v>436</v>
      </c>
      <c r="D113" s="99" t="s">
        <v>435</v>
      </c>
      <c r="E113" s="100" t="s">
        <v>8</v>
      </c>
      <c r="F113" s="481">
        <v>0</v>
      </c>
      <c r="G113" s="481">
        <v>0</v>
      </c>
      <c r="H113" s="57">
        <f t="shared" si="19"/>
        <v>0</v>
      </c>
      <c r="I113" s="114">
        <f t="shared" si="20"/>
        <v>0</v>
      </c>
      <c r="J113" s="185"/>
      <c r="K113" s="186"/>
      <c r="L113" s="186"/>
      <c r="M113" s="186"/>
      <c r="N113" s="186"/>
      <c r="O113" s="186"/>
      <c r="P113" s="186"/>
      <c r="Q113" s="186"/>
    </row>
    <row r="114" spans="1:17" s="173" customFormat="1" x14ac:dyDescent="0.2">
      <c r="A114" s="45"/>
      <c r="B114" s="46"/>
      <c r="C114" s="46"/>
      <c r="D114" s="97"/>
      <c r="E114" s="46"/>
      <c r="F114" s="481"/>
      <c r="G114" s="481"/>
      <c r="H114" s="53"/>
      <c r="I114" s="56"/>
      <c r="J114" s="182"/>
      <c r="K114" s="172"/>
      <c r="L114" s="172"/>
      <c r="M114" s="172"/>
      <c r="N114" s="172"/>
      <c r="O114" s="172"/>
      <c r="P114" s="172"/>
      <c r="Q114" s="172"/>
    </row>
    <row r="115" spans="1:17" s="173" customFormat="1" ht="15" x14ac:dyDescent="0.2">
      <c r="A115" s="431" t="s">
        <v>373</v>
      </c>
      <c r="B115" s="432"/>
      <c r="C115" s="432"/>
      <c r="D115" s="433" t="s">
        <v>318</v>
      </c>
      <c r="E115" s="432"/>
      <c r="F115" s="484"/>
      <c r="G115" s="484"/>
      <c r="H115" s="435"/>
      <c r="I115" s="436">
        <f>SUM(I116:I118)</f>
        <v>104414.91</v>
      </c>
      <c r="J115" s="182"/>
      <c r="K115" s="179">
        <f>I115/I66</f>
        <v>0.30838184436099764</v>
      </c>
      <c r="L115" s="172"/>
      <c r="M115" s="172"/>
      <c r="N115" s="172"/>
      <c r="O115" s="172"/>
      <c r="P115" s="172"/>
      <c r="Q115" s="172"/>
    </row>
    <row r="116" spans="1:17" s="187" customFormat="1" ht="28.5" x14ac:dyDescent="0.2">
      <c r="A116" s="227" t="s">
        <v>374</v>
      </c>
      <c r="B116" s="100" t="s">
        <v>80</v>
      </c>
      <c r="C116" s="100" t="s">
        <v>972</v>
      </c>
      <c r="D116" s="99" t="s">
        <v>973</v>
      </c>
      <c r="E116" s="100" t="s">
        <v>90</v>
      </c>
      <c r="F116" s="497">
        <v>900</v>
      </c>
      <c r="G116" s="497">
        <v>3.51</v>
      </c>
      <c r="H116" s="57">
        <f t="shared" si="3"/>
        <v>4.4400000000000004</v>
      </c>
      <c r="I116" s="114">
        <f t="shared" si="4"/>
        <v>3996</v>
      </c>
      <c r="J116" s="185"/>
      <c r="K116" s="186"/>
      <c r="L116" s="186"/>
      <c r="M116" s="186"/>
      <c r="N116" s="186"/>
      <c r="O116" s="186"/>
      <c r="P116" s="186"/>
      <c r="Q116" s="186"/>
    </row>
    <row r="117" spans="1:17" s="187" customFormat="1" ht="28.5" x14ac:dyDescent="0.2">
      <c r="A117" s="227" t="s">
        <v>375</v>
      </c>
      <c r="B117" s="100" t="s">
        <v>80</v>
      </c>
      <c r="C117" s="100" t="s">
        <v>974</v>
      </c>
      <c r="D117" s="99" t="s">
        <v>975</v>
      </c>
      <c r="E117" s="100" t="s">
        <v>90</v>
      </c>
      <c r="F117" s="497">
        <v>400</v>
      </c>
      <c r="G117" s="497">
        <v>5.01</v>
      </c>
      <c r="H117" s="57">
        <f t="shared" ref="H117" si="21">ROUND((1+K$5)*G117,2)</f>
        <v>6.33</v>
      </c>
      <c r="I117" s="114">
        <f t="shared" ref="I117" si="22">ROUND(F117*H117,2)</f>
        <v>2532</v>
      </c>
      <c r="J117" s="185"/>
      <c r="K117" s="186"/>
      <c r="L117" s="186"/>
      <c r="M117" s="186"/>
      <c r="N117" s="186"/>
      <c r="O117" s="186"/>
      <c r="P117" s="186"/>
      <c r="Q117" s="186"/>
    </row>
    <row r="118" spans="1:17" s="187" customFormat="1" ht="28.5" x14ac:dyDescent="0.2">
      <c r="A118" s="227" t="s">
        <v>571</v>
      </c>
      <c r="B118" s="100" t="s">
        <v>278</v>
      </c>
      <c r="C118" s="267" t="s">
        <v>134</v>
      </c>
      <c r="D118" s="99" t="s">
        <v>301</v>
      </c>
      <c r="E118" s="100" t="s">
        <v>94</v>
      </c>
      <c r="F118" s="497">
        <v>1</v>
      </c>
      <c r="G118" s="497">
        <f>'COMPOSIÇÕES DE CUSTO'!I42</f>
        <v>83807</v>
      </c>
      <c r="H118" s="57">
        <f>ROUND((1+K$7)*G118,2)</f>
        <v>97886.91</v>
      </c>
      <c r="I118" s="62">
        <f t="shared" ref="I118" si="23">ROUND(F118*H118,2)</f>
        <v>97886.91</v>
      </c>
      <c r="J118" s="185">
        <v>18</v>
      </c>
      <c r="K118" s="186"/>
      <c r="L118" s="186"/>
      <c r="M118" s="186"/>
      <c r="N118" s="186"/>
      <c r="O118" s="186"/>
      <c r="P118" s="186"/>
      <c r="Q118" s="186"/>
    </row>
    <row r="119" spans="1:17" s="187" customFormat="1" x14ac:dyDescent="0.2">
      <c r="A119" s="45"/>
      <c r="B119" s="52"/>
      <c r="C119" s="121"/>
      <c r="D119" s="99"/>
      <c r="E119" s="100"/>
      <c r="F119" s="100"/>
      <c r="G119" s="100"/>
      <c r="H119" s="57"/>
      <c r="I119" s="114"/>
      <c r="J119" s="185"/>
      <c r="K119" s="186"/>
      <c r="L119" s="186"/>
      <c r="M119" s="186"/>
      <c r="N119" s="186"/>
      <c r="O119" s="186"/>
      <c r="P119" s="186"/>
      <c r="Q119" s="186"/>
    </row>
    <row r="120" spans="1:17" s="187" customFormat="1" ht="15" x14ac:dyDescent="0.2">
      <c r="A120" s="431" t="s">
        <v>376</v>
      </c>
      <c r="B120" s="432"/>
      <c r="C120" s="432"/>
      <c r="D120" s="433" t="s">
        <v>322</v>
      </c>
      <c r="E120" s="432"/>
      <c r="F120" s="435"/>
      <c r="G120" s="435"/>
      <c r="H120" s="435"/>
      <c r="I120" s="436">
        <f>SUM(I121:I124)</f>
        <v>0</v>
      </c>
      <c r="J120" s="185"/>
      <c r="K120" s="179">
        <f>I120/I66</f>
        <v>0</v>
      </c>
      <c r="L120" s="186"/>
      <c r="M120" s="186"/>
      <c r="N120" s="186"/>
      <c r="O120" s="186"/>
      <c r="P120" s="186"/>
      <c r="Q120" s="186"/>
    </row>
    <row r="121" spans="1:17" s="187" customFormat="1" ht="28.5" x14ac:dyDescent="0.2">
      <c r="A121" s="227" t="s">
        <v>377</v>
      </c>
      <c r="B121" s="100" t="s">
        <v>80</v>
      </c>
      <c r="C121" s="267" t="s">
        <v>337</v>
      </c>
      <c r="D121" s="99" t="s">
        <v>338</v>
      </c>
      <c r="E121" s="100" t="s">
        <v>83</v>
      </c>
      <c r="F121" s="481">
        <f>28*2</f>
        <v>56</v>
      </c>
      <c r="G121" s="481">
        <v>0</v>
      </c>
      <c r="H121" s="57">
        <f t="shared" ref="H121" si="24">ROUND((1+K$5)*G121,2)</f>
        <v>0</v>
      </c>
      <c r="I121" s="114">
        <f t="shared" ref="I121" si="25">ROUND(F121*H121,2)</f>
        <v>0</v>
      </c>
      <c r="J121" s="185"/>
      <c r="K121" s="186"/>
      <c r="L121" s="186"/>
      <c r="M121" s="186"/>
      <c r="N121" s="186"/>
      <c r="O121" s="186"/>
      <c r="P121" s="186"/>
      <c r="Q121" s="186"/>
    </row>
    <row r="122" spans="1:17" s="187" customFormat="1" ht="29.25" thickBot="1" x14ac:dyDescent="0.25">
      <c r="A122" s="447" t="s">
        <v>380</v>
      </c>
      <c r="B122" s="448" t="s">
        <v>80</v>
      </c>
      <c r="C122" s="453" t="s">
        <v>335</v>
      </c>
      <c r="D122" s="449" t="s">
        <v>336</v>
      </c>
      <c r="E122" s="448" t="s">
        <v>83</v>
      </c>
      <c r="F122" s="483">
        <f>F121</f>
        <v>56</v>
      </c>
      <c r="G122" s="483">
        <v>0</v>
      </c>
      <c r="H122" s="450">
        <f t="shared" ref="H122:H124" si="26">ROUND((1+K$5)*G122,2)</f>
        <v>0</v>
      </c>
      <c r="I122" s="451">
        <f t="shared" ref="I122:I124" si="27">ROUND(F122*H122,2)</f>
        <v>0</v>
      </c>
      <c r="J122" s="185"/>
      <c r="K122" s="186"/>
      <c r="L122" s="186"/>
      <c r="M122" s="186"/>
      <c r="N122" s="186"/>
      <c r="O122" s="186"/>
      <c r="P122" s="186"/>
      <c r="Q122" s="186"/>
    </row>
    <row r="123" spans="1:17" s="187" customFormat="1" ht="42.75" x14ac:dyDescent="0.2">
      <c r="A123" s="446" t="s">
        <v>488</v>
      </c>
      <c r="B123" s="297" t="s">
        <v>80</v>
      </c>
      <c r="C123" s="452">
        <v>72799</v>
      </c>
      <c r="D123" s="298" t="s">
        <v>495</v>
      </c>
      <c r="E123" s="297" t="s">
        <v>83</v>
      </c>
      <c r="F123" s="482">
        <v>179.35</v>
      </c>
      <c r="G123" s="482">
        <v>0</v>
      </c>
      <c r="H123" s="293">
        <f t="shared" si="26"/>
        <v>0</v>
      </c>
      <c r="I123" s="294">
        <f t="shared" si="27"/>
        <v>0</v>
      </c>
      <c r="J123" s="185"/>
      <c r="K123" s="186"/>
      <c r="L123" s="186"/>
      <c r="M123" s="186"/>
      <c r="N123" s="186"/>
      <c r="O123" s="186"/>
      <c r="P123" s="186"/>
      <c r="Q123" s="186"/>
    </row>
    <row r="124" spans="1:17" s="187" customFormat="1" ht="42.75" x14ac:dyDescent="0.2">
      <c r="A124" s="227" t="s">
        <v>381</v>
      </c>
      <c r="B124" s="100" t="s">
        <v>80</v>
      </c>
      <c r="C124" s="267" t="s">
        <v>345</v>
      </c>
      <c r="D124" s="99" t="s">
        <v>346</v>
      </c>
      <c r="E124" s="100" t="s">
        <v>83</v>
      </c>
      <c r="F124" s="481">
        <v>179.35</v>
      </c>
      <c r="G124" s="481">
        <v>0</v>
      </c>
      <c r="H124" s="57">
        <f t="shared" si="26"/>
        <v>0</v>
      </c>
      <c r="I124" s="114">
        <f t="shared" si="27"/>
        <v>0</v>
      </c>
      <c r="J124" s="185"/>
      <c r="K124" s="186"/>
      <c r="L124" s="186"/>
      <c r="M124" s="186"/>
      <c r="N124" s="186"/>
      <c r="O124" s="186"/>
      <c r="P124" s="186"/>
      <c r="Q124" s="186"/>
    </row>
    <row r="125" spans="1:17" s="187" customFormat="1" x14ac:dyDescent="0.2">
      <c r="A125" s="45"/>
      <c r="B125" s="52"/>
      <c r="C125" s="121"/>
      <c r="D125" s="99"/>
      <c r="E125" s="100"/>
      <c r="F125" s="481"/>
      <c r="G125" s="481"/>
      <c r="H125" s="57"/>
      <c r="I125" s="114"/>
      <c r="J125" s="185"/>
      <c r="K125" s="186"/>
      <c r="L125" s="186"/>
      <c r="M125" s="186"/>
      <c r="N125" s="186"/>
      <c r="O125" s="186"/>
      <c r="P125" s="186"/>
      <c r="Q125" s="186"/>
    </row>
    <row r="126" spans="1:17" s="187" customFormat="1" ht="15" x14ac:dyDescent="0.2">
      <c r="A126" s="431" t="s">
        <v>382</v>
      </c>
      <c r="B126" s="432"/>
      <c r="C126" s="432"/>
      <c r="D126" s="433" t="s">
        <v>330</v>
      </c>
      <c r="E126" s="432"/>
      <c r="F126" s="484"/>
      <c r="G126" s="484"/>
      <c r="H126" s="435"/>
      <c r="I126" s="436">
        <f>SUM(I127:I128)</f>
        <v>0</v>
      </c>
      <c r="J126" s="185"/>
      <c r="K126" s="179">
        <f>I126/I66</f>
        <v>0</v>
      </c>
      <c r="L126" s="186"/>
      <c r="M126" s="186"/>
      <c r="N126" s="186"/>
      <c r="O126" s="186"/>
      <c r="P126" s="186"/>
      <c r="Q126" s="186"/>
    </row>
    <row r="127" spans="1:17" s="187" customFormat="1" ht="42.75" x14ac:dyDescent="0.2">
      <c r="A127" s="227" t="s">
        <v>383</v>
      </c>
      <c r="B127" s="100" t="s">
        <v>80</v>
      </c>
      <c r="C127" s="267">
        <v>73658</v>
      </c>
      <c r="D127" s="99" t="s">
        <v>393</v>
      </c>
      <c r="E127" s="100" t="s">
        <v>8</v>
      </c>
      <c r="F127" s="481">
        <v>62</v>
      </c>
      <c r="G127" s="481">
        <v>0</v>
      </c>
      <c r="H127" s="57">
        <f t="shared" ref="H127" si="28">ROUND((1+K$5)*G127,2)</f>
        <v>0</v>
      </c>
      <c r="I127" s="114">
        <f t="shared" ref="I127" si="29">ROUND(F127*H127,2)</f>
        <v>0</v>
      </c>
      <c r="J127" s="185"/>
      <c r="K127" s="312"/>
      <c r="L127" s="186"/>
      <c r="M127" s="186"/>
      <c r="N127" s="186"/>
      <c r="O127" s="186"/>
      <c r="P127" s="186"/>
      <c r="Q127" s="186"/>
    </row>
    <row r="128" spans="1:17" s="187" customFormat="1" ht="57" customHeight="1" x14ac:dyDescent="0.2">
      <c r="A128" s="227" t="s">
        <v>392</v>
      </c>
      <c r="B128" s="100" t="s">
        <v>80</v>
      </c>
      <c r="C128" s="267" t="s">
        <v>333</v>
      </c>
      <c r="D128" s="99" t="s">
        <v>334</v>
      </c>
      <c r="E128" s="100" t="s">
        <v>8</v>
      </c>
      <c r="F128" s="481">
        <v>62</v>
      </c>
      <c r="G128" s="481">
        <v>0</v>
      </c>
      <c r="H128" s="57">
        <f t="shared" ref="H128" si="30">ROUND((1+K$5)*G128,2)</f>
        <v>0</v>
      </c>
      <c r="I128" s="114">
        <f t="shared" ref="I128" si="31">ROUND(F128*H128,2)</f>
        <v>0</v>
      </c>
      <c r="J128" s="185"/>
      <c r="K128" s="188">
        <f>K67+K78+K87+K93+K96+K102+K107+K115+K120+K126</f>
        <v>0.99999999999999978</v>
      </c>
      <c r="L128" s="186"/>
      <c r="M128" s="186"/>
      <c r="N128" s="186"/>
      <c r="O128" s="186"/>
      <c r="P128" s="186"/>
      <c r="Q128" s="186"/>
    </row>
    <row r="129" spans="1:17" s="187" customFormat="1" ht="15" x14ac:dyDescent="0.2">
      <c r="A129" s="227"/>
      <c r="B129" s="100"/>
      <c r="C129" s="267"/>
      <c r="D129" s="99"/>
      <c r="E129" s="100"/>
      <c r="F129" s="481"/>
      <c r="G129" s="481"/>
      <c r="H129" s="57"/>
      <c r="I129" s="114"/>
      <c r="J129" s="185"/>
      <c r="K129" s="188"/>
      <c r="L129" s="186"/>
      <c r="M129" s="186"/>
      <c r="N129" s="186"/>
      <c r="O129" s="186"/>
      <c r="P129" s="186"/>
      <c r="Q129" s="186"/>
    </row>
    <row r="130" spans="1:17" s="187" customFormat="1" ht="15" x14ac:dyDescent="0.2">
      <c r="A130" s="431" t="s">
        <v>464</v>
      </c>
      <c r="B130" s="432"/>
      <c r="C130" s="432"/>
      <c r="D130" s="433" t="s">
        <v>1049</v>
      </c>
      <c r="E130" s="432"/>
      <c r="F130" s="484"/>
      <c r="G130" s="484"/>
      <c r="H130" s="435"/>
      <c r="I130" s="436">
        <v>138615.96</v>
      </c>
      <c r="J130" s="185"/>
      <c r="K130" s="188"/>
      <c r="L130" s="186"/>
      <c r="M130" s="186"/>
      <c r="N130" s="186"/>
      <c r="O130" s="186"/>
      <c r="P130" s="186"/>
      <c r="Q130" s="186"/>
    </row>
    <row r="131" spans="1:17" s="187" customFormat="1" ht="15" x14ac:dyDescent="0.2">
      <c r="A131" s="227"/>
      <c r="B131" s="100"/>
      <c r="C131" s="267"/>
      <c r="D131" s="99"/>
      <c r="E131" s="100"/>
      <c r="F131" s="481"/>
      <c r="G131" s="481"/>
      <c r="H131" s="57"/>
      <c r="I131" s="114"/>
      <c r="J131" s="185"/>
      <c r="K131" s="188"/>
      <c r="L131" s="186"/>
      <c r="M131" s="186"/>
      <c r="N131" s="186"/>
      <c r="O131" s="186"/>
      <c r="P131" s="186"/>
      <c r="Q131" s="186"/>
    </row>
    <row r="132" spans="1:17" s="187" customFormat="1" ht="15" x14ac:dyDescent="0.2">
      <c r="A132" s="227" t="s">
        <v>256</v>
      </c>
      <c r="B132" s="100"/>
      <c r="C132" s="267"/>
      <c r="D132" s="99" t="s">
        <v>1004</v>
      </c>
      <c r="E132" s="100"/>
      <c r="F132" s="481"/>
      <c r="G132" s="481"/>
      <c r="H132" s="57"/>
      <c r="I132" s="114">
        <v>63146.180000000008</v>
      </c>
      <c r="J132" s="185"/>
      <c r="K132" s="188"/>
      <c r="L132" s="186"/>
      <c r="M132" s="186"/>
      <c r="N132" s="186"/>
      <c r="O132" s="186"/>
      <c r="P132" s="186"/>
      <c r="Q132" s="186"/>
    </row>
    <row r="133" spans="1:17" s="187" customFormat="1" ht="28.5" x14ac:dyDescent="0.2">
      <c r="A133" s="227" t="s">
        <v>166</v>
      </c>
      <c r="B133" s="100" t="s">
        <v>80</v>
      </c>
      <c r="C133" s="267" t="s">
        <v>0</v>
      </c>
      <c r="D133" s="99" t="s">
        <v>1005</v>
      </c>
      <c r="E133" s="100" t="s">
        <v>83</v>
      </c>
      <c r="F133" s="481">
        <v>25</v>
      </c>
      <c r="G133" s="481">
        <v>5.89</v>
      </c>
      <c r="H133" s="57">
        <v>7.36</v>
      </c>
      <c r="I133" s="114">
        <v>184</v>
      </c>
      <c r="J133" s="185"/>
      <c r="K133" s="188"/>
      <c r="L133" s="186"/>
      <c r="M133" s="186"/>
      <c r="N133" s="186"/>
      <c r="O133" s="186"/>
      <c r="P133" s="186"/>
      <c r="Q133" s="186"/>
    </row>
    <row r="134" spans="1:17" s="187" customFormat="1" ht="42.75" x14ac:dyDescent="0.2">
      <c r="A134" s="227" t="s">
        <v>167</v>
      </c>
      <c r="B134" s="100" t="s">
        <v>80</v>
      </c>
      <c r="C134" s="267" t="s">
        <v>117</v>
      </c>
      <c r="D134" s="99" t="s">
        <v>118</v>
      </c>
      <c r="E134" s="100" t="s">
        <v>97</v>
      </c>
      <c r="F134" s="481">
        <v>40.29</v>
      </c>
      <c r="G134" s="481">
        <v>4.3899999999999997</v>
      </c>
      <c r="H134" s="57">
        <v>5.49</v>
      </c>
      <c r="I134" s="114">
        <v>221.19</v>
      </c>
      <c r="J134" s="185"/>
      <c r="K134" s="188"/>
      <c r="L134" s="186"/>
      <c r="M134" s="186"/>
      <c r="N134" s="186"/>
      <c r="O134" s="186"/>
      <c r="P134" s="186"/>
      <c r="Q134" s="186"/>
    </row>
    <row r="135" spans="1:17" s="187" customFormat="1" ht="28.5" x14ac:dyDescent="0.2">
      <c r="A135" s="227" t="s">
        <v>168</v>
      </c>
      <c r="B135" s="100" t="s">
        <v>80</v>
      </c>
      <c r="C135" s="267" t="s">
        <v>98</v>
      </c>
      <c r="D135" s="99" t="s">
        <v>99</v>
      </c>
      <c r="E135" s="100" t="s">
        <v>97</v>
      </c>
      <c r="F135" s="481">
        <v>7.1099999999999994</v>
      </c>
      <c r="G135" s="481">
        <v>22.62</v>
      </c>
      <c r="H135" s="57">
        <v>28.28</v>
      </c>
      <c r="I135" s="114">
        <v>201.07</v>
      </c>
      <c r="J135" s="185"/>
      <c r="K135" s="188"/>
      <c r="L135" s="186"/>
      <c r="M135" s="186"/>
      <c r="N135" s="186"/>
      <c r="O135" s="186"/>
      <c r="P135" s="186"/>
      <c r="Q135" s="186"/>
    </row>
    <row r="136" spans="1:17" s="187" customFormat="1" ht="28.5" x14ac:dyDescent="0.2">
      <c r="A136" s="227" t="s">
        <v>169</v>
      </c>
      <c r="B136" s="100" t="s">
        <v>80</v>
      </c>
      <c r="C136" s="267" t="s">
        <v>1006</v>
      </c>
      <c r="D136" s="99" t="s">
        <v>1007</v>
      </c>
      <c r="E136" s="100" t="s">
        <v>97</v>
      </c>
      <c r="F136" s="481">
        <v>7.1059999999999999</v>
      </c>
      <c r="G136" s="481">
        <v>6.09</v>
      </c>
      <c r="H136" s="57">
        <v>7.61</v>
      </c>
      <c r="I136" s="114">
        <v>54.08</v>
      </c>
      <c r="J136" s="185"/>
      <c r="K136" s="188"/>
      <c r="L136" s="186"/>
      <c r="M136" s="186"/>
      <c r="N136" s="186"/>
      <c r="O136" s="186"/>
      <c r="P136" s="186"/>
      <c r="Q136" s="186"/>
    </row>
    <row r="137" spans="1:17" s="187" customFormat="1" ht="28.5" x14ac:dyDescent="0.2">
      <c r="A137" s="227" t="s">
        <v>170</v>
      </c>
      <c r="B137" s="100" t="s">
        <v>80</v>
      </c>
      <c r="C137" s="267" t="s">
        <v>100</v>
      </c>
      <c r="D137" s="99" t="s">
        <v>101</v>
      </c>
      <c r="E137" s="100" t="s">
        <v>97</v>
      </c>
      <c r="F137" s="481">
        <v>1.2539999999999998</v>
      </c>
      <c r="G137" s="481">
        <v>29.08</v>
      </c>
      <c r="H137" s="57">
        <v>36.35</v>
      </c>
      <c r="I137" s="114">
        <v>45.58</v>
      </c>
      <c r="J137" s="185"/>
      <c r="K137" s="188"/>
      <c r="L137" s="186"/>
      <c r="M137" s="186"/>
      <c r="N137" s="186"/>
      <c r="O137" s="186"/>
      <c r="P137" s="186"/>
      <c r="Q137" s="186"/>
    </row>
    <row r="138" spans="1:17" s="187" customFormat="1" ht="15" x14ac:dyDescent="0.2">
      <c r="A138" s="227" t="s">
        <v>171</v>
      </c>
      <c r="B138" s="100" t="s">
        <v>80</v>
      </c>
      <c r="C138" s="267">
        <v>5622</v>
      </c>
      <c r="D138" s="99" t="s">
        <v>856</v>
      </c>
      <c r="E138" s="100" t="s">
        <v>83</v>
      </c>
      <c r="F138" s="481">
        <v>25.84</v>
      </c>
      <c r="G138" s="481">
        <v>2.13</v>
      </c>
      <c r="H138" s="57">
        <v>2.66</v>
      </c>
      <c r="I138" s="114">
        <v>68.73</v>
      </c>
      <c r="J138" s="185"/>
      <c r="K138" s="188"/>
      <c r="L138" s="186"/>
      <c r="M138" s="186"/>
      <c r="N138" s="186"/>
      <c r="O138" s="186"/>
      <c r="P138" s="186"/>
      <c r="Q138" s="186"/>
    </row>
    <row r="139" spans="1:17" s="187" customFormat="1" ht="28.5" x14ac:dyDescent="0.2">
      <c r="A139" s="227" t="s">
        <v>172</v>
      </c>
      <c r="B139" s="100" t="s">
        <v>80</v>
      </c>
      <c r="C139" s="267" t="s">
        <v>107</v>
      </c>
      <c r="D139" s="99" t="s">
        <v>108</v>
      </c>
      <c r="E139" s="100" t="s">
        <v>97</v>
      </c>
      <c r="F139" s="481">
        <v>29.1</v>
      </c>
      <c r="G139" s="481">
        <v>15.21</v>
      </c>
      <c r="H139" s="57">
        <v>19.010000000000002</v>
      </c>
      <c r="I139" s="114">
        <v>553.19000000000005</v>
      </c>
      <c r="J139" s="185"/>
      <c r="K139" s="188"/>
      <c r="L139" s="186"/>
      <c r="M139" s="186"/>
      <c r="N139" s="186"/>
      <c r="O139" s="186"/>
      <c r="P139" s="186"/>
      <c r="Q139" s="186"/>
    </row>
    <row r="140" spans="1:17" s="187" customFormat="1" ht="15" x14ac:dyDescent="0.2">
      <c r="A140" s="227" t="s">
        <v>173</v>
      </c>
      <c r="B140" s="100" t="s">
        <v>80</v>
      </c>
      <c r="C140" s="267" t="s">
        <v>384</v>
      </c>
      <c r="D140" s="99" t="s">
        <v>385</v>
      </c>
      <c r="E140" s="100" t="s">
        <v>97</v>
      </c>
      <c r="F140" s="481">
        <v>26.66</v>
      </c>
      <c r="G140" s="481">
        <v>25.85</v>
      </c>
      <c r="H140" s="57">
        <v>32.31</v>
      </c>
      <c r="I140" s="114">
        <v>861.38</v>
      </c>
      <c r="J140" s="185"/>
      <c r="K140" s="188"/>
      <c r="L140" s="186"/>
      <c r="M140" s="186"/>
      <c r="N140" s="186"/>
      <c r="O140" s="186"/>
      <c r="P140" s="186"/>
      <c r="Q140" s="186"/>
    </row>
    <row r="141" spans="1:17" s="187" customFormat="1" ht="15" x14ac:dyDescent="0.2">
      <c r="A141" s="227" t="s">
        <v>174</v>
      </c>
      <c r="B141" s="100" t="s">
        <v>80</v>
      </c>
      <c r="C141" s="267" t="s">
        <v>3</v>
      </c>
      <c r="D141" s="99" t="s">
        <v>4</v>
      </c>
      <c r="E141" s="100" t="s">
        <v>97</v>
      </c>
      <c r="F141" s="481">
        <v>1.3</v>
      </c>
      <c r="G141" s="481">
        <v>72.459999999999994</v>
      </c>
      <c r="H141" s="57">
        <v>90.58</v>
      </c>
      <c r="I141" s="114">
        <v>117.75</v>
      </c>
      <c r="J141" s="185"/>
      <c r="K141" s="188"/>
      <c r="L141" s="186"/>
      <c r="M141" s="186"/>
      <c r="N141" s="186"/>
      <c r="O141" s="186"/>
      <c r="P141" s="186"/>
      <c r="Q141" s="186"/>
    </row>
    <row r="142" spans="1:17" s="187" customFormat="1" ht="15" x14ac:dyDescent="0.2">
      <c r="A142" s="227" t="s">
        <v>1008</v>
      </c>
      <c r="B142" s="100" t="s">
        <v>80</v>
      </c>
      <c r="C142" s="267" t="s">
        <v>60</v>
      </c>
      <c r="D142" s="99" t="s">
        <v>14</v>
      </c>
      <c r="E142" s="100" t="s">
        <v>97</v>
      </c>
      <c r="F142" s="481">
        <v>1.3</v>
      </c>
      <c r="G142" s="481">
        <v>254.4</v>
      </c>
      <c r="H142" s="57">
        <v>318</v>
      </c>
      <c r="I142" s="114">
        <v>413.4</v>
      </c>
      <c r="J142" s="185"/>
      <c r="K142" s="188"/>
      <c r="L142" s="186"/>
      <c r="M142" s="186"/>
      <c r="N142" s="186"/>
      <c r="O142" s="186"/>
      <c r="P142" s="186"/>
      <c r="Q142" s="186"/>
    </row>
    <row r="143" spans="1:17" s="187" customFormat="1" ht="28.5" x14ac:dyDescent="0.2">
      <c r="A143" s="227" t="s">
        <v>1009</v>
      </c>
      <c r="B143" s="100" t="s">
        <v>80</v>
      </c>
      <c r="C143" s="267" t="s">
        <v>64</v>
      </c>
      <c r="D143" s="99" t="s">
        <v>65</v>
      </c>
      <c r="E143" s="100" t="s">
        <v>83</v>
      </c>
      <c r="F143" s="481">
        <v>72.739999999999995</v>
      </c>
      <c r="G143" s="481">
        <v>79.58</v>
      </c>
      <c r="H143" s="57">
        <v>99.48</v>
      </c>
      <c r="I143" s="114">
        <v>7236.18</v>
      </c>
      <c r="J143" s="185"/>
      <c r="K143" s="188"/>
      <c r="L143" s="186"/>
      <c r="M143" s="186"/>
      <c r="N143" s="186"/>
      <c r="O143" s="186"/>
      <c r="P143" s="186"/>
      <c r="Q143" s="186"/>
    </row>
    <row r="144" spans="1:17" s="187" customFormat="1" ht="28.5" x14ac:dyDescent="0.2">
      <c r="A144" s="227" t="s">
        <v>1010</v>
      </c>
      <c r="B144" s="100" t="s">
        <v>80</v>
      </c>
      <c r="C144" s="267" t="s">
        <v>1011</v>
      </c>
      <c r="D144" s="99" t="s">
        <v>1012</v>
      </c>
      <c r="E144" s="100" t="s">
        <v>97</v>
      </c>
      <c r="F144" s="481">
        <v>9.4499999999999993</v>
      </c>
      <c r="G144" s="481">
        <v>304.17</v>
      </c>
      <c r="H144" s="57">
        <v>380.21</v>
      </c>
      <c r="I144" s="114">
        <v>3592.98</v>
      </c>
      <c r="J144" s="185"/>
      <c r="K144" s="188"/>
      <c r="L144" s="186"/>
      <c r="M144" s="186"/>
      <c r="N144" s="186"/>
      <c r="O144" s="186"/>
      <c r="P144" s="186"/>
      <c r="Q144" s="186"/>
    </row>
    <row r="145" spans="1:17" s="187" customFormat="1" ht="15" x14ac:dyDescent="0.2">
      <c r="A145" s="227" t="s">
        <v>1013</v>
      </c>
      <c r="B145" s="100" t="s">
        <v>278</v>
      </c>
      <c r="C145" s="267" t="s">
        <v>573</v>
      </c>
      <c r="D145" s="99" t="s">
        <v>1014</v>
      </c>
      <c r="E145" s="100" t="s">
        <v>8</v>
      </c>
      <c r="F145" s="481">
        <v>1</v>
      </c>
      <c r="G145" s="481">
        <v>13953.587999999998</v>
      </c>
      <c r="H145" s="57">
        <v>15628.02</v>
      </c>
      <c r="I145" s="114">
        <v>15628.02</v>
      </c>
      <c r="J145" s="185"/>
      <c r="K145" s="188"/>
      <c r="L145" s="186"/>
      <c r="M145" s="186"/>
      <c r="N145" s="186"/>
      <c r="O145" s="186"/>
      <c r="P145" s="186"/>
      <c r="Q145" s="186"/>
    </row>
    <row r="146" spans="1:17" s="187" customFormat="1" ht="15" x14ac:dyDescent="0.2">
      <c r="A146" s="227" t="s">
        <v>1015</v>
      </c>
      <c r="B146" s="100" t="s">
        <v>278</v>
      </c>
      <c r="C146" s="267" t="s">
        <v>135</v>
      </c>
      <c r="D146" s="99" t="s">
        <v>1016</v>
      </c>
      <c r="E146" s="100" t="s">
        <v>8</v>
      </c>
      <c r="F146" s="481">
        <v>1</v>
      </c>
      <c r="G146" s="481">
        <v>1288.6500000000001</v>
      </c>
      <c r="H146" s="57">
        <v>1610.81</v>
      </c>
      <c r="I146" s="114">
        <v>1610.81</v>
      </c>
      <c r="J146" s="185"/>
      <c r="K146" s="188"/>
      <c r="L146" s="186"/>
      <c r="M146" s="186"/>
      <c r="N146" s="186"/>
      <c r="O146" s="186"/>
      <c r="P146" s="186"/>
      <c r="Q146" s="186"/>
    </row>
    <row r="147" spans="1:17" s="187" customFormat="1" ht="28.5" x14ac:dyDescent="0.2">
      <c r="A147" s="227" t="s">
        <v>1017</v>
      </c>
      <c r="B147" s="100" t="s">
        <v>7</v>
      </c>
      <c r="C147" s="267"/>
      <c r="D147" s="99" t="s">
        <v>1018</v>
      </c>
      <c r="E147" s="100" t="s">
        <v>8</v>
      </c>
      <c r="F147" s="481">
        <v>2</v>
      </c>
      <c r="G147" s="481">
        <v>3079</v>
      </c>
      <c r="H147" s="57">
        <v>3448.48</v>
      </c>
      <c r="I147" s="114">
        <v>6896.96</v>
      </c>
      <c r="J147" s="185"/>
      <c r="K147" s="188"/>
      <c r="L147" s="186"/>
      <c r="M147" s="186"/>
      <c r="N147" s="186"/>
      <c r="O147" s="186"/>
      <c r="P147" s="186"/>
      <c r="Q147" s="186"/>
    </row>
    <row r="148" spans="1:17" s="187" customFormat="1" ht="15" x14ac:dyDescent="0.2">
      <c r="A148" s="227" t="s">
        <v>1019</v>
      </c>
      <c r="B148" s="100" t="s">
        <v>80</v>
      </c>
      <c r="C148" s="267" t="s">
        <v>141</v>
      </c>
      <c r="D148" s="99" t="s">
        <v>142</v>
      </c>
      <c r="E148" s="100" t="s">
        <v>8</v>
      </c>
      <c r="F148" s="481">
        <v>2</v>
      </c>
      <c r="G148" s="481">
        <v>95.76</v>
      </c>
      <c r="H148" s="57">
        <v>119.7</v>
      </c>
      <c r="I148" s="114">
        <v>239.4</v>
      </c>
      <c r="J148" s="185"/>
      <c r="K148" s="188"/>
      <c r="L148" s="186"/>
      <c r="M148" s="186"/>
      <c r="N148" s="186"/>
      <c r="O148" s="186"/>
      <c r="P148" s="186"/>
      <c r="Q148" s="186"/>
    </row>
    <row r="149" spans="1:17" s="187" customFormat="1" ht="15" x14ac:dyDescent="0.2">
      <c r="A149" s="227" t="s">
        <v>1020</v>
      </c>
      <c r="B149" s="100" t="s">
        <v>278</v>
      </c>
      <c r="C149" s="267" t="s">
        <v>1021</v>
      </c>
      <c r="D149" s="99" t="s">
        <v>438</v>
      </c>
      <c r="E149" s="100" t="s">
        <v>8</v>
      </c>
      <c r="F149" s="481">
        <v>1</v>
      </c>
      <c r="G149" s="481">
        <v>2917.65</v>
      </c>
      <c r="H149" s="57">
        <v>3647.06</v>
      </c>
      <c r="I149" s="114">
        <v>3647.06</v>
      </c>
      <c r="J149" s="185"/>
      <c r="K149" s="188"/>
      <c r="L149" s="186"/>
      <c r="M149" s="186"/>
      <c r="N149" s="186"/>
      <c r="O149" s="186"/>
      <c r="P149" s="186"/>
      <c r="Q149" s="186"/>
    </row>
    <row r="150" spans="1:17" s="187" customFormat="1" ht="15" x14ac:dyDescent="0.2">
      <c r="A150" s="227" t="s">
        <v>1022</v>
      </c>
      <c r="B150" s="100" t="s">
        <v>278</v>
      </c>
      <c r="C150" s="267" t="s">
        <v>1023</v>
      </c>
      <c r="D150" s="99" t="s">
        <v>1024</v>
      </c>
      <c r="E150" s="100" t="s">
        <v>8</v>
      </c>
      <c r="F150" s="481">
        <v>1</v>
      </c>
      <c r="G150" s="481">
        <v>16398.57</v>
      </c>
      <c r="H150" s="57">
        <v>20498.21</v>
      </c>
      <c r="I150" s="114">
        <v>20498.21</v>
      </c>
      <c r="J150" s="185"/>
      <c r="K150" s="188"/>
      <c r="L150" s="186"/>
      <c r="M150" s="186"/>
      <c r="N150" s="186"/>
      <c r="O150" s="186"/>
      <c r="P150" s="186"/>
      <c r="Q150" s="186"/>
    </row>
    <row r="151" spans="1:17" s="187" customFormat="1" ht="42.75" x14ac:dyDescent="0.2">
      <c r="A151" s="227" t="s">
        <v>1025</v>
      </c>
      <c r="B151" s="100" t="s">
        <v>278</v>
      </c>
      <c r="C151" s="267" t="s">
        <v>136</v>
      </c>
      <c r="D151" s="99" t="s">
        <v>1026</v>
      </c>
      <c r="E151" s="100" t="s">
        <v>8</v>
      </c>
      <c r="F151" s="481">
        <v>1</v>
      </c>
      <c r="G151" s="481">
        <v>860.94999999999982</v>
      </c>
      <c r="H151" s="57">
        <v>1076.19</v>
      </c>
      <c r="I151" s="114">
        <v>1076.19</v>
      </c>
      <c r="J151" s="185"/>
      <c r="K151" s="188"/>
      <c r="L151" s="186"/>
      <c r="M151" s="186"/>
      <c r="N151" s="186"/>
      <c r="O151" s="186"/>
      <c r="P151" s="186"/>
      <c r="Q151" s="186"/>
    </row>
    <row r="152" spans="1:17" s="187" customFormat="1" ht="15" x14ac:dyDescent="0.2">
      <c r="A152" s="227"/>
      <c r="B152" s="100"/>
      <c r="C152" s="267"/>
      <c r="D152" s="99"/>
      <c r="E152" s="100"/>
      <c r="F152" s="481"/>
      <c r="G152" s="481"/>
      <c r="H152" s="57"/>
      <c r="I152" s="114"/>
      <c r="J152" s="185"/>
      <c r="K152" s="188"/>
      <c r="L152" s="186"/>
      <c r="M152" s="186"/>
      <c r="N152" s="186"/>
      <c r="O152" s="186"/>
      <c r="P152" s="186"/>
      <c r="Q152" s="186"/>
    </row>
    <row r="153" spans="1:17" s="187" customFormat="1" ht="15" x14ac:dyDescent="0.2">
      <c r="A153" s="227"/>
      <c r="B153" s="100"/>
      <c r="C153" s="267"/>
      <c r="D153" s="99"/>
      <c r="E153" s="100"/>
      <c r="F153" s="481"/>
      <c r="G153" s="481"/>
      <c r="H153" s="57"/>
      <c r="I153" s="114"/>
      <c r="J153" s="185"/>
      <c r="K153" s="188"/>
      <c r="L153" s="186"/>
      <c r="M153" s="186"/>
      <c r="N153" s="186"/>
      <c r="O153" s="186"/>
      <c r="P153" s="186"/>
      <c r="Q153" s="186"/>
    </row>
    <row r="154" spans="1:17" s="187" customFormat="1" ht="15" x14ac:dyDescent="0.2">
      <c r="A154" s="431" t="s">
        <v>258</v>
      </c>
      <c r="B154" s="432"/>
      <c r="C154" s="432"/>
      <c r="D154" s="433" t="s">
        <v>1027</v>
      </c>
      <c r="E154" s="432"/>
      <c r="F154" s="484"/>
      <c r="G154" s="484"/>
      <c r="H154" s="435"/>
      <c r="I154" s="436">
        <v>75469.78</v>
      </c>
      <c r="J154" s="185"/>
      <c r="K154" s="188"/>
      <c r="L154" s="186"/>
      <c r="M154" s="186"/>
      <c r="N154" s="186"/>
      <c r="O154" s="186"/>
      <c r="P154" s="186"/>
      <c r="Q154" s="186"/>
    </row>
    <row r="155" spans="1:17" s="187" customFormat="1" ht="42.75" x14ac:dyDescent="0.2">
      <c r="A155" s="227" t="s">
        <v>492</v>
      </c>
      <c r="B155" s="100" t="s">
        <v>80</v>
      </c>
      <c r="C155" s="267" t="s">
        <v>117</v>
      </c>
      <c r="D155" s="99" t="s">
        <v>118</v>
      </c>
      <c r="E155" s="100" t="s">
        <v>97</v>
      </c>
      <c r="F155" s="481">
        <v>196.56</v>
      </c>
      <c r="G155" s="481">
        <v>4.3899999999999997</v>
      </c>
      <c r="H155" s="57">
        <v>5.49</v>
      </c>
      <c r="I155" s="114">
        <v>1079.1099999999999</v>
      </c>
      <c r="J155" s="185"/>
      <c r="K155" s="188"/>
      <c r="L155" s="186"/>
      <c r="M155" s="186"/>
      <c r="N155" s="186"/>
      <c r="O155" s="186"/>
      <c r="P155" s="186"/>
      <c r="Q155" s="186"/>
    </row>
    <row r="156" spans="1:17" s="187" customFormat="1" ht="28.5" x14ac:dyDescent="0.2">
      <c r="A156" s="227" t="s">
        <v>493</v>
      </c>
      <c r="B156" s="100" t="s">
        <v>80</v>
      </c>
      <c r="C156" s="267" t="s">
        <v>98</v>
      </c>
      <c r="D156" s="99" t="s">
        <v>99</v>
      </c>
      <c r="E156" s="100" t="s">
        <v>97</v>
      </c>
      <c r="F156" s="481">
        <v>45.359999999999992</v>
      </c>
      <c r="G156" s="481">
        <v>22.62</v>
      </c>
      <c r="H156" s="57">
        <v>28.28</v>
      </c>
      <c r="I156" s="114">
        <v>1282.78</v>
      </c>
      <c r="J156" s="185"/>
      <c r="K156" s="188"/>
      <c r="L156" s="186"/>
      <c r="M156" s="186"/>
      <c r="N156" s="186"/>
      <c r="O156" s="186"/>
      <c r="P156" s="186"/>
      <c r="Q156" s="186"/>
    </row>
    <row r="157" spans="1:17" s="187" customFormat="1" ht="28.5" x14ac:dyDescent="0.2">
      <c r="A157" s="227" t="s">
        <v>1028</v>
      </c>
      <c r="B157" s="100" t="s">
        <v>80</v>
      </c>
      <c r="C157" s="267" t="s">
        <v>1006</v>
      </c>
      <c r="D157" s="99" t="s">
        <v>1007</v>
      </c>
      <c r="E157" s="100" t="s">
        <v>97</v>
      </c>
      <c r="F157" s="481">
        <v>60.48</v>
      </c>
      <c r="G157" s="481">
        <v>6.09</v>
      </c>
      <c r="H157" s="57">
        <v>7.61</v>
      </c>
      <c r="I157" s="114">
        <v>460.25</v>
      </c>
      <c r="J157" s="185"/>
      <c r="K157" s="188"/>
      <c r="L157" s="186"/>
      <c r="M157" s="186"/>
      <c r="N157" s="186"/>
      <c r="O157" s="186"/>
      <c r="P157" s="186"/>
      <c r="Q157" s="186"/>
    </row>
    <row r="158" spans="1:17" s="187" customFormat="1" ht="28.5" x14ac:dyDescent="0.2">
      <c r="A158" s="227" t="s">
        <v>1029</v>
      </c>
      <c r="B158" s="100" t="s">
        <v>80</v>
      </c>
      <c r="C158" s="267" t="s">
        <v>107</v>
      </c>
      <c r="D158" s="99" t="s">
        <v>108</v>
      </c>
      <c r="E158" s="100" t="s">
        <v>97</v>
      </c>
      <c r="F158" s="481">
        <v>302.39999999999998</v>
      </c>
      <c r="G158" s="481">
        <v>15.21</v>
      </c>
      <c r="H158" s="57">
        <v>19.010000000000002</v>
      </c>
      <c r="I158" s="114">
        <v>5748.62</v>
      </c>
      <c r="J158" s="185"/>
      <c r="K158" s="188"/>
      <c r="L158" s="186"/>
      <c r="M158" s="186"/>
      <c r="N158" s="186"/>
      <c r="O158" s="186"/>
      <c r="P158" s="186"/>
      <c r="Q158" s="186"/>
    </row>
    <row r="159" spans="1:17" s="187" customFormat="1" ht="28.5" x14ac:dyDescent="0.2">
      <c r="A159" s="227" t="s">
        <v>1030</v>
      </c>
      <c r="B159" s="100" t="s">
        <v>80</v>
      </c>
      <c r="C159" s="267" t="s">
        <v>1031</v>
      </c>
      <c r="D159" s="99" t="s">
        <v>1032</v>
      </c>
      <c r="E159" s="100" t="s">
        <v>90</v>
      </c>
      <c r="F159" s="481">
        <v>480</v>
      </c>
      <c r="G159" s="481">
        <v>1.68</v>
      </c>
      <c r="H159" s="57">
        <v>2.1</v>
      </c>
      <c r="I159" s="114">
        <v>1008</v>
      </c>
      <c r="J159" s="185"/>
      <c r="K159" s="188"/>
      <c r="L159" s="186"/>
      <c r="M159" s="186"/>
      <c r="N159" s="186"/>
      <c r="O159" s="186"/>
      <c r="P159" s="186"/>
      <c r="Q159" s="186"/>
    </row>
    <row r="160" spans="1:17" s="187" customFormat="1" ht="15" x14ac:dyDescent="0.2">
      <c r="A160" s="227" t="s">
        <v>1033</v>
      </c>
      <c r="B160" s="100" t="s">
        <v>278</v>
      </c>
      <c r="C160" s="267" t="s">
        <v>400</v>
      </c>
      <c r="D160" s="99" t="s">
        <v>1034</v>
      </c>
      <c r="E160" s="100" t="s">
        <v>8</v>
      </c>
      <c r="F160" s="481">
        <v>1</v>
      </c>
      <c r="G160" s="481">
        <v>36321</v>
      </c>
      <c r="H160" s="57">
        <v>40679.519999999997</v>
      </c>
      <c r="I160" s="114">
        <v>40679.519999999997</v>
      </c>
      <c r="J160" s="185"/>
      <c r="K160" s="188"/>
      <c r="L160" s="186"/>
      <c r="M160" s="186"/>
      <c r="N160" s="186"/>
      <c r="O160" s="186"/>
      <c r="P160" s="186"/>
      <c r="Q160" s="186"/>
    </row>
    <row r="161" spans="1:17" s="187" customFormat="1" ht="28.5" x14ac:dyDescent="0.2">
      <c r="A161" s="227" t="s">
        <v>1035</v>
      </c>
      <c r="B161" s="100" t="s">
        <v>80</v>
      </c>
      <c r="C161" s="267" t="s">
        <v>64</v>
      </c>
      <c r="D161" s="99" t="s">
        <v>65</v>
      </c>
      <c r="E161" s="100" t="s">
        <v>83</v>
      </c>
      <c r="F161" s="481">
        <v>20.74</v>
      </c>
      <c r="G161" s="481">
        <v>79.58</v>
      </c>
      <c r="H161" s="57">
        <v>99.48</v>
      </c>
      <c r="I161" s="114">
        <v>2063.2199999999998</v>
      </c>
      <c r="J161" s="185"/>
      <c r="K161" s="188"/>
      <c r="L161" s="186"/>
      <c r="M161" s="186"/>
      <c r="N161" s="186"/>
      <c r="O161" s="186"/>
      <c r="P161" s="186"/>
      <c r="Q161" s="186"/>
    </row>
    <row r="162" spans="1:17" s="187" customFormat="1" ht="28.5" x14ac:dyDescent="0.2">
      <c r="A162" s="227" t="s">
        <v>1036</v>
      </c>
      <c r="B162" s="100" t="s">
        <v>80</v>
      </c>
      <c r="C162" s="267" t="s">
        <v>1011</v>
      </c>
      <c r="D162" s="99" t="s">
        <v>1012</v>
      </c>
      <c r="E162" s="100" t="s">
        <v>97</v>
      </c>
      <c r="F162" s="481">
        <v>3.65</v>
      </c>
      <c r="G162" s="481">
        <v>304.17</v>
      </c>
      <c r="H162" s="57">
        <v>380.21</v>
      </c>
      <c r="I162" s="114">
        <v>1387.77</v>
      </c>
      <c r="J162" s="185"/>
      <c r="K162" s="188"/>
      <c r="L162" s="186"/>
      <c r="M162" s="186"/>
      <c r="N162" s="186"/>
      <c r="O162" s="186"/>
      <c r="P162" s="186"/>
      <c r="Q162" s="186"/>
    </row>
    <row r="163" spans="1:17" s="187" customFormat="1" ht="28.5" x14ac:dyDescent="0.2">
      <c r="A163" s="227" t="s">
        <v>1037</v>
      </c>
      <c r="B163" s="100" t="s">
        <v>80</v>
      </c>
      <c r="C163" s="267">
        <v>72949</v>
      </c>
      <c r="D163" s="99" t="s">
        <v>1038</v>
      </c>
      <c r="E163" s="100" t="s">
        <v>83</v>
      </c>
      <c r="F163" s="481">
        <v>384</v>
      </c>
      <c r="G163" s="481">
        <v>19.04</v>
      </c>
      <c r="H163" s="57">
        <v>23.8</v>
      </c>
      <c r="I163" s="114">
        <v>9139.2000000000007</v>
      </c>
      <c r="J163" s="185"/>
      <c r="K163" s="188"/>
      <c r="L163" s="186"/>
      <c r="M163" s="186"/>
      <c r="N163" s="186"/>
      <c r="O163" s="186"/>
      <c r="P163" s="186"/>
      <c r="Q163" s="186"/>
    </row>
    <row r="164" spans="1:17" s="187" customFormat="1" ht="28.5" x14ac:dyDescent="0.2">
      <c r="A164" s="227" t="s">
        <v>1039</v>
      </c>
      <c r="B164" s="100" t="s">
        <v>278</v>
      </c>
      <c r="C164" s="267" t="s">
        <v>399</v>
      </c>
      <c r="D164" s="99" t="s">
        <v>1040</v>
      </c>
      <c r="E164" s="100" t="s">
        <v>83</v>
      </c>
      <c r="F164" s="481">
        <v>422.40000000000003</v>
      </c>
      <c r="G164" s="481">
        <v>23.900000000000002</v>
      </c>
      <c r="H164" s="57">
        <v>29.88</v>
      </c>
      <c r="I164" s="114">
        <v>12621.31</v>
      </c>
      <c r="J164" s="185"/>
      <c r="K164" s="188"/>
      <c r="L164" s="186"/>
      <c r="M164" s="186"/>
      <c r="N164" s="186"/>
      <c r="O164" s="186"/>
      <c r="P164" s="186"/>
      <c r="Q164" s="186"/>
    </row>
    <row r="165" spans="1:17" s="187" customFormat="1" ht="15" x14ac:dyDescent="0.2">
      <c r="A165" s="227"/>
      <c r="B165" s="100"/>
      <c r="C165" s="267"/>
      <c r="D165" s="99"/>
      <c r="E165" s="100"/>
      <c r="F165" s="481"/>
      <c r="G165" s="481"/>
      <c r="H165" s="57"/>
      <c r="I165" s="114"/>
      <c r="J165" s="185"/>
      <c r="K165" s="188"/>
      <c r="L165" s="186"/>
      <c r="M165" s="186"/>
      <c r="N165" s="186"/>
      <c r="O165" s="186"/>
      <c r="P165" s="186"/>
      <c r="Q165" s="186"/>
    </row>
    <row r="166" spans="1:17" s="187" customFormat="1" ht="15" x14ac:dyDescent="0.2">
      <c r="A166" s="227"/>
      <c r="B166" s="100"/>
      <c r="C166" s="267"/>
      <c r="D166" s="99"/>
      <c r="E166" s="100"/>
      <c r="F166" s="481"/>
      <c r="G166" s="481"/>
      <c r="H166" s="57"/>
      <c r="I166" s="114"/>
      <c r="J166" s="185"/>
      <c r="K166" s="188"/>
      <c r="L166" s="186"/>
      <c r="M166" s="186"/>
      <c r="N166" s="186"/>
      <c r="O166" s="186"/>
      <c r="P166" s="186"/>
      <c r="Q166" s="186"/>
    </row>
    <row r="167" spans="1:17" s="187" customFormat="1" ht="15" x14ac:dyDescent="0.2">
      <c r="A167" s="227"/>
      <c r="B167" s="100"/>
      <c r="C167" s="267"/>
      <c r="D167" s="99"/>
      <c r="E167" s="100"/>
      <c r="F167" s="481"/>
      <c r="G167" s="481"/>
      <c r="H167" s="57"/>
      <c r="I167" s="114"/>
      <c r="J167" s="185"/>
      <c r="K167" s="188"/>
      <c r="L167" s="186"/>
      <c r="M167" s="186"/>
      <c r="N167" s="186"/>
      <c r="O167" s="186"/>
      <c r="P167" s="186"/>
      <c r="Q167" s="186"/>
    </row>
    <row r="168" spans="1:17" s="187" customFormat="1" ht="15" x14ac:dyDescent="0.2">
      <c r="A168" s="227"/>
      <c r="B168" s="100"/>
      <c r="C168" s="267"/>
      <c r="D168" s="99"/>
      <c r="E168" s="100"/>
      <c r="F168" s="481"/>
      <c r="G168" s="481"/>
      <c r="H168" s="57"/>
      <c r="I168" s="114"/>
      <c r="J168" s="185"/>
      <c r="K168" s="188"/>
      <c r="L168" s="186"/>
      <c r="M168" s="186"/>
      <c r="N168" s="186"/>
      <c r="O168" s="186"/>
      <c r="P168" s="186"/>
      <c r="Q168" s="186"/>
    </row>
    <row r="169" spans="1:17" s="187" customFormat="1" ht="15" x14ac:dyDescent="0.2">
      <c r="A169" s="227"/>
      <c r="B169" s="100"/>
      <c r="C169" s="267"/>
      <c r="D169" s="99"/>
      <c r="E169" s="100"/>
      <c r="F169" s="481"/>
      <c r="G169" s="481"/>
      <c r="H169" s="57"/>
      <c r="I169" s="114"/>
      <c r="J169" s="185"/>
      <c r="K169" s="188"/>
      <c r="L169" s="186"/>
      <c r="M169" s="186"/>
      <c r="N169" s="186"/>
      <c r="O169" s="186"/>
      <c r="P169" s="186"/>
      <c r="Q169" s="186"/>
    </row>
    <row r="170" spans="1:17" s="187" customFormat="1" ht="15" x14ac:dyDescent="0.2">
      <c r="A170" s="227"/>
      <c r="B170" s="100"/>
      <c r="C170" s="267"/>
      <c r="D170" s="99"/>
      <c r="E170" s="100"/>
      <c r="F170" s="481"/>
      <c r="G170" s="481"/>
      <c r="H170" s="57"/>
      <c r="I170" s="114"/>
      <c r="J170" s="185"/>
      <c r="K170" s="188"/>
      <c r="L170" s="186"/>
      <c r="M170" s="186"/>
      <c r="N170" s="186"/>
      <c r="O170" s="186"/>
      <c r="P170" s="186"/>
      <c r="Q170" s="186"/>
    </row>
    <row r="171" spans="1:17" s="187" customFormat="1" ht="15" x14ac:dyDescent="0.2">
      <c r="A171" s="227"/>
      <c r="B171" s="100"/>
      <c r="C171" s="267"/>
      <c r="D171" s="99"/>
      <c r="E171" s="100"/>
      <c r="F171" s="481"/>
      <c r="G171" s="481"/>
      <c r="H171" s="57"/>
      <c r="I171" s="114"/>
      <c r="J171" s="185"/>
      <c r="K171" s="188"/>
      <c r="L171" s="186"/>
      <c r="M171" s="186"/>
      <c r="N171" s="186"/>
      <c r="O171" s="186"/>
      <c r="P171" s="186"/>
      <c r="Q171" s="186"/>
    </row>
    <row r="172" spans="1:17" s="187" customFormat="1" ht="15" x14ac:dyDescent="0.2">
      <c r="A172" s="227"/>
      <c r="B172" s="100"/>
      <c r="C172" s="267"/>
      <c r="D172" s="99"/>
      <c r="E172" s="100"/>
      <c r="F172" s="481"/>
      <c r="G172" s="481"/>
      <c r="H172" s="57"/>
      <c r="I172" s="114"/>
      <c r="J172" s="185"/>
      <c r="K172" s="188"/>
      <c r="L172" s="186"/>
      <c r="M172" s="186"/>
      <c r="N172" s="186"/>
      <c r="O172" s="186"/>
      <c r="P172" s="186"/>
      <c r="Q172" s="186"/>
    </row>
    <row r="173" spans="1:17" s="187" customFormat="1" ht="15" x14ac:dyDescent="0.2">
      <c r="A173" s="227"/>
      <c r="B173" s="100"/>
      <c r="C173" s="267"/>
      <c r="D173" s="99"/>
      <c r="E173" s="100"/>
      <c r="F173" s="481"/>
      <c r="G173" s="481"/>
      <c r="H173" s="57"/>
      <c r="I173" s="114"/>
      <c r="J173" s="185"/>
      <c r="K173" s="188"/>
      <c r="L173" s="186"/>
      <c r="M173" s="186"/>
      <c r="N173" s="186"/>
      <c r="O173" s="186"/>
      <c r="P173" s="186"/>
      <c r="Q173" s="186"/>
    </row>
    <row r="174" spans="1:17" s="187" customFormat="1" ht="15" x14ac:dyDescent="0.2">
      <c r="A174" s="227"/>
      <c r="B174" s="100"/>
      <c r="C174" s="267"/>
      <c r="D174" s="99"/>
      <c r="E174" s="100"/>
      <c r="F174" s="481"/>
      <c r="G174" s="481"/>
      <c r="H174" s="57"/>
      <c r="I174" s="114"/>
      <c r="J174" s="185"/>
      <c r="K174" s="188"/>
      <c r="L174" s="186"/>
      <c r="M174" s="186"/>
      <c r="N174" s="186"/>
      <c r="O174" s="186"/>
      <c r="P174" s="186"/>
      <c r="Q174" s="186"/>
    </row>
    <row r="175" spans="1:17" s="187" customFormat="1" ht="15" x14ac:dyDescent="0.2">
      <c r="A175" s="227"/>
      <c r="B175" s="100"/>
      <c r="C175" s="267"/>
      <c r="D175" s="99"/>
      <c r="E175" s="100"/>
      <c r="F175" s="481"/>
      <c r="G175" s="481"/>
      <c r="H175" s="57"/>
      <c r="I175" s="114"/>
      <c r="J175" s="185"/>
      <c r="K175" s="188"/>
      <c r="L175" s="186"/>
      <c r="M175" s="186"/>
      <c r="N175" s="186"/>
      <c r="O175" s="186"/>
      <c r="P175" s="186"/>
      <c r="Q175" s="186"/>
    </row>
    <row r="176" spans="1:17" s="187" customFormat="1" ht="15" x14ac:dyDescent="0.2">
      <c r="A176" s="227"/>
      <c r="B176" s="100"/>
      <c r="C176" s="267"/>
      <c r="D176" s="99"/>
      <c r="E176" s="100"/>
      <c r="F176" s="481"/>
      <c r="G176" s="481"/>
      <c r="H176" s="57"/>
      <c r="I176" s="114"/>
      <c r="J176" s="185"/>
      <c r="K176" s="188"/>
      <c r="L176" s="186"/>
      <c r="M176" s="186"/>
      <c r="N176" s="186"/>
      <c r="O176" s="186"/>
      <c r="P176" s="186"/>
      <c r="Q176" s="186"/>
    </row>
    <row r="177" spans="1:17" s="187" customFormat="1" ht="15" x14ac:dyDescent="0.2">
      <c r="A177" s="227"/>
      <c r="B177" s="100"/>
      <c r="C177" s="267"/>
      <c r="D177" s="99"/>
      <c r="E177" s="100"/>
      <c r="F177" s="481"/>
      <c r="G177" s="481"/>
      <c r="H177" s="57"/>
      <c r="I177" s="114"/>
      <c r="J177" s="185"/>
      <c r="K177" s="188"/>
      <c r="L177" s="186"/>
      <c r="M177" s="186"/>
      <c r="N177" s="186"/>
      <c r="O177" s="186"/>
      <c r="P177" s="186"/>
      <c r="Q177" s="186"/>
    </row>
    <row r="178" spans="1:17" s="187" customFormat="1" ht="15" x14ac:dyDescent="0.2">
      <c r="A178" s="227"/>
      <c r="B178" s="100"/>
      <c r="C178" s="267"/>
      <c r="D178" s="99"/>
      <c r="E178" s="100"/>
      <c r="F178" s="481"/>
      <c r="G178" s="481"/>
      <c r="H178" s="57"/>
      <c r="I178" s="114"/>
      <c r="J178" s="185"/>
      <c r="K178" s="188"/>
      <c r="L178" s="186"/>
      <c r="M178" s="186"/>
      <c r="N178" s="186"/>
      <c r="O178" s="186"/>
      <c r="P178" s="186"/>
      <c r="Q178" s="186"/>
    </row>
    <row r="179" spans="1:17" s="187" customFormat="1" ht="15" x14ac:dyDescent="0.2">
      <c r="A179" s="227"/>
      <c r="B179" s="100"/>
      <c r="C179" s="267"/>
      <c r="D179" s="99"/>
      <c r="E179" s="100"/>
      <c r="F179" s="481"/>
      <c r="G179" s="481"/>
      <c r="H179" s="57"/>
      <c r="I179" s="114"/>
      <c r="J179" s="185"/>
      <c r="K179" s="188"/>
      <c r="L179" s="186"/>
      <c r="M179" s="186"/>
      <c r="N179" s="186"/>
      <c r="O179" s="186"/>
      <c r="P179" s="186"/>
      <c r="Q179" s="186"/>
    </row>
    <row r="180" spans="1:17" s="187" customFormat="1" ht="15" x14ac:dyDescent="0.2">
      <c r="A180" s="227"/>
      <c r="B180" s="100"/>
      <c r="C180" s="267"/>
      <c r="D180" s="99"/>
      <c r="E180" s="100"/>
      <c r="F180" s="481"/>
      <c r="G180" s="481"/>
      <c r="H180" s="57"/>
      <c r="I180" s="114"/>
      <c r="J180" s="185"/>
      <c r="K180" s="188"/>
      <c r="L180" s="186"/>
      <c r="M180" s="186"/>
      <c r="N180" s="186"/>
      <c r="O180" s="186"/>
      <c r="P180" s="186"/>
      <c r="Q180" s="186"/>
    </row>
    <row r="181" spans="1:17" s="187" customFormat="1" ht="15" x14ac:dyDescent="0.2">
      <c r="A181" s="227"/>
      <c r="B181" s="100"/>
      <c r="C181" s="267"/>
      <c r="D181" s="99"/>
      <c r="E181" s="100"/>
      <c r="F181" s="481"/>
      <c r="G181" s="481"/>
      <c r="H181" s="57"/>
      <c r="I181" s="114"/>
      <c r="J181" s="185"/>
      <c r="K181" s="188"/>
      <c r="L181" s="186"/>
      <c r="M181" s="186"/>
      <c r="N181" s="186"/>
      <c r="O181" s="186"/>
      <c r="P181" s="186"/>
      <c r="Q181" s="186"/>
    </row>
    <row r="182" spans="1:17" s="187" customFormat="1" ht="15" x14ac:dyDescent="0.2">
      <c r="A182" s="227"/>
      <c r="B182" s="100"/>
      <c r="C182" s="267"/>
      <c r="D182" s="99"/>
      <c r="E182" s="100"/>
      <c r="F182" s="481"/>
      <c r="G182" s="481"/>
      <c r="H182" s="57"/>
      <c r="I182" s="114"/>
      <c r="J182" s="185"/>
      <c r="K182" s="188"/>
      <c r="L182" s="186"/>
      <c r="M182" s="186"/>
      <c r="N182" s="186"/>
      <c r="O182" s="186"/>
      <c r="P182" s="186"/>
      <c r="Q182" s="186"/>
    </row>
    <row r="183" spans="1:17" s="187" customFormat="1" ht="15" x14ac:dyDescent="0.2">
      <c r="A183" s="227"/>
      <c r="B183" s="100"/>
      <c r="C183" s="267"/>
      <c r="D183" s="99"/>
      <c r="E183" s="100"/>
      <c r="F183" s="481"/>
      <c r="G183" s="481"/>
      <c r="H183" s="57"/>
      <c r="I183" s="114"/>
      <c r="J183" s="185"/>
      <c r="K183" s="188"/>
      <c r="L183" s="186"/>
      <c r="M183" s="186"/>
      <c r="N183" s="186"/>
      <c r="O183" s="186"/>
      <c r="P183" s="186"/>
      <c r="Q183" s="186"/>
    </row>
    <row r="184" spans="1:17" s="187" customFormat="1" ht="15" x14ac:dyDescent="0.2">
      <c r="A184" s="227"/>
      <c r="B184" s="100"/>
      <c r="C184" s="267"/>
      <c r="D184" s="99"/>
      <c r="E184" s="100"/>
      <c r="F184" s="481"/>
      <c r="G184" s="481"/>
      <c r="H184" s="57"/>
      <c r="I184" s="114"/>
      <c r="J184" s="185"/>
      <c r="K184" s="188"/>
      <c r="L184" s="186"/>
      <c r="M184" s="186"/>
      <c r="N184" s="186"/>
      <c r="O184" s="186"/>
      <c r="P184" s="186"/>
      <c r="Q184" s="186"/>
    </row>
    <row r="185" spans="1:17" s="187" customFormat="1" ht="15" x14ac:dyDescent="0.2">
      <c r="A185" s="45"/>
      <c r="B185" s="52"/>
      <c r="C185" s="121"/>
      <c r="D185" s="99"/>
      <c r="E185" s="100"/>
      <c r="F185" s="481"/>
      <c r="G185" s="481">
        <v>0</v>
      </c>
      <c r="H185" s="57"/>
      <c r="I185" s="114"/>
      <c r="J185" s="185"/>
      <c r="K185" s="188"/>
      <c r="L185" s="186"/>
      <c r="M185" s="186"/>
      <c r="N185" s="186"/>
      <c r="O185" s="186"/>
      <c r="P185" s="186"/>
      <c r="Q185" s="186"/>
    </row>
    <row r="186" spans="1:17" ht="15" x14ac:dyDescent="0.2">
      <c r="A186" s="431" t="s">
        <v>463</v>
      </c>
      <c r="B186" s="432"/>
      <c r="C186" s="432"/>
      <c r="D186" s="433" t="s">
        <v>59</v>
      </c>
      <c r="E186" s="432"/>
      <c r="F186" s="484"/>
      <c r="G186" s="484"/>
      <c r="H186" s="435"/>
      <c r="I186" s="436">
        <f>I188+I206+I196+I229+I249+I281+I295+I225+I238</f>
        <v>2751271.5</v>
      </c>
      <c r="J186" s="156"/>
      <c r="K186" s="158"/>
      <c r="L186" s="158"/>
      <c r="M186" s="158"/>
      <c r="N186" s="158"/>
      <c r="O186" s="158"/>
      <c r="P186" s="158"/>
      <c r="Q186" s="158"/>
    </row>
    <row r="187" spans="1:17" ht="15" x14ac:dyDescent="0.2">
      <c r="A187" s="47"/>
      <c r="B187" s="48"/>
      <c r="C187" s="48"/>
      <c r="D187" s="96"/>
      <c r="E187" s="46"/>
      <c r="F187" s="481"/>
      <c r="G187" s="481"/>
      <c r="H187" s="53"/>
      <c r="I187" s="61"/>
      <c r="J187" s="156"/>
      <c r="K187" s="158"/>
      <c r="L187" s="158"/>
      <c r="M187" s="158"/>
      <c r="N187" s="158"/>
      <c r="O187" s="158"/>
      <c r="P187" s="158"/>
      <c r="Q187" s="158"/>
    </row>
    <row r="188" spans="1:17" s="173" customFormat="1" ht="15" x14ac:dyDescent="0.2">
      <c r="A188" s="431" t="s">
        <v>12</v>
      </c>
      <c r="B188" s="432"/>
      <c r="C188" s="432"/>
      <c r="D188" s="433" t="s">
        <v>321</v>
      </c>
      <c r="E188" s="432"/>
      <c r="F188" s="484"/>
      <c r="G188" s="484"/>
      <c r="H188" s="435"/>
      <c r="I188" s="436">
        <f>SUM(I189:I190)</f>
        <v>119800.81</v>
      </c>
      <c r="J188" s="182"/>
      <c r="K188" s="172"/>
      <c r="L188" s="172"/>
      <c r="M188" s="172"/>
      <c r="N188" s="172"/>
      <c r="O188" s="172"/>
      <c r="P188" s="172"/>
      <c r="Q188" s="172"/>
    </row>
    <row r="189" spans="1:17" s="187" customFormat="1" ht="28.5" x14ac:dyDescent="0.2">
      <c r="A189" s="499" t="s">
        <v>166</v>
      </c>
      <c r="B189" s="500" t="s">
        <v>80</v>
      </c>
      <c r="C189" s="500">
        <v>73672</v>
      </c>
      <c r="D189" s="501" t="s">
        <v>547</v>
      </c>
      <c r="E189" s="500" t="s">
        <v>83</v>
      </c>
      <c r="F189" s="497">
        <f>96600-(65*273.5*2)</f>
        <v>61045</v>
      </c>
      <c r="G189" s="497">
        <v>0.37</v>
      </c>
      <c r="H189" s="497">
        <f t="shared" ref="H189:H190" si="32">ROUND((1+K$5)*G189,2)</f>
        <v>0.47</v>
      </c>
      <c r="I189" s="502">
        <f t="shared" ref="I189:I190" si="33">ROUND(F189*H189,2)</f>
        <v>28691.15</v>
      </c>
      <c r="J189" s="185"/>
      <c r="K189" s="186" t="s">
        <v>387</v>
      </c>
      <c r="L189" s="186">
        <f>3420.625+37.1</f>
        <v>3457.7249999999999</v>
      </c>
      <c r="M189" s="186"/>
      <c r="N189" s="186"/>
      <c r="O189" s="186"/>
      <c r="P189" s="186"/>
      <c r="Q189" s="186"/>
    </row>
    <row r="190" spans="1:17" s="187" customFormat="1" x14ac:dyDescent="0.2">
      <c r="A190" s="499" t="s">
        <v>167</v>
      </c>
      <c r="B190" s="500" t="s">
        <v>80</v>
      </c>
      <c r="C190" s="500" t="s">
        <v>394</v>
      </c>
      <c r="D190" s="501" t="s">
        <v>395</v>
      </c>
      <c r="E190" s="500" t="s">
        <v>97</v>
      </c>
      <c r="F190" s="497">
        <f>F189*0.15</f>
        <v>9156.75</v>
      </c>
      <c r="G190" s="497">
        <v>7.87</v>
      </c>
      <c r="H190" s="497">
        <f t="shared" si="32"/>
        <v>9.9499999999999993</v>
      </c>
      <c r="I190" s="502">
        <f t="shared" si="33"/>
        <v>91109.66</v>
      </c>
      <c r="J190" s="185"/>
      <c r="K190" s="186"/>
      <c r="L190" s="186"/>
      <c r="M190" s="186"/>
      <c r="N190" s="186"/>
      <c r="O190" s="186"/>
      <c r="P190" s="186"/>
      <c r="Q190" s="186"/>
    </row>
    <row r="191" spans="1:17" s="187" customFormat="1" x14ac:dyDescent="0.2">
      <c r="A191" s="227"/>
      <c r="B191" s="100"/>
      <c r="C191" s="100"/>
      <c r="D191" s="99"/>
      <c r="E191" s="100"/>
      <c r="F191" s="54"/>
      <c r="G191" s="54"/>
      <c r="H191" s="57"/>
      <c r="I191" s="114"/>
      <c r="J191" s="185"/>
      <c r="K191" s="186"/>
      <c r="L191" s="186"/>
      <c r="M191" s="186"/>
      <c r="N191" s="186"/>
      <c r="O191" s="186"/>
      <c r="P191" s="186"/>
      <c r="Q191" s="186"/>
    </row>
    <row r="192" spans="1:17" s="187" customFormat="1" x14ac:dyDescent="0.2">
      <c r="A192" s="227"/>
      <c r="B192" s="100"/>
      <c r="C192" s="100"/>
      <c r="D192" s="99"/>
      <c r="E192" s="100"/>
      <c r="F192" s="54"/>
      <c r="G192" s="54"/>
      <c r="H192" s="57"/>
      <c r="I192" s="114"/>
      <c r="J192" s="185"/>
      <c r="K192" s="186"/>
      <c r="L192" s="186"/>
      <c r="M192" s="186"/>
      <c r="N192" s="186"/>
      <c r="O192" s="186"/>
      <c r="P192" s="186"/>
      <c r="Q192" s="186"/>
    </row>
    <row r="193" spans="1:22" s="187" customFormat="1" x14ac:dyDescent="0.2">
      <c r="A193" s="227"/>
      <c r="B193" s="100"/>
      <c r="C193" s="100"/>
      <c r="D193" s="99"/>
      <c r="E193" s="100"/>
      <c r="F193" s="54"/>
      <c r="G193" s="54"/>
      <c r="H193" s="57"/>
      <c r="I193" s="114"/>
      <c r="J193" s="185"/>
      <c r="K193" s="186"/>
      <c r="L193" s="186"/>
      <c r="M193" s="186"/>
      <c r="N193" s="186"/>
      <c r="O193" s="186"/>
      <c r="P193" s="186"/>
      <c r="Q193" s="186"/>
    </row>
    <row r="194" spans="1:22" s="191" customFormat="1" ht="15.75" thickBot="1" x14ac:dyDescent="0.25">
      <c r="A194" s="355"/>
      <c r="B194" s="339"/>
      <c r="C194" s="339"/>
      <c r="D194" s="382"/>
      <c r="E194" s="339"/>
      <c r="F194" s="516"/>
      <c r="G194" s="516"/>
      <c r="H194" s="444"/>
      <c r="I194" s="445"/>
      <c r="J194" s="189"/>
      <c r="K194" s="234"/>
      <c r="L194" s="190"/>
      <c r="M194" s="190"/>
      <c r="N194" s="190"/>
      <c r="O194" s="190"/>
      <c r="P194" s="190"/>
      <c r="Q194" s="190"/>
    </row>
    <row r="195" spans="1:22" s="187" customFormat="1" ht="15" x14ac:dyDescent="0.2">
      <c r="A195" s="227"/>
      <c r="B195" s="100"/>
      <c r="C195" s="100"/>
      <c r="D195" s="99"/>
      <c r="E195" s="100"/>
      <c r="F195" s="54"/>
      <c r="G195" s="54"/>
      <c r="H195" s="57"/>
      <c r="I195" s="114"/>
      <c r="J195" s="185"/>
      <c r="K195" s="188"/>
      <c r="L195" s="186"/>
      <c r="M195" s="186"/>
      <c r="N195" s="186"/>
      <c r="O195" s="186"/>
      <c r="P195" s="186"/>
      <c r="Q195" s="186"/>
    </row>
    <row r="196" spans="1:22" s="191" customFormat="1" ht="15" x14ac:dyDescent="0.2">
      <c r="A196" s="431" t="s">
        <v>1041</v>
      </c>
      <c r="B196" s="432"/>
      <c r="C196" s="432"/>
      <c r="D196" s="433" t="s">
        <v>838</v>
      </c>
      <c r="E196" s="432"/>
      <c r="F196" s="432"/>
      <c r="G196" s="432"/>
      <c r="H196" s="435"/>
      <c r="I196" s="436">
        <f>SUM(I197:I203)</f>
        <v>96202.050000000017</v>
      </c>
      <c r="J196" s="189"/>
      <c r="K196" s="234"/>
      <c r="L196" s="190"/>
      <c r="M196" s="190"/>
      <c r="N196" s="190"/>
      <c r="O196" s="190"/>
      <c r="P196" s="190"/>
      <c r="Q196" s="190"/>
    </row>
    <row r="197" spans="1:22" s="191" customFormat="1" ht="28.5" x14ac:dyDescent="0.2">
      <c r="A197" s="546" t="s">
        <v>936</v>
      </c>
      <c r="B197" s="500" t="s">
        <v>278</v>
      </c>
      <c r="C197" s="500" t="s">
        <v>573</v>
      </c>
      <c r="D197" s="501" t="s">
        <v>937</v>
      </c>
      <c r="E197" s="500" t="s">
        <v>8</v>
      </c>
      <c r="F197" s="497">
        <v>1</v>
      </c>
      <c r="G197" s="497">
        <v>4714.6899999999996</v>
      </c>
      <c r="H197" s="497">
        <v>5961.0506768168216</v>
      </c>
      <c r="I197" s="502">
        <v>5961.05</v>
      </c>
      <c r="J197" s="485"/>
      <c r="K197" s="190"/>
      <c r="L197" s="190"/>
      <c r="M197" s="190"/>
      <c r="N197" s="544"/>
      <c r="O197" s="544"/>
      <c r="P197" s="544"/>
      <c r="Q197" s="41"/>
      <c r="R197" s="544"/>
      <c r="S197" s="41"/>
      <c r="T197" s="41"/>
      <c r="U197" s="41"/>
      <c r="V197" s="41"/>
    </row>
    <row r="198" spans="1:22" s="191" customFormat="1" ht="42.75" x14ac:dyDescent="0.2">
      <c r="A198" s="546" t="s">
        <v>938</v>
      </c>
      <c r="B198" s="547" t="s">
        <v>7</v>
      </c>
      <c r="C198" s="547"/>
      <c r="D198" s="548" t="s">
        <v>939</v>
      </c>
      <c r="E198" s="547" t="s">
        <v>94</v>
      </c>
      <c r="F198" s="497">
        <v>2</v>
      </c>
      <c r="G198" s="497">
        <v>17179</v>
      </c>
      <c r="H198" s="497">
        <v>20065.139555438836</v>
      </c>
      <c r="I198" s="502">
        <v>40130.28</v>
      </c>
      <c r="J198" s="545"/>
      <c r="K198" s="190"/>
      <c r="L198" s="190"/>
      <c r="M198" s="190"/>
      <c r="N198" s="544"/>
      <c r="O198" s="544"/>
      <c r="P198" s="544"/>
      <c r="Q198" s="41"/>
      <c r="R198" s="544"/>
      <c r="S198" s="41"/>
      <c r="T198" s="41"/>
      <c r="U198" s="41"/>
      <c r="V198" s="41"/>
    </row>
    <row r="199" spans="1:22" s="191" customFormat="1" x14ac:dyDescent="0.2">
      <c r="A199" s="546" t="s">
        <v>940</v>
      </c>
      <c r="B199" s="500" t="s">
        <v>80</v>
      </c>
      <c r="C199" s="500" t="s">
        <v>141</v>
      </c>
      <c r="D199" s="501" t="s">
        <v>142</v>
      </c>
      <c r="E199" s="500" t="s">
        <v>8</v>
      </c>
      <c r="F199" s="497">
        <v>2</v>
      </c>
      <c r="G199" s="497">
        <v>171.73</v>
      </c>
      <c r="H199" s="497">
        <v>217.1280047531763</v>
      </c>
      <c r="I199" s="502">
        <v>434.26</v>
      </c>
      <c r="J199" s="545"/>
      <c r="K199" s="190"/>
      <c r="L199" s="190"/>
      <c r="M199" s="190"/>
      <c r="N199" s="544"/>
      <c r="O199" s="544"/>
      <c r="P199" s="544"/>
      <c r="Q199" s="41"/>
      <c r="R199" s="544"/>
      <c r="S199" s="41"/>
      <c r="T199" s="41"/>
      <c r="U199" s="41"/>
      <c r="V199" s="41"/>
    </row>
    <row r="200" spans="1:22" s="191" customFormat="1" ht="42.75" x14ac:dyDescent="0.2">
      <c r="A200" s="546" t="s">
        <v>941</v>
      </c>
      <c r="B200" s="500" t="s">
        <v>278</v>
      </c>
      <c r="C200" s="500" t="s">
        <v>135</v>
      </c>
      <c r="D200" s="501" t="s">
        <v>942</v>
      </c>
      <c r="E200" s="500" t="s">
        <v>8</v>
      </c>
      <c r="F200" s="497">
        <v>1</v>
      </c>
      <c r="G200" s="497">
        <v>860.94999999999982</v>
      </c>
      <c r="H200" s="497">
        <v>1088.5480445597573</v>
      </c>
      <c r="I200" s="502">
        <v>1088.55</v>
      </c>
      <c r="J200" s="485"/>
      <c r="K200" s="190"/>
      <c r="L200" s="190"/>
      <c r="M200" s="190"/>
      <c r="N200" s="544"/>
      <c r="O200" s="544"/>
      <c r="P200" s="544"/>
      <c r="Q200" s="41"/>
      <c r="R200" s="544"/>
      <c r="S200" s="41"/>
      <c r="T200" s="41"/>
      <c r="U200" s="41"/>
      <c r="V200" s="41"/>
    </row>
    <row r="201" spans="1:22" s="191" customFormat="1" x14ac:dyDescent="0.2">
      <c r="A201" s="546" t="s">
        <v>943</v>
      </c>
      <c r="B201" s="500" t="s">
        <v>278</v>
      </c>
      <c r="C201" s="500" t="s">
        <v>136</v>
      </c>
      <c r="D201" s="501" t="s">
        <v>944</v>
      </c>
      <c r="E201" s="500" t="s">
        <v>94</v>
      </c>
      <c r="F201" s="497">
        <v>1</v>
      </c>
      <c r="G201" s="497">
        <v>19101.628299999993</v>
      </c>
      <c r="H201" s="497">
        <v>22310.776970465089</v>
      </c>
      <c r="I201" s="502">
        <v>22310.78</v>
      </c>
      <c r="J201" s="485"/>
      <c r="K201" s="190"/>
      <c r="L201" s="190"/>
      <c r="M201" s="190"/>
      <c r="N201" s="544"/>
      <c r="O201" s="544"/>
      <c r="P201" s="544"/>
      <c r="Q201" s="41"/>
      <c r="R201" s="544"/>
      <c r="S201" s="41"/>
      <c r="T201" s="41"/>
      <c r="U201" s="41"/>
      <c r="V201" s="41"/>
    </row>
    <row r="202" spans="1:22" s="191" customFormat="1" x14ac:dyDescent="0.2">
      <c r="A202" s="546" t="s">
        <v>945</v>
      </c>
      <c r="B202" s="500" t="s">
        <v>278</v>
      </c>
      <c r="C202" s="500" t="s">
        <v>400</v>
      </c>
      <c r="D202" s="501" t="s">
        <v>946</v>
      </c>
      <c r="E202" s="500" t="s">
        <v>8</v>
      </c>
      <c r="F202" s="497">
        <v>1</v>
      </c>
      <c r="G202" s="497">
        <v>7388</v>
      </c>
      <c r="H202" s="497">
        <v>9341.0685326760995</v>
      </c>
      <c r="I202" s="502">
        <v>9341.07</v>
      </c>
      <c r="J202" s="485"/>
      <c r="K202" s="190"/>
      <c r="L202" s="190"/>
      <c r="M202" s="190"/>
      <c r="N202" s="544"/>
      <c r="O202" s="544"/>
      <c r="P202" s="544"/>
      <c r="Q202" s="41"/>
      <c r="R202" s="544"/>
      <c r="S202" s="41"/>
      <c r="T202" s="41"/>
      <c r="U202" s="41"/>
      <c r="V202" s="41"/>
    </row>
    <row r="203" spans="1:22" s="191" customFormat="1" ht="42.75" x14ac:dyDescent="0.2">
      <c r="A203" s="546" t="s">
        <v>947</v>
      </c>
      <c r="B203" s="500" t="s">
        <v>7</v>
      </c>
      <c r="C203" s="500"/>
      <c r="D203" s="501" t="s">
        <v>948</v>
      </c>
      <c r="E203" s="500" t="s">
        <v>8</v>
      </c>
      <c r="F203" s="497">
        <v>1</v>
      </c>
      <c r="G203" s="497">
        <v>14500</v>
      </c>
      <c r="H203" s="497">
        <v>16936.057020423956</v>
      </c>
      <c r="I203" s="502">
        <v>16936.060000000001</v>
      </c>
      <c r="J203" s="545"/>
      <c r="K203" s="190"/>
      <c r="L203" s="190"/>
      <c r="M203" s="190"/>
      <c r="N203" s="544"/>
      <c r="O203" s="544"/>
      <c r="P203" s="544"/>
      <c r="Q203" s="41"/>
      <c r="R203" s="544"/>
      <c r="S203" s="41"/>
      <c r="T203" s="41"/>
      <c r="U203" s="41"/>
      <c r="V203" s="41"/>
    </row>
    <row r="204" spans="1:22" s="191" customFormat="1" ht="15" x14ac:dyDescent="0.2">
      <c r="A204" s="512"/>
      <c r="B204" s="377"/>
      <c r="C204" s="377"/>
      <c r="D204" s="513"/>
      <c r="E204" s="377"/>
      <c r="F204" s="550"/>
      <c r="G204" s="550"/>
      <c r="H204" s="514"/>
      <c r="I204" s="515"/>
      <c r="J204" s="189"/>
      <c r="K204" s="234"/>
      <c r="L204" s="190"/>
      <c r="M204" s="190"/>
      <c r="N204" s="190"/>
      <c r="O204" s="190"/>
      <c r="P204" s="190"/>
      <c r="Q204" s="190"/>
    </row>
    <row r="205" spans="1:22" s="191" customFormat="1" ht="15" x14ac:dyDescent="0.2">
      <c r="A205" s="51"/>
      <c r="B205" s="52"/>
      <c r="C205" s="121"/>
      <c r="D205" s="98"/>
      <c r="E205" s="52"/>
      <c r="F205" s="54"/>
      <c r="G205" s="54"/>
      <c r="H205" s="430"/>
      <c r="I205" s="62"/>
      <c r="J205" s="189"/>
      <c r="K205" s="234"/>
      <c r="L205" s="190"/>
      <c r="M205" s="190"/>
      <c r="N205" s="190"/>
      <c r="O205" s="190"/>
      <c r="P205" s="190"/>
      <c r="Q205" s="190"/>
    </row>
    <row r="206" spans="1:22" s="173" customFormat="1" ht="15" x14ac:dyDescent="0.2">
      <c r="A206" s="431" t="s">
        <v>1042</v>
      </c>
      <c r="B206" s="432"/>
      <c r="C206" s="432"/>
      <c r="D206" s="433" t="s">
        <v>5</v>
      </c>
      <c r="E206" s="432"/>
      <c r="F206" s="432"/>
      <c r="G206" s="432"/>
      <c r="H206" s="435"/>
      <c r="I206" s="436">
        <f>SUM(I207:I223)</f>
        <v>36887.49</v>
      </c>
      <c r="J206" s="182"/>
      <c r="K206" s="172"/>
      <c r="L206" s="172"/>
      <c r="M206" s="172"/>
      <c r="N206" s="172"/>
      <c r="O206" s="172"/>
      <c r="P206" s="172"/>
      <c r="Q206" s="172"/>
    </row>
    <row r="207" spans="1:22" s="187" customFormat="1" ht="28.5" x14ac:dyDescent="0.2">
      <c r="A207" s="499" t="s">
        <v>496</v>
      </c>
      <c r="B207" s="500" t="s">
        <v>80</v>
      </c>
      <c r="C207" s="500" t="s">
        <v>0</v>
      </c>
      <c r="D207" s="501" t="s">
        <v>1</v>
      </c>
      <c r="E207" s="500" t="s">
        <v>83</v>
      </c>
      <c r="F207" s="497">
        <v>65.599999999999994</v>
      </c>
      <c r="G207" s="497">
        <v>6.76</v>
      </c>
      <c r="H207" s="497">
        <v>8.5470524202612932</v>
      </c>
      <c r="I207" s="502">
        <v>560.69000000000005</v>
      </c>
      <c r="J207" s="185"/>
      <c r="K207" s="186"/>
      <c r="L207" s="186"/>
      <c r="M207" s="186"/>
      <c r="N207" s="186"/>
      <c r="O207" s="186"/>
      <c r="P207" s="186"/>
      <c r="Q207" s="186"/>
    </row>
    <row r="208" spans="1:22" s="187" customFormat="1" ht="42.75" x14ac:dyDescent="0.2">
      <c r="A208" s="499" t="s">
        <v>497</v>
      </c>
      <c r="B208" s="500" t="s">
        <v>80</v>
      </c>
      <c r="C208" s="500">
        <v>3070</v>
      </c>
      <c r="D208" s="501" t="s">
        <v>949</v>
      </c>
      <c r="E208" s="500" t="s">
        <v>97</v>
      </c>
      <c r="F208" s="497">
        <v>50.08</v>
      </c>
      <c r="G208" s="497">
        <v>6.07</v>
      </c>
      <c r="H208" s="497">
        <v>7.6746461820985283</v>
      </c>
      <c r="I208" s="502">
        <v>384.35</v>
      </c>
      <c r="J208" s="185"/>
      <c r="K208" s="186"/>
      <c r="L208" s="186"/>
      <c r="M208" s="186"/>
      <c r="N208" s="186"/>
      <c r="O208" s="186"/>
      <c r="P208" s="186"/>
      <c r="Q208" s="186"/>
    </row>
    <row r="209" spans="1:17" s="187" customFormat="1" x14ac:dyDescent="0.2">
      <c r="A209" s="499" t="s">
        <v>498</v>
      </c>
      <c r="B209" s="500" t="s">
        <v>80</v>
      </c>
      <c r="C209" s="500">
        <v>5622</v>
      </c>
      <c r="D209" s="501" t="s">
        <v>856</v>
      </c>
      <c r="E209" s="500" t="s">
        <v>83</v>
      </c>
      <c r="F209" s="497">
        <v>33.380000000000003</v>
      </c>
      <c r="G209" s="497">
        <v>4.6399999999999997</v>
      </c>
      <c r="H209" s="497">
        <v>5.8666158624278699</v>
      </c>
      <c r="I209" s="502">
        <v>195.83</v>
      </c>
      <c r="J209" s="185"/>
      <c r="K209" s="186"/>
      <c r="L209" s="186"/>
      <c r="M209" s="186"/>
      <c r="N209" s="186"/>
      <c r="O209" s="186"/>
      <c r="P209" s="186"/>
      <c r="Q209" s="186"/>
    </row>
    <row r="210" spans="1:17" s="187" customFormat="1" ht="28.5" x14ac:dyDescent="0.2">
      <c r="A210" s="499" t="s">
        <v>572</v>
      </c>
      <c r="B210" s="500" t="s">
        <v>80</v>
      </c>
      <c r="C210" s="500" t="s">
        <v>107</v>
      </c>
      <c r="D210" s="501" t="s">
        <v>108</v>
      </c>
      <c r="E210" s="500" t="s">
        <v>97</v>
      </c>
      <c r="F210" s="497">
        <v>11</v>
      </c>
      <c r="G210" s="497">
        <v>27.17</v>
      </c>
      <c r="H210" s="497">
        <v>34.352576073742512</v>
      </c>
      <c r="I210" s="502">
        <v>377.88</v>
      </c>
      <c r="J210" s="185"/>
      <c r="K210" s="186"/>
      <c r="L210" s="186"/>
      <c r="M210" s="186"/>
      <c r="N210" s="186"/>
      <c r="O210" s="186"/>
      <c r="P210" s="186"/>
      <c r="Q210" s="186"/>
    </row>
    <row r="211" spans="1:17" s="187" customFormat="1" x14ac:dyDescent="0.2">
      <c r="A211" s="499" t="s">
        <v>499</v>
      </c>
      <c r="B211" s="500" t="s">
        <v>80</v>
      </c>
      <c r="C211" s="500">
        <v>72208</v>
      </c>
      <c r="D211" s="501" t="s">
        <v>950</v>
      </c>
      <c r="E211" s="500" t="s">
        <v>97</v>
      </c>
      <c r="F211" s="497">
        <v>50.8</v>
      </c>
      <c r="G211" s="497">
        <v>5.54</v>
      </c>
      <c r="H211" s="497">
        <v>7.0045370426401723</v>
      </c>
      <c r="I211" s="502">
        <v>355.83</v>
      </c>
      <c r="J211" s="185"/>
      <c r="K211" s="186"/>
      <c r="L211" s="186"/>
      <c r="M211" s="186"/>
      <c r="N211" s="186"/>
      <c r="O211" s="186"/>
      <c r="P211" s="186"/>
      <c r="Q211" s="186"/>
    </row>
    <row r="212" spans="1:17" s="187" customFormat="1" ht="28.5" x14ac:dyDescent="0.2">
      <c r="A212" s="499" t="s">
        <v>500</v>
      </c>
      <c r="B212" s="500" t="s">
        <v>80</v>
      </c>
      <c r="C212" s="500">
        <v>72841</v>
      </c>
      <c r="D212" s="501" t="s">
        <v>340</v>
      </c>
      <c r="E212" s="500" t="s">
        <v>13</v>
      </c>
      <c r="F212" s="497">
        <v>325.12</v>
      </c>
      <c r="G212" s="497">
        <v>0.86</v>
      </c>
      <c r="H212" s="497">
        <v>1.0873469055361999</v>
      </c>
      <c r="I212" s="502">
        <v>353.52</v>
      </c>
      <c r="J212" s="185"/>
      <c r="K212" s="186"/>
      <c r="L212" s="186"/>
      <c r="M212" s="186"/>
      <c r="N212" s="186"/>
      <c r="O212" s="186"/>
      <c r="P212" s="186"/>
      <c r="Q212" s="186"/>
    </row>
    <row r="213" spans="1:17" s="191" customFormat="1" ht="28.5" x14ac:dyDescent="0.2">
      <c r="A213" s="499" t="s">
        <v>501</v>
      </c>
      <c r="B213" s="500" t="s">
        <v>80</v>
      </c>
      <c r="C213" s="500" t="s">
        <v>109</v>
      </c>
      <c r="D213" s="501" t="s">
        <v>110</v>
      </c>
      <c r="E213" s="500" t="s">
        <v>97</v>
      </c>
      <c r="F213" s="497">
        <v>50.8</v>
      </c>
      <c r="G213" s="497">
        <v>2.08</v>
      </c>
      <c r="H213" s="497">
        <v>2.6298622831573213</v>
      </c>
      <c r="I213" s="502">
        <v>133.6</v>
      </c>
      <c r="J213" s="189"/>
      <c r="K213" s="190"/>
      <c r="L213" s="190"/>
      <c r="M213" s="190"/>
      <c r="N213" s="190"/>
      <c r="O213" s="190"/>
      <c r="P213" s="190"/>
      <c r="Q213" s="190"/>
    </row>
    <row r="214" spans="1:17" s="187" customFormat="1" x14ac:dyDescent="0.2">
      <c r="A214" s="499" t="s">
        <v>502</v>
      </c>
      <c r="B214" s="500" t="s">
        <v>80</v>
      </c>
      <c r="C214" s="500" t="s">
        <v>3</v>
      </c>
      <c r="D214" s="501" t="s">
        <v>4</v>
      </c>
      <c r="E214" s="500" t="s">
        <v>97</v>
      </c>
      <c r="F214" s="497">
        <v>6.68</v>
      </c>
      <c r="G214" s="497">
        <v>85.35</v>
      </c>
      <c r="H214" s="497">
        <v>107.91285859013334</v>
      </c>
      <c r="I214" s="502">
        <v>720.86</v>
      </c>
      <c r="J214" s="185"/>
      <c r="K214" s="186"/>
      <c r="L214" s="186"/>
      <c r="M214" s="186"/>
      <c r="N214" s="186"/>
      <c r="O214" s="186"/>
      <c r="P214" s="186"/>
      <c r="Q214" s="186"/>
    </row>
    <row r="215" spans="1:17" s="187" customFormat="1" x14ac:dyDescent="0.2">
      <c r="A215" s="499" t="s">
        <v>503</v>
      </c>
      <c r="B215" s="500" t="s">
        <v>80</v>
      </c>
      <c r="C215" s="500" t="s">
        <v>60</v>
      </c>
      <c r="D215" s="501" t="s">
        <v>14</v>
      </c>
      <c r="E215" s="500" t="s">
        <v>97</v>
      </c>
      <c r="F215" s="497">
        <v>1.67</v>
      </c>
      <c r="G215" s="497">
        <v>344.14</v>
      </c>
      <c r="H215" s="497">
        <v>435.11577217584636</v>
      </c>
      <c r="I215" s="502">
        <v>726.64</v>
      </c>
      <c r="J215" s="185"/>
      <c r="K215" s="186"/>
      <c r="L215" s="186"/>
      <c r="M215" s="186"/>
      <c r="N215" s="186"/>
      <c r="O215" s="186"/>
      <c r="P215" s="186"/>
      <c r="Q215" s="186"/>
    </row>
    <row r="216" spans="1:17" s="187" customFormat="1" ht="28.5" x14ac:dyDescent="0.2">
      <c r="A216" s="499" t="s">
        <v>504</v>
      </c>
      <c r="B216" s="500" t="s">
        <v>80</v>
      </c>
      <c r="C216" s="500" t="s">
        <v>143</v>
      </c>
      <c r="D216" s="501" t="s">
        <v>865</v>
      </c>
      <c r="E216" s="500" t="s">
        <v>97</v>
      </c>
      <c r="F216" s="497">
        <v>20</v>
      </c>
      <c r="G216" s="497">
        <v>350.85</v>
      </c>
      <c r="H216" s="497">
        <v>443.59960675276255</v>
      </c>
      <c r="I216" s="502">
        <v>8871.99</v>
      </c>
      <c r="J216" s="185"/>
      <c r="K216" s="186"/>
      <c r="L216" s="186"/>
      <c r="M216" s="186"/>
      <c r="N216" s="186"/>
      <c r="O216" s="186"/>
      <c r="P216" s="186"/>
      <c r="Q216" s="186"/>
    </row>
    <row r="217" spans="1:17" s="187" customFormat="1" ht="28.5" x14ac:dyDescent="0.2">
      <c r="A217" s="499" t="s">
        <v>505</v>
      </c>
      <c r="B217" s="500" t="s">
        <v>80</v>
      </c>
      <c r="C217" s="500" t="s">
        <v>867</v>
      </c>
      <c r="D217" s="501" t="s">
        <v>868</v>
      </c>
      <c r="E217" s="500" t="s">
        <v>83</v>
      </c>
      <c r="F217" s="497">
        <v>120.08</v>
      </c>
      <c r="G217" s="497">
        <v>52.56</v>
      </c>
      <c r="H217" s="497">
        <v>66.454596924398459</v>
      </c>
      <c r="I217" s="502">
        <v>7979.87</v>
      </c>
      <c r="J217" s="185"/>
      <c r="K217" s="186"/>
      <c r="L217" s="186"/>
      <c r="M217" s="186"/>
      <c r="N217" s="186"/>
      <c r="O217" s="186"/>
      <c r="P217" s="186"/>
      <c r="Q217" s="186"/>
    </row>
    <row r="218" spans="1:17" s="187" customFormat="1" ht="14.25" customHeight="1" x14ac:dyDescent="0.2">
      <c r="A218" s="499" t="s">
        <v>506</v>
      </c>
      <c r="B218" s="500" t="s">
        <v>80</v>
      </c>
      <c r="C218" s="500" t="s">
        <v>144</v>
      </c>
      <c r="D218" s="501" t="s">
        <v>870</v>
      </c>
      <c r="E218" s="500" t="s">
        <v>2</v>
      </c>
      <c r="F218" s="497">
        <v>694</v>
      </c>
      <c r="G218" s="497">
        <v>6.71</v>
      </c>
      <c r="H218" s="497">
        <v>8.4838345769161663</v>
      </c>
      <c r="I218" s="502">
        <v>5887.78</v>
      </c>
      <c r="J218" s="185"/>
      <c r="K218" s="186"/>
      <c r="L218" s="186"/>
      <c r="M218" s="186"/>
      <c r="N218" s="186"/>
      <c r="O218" s="186"/>
      <c r="P218" s="186"/>
      <c r="Q218" s="186"/>
    </row>
    <row r="219" spans="1:17" s="187" customFormat="1" ht="28.5" x14ac:dyDescent="0.2">
      <c r="A219" s="499" t="s">
        <v>507</v>
      </c>
      <c r="B219" s="500" t="s">
        <v>80</v>
      </c>
      <c r="C219" s="509" t="s">
        <v>951</v>
      </c>
      <c r="D219" s="501" t="s">
        <v>952</v>
      </c>
      <c r="E219" s="500" t="s">
        <v>83</v>
      </c>
      <c r="F219" s="497">
        <v>87.46</v>
      </c>
      <c r="G219" s="497">
        <v>24.51</v>
      </c>
      <c r="H219" s="497">
        <v>30.989386807781703</v>
      </c>
      <c r="I219" s="502">
        <v>2710.33</v>
      </c>
      <c r="J219" s="185"/>
      <c r="K219" s="186"/>
      <c r="L219" s="186"/>
      <c r="M219" s="186"/>
      <c r="N219" s="186"/>
      <c r="O219" s="186"/>
      <c r="P219" s="186"/>
      <c r="Q219" s="186"/>
    </row>
    <row r="220" spans="1:17" s="187" customFormat="1" x14ac:dyDescent="0.2">
      <c r="A220" s="499" t="s">
        <v>508</v>
      </c>
      <c r="B220" s="500" t="s">
        <v>80</v>
      </c>
      <c r="C220" s="500" t="s">
        <v>559</v>
      </c>
      <c r="D220" s="501" t="s">
        <v>558</v>
      </c>
      <c r="E220" s="500" t="s">
        <v>83</v>
      </c>
      <c r="F220" s="497">
        <v>1.0900000000000001</v>
      </c>
      <c r="G220" s="497">
        <v>233.61</v>
      </c>
      <c r="H220" s="497">
        <v>295.36640767710662</v>
      </c>
      <c r="I220" s="502">
        <v>321.95</v>
      </c>
      <c r="J220" s="185"/>
      <c r="K220" s="186"/>
      <c r="L220" s="186"/>
      <c r="M220" s="186"/>
      <c r="N220" s="186"/>
      <c r="O220" s="186"/>
      <c r="P220" s="186"/>
      <c r="Q220" s="186"/>
    </row>
    <row r="221" spans="1:17" s="187" customFormat="1" ht="28.5" x14ac:dyDescent="0.2">
      <c r="A221" s="499" t="s">
        <v>509</v>
      </c>
      <c r="B221" s="500" t="s">
        <v>278</v>
      </c>
      <c r="C221" s="509" t="s">
        <v>147</v>
      </c>
      <c r="D221" s="501" t="s">
        <v>953</v>
      </c>
      <c r="E221" s="500" t="s">
        <v>8</v>
      </c>
      <c r="F221" s="497">
        <v>4</v>
      </c>
      <c r="G221" s="497">
        <v>373.39</v>
      </c>
      <c r="H221" s="497">
        <v>472.09821053274618</v>
      </c>
      <c r="I221" s="502">
        <v>1888.39</v>
      </c>
      <c r="J221" s="185"/>
      <c r="K221" s="186"/>
      <c r="L221" s="186"/>
      <c r="M221" s="186"/>
      <c r="N221" s="186"/>
      <c r="O221" s="186"/>
      <c r="P221" s="186"/>
      <c r="Q221" s="186"/>
    </row>
    <row r="222" spans="1:17" s="187" customFormat="1" x14ac:dyDescent="0.2">
      <c r="A222" s="499" t="s">
        <v>510</v>
      </c>
      <c r="B222" s="500" t="s">
        <v>278</v>
      </c>
      <c r="C222" s="509" t="s">
        <v>574</v>
      </c>
      <c r="D222" s="501" t="s">
        <v>954</v>
      </c>
      <c r="E222" s="500" t="s">
        <v>8</v>
      </c>
      <c r="F222" s="497">
        <v>1</v>
      </c>
      <c r="G222" s="497">
        <v>3439.4859999999999</v>
      </c>
      <c r="H222" s="497">
        <v>4017.3331735827519</v>
      </c>
      <c r="I222" s="502">
        <v>4017.33</v>
      </c>
      <c r="J222" s="185"/>
      <c r="K222" s="186"/>
      <c r="L222" s="186"/>
      <c r="M222" s="186"/>
      <c r="N222" s="186"/>
      <c r="O222" s="186"/>
      <c r="P222" s="186"/>
      <c r="Q222" s="186"/>
    </row>
    <row r="223" spans="1:17" s="187" customFormat="1" x14ac:dyDescent="0.2">
      <c r="A223" s="499" t="s">
        <v>511</v>
      </c>
      <c r="B223" s="500" t="s">
        <v>278</v>
      </c>
      <c r="C223" s="509" t="s">
        <v>145</v>
      </c>
      <c r="D223" s="549" t="s">
        <v>955</v>
      </c>
      <c r="E223" s="500" t="s">
        <v>8</v>
      </c>
      <c r="F223" s="497">
        <v>1</v>
      </c>
      <c r="G223" s="497">
        <v>1107.8000000000002</v>
      </c>
      <c r="H223" s="497">
        <v>1400.6545371546542</v>
      </c>
      <c r="I223" s="502">
        <v>1400.65</v>
      </c>
      <c r="J223" s="185"/>
      <c r="K223" s="186"/>
      <c r="L223" s="186"/>
      <c r="M223" s="186"/>
      <c r="N223" s="186"/>
      <c r="O223" s="186"/>
      <c r="P223" s="186"/>
      <c r="Q223" s="186"/>
    </row>
    <row r="224" spans="1:17" s="236" customFormat="1" ht="14.25" customHeight="1" x14ac:dyDescent="0.2">
      <c r="A224" s="237"/>
      <c r="B224" s="238"/>
      <c r="C224" s="239"/>
      <c r="D224" s="240"/>
      <c r="E224" s="241"/>
      <c r="F224" s="551"/>
      <c r="G224" s="551"/>
      <c r="H224" s="242"/>
      <c r="I224" s="243"/>
    </row>
    <row r="225" spans="1:12" s="236" customFormat="1" ht="14.25" customHeight="1" x14ac:dyDescent="0.2">
      <c r="A225" s="431" t="s">
        <v>1043</v>
      </c>
      <c r="B225" s="432"/>
      <c r="C225" s="432"/>
      <c r="D225" s="433" t="s">
        <v>839</v>
      </c>
      <c r="E225" s="432"/>
      <c r="F225" s="432"/>
      <c r="G225" s="432"/>
      <c r="H225" s="435"/>
      <c r="I225" s="436">
        <f>SUM(I226:I227)</f>
        <v>569021.93999999994</v>
      </c>
    </row>
    <row r="226" spans="1:12" s="236" customFormat="1" ht="14.25" customHeight="1" x14ac:dyDescent="0.2">
      <c r="A226" s="499" t="s">
        <v>569</v>
      </c>
      <c r="B226" s="503" t="s">
        <v>389</v>
      </c>
      <c r="C226" s="503" t="s">
        <v>552</v>
      </c>
      <c r="D226" s="504" t="s">
        <v>551</v>
      </c>
      <c r="E226" s="500" t="s">
        <v>83</v>
      </c>
      <c r="F226" s="498">
        <f>(1356.19+1717.06)*2*2</f>
        <v>12293</v>
      </c>
      <c r="G226" s="497">
        <v>35.26</v>
      </c>
      <c r="H226" s="497">
        <f>ROUND((1+K$5)*G226,2)</f>
        <v>44.58</v>
      </c>
      <c r="I226" s="502">
        <f>ROUND(F226*H226,2)</f>
        <v>548021.93999999994</v>
      </c>
    </row>
    <row r="227" spans="1:12" s="236" customFormat="1" ht="14.25" customHeight="1" x14ac:dyDescent="0.2">
      <c r="A227" s="546" t="s">
        <v>1000</v>
      </c>
      <c r="B227" s="547" t="s">
        <v>7</v>
      </c>
      <c r="C227" s="547"/>
      <c r="D227" s="548" t="s">
        <v>1001</v>
      </c>
      <c r="E227" s="547" t="s">
        <v>94</v>
      </c>
      <c r="F227" s="497">
        <v>1</v>
      </c>
      <c r="G227" s="497">
        <f>10500*2</f>
        <v>21000</v>
      </c>
      <c r="H227" s="497">
        <f>G227*(1+$K$18)</f>
        <v>21000</v>
      </c>
      <c r="I227" s="502">
        <f t="shared" ref="I227" si="34">ROUND(F227*H227,2)</f>
        <v>21000</v>
      </c>
    </row>
    <row r="228" spans="1:12" s="236" customFormat="1" ht="14.25" customHeight="1" x14ac:dyDescent="0.2">
      <c r="A228" s="237"/>
      <c r="B228" s="238"/>
      <c r="C228" s="239"/>
      <c r="D228" s="240"/>
      <c r="E228" s="241"/>
      <c r="F228" s="551"/>
      <c r="G228" s="551"/>
      <c r="H228" s="485"/>
      <c r="I228" s="243"/>
    </row>
    <row r="229" spans="1:12" s="236" customFormat="1" ht="14.25" customHeight="1" x14ac:dyDescent="0.2">
      <c r="A229" s="431" t="s">
        <v>1044</v>
      </c>
      <c r="B229" s="432"/>
      <c r="C229" s="432"/>
      <c r="D229" s="433" t="s">
        <v>840</v>
      </c>
      <c r="E229" s="432"/>
      <c r="F229" s="432"/>
      <c r="G229" s="432"/>
      <c r="H229" s="435"/>
      <c r="I229" s="436">
        <f>SUM(I230:I236)</f>
        <v>609964.35</v>
      </c>
      <c r="L229" s="236">
        <v>83336</v>
      </c>
    </row>
    <row r="230" spans="1:12" s="264" customFormat="1" x14ac:dyDescent="0.2">
      <c r="A230" s="486" t="s">
        <v>569</v>
      </c>
      <c r="B230" s="558" t="s">
        <v>389</v>
      </c>
      <c r="C230" s="558" t="s">
        <v>552</v>
      </c>
      <c r="D230" s="563" t="s">
        <v>551</v>
      </c>
      <c r="E230" s="487" t="s">
        <v>83</v>
      </c>
      <c r="F230" s="559">
        <f>(72.5+1)*(281+1)*2-(72.5+1)*(281+1)*2</f>
        <v>0</v>
      </c>
      <c r="G230" s="481">
        <v>35.26</v>
      </c>
      <c r="H230" s="481">
        <f>ROUND((1+K$5)*G230,2)</f>
        <v>44.58</v>
      </c>
      <c r="I230" s="490">
        <f>ROUND(F230*H230,2)</f>
        <v>0</v>
      </c>
      <c r="J230" s="263"/>
    </row>
    <row r="231" spans="1:12" s="264" customFormat="1" ht="28.5" x14ac:dyDescent="0.2">
      <c r="A231" s="499" t="s">
        <v>922</v>
      </c>
      <c r="B231" s="500" t="s">
        <v>80</v>
      </c>
      <c r="C231" s="509">
        <v>83336</v>
      </c>
      <c r="D231" s="501" t="s">
        <v>982</v>
      </c>
      <c r="E231" s="500" t="s">
        <v>83</v>
      </c>
      <c r="F231" s="497">
        <f>20.05*84.53+15.1*80+16*60</f>
        <v>3862.8265000000001</v>
      </c>
      <c r="G231" s="510">
        <v>4.07</v>
      </c>
      <c r="H231" s="497">
        <f t="shared" ref="H231" si="35">ROUND((1+K$5)*G231,2)</f>
        <v>5.15</v>
      </c>
      <c r="I231" s="502">
        <f t="shared" ref="I231" si="36">ROUND(F231*H231,2)</f>
        <v>19893.560000000001</v>
      </c>
      <c r="J231" s="263"/>
    </row>
    <row r="232" spans="1:12" s="264" customFormat="1" ht="42.75" x14ac:dyDescent="0.2">
      <c r="A232" s="499" t="s">
        <v>568</v>
      </c>
      <c r="B232" s="500" t="s">
        <v>80</v>
      </c>
      <c r="C232" s="509" t="s">
        <v>106</v>
      </c>
      <c r="D232" s="501" t="s">
        <v>978</v>
      </c>
      <c r="E232" s="500" t="s">
        <v>920</v>
      </c>
      <c r="F232" s="497">
        <f>65*273.5*2*0.6</f>
        <v>21333</v>
      </c>
      <c r="G232" s="510">
        <v>3.07</v>
      </c>
      <c r="H232" s="497">
        <f t="shared" ref="H232:H233" si="37">ROUND((1+K$5)*G232,2)</f>
        <v>3.88</v>
      </c>
      <c r="I232" s="502">
        <f t="shared" ref="I232:I233" si="38">ROUND(F232*H232,2)</f>
        <v>82772.039999999994</v>
      </c>
      <c r="J232" s="263"/>
    </row>
    <row r="233" spans="1:12" s="264" customFormat="1" ht="28.5" x14ac:dyDescent="0.2">
      <c r="A233" s="499" t="s">
        <v>923</v>
      </c>
      <c r="B233" s="500" t="s">
        <v>80</v>
      </c>
      <c r="C233" s="500">
        <v>72841</v>
      </c>
      <c r="D233" s="501" t="s">
        <v>979</v>
      </c>
      <c r="E233" s="500" t="s">
        <v>13</v>
      </c>
      <c r="F233" s="497">
        <f>F232*1.3*5</f>
        <v>138664.5</v>
      </c>
      <c r="G233" s="497">
        <v>0.86</v>
      </c>
      <c r="H233" s="497">
        <f t="shared" si="37"/>
        <v>1.0900000000000001</v>
      </c>
      <c r="I233" s="502">
        <f t="shared" si="38"/>
        <v>151144.31</v>
      </c>
      <c r="J233" s="263"/>
    </row>
    <row r="234" spans="1:12" s="264" customFormat="1" ht="42.75" x14ac:dyDescent="0.2">
      <c r="A234" s="499" t="s">
        <v>568</v>
      </c>
      <c r="B234" s="500" t="s">
        <v>80</v>
      </c>
      <c r="C234" s="509" t="s">
        <v>106</v>
      </c>
      <c r="D234" s="501" t="s">
        <v>980</v>
      </c>
      <c r="E234" s="500" t="s">
        <v>920</v>
      </c>
      <c r="F234" s="497">
        <f>65*273.5*2*0.6</f>
        <v>21333</v>
      </c>
      <c r="G234" s="510">
        <v>3.07</v>
      </c>
      <c r="H234" s="497">
        <f t="shared" ref="H234:H236" si="39">ROUND((1+K$5)*G234,2)</f>
        <v>3.88</v>
      </c>
      <c r="I234" s="502">
        <f t="shared" ref="I234:I236" si="40">ROUND(F234*H234,2)</f>
        <v>82772.039999999994</v>
      </c>
      <c r="J234" s="263"/>
    </row>
    <row r="235" spans="1:12" s="264" customFormat="1" ht="28.5" x14ac:dyDescent="0.2">
      <c r="A235" s="499" t="s">
        <v>923</v>
      </c>
      <c r="B235" s="500" t="s">
        <v>80</v>
      </c>
      <c r="C235" s="500">
        <v>72841</v>
      </c>
      <c r="D235" s="501" t="s">
        <v>981</v>
      </c>
      <c r="E235" s="500" t="s">
        <v>13</v>
      </c>
      <c r="F235" s="497">
        <f>F234*1.3*5</f>
        <v>138664.5</v>
      </c>
      <c r="G235" s="497">
        <v>0.86</v>
      </c>
      <c r="H235" s="497">
        <f t="shared" si="39"/>
        <v>1.0900000000000001</v>
      </c>
      <c r="I235" s="502">
        <f t="shared" si="40"/>
        <v>151144.31</v>
      </c>
      <c r="J235" s="263"/>
    </row>
    <row r="236" spans="1:12" s="508" customFormat="1" ht="28.5" x14ac:dyDescent="0.2">
      <c r="A236" s="499" t="s">
        <v>924</v>
      </c>
      <c r="B236" s="500" t="s">
        <v>80</v>
      </c>
      <c r="C236" s="509" t="s">
        <v>921</v>
      </c>
      <c r="D236" s="501" t="s">
        <v>925</v>
      </c>
      <c r="E236" s="500" t="s">
        <v>97</v>
      </c>
      <c r="F236" s="497">
        <f>F234</f>
        <v>21333</v>
      </c>
      <c r="G236" s="510">
        <v>4.53</v>
      </c>
      <c r="H236" s="497">
        <f t="shared" si="39"/>
        <v>5.73</v>
      </c>
      <c r="I236" s="502">
        <f t="shared" si="40"/>
        <v>122238.09</v>
      </c>
      <c r="J236" s="511"/>
    </row>
    <row r="237" spans="1:12" s="191" customFormat="1" ht="15.95" customHeight="1" x14ac:dyDescent="0.2">
      <c r="A237" s="261"/>
      <c r="B237" s="100"/>
      <c r="C237" s="262"/>
      <c r="D237" s="265"/>
      <c r="E237" s="100"/>
      <c r="F237" s="54">
        <v>0</v>
      </c>
      <c r="G237" s="552"/>
      <c r="H237" s="57"/>
      <c r="I237" s="114"/>
      <c r="K237" s="154"/>
    </row>
    <row r="238" spans="1:12" s="191" customFormat="1" ht="15.95" customHeight="1" x14ac:dyDescent="0.2">
      <c r="A238" s="431" t="s">
        <v>1045</v>
      </c>
      <c r="B238" s="432"/>
      <c r="C238" s="432"/>
      <c r="D238" s="433" t="s">
        <v>926</v>
      </c>
      <c r="E238" s="432"/>
      <c r="F238" s="432"/>
      <c r="G238" s="432"/>
      <c r="H238" s="435"/>
      <c r="I238" s="436">
        <f>SUM(I239:I247)</f>
        <v>639725.85000000009</v>
      </c>
      <c r="K238" s="154"/>
    </row>
    <row r="239" spans="1:12" s="191" customFormat="1" x14ac:dyDescent="0.2">
      <c r="A239" s="486" t="s">
        <v>567</v>
      </c>
      <c r="B239" s="487" t="s">
        <v>80</v>
      </c>
      <c r="C239" s="487" t="s">
        <v>386</v>
      </c>
      <c r="D239" s="573" t="s">
        <v>999</v>
      </c>
      <c r="E239" s="487" t="s">
        <v>83</v>
      </c>
      <c r="F239" s="481">
        <v>1280</v>
      </c>
      <c r="G239" s="481">
        <v>4.87</v>
      </c>
      <c r="H239" s="481">
        <f t="shared" ref="H239:H247" si="41">ROUND((1+K$5)*G239,2)</f>
        <v>6.16</v>
      </c>
      <c r="I239" s="490">
        <f t="shared" ref="I239:I247" si="42">ROUND(F239*H239,2)</f>
        <v>7884.8</v>
      </c>
      <c r="K239" s="154">
        <f>40*840</f>
        <v>33600</v>
      </c>
    </row>
    <row r="240" spans="1:12" s="507" customFormat="1" ht="32.25" customHeight="1" x14ac:dyDescent="0.2">
      <c r="A240" s="499" t="s">
        <v>568</v>
      </c>
      <c r="B240" s="500" t="s">
        <v>80</v>
      </c>
      <c r="C240" s="509" t="s">
        <v>106</v>
      </c>
      <c r="D240" s="501" t="s">
        <v>119</v>
      </c>
      <c r="E240" s="500" t="s">
        <v>920</v>
      </c>
      <c r="F240" s="497">
        <f>6.375*1768+35668.98</f>
        <v>46939.98</v>
      </c>
      <c r="G240" s="510">
        <v>3.07</v>
      </c>
      <c r="H240" s="497">
        <f t="shared" si="41"/>
        <v>3.88</v>
      </c>
      <c r="I240" s="502">
        <f t="shared" si="42"/>
        <v>182127.12</v>
      </c>
      <c r="J240" s="506">
        <f t="shared" ref="J240" si="43">IF(C240="","",ROUND((H240*I240),2))</f>
        <v>706653.23</v>
      </c>
    </row>
    <row r="241" spans="1:11" s="191" customFormat="1" ht="28.5" x14ac:dyDescent="0.2">
      <c r="A241" s="499" t="s">
        <v>923</v>
      </c>
      <c r="B241" s="500" t="s">
        <v>80</v>
      </c>
      <c r="C241" s="500">
        <v>72841</v>
      </c>
      <c r="D241" s="501" t="s">
        <v>340</v>
      </c>
      <c r="E241" s="500" t="s">
        <v>13</v>
      </c>
      <c r="F241" s="497">
        <f>F240*1.3*5</f>
        <v>305109.87000000005</v>
      </c>
      <c r="G241" s="497">
        <v>0.86</v>
      </c>
      <c r="H241" s="497">
        <f t="shared" si="41"/>
        <v>1.0900000000000001</v>
      </c>
      <c r="I241" s="502">
        <f t="shared" si="42"/>
        <v>332569.76</v>
      </c>
      <c r="K241" s="154"/>
    </row>
    <row r="242" spans="1:11" s="508" customFormat="1" ht="28.5" x14ac:dyDescent="0.2">
      <c r="A242" s="499" t="s">
        <v>924</v>
      </c>
      <c r="B242" s="500" t="s">
        <v>80</v>
      </c>
      <c r="C242" s="509" t="s">
        <v>921</v>
      </c>
      <c r="D242" s="501" t="s">
        <v>925</v>
      </c>
      <c r="E242" s="500" t="s">
        <v>97</v>
      </c>
      <c r="F242" s="497">
        <f>F244*0.6</f>
        <v>0</v>
      </c>
      <c r="G242" s="510">
        <v>4.53</v>
      </c>
      <c r="H242" s="497">
        <f t="shared" si="41"/>
        <v>5.73</v>
      </c>
      <c r="I242" s="502">
        <f t="shared" si="42"/>
        <v>0</v>
      </c>
      <c r="J242" s="511"/>
    </row>
    <row r="243" spans="1:11" s="508" customFormat="1" x14ac:dyDescent="0.2">
      <c r="A243" s="499"/>
      <c r="B243" s="500" t="s">
        <v>278</v>
      </c>
      <c r="C243" s="509" t="str">
        <f>'COMPOSIÇÕES DE CUSTO'!C238</f>
        <v>CE-018</v>
      </c>
      <c r="D243" s="501" t="str">
        <f>'COMPOSIÇÕES DE CUSTO'!D238</f>
        <v>CHICANAS DA LAGOA DE MATURAÇÃO</v>
      </c>
      <c r="E243" s="500" t="s">
        <v>90</v>
      </c>
      <c r="F243" s="497">
        <v>560</v>
      </c>
      <c r="G243" s="510">
        <f>'COMPOSIÇÕES DE CUSTO'!I238</f>
        <v>152.8212</v>
      </c>
      <c r="H243" s="497">
        <f t="shared" ref="H243" si="44">ROUND((1+K$5)*G243,2)</f>
        <v>193.22</v>
      </c>
      <c r="I243" s="502">
        <f t="shared" ref="I243" si="45">ROUND(F243*H243,2)</f>
        <v>108203.2</v>
      </c>
      <c r="J243" s="511"/>
    </row>
    <row r="244" spans="1:11" s="191" customFormat="1" ht="15.95" customHeight="1" x14ac:dyDescent="0.2">
      <c r="A244" s="486" t="s">
        <v>922</v>
      </c>
      <c r="B244" s="487" t="s">
        <v>389</v>
      </c>
      <c r="C244" s="488" t="s">
        <v>552</v>
      </c>
      <c r="D244" s="489" t="s">
        <v>551</v>
      </c>
      <c r="E244" s="487" t="s">
        <v>83</v>
      </c>
      <c r="F244" s="481">
        <f>42*842-42*842</f>
        <v>0</v>
      </c>
      <c r="G244" s="557">
        <v>35.26</v>
      </c>
      <c r="H244" s="481">
        <f t="shared" si="41"/>
        <v>44.58</v>
      </c>
      <c r="I244" s="490">
        <f t="shared" si="42"/>
        <v>0</v>
      </c>
      <c r="K244" s="154"/>
    </row>
    <row r="245" spans="1:11" s="191" customFormat="1" ht="28.5" x14ac:dyDescent="0.2">
      <c r="A245" s="499" t="s">
        <v>924</v>
      </c>
      <c r="B245" s="500" t="s">
        <v>278</v>
      </c>
      <c r="C245" s="509" t="s">
        <v>400</v>
      </c>
      <c r="D245" s="501" t="s">
        <v>553</v>
      </c>
      <c r="E245" s="500" t="s">
        <v>8</v>
      </c>
      <c r="F245" s="497">
        <v>1</v>
      </c>
      <c r="G245" s="510">
        <f>'COMPOSIÇÕES DE CUSTO'!I91</f>
        <v>1095.54</v>
      </c>
      <c r="H245" s="497">
        <f t="shared" si="41"/>
        <v>1385.15</v>
      </c>
      <c r="I245" s="502">
        <f t="shared" si="42"/>
        <v>1385.15</v>
      </c>
      <c r="K245" s="154"/>
    </row>
    <row r="246" spans="1:11" s="191" customFormat="1" ht="15.95" customHeight="1" x14ac:dyDescent="0.2">
      <c r="A246" s="499" t="s">
        <v>565</v>
      </c>
      <c r="B246" s="500" t="s">
        <v>278</v>
      </c>
      <c r="C246" s="509" t="s">
        <v>147</v>
      </c>
      <c r="D246" s="523" t="s">
        <v>554</v>
      </c>
      <c r="E246" s="500" t="s">
        <v>8</v>
      </c>
      <c r="F246" s="497">
        <v>2</v>
      </c>
      <c r="G246" s="497">
        <f>'COMPOSIÇÕES DE CUSTO'!I103</f>
        <v>2852.9999999999995</v>
      </c>
      <c r="H246" s="497">
        <f t="shared" si="41"/>
        <v>3607.21</v>
      </c>
      <c r="I246" s="502">
        <f t="shared" si="42"/>
        <v>7214.42</v>
      </c>
      <c r="K246" s="154"/>
    </row>
    <row r="247" spans="1:11" s="191" customFormat="1" ht="15.95" customHeight="1" thickBot="1" x14ac:dyDescent="0.25">
      <c r="A247" s="499" t="s">
        <v>566</v>
      </c>
      <c r="B247" s="524" t="s">
        <v>278</v>
      </c>
      <c r="C247" s="525" t="s">
        <v>574</v>
      </c>
      <c r="D247" s="526" t="s">
        <v>494</v>
      </c>
      <c r="E247" s="500" t="s">
        <v>8</v>
      </c>
      <c r="F247" s="527">
        <v>3</v>
      </c>
      <c r="G247" s="528">
        <f>'COMPOSIÇÕES DE CUSTO'!I112</f>
        <v>90.01</v>
      </c>
      <c r="H247" s="528">
        <f t="shared" si="41"/>
        <v>113.8</v>
      </c>
      <c r="I247" s="529">
        <f t="shared" si="42"/>
        <v>341.4</v>
      </c>
      <c r="K247" s="154"/>
    </row>
    <row r="248" spans="1:11" s="191" customFormat="1" ht="15.95" customHeight="1" x14ac:dyDescent="0.2">
      <c r="A248" s="261"/>
      <c r="B248" s="100"/>
      <c r="C248" s="262"/>
      <c r="D248" s="265"/>
      <c r="E248" s="100"/>
      <c r="F248" s="54"/>
      <c r="G248" s="552"/>
      <c r="H248" s="491"/>
      <c r="I248" s="114"/>
      <c r="K248" s="154"/>
    </row>
    <row r="249" spans="1:11" s="191" customFormat="1" ht="15" x14ac:dyDescent="0.2">
      <c r="A249" s="431" t="s">
        <v>1046</v>
      </c>
      <c r="B249" s="432"/>
      <c r="C249" s="432"/>
      <c r="D249" s="433" t="s">
        <v>16</v>
      </c>
      <c r="E249" s="432"/>
      <c r="F249" s="432"/>
      <c r="G249" s="432"/>
      <c r="H249" s="435"/>
      <c r="I249" s="436">
        <f>SUM(I250:I279)</f>
        <v>96891.98000000001</v>
      </c>
      <c r="K249" s="154"/>
    </row>
    <row r="250" spans="1:11" s="187" customFormat="1" ht="28.5" customHeight="1" x14ac:dyDescent="0.2">
      <c r="A250" s="499" t="s">
        <v>857</v>
      </c>
      <c r="B250" s="500" t="s">
        <v>80</v>
      </c>
      <c r="C250" s="500" t="s">
        <v>0</v>
      </c>
      <c r="D250" s="501" t="s">
        <v>1</v>
      </c>
      <c r="E250" s="500" t="s">
        <v>83</v>
      </c>
      <c r="F250" s="497">
        <v>151.29</v>
      </c>
      <c r="G250" s="497">
        <v>6.76</v>
      </c>
      <c r="H250" s="497">
        <v>8.5470524202612932</v>
      </c>
      <c r="I250" s="502">
        <v>1293.08</v>
      </c>
      <c r="K250" s="273"/>
    </row>
    <row r="251" spans="1:11" s="507" customFormat="1" ht="32.25" customHeight="1" x14ac:dyDescent="0.2">
      <c r="A251" s="499" t="s">
        <v>568</v>
      </c>
      <c r="B251" s="500" t="s">
        <v>80</v>
      </c>
      <c r="C251" s="509" t="s">
        <v>106</v>
      </c>
      <c r="D251" s="501" t="s">
        <v>119</v>
      </c>
      <c r="E251" s="500" t="s">
        <v>920</v>
      </c>
      <c r="F251" s="497">
        <f>F250*2.5</f>
        <v>378.22499999999997</v>
      </c>
      <c r="G251" s="510">
        <v>3.07</v>
      </c>
      <c r="H251" s="497">
        <f>ROUND((1+K$5)*G251,2)</f>
        <v>3.88</v>
      </c>
      <c r="I251" s="502">
        <f t="shared" ref="I251:I252" si="46">ROUND(F251*H251,2)</f>
        <v>1467.51</v>
      </c>
      <c r="J251" s="506">
        <f t="shared" ref="J251" si="47">IF(C251="","",ROUND((H251*I251),2))</f>
        <v>5693.94</v>
      </c>
    </row>
    <row r="252" spans="1:11" s="191" customFormat="1" ht="28.5" x14ac:dyDescent="0.2">
      <c r="A252" s="499" t="s">
        <v>923</v>
      </c>
      <c r="B252" s="500" t="s">
        <v>80</v>
      </c>
      <c r="C252" s="500">
        <v>72841</v>
      </c>
      <c r="D252" s="501" t="s">
        <v>340</v>
      </c>
      <c r="E252" s="500" t="s">
        <v>13</v>
      </c>
      <c r="F252" s="497">
        <f>F251*1.3*5</f>
        <v>2458.4625000000001</v>
      </c>
      <c r="G252" s="497">
        <v>0.86</v>
      </c>
      <c r="H252" s="497">
        <f>ROUND((1+K$5)*G252,2)</f>
        <v>1.0900000000000001</v>
      </c>
      <c r="I252" s="502">
        <f t="shared" si="46"/>
        <v>2679.72</v>
      </c>
      <c r="K252" s="154"/>
    </row>
    <row r="253" spans="1:11" s="187" customFormat="1" ht="28.5" x14ac:dyDescent="0.2">
      <c r="A253" s="499" t="s">
        <v>858</v>
      </c>
      <c r="B253" s="500" t="s">
        <v>80</v>
      </c>
      <c r="C253" s="500" t="s">
        <v>859</v>
      </c>
      <c r="D253" s="501" t="s">
        <v>860</v>
      </c>
      <c r="E253" s="500" t="s">
        <v>97</v>
      </c>
      <c r="F253" s="497">
        <f>F250*0.6</f>
        <v>90.773999999999987</v>
      </c>
      <c r="G253" s="497">
        <v>4.2300000000000004</v>
      </c>
      <c r="H253" s="497">
        <f t="shared" ref="H253" si="48">ROUND((1+K$5)*G253,2)</f>
        <v>5.35</v>
      </c>
      <c r="I253" s="502">
        <f t="shared" ref="I253" si="49">ROUND(F253*H253,2)</f>
        <v>485.64</v>
      </c>
      <c r="K253" s="273"/>
    </row>
    <row r="254" spans="1:11" s="187" customFormat="1" ht="18" customHeight="1" x14ac:dyDescent="0.2">
      <c r="A254" s="499" t="s">
        <v>861</v>
      </c>
      <c r="B254" s="500" t="s">
        <v>80</v>
      </c>
      <c r="C254" s="500" t="s">
        <v>109</v>
      </c>
      <c r="D254" s="501" t="s">
        <v>110</v>
      </c>
      <c r="E254" s="500" t="s">
        <v>97</v>
      </c>
      <c r="F254" s="497">
        <v>11</v>
      </c>
      <c r="G254" s="497">
        <v>2.08</v>
      </c>
      <c r="H254" s="497">
        <v>2.6298622831573213</v>
      </c>
      <c r="I254" s="502">
        <v>28.93</v>
      </c>
      <c r="K254" s="273"/>
    </row>
    <row r="255" spans="1:11" s="187" customFormat="1" ht="28.5" x14ac:dyDescent="0.2">
      <c r="A255" s="499" t="s">
        <v>862</v>
      </c>
      <c r="B255" s="500" t="s">
        <v>80</v>
      </c>
      <c r="C255" s="500">
        <v>6042</v>
      </c>
      <c r="D255" s="501" t="s">
        <v>863</v>
      </c>
      <c r="E255" s="500" t="s">
        <v>97</v>
      </c>
      <c r="F255" s="497">
        <v>3</v>
      </c>
      <c r="G255" s="497">
        <v>271.14999999999998</v>
      </c>
      <c r="H255" s="497">
        <v>342.83036446062863</v>
      </c>
      <c r="I255" s="502">
        <v>1028.49</v>
      </c>
      <c r="K255" s="273"/>
    </row>
    <row r="256" spans="1:11" s="187" customFormat="1" ht="28.5" x14ac:dyDescent="0.2">
      <c r="A256" s="499" t="s">
        <v>864</v>
      </c>
      <c r="B256" s="500" t="s">
        <v>80</v>
      </c>
      <c r="C256" s="500" t="s">
        <v>143</v>
      </c>
      <c r="D256" s="501" t="s">
        <v>865</v>
      </c>
      <c r="E256" s="500" t="s">
        <v>97</v>
      </c>
      <c r="F256" s="497">
        <v>16.62</v>
      </c>
      <c r="G256" s="497">
        <v>350.85</v>
      </c>
      <c r="H256" s="497">
        <v>443.59960675276255</v>
      </c>
      <c r="I256" s="502">
        <v>7372.63</v>
      </c>
      <c r="K256" s="273"/>
    </row>
    <row r="257" spans="1:11" s="187" customFormat="1" ht="28.5" x14ac:dyDescent="0.2">
      <c r="A257" s="499" t="s">
        <v>866</v>
      </c>
      <c r="B257" s="500" t="s">
        <v>80</v>
      </c>
      <c r="C257" s="500" t="s">
        <v>867</v>
      </c>
      <c r="D257" s="501" t="s">
        <v>868</v>
      </c>
      <c r="E257" s="500" t="s">
        <v>83</v>
      </c>
      <c r="F257" s="497">
        <v>35.54</v>
      </c>
      <c r="G257" s="497">
        <v>52.56</v>
      </c>
      <c r="H257" s="497">
        <v>66.454596924398459</v>
      </c>
      <c r="I257" s="502">
        <v>2361.8000000000002</v>
      </c>
      <c r="K257" s="273"/>
    </row>
    <row r="258" spans="1:11" s="187" customFormat="1" ht="28.5" x14ac:dyDescent="0.2">
      <c r="A258" s="499" t="s">
        <v>869</v>
      </c>
      <c r="B258" s="500" t="s">
        <v>80</v>
      </c>
      <c r="C258" s="500" t="s">
        <v>144</v>
      </c>
      <c r="D258" s="501" t="s">
        <v>870</v>
      </c>
      <c r="E258" s="500" t="s">
        <v>2</v>
      </c>
      <c r="F258" s="497">
        <v>206.92</v>
      </c>
      <c r="G258" s="497">
        <v>6.71</v>
      </c>
      <c r="H258" s="497">
        <v>8.4838345769161663</v>
      </c>
      <c r="I258" s="502">
        <v>1755.48</v>
      </c>
      <c r="K258" s="273"/>
    </row>
    <row r="259" spans="1:11" s="187" customFormat="1" x14ac:dyDescent="0.2">
      <c r="A259" s="499" t="s">
        <v>871</v>
      </c>
      <c r="B259" s="500" t="s">
        <v>80</v>
      </c>
      <c r="C259" s="500" t="s">
        <v>872</v>
      </c>
      <c r="D259" s="501" t="s">
        <v>873</v>
      </c>
      <c r="E259" s="500" t="s">
        <v>83</v>
      </c>
      <c r="F259" s="497">
        <v>25</v>
      </c>
      <c r="G259" s="497">
        <v>32.49</v>
      </c>
      <c r="H259" s="497">
        <v>41.078954605664116</v>
      </c>
      <c r="I259" s="502">
        <v>1026.97</v>
      </c>
      <c r="K259" s="273"/>
    </row>
    <row r="260" spans="1:11" s="187" customFormat="1" x14ac:dyDescent="0.2">
      <c r="A260" s="499" t="s">
        <v>874</v>
      </c>
      <c r="B260" s="500" t="s">
        <v>80</v>
      </c>
      <c r="C260" s="500" t="s">
        <v>875</v>
      </c>
      <c r="D260" s="501" t="s">
        <v>876</v>
      </c>
      <c r="E260" s="500" t="s">
        <v>8</v>
      </c>
      <c r="F260" s="497">
        <v>3</v>
      </c>
      <c r="G260" s="497">
        <v>125.02</v>
      </c>
      <c r="H260" s="497">
        <v>158.06989550015783</v>
      </c>
      <c r="I260" s="502">
        <v>474.21</v>
      </c>
      <c r="K260" s="273"/>
    </row>
    <row r="261" spans="1:11" s="187" customFormat="1" ht="28.5" x14ac:dyDescent="0.2">
      <c r="A261" s="499" t="s">
        <v>877</v>
      </c>
      <c r="B261" s="500" t="s">
        <v>80</v>
      </c>
      <c r="C261" s="500" t="s">
        <v>878</v>
      </c>
      <c r="D261" s="501" t="s">
        <v>879</v>
      </c>
      <c r="E261" s="500" t="s">
        <v>8</v>
      </c>
      <c r="F261" s="497">
        <v>1</v>
      </c>
      <c r="G261" s="497">
        <v>184.19</v>
      </c>
      <c r="H261" s="497">
        <v>232.88189131478219</v>
      </c>
      <c r="I261" s="502">
        <v>232.88</v>
      </c>
      <c r="K261" s="273"/>
    </row>
    <row r="262" spans="1:11" s="187" customFormat="1" x14ac:dyDescent="0.2">
      <c r="A262" s="499" t="s">
        <v>880</v>
      </c>
      <c r="B262" s="500" t="s">
        <v>80</v>
      </c>
      <c r="C262" s="500" t="s">
        <v>9</v>
      </c>
      <c r="D262" s="501" t="s">
        <v>881</v>
      </c>
      <c r="E262" s="500" t="s">
        <v>83</v>
      </c>
      <c r="F262" s="497">
        <v>207</v>
      </c>
      <c r="G262" s="497">
        <v>42.26</v>
      </c>
      <c r="H262" s="497">
        <v>53.43172119530211</v>
      </c>
      <c r="I262" s="502">
        <v>11060.37</v>
      </c>
      <c r="K262" s="273"/>
    </row>
    <row r="263" spans="1:11" s="187" customFormat="1" ht="28.5" x14ac:dyDescent="0.2">
      <c r="A263" s="499" t="s">
        <v>882</v>
      </c>
      <c r="B263" s="500" t="s">
        <v>80</v>
      </c>
      <c r="C263" s="500" t="s">
        <v>883</v>
      </c>
      <c r="D263" s="501" t="s">
        <v>884</v>
      </c>
      <c r="E263" s="500" t="s">
        <v>83</v>
      </c>
      <c r="F263" s="497">
        <v>56</v>
      </c>
      <c r="G263" s="497">
        <v>29.03</v>
      </c>
      <c r="H263" s="497">
        <v>36.704279846181265</v>
      </c>
      <c r="I263" s="502">
        <v>2055.44</v>
      </c>
      <c r="K263" s="273"/>
    </row>
    <row r="264" spans="1:11" s="187" customFormat="1" ht="28.5" x14ac:dyDescent="0.2">
      <c r="A264" s="499" t="s">
        <v>885</v>
      </c>
      <c r="B264" s="500" t="s">
        <v>80</v>
      </c>
      <c r="C264" s="500" t="s">
        <v>886</v>
      </c>
      <c r="D264" s="501" t="s">
        <v>887</v>
      </c>
      <c r="E264" s="500" t="s">
        <v>8</v>
      </c>
      <c r="F264" s="497">
        <v>5</v>
      </c>
      <c r="G264" s="497">
        <v>247.9</v>
      </c>
      <c r="H264" s="497">
        <v>313.4340673051442</v>
      </c>
      <c r="I264" s="502">
        <v>1567.17</v>
      </c>
      <c r="K264" s="273"/>
    </row>
    <row r="265" spans="1:11" s="187" customFormat="1" ht="28.5" x14ac:dyDescent="0.2">
      <c r="A265" s="499" t="s">
        <v>888</v>
      </c>
      <c r="B265" s="500" t="s">
        <v>80</v>
      </c>
      <c r="C265" s="500" t="s">
        <v>889</v>
      </c>
      <c r="D265" s="501" t="s">
        <v>890</v>
      </c>
      <c r="E265" s="500" t="s">
        <v>8</v>
      </c>
      <c r="F265" s="497">
        <v>2</v>
      </c>
      <c r="G265" s="497">
        <v>349.23</v>
      </c>
      <c r="H265" s="497">
        <v>441.55134862838042</v>
      </c>
      <c r="I265" s="502">
        <v>883.1</v>
      </c>
      <c r="K265" s="273"/>
    </row>
    <row r="266" spans="1:11" s="187" customFormat="1" x14ac:dyDescent="0.2">
      <c r="A266" s="499" t="s">
        <v>891</v>
      </c>
      <c r="B266" s="500" t="s">
        <v>80</v>
      </c>
      <c r="C266" s="500" t="s">
        <v>892</v>
      </c>
      <c r="D266" s="501" t="s">
        <v>893</v>
      </c>
      <c r="E266" s="500" t="s">
        <v>83</v>
      </c>
      <c r="F266" s="497">
        <v>21</v>
      </c>
      <c r="G266" s="497">
        <v>662.08</v>
      </c>
      <c r="H266" s="497">
        <v>837.10539443884579</v>
      </c>
      <c r="I266" s="502">
        <v>17579.21</v>
      </c>
      <c r="K266" s="273"/>
    </row>
    <row r="267" spans="1:11" s="187" customFormat="1" ht="57" x14ac:dyDescent="0.2">
      <c r="A267" s="499" t="s">
        <v>894</v>
      </c>
      <c r="B267" s="500" t="s">
        <v>80</v>
      </c>
      <c r="C267" s="500">
        <v>87874</v>
      </c>
      <c r="D267" s="501" t="s">
        <v>895</v>
      </c>
      <c r="E267" s="500" t="s">
        <v>83</v>
      </c>
      <c r="F267" s="497">
        <v>214</v>
      </c>
      <c r="G267" s="497">
        <v>3.6</v>
      </c>
      <c r="H267" s="497">
        <v>4.5516847208492095</v>
      </c>
      <c r="I267" s="502">
        <v>974.06</v>
      </c>
      <c r="K267" s="273"/>
    </row>
    <row r="268" spans="1:11" s="187" customFormat="1" ht="28.5" x14ac:dyDescent="0.2">
      <c r="A268" s="499" t="s">
        <v>896</v>
      </c>
      <c r="B268" s="500" t="s">
        <v>80</v>
      </c>
      <c r="C268" s="500" t="s">
        <v>10</v>
      </c>
      <c r="D268" s="501" t="s">
        <v>11</v>
      </c>
      <c r="E268" s="500" t="s">
        <v>83</v>
      </c>
      <c r="F268" s="497">
        <v>302</v>
      </c>
      <c r="G268" s="497">
        <v>17.88</v>
      </c>
      <c r="H268" s="497">
        <v>22.606700780217739</v>
      </c>
      <c r="I268" s="502">
        <v>6827.22</v>
      </c>
      <c r="K268" s="273"/>
    </row>
    <row r="269" spans="1:11" s="187" customFormat="1" ht="28.5" x14ac:dyDescent="0.2">
      <c r="A269" s="499" t="s">
        <v>897</v>
      </c>
      <c r="B269" s="500" t="s">
        <v>80</v>
      </c>
      <c r="C269" s="500">
        <v>88489</v>
      </c>
      <c r="D269" s="501" t="s">
        <v>898</v>
      </c>
      <c r="E269" s="500" t="s">
        <v>83</v>
      </c>
      <c r="F269" s="497">
        <v>302</v>
      </c>
      <c r="G269" s="497">
        <v>9.6199999999999992</v>
      </c>
      <c r="H269" s="497">
        <v>12.163113059602608</v>
      </c>
      <c r="I269" s="502">
        <v>3673.26</v>
      </c>
      <c r="K269" s="273"/>
    </row>
    <row r="270" spans="1:11" s="187" customFormat="1" x14ac:dyDescent="0.2">
      <c r="A270" s="499" t="s">
        <v>899</v>
      </c>
      <c r="B270" s="500" t="s">
        <v>80</v>
      </c>
      <c r="C270" s="500">
        <v>535</v>
      </c>
      <c r="D270" s="501" t="s">
        <v>900</v>
      </c>
      <c r="E270" s="500" t="s">
        <v>83</v>
      </c>
      <c r="F270" s="497">
        <v>112</v>
      </c>
      <c r="G270" s="497">
        <v>19.05</v>
      </c>
      <c r="H270" s="497">
        <v>24.085998314493736</v>
      </c>
      <c r="I270" s="502">
        <v>2697.63</v>
      </c>
      <c r="K270" s="273"/>
    </row>
    <row r="271" spans="1:11" s="187" customFormat="1" ht="42.75" x14ac:dyDescent="0.2">
      <c r="A271" s="499" t="s">
        <v>901</v>
      </c>
      <c r="B271" s="500" t="s">
        <v>80</v>
      </c>
      <c r="C271" s="500">
        <v>86927</v>
      </c>
      <c r="D271" s="501" t="s">
        <v>902</v>
      </c>
      <c r="E271" s="500" t="s">
        <v>8</v>
      </c>
      <c r="F271" s="497">
        <v>1</v>
      </c>
      <c r="G271" s="497">
        <v>173.6</v>
      </c>
      <c r="H271" s="497">
        <v>219.49235209428409</v>
      </c>
      <c r="I271" s="502">
        <v>219.49</v>
      </c>
      <c r="K271" s="273"/>
    </row>
    <row r="272" spans="1:11" s="187" customFormat="1" ht="28.5" x14ac:dyDescent="0.2">
      <c r="A272" s="499" t="s">
        <v>903</v>
      </c>
      <c r="B272" s="500" t="s">
        <v>278</v>
      </c>
      <c r="C272" s="500" t="s">
        <v>916</v>
      </c>
      <c r="D272" s="501" t="s">
        <v>904</v>
      </c>
      <c r="E272" s="500" t="s">
        <v>8</v>
      </c>
      <c r="F272" s="497">
        <v>1</v>
      </c>
      <c r="G272" s="505">
        <v>973.13000000000011</v>
      </c>
      <c r="H272" s="497">
        <v>1230.3835978888867</v>
      </c>
      <c r="I272" s="502">
        <v>1230.3800000000001</v>
      </c>
      <c r="K272" s="273"/>
    </row>
    <row r="273" spans="1:17" s="187" customFormat="1" ht="28.5" x14ac:dyDescent="0.2">
      <c r="A273" s="499" t="s">
        <v>905</v>
      </c>
      <c r="B273" s="500" t="s">
        <v>278</v>
      </c>
      <c r="C273" s="500" t="s">
        <v>917</v>
      </c>
      <c r="D273" s="501" t="s">
        <v>906</v>
      </c>
      <c r="E273" s="500" t="s">
        <v>8</v>
      </c>
      <c r="F273" s="497">
        <v>1</v>
      </c>
      <c r="G273" s="497">
        <v>1094.8</v>
      </c>
      <c r="H273" s="497">
        <v>1384.2178978849206</v>
      </c>
      <c r="I273" s="502">
        <v>1384.22</v>
      </c>
      <c r="K273" s="273"/>
    </row>
    <row r="274" spans="1:17" s="187" customFormat="1" ht="42.75" x14ac:dyDescent="0.2">
      <c r="A274" s="499" t="s">
        <v>907</v>
      </c>
      <c r="B274" s="500" t="s">
        <v>80</v>
      </c>
      <c r="C274" s="500" t="s">
        <v>908</v>
      </c>
      <c r="D274" s="501" t="s">
        <v>909</v>
      </c>
      <c r="E274" s="500" t="s">
        <v>83</v>
      </c>
      <c r="F274" s="497">
        <v>20</v>
      </c>
      <c r="G274" s="497">
        <v>240.34</v>
      </c>
      <c r="H274" s="497">
        <v>303.87552939136083</v>
      </c>
      <c r="I274" s="502">
        <v>6077.51</v>
      </c>
      <c r="K274" s="273"/>
    </row>
    <row r="275" spans="1:17" s="187" customFormat="1" ht="57" x14ac:dyDescent="0.2">
      <c r="A275" s="499" t="s">
        <v>910</v>
      </c>
      <c r="B275" s="500" t="s">
        <v>80</v>
      </c>
      <c r="C275" s="500">
        <v>73685</v>
      </c>
      <c r="D275" s="501" t="s">
        <v>911</v>
      </c>
      <c r="E275" s="500" t="s">
        <v>97</v>
      </c>
      <c r="F275" s="497">
        <v>323</v>
      </c>
      <c r="G275" s="497">
        <v>26.82</v>
      </c>
      <c r="H275" s="497">
        <v>33.910051170326611</v>
      </c>
      <c r="I275" s="502">
        <v>10952.95</v>
      </c>
      <c r="K275" s="273"/>
    </row>
    <row r="276" spans="1:17" s="187" customFormat="1" ht="14.25" customHeight="1" x14ac:dyDescent="0.2">
      <c r="A276" s="499" t="s">
        <v>912</v>
      </c>
      <c r="B276" s="500" t="s">
        <v>278</v>
      </c>
      <c r="C276" s="500" t="s">
        <v>918</v>
      </c>
      <c r="D276" s="501" t="s">
        <v>913</v>
      </c>
      <c r="E276" s="500" t="s">
        <v>94</v>
      </c>
      <c r="F276" s="497">
        <v>1</v>
      </c>
      <c r="G276" s="497">
        <v>3574.9539999999997</v>
      </c>
      <c r="H276" s="497">
        <v>4175.5603303029447</v>
      </c>
      <c r="I276" s="502">
        <v>4175.5600000000004</v>
      </c>
      <c r="K276" s="273"/>
    </row>
    <row r="277" spans="1:17" s="187" customFormat="1" x14ac:dyDescent="0.2">
      <c r="A277" s="499" t="s">
        <v>914</v>
      </c>
      <c r="B277" s="500" t="s">
        <v>278</v>
      </c>
      <c r="C277" s="500" t="s">
        <v>919</v>
      </c>
      <c r="D277" s="501" t="s">
        <v>915</v>
      </c>
      <c r="E277" s="500" t="s">
        <v>8</v>
      </c>
      <c r="F277" s="497">
        <v>1</v>
      </c>
      <c r="G277" s="497">
        <v>554.1</v>
      </c>
      <c r="H277" s="497">
        <v>700.58013995070758</v>
      </c>
      <c r="I277" s="502">
        <v>700.58</v>
      </c>
      <c r="K277" s="273"/>
    </row>
    <row r="278" spans="1:17" s="264" customFormat="1" ht="15.75" customHeight="1" x14ac:dyDescent="0.2">
      <c r="A278" s="486" t="s">
        <v>802</v>
      </c>
      <c r="B278" s="487" t="s">
        <v>278</v>
      </c>
      <c r="C278" s="488" t="s">
        <v>489</v>
      </c>
      <c r="D278" s="489" t="str">
        <f>'INSTALAÇÕES ELÉTRICAS'!D16</f>
        <v>ET E - UNIDADE DE APOIO - ILUMINAÇÃO/TOMADAS</v>
      </c>
      <c r="E278" s="487" t="s">
        <v>94</v>
      </c>
      <c r="F278" s="481">
        <v>1</v>
      </c>
      <c r="G278" s="481">
        <f>'INSTALAÇÕES ELÉTRICAS'!I16</f>
        <v>2126.0600000000004</v>
      </c>
      <c r="H278" s="481">
        <f t="shared" ref="H278:H279" si="50">ROUND((1+K$5)*G278,2)</f>
        <v>2688.1</v>
      </c>
      <c r="I278" s="490">
        <f t="shared" ref="I278:I279" si="51">ROUND(F278*H278,2)</f>
        <v>2688.1</v>
      </c>
      <c r="J278" s="263"/>
    </row>
    <row r="279" spans="1:17" s="264" customFormat="1" ht="15.75" customHeight="1" x14ac:dyDescent="0.2">
      <c r="A279" s="486" t="s">
        <v>803</v>
      </c>
      <c r="B279" s="487" t="s">
        <v>278</v>
      </c>
      <c r="C279" s="488" t="s">
        <v>489</v>
      </c>
      <c r="D279" s="489" t="str">
        <f>'INSTALAÇÕES ELÉTRICAS'!D18</f>
        <v>ETE- UNIDADE DE APOIO -SPDA/ATERRAMENTO</v>
      </c>
      <c r="E279" s="487" t="s">
        <v>94</v>
      </c>
      <c r="F279" s="481">
        <v>1</v>
      </c>
      <c r="G279" s="481">
        <f>'INSTALAÇÕES ELÉTRICAS'!I18</f>
        <v>1533.1</v>
      </c>
      <c r="H279" s="481">
        <f t="shared" si="50"/>
        <v>1938.39</v>
      </c>
      <c r="I279" s="490">
        <f t="shared" si="51"/>
        <v>1938.39</v>
      </c>
      <c r="J279" s="263"/>
    </row>
    <row r="280" spans="1:17" s="187" customFormat="1" x14ac:dyDescent="0.2">
      <c r="A280" s="227"/>
      <c r="B280" s="100"/>
      <c r="C280" s="267"/>
      <c r="D280" s="99"/>
      <c r="E280" s="100"/>
      <c r="F280" s="54"/>
      <c r="G280" s="54"/>
      <c r="H280" s="57"/>
      <c r="I280" s="114"/>
    </row>
    <row r="281" spans="1:17" s="187" customFormat="1" ht="15" x14ac:dyDescent="0.2">
      <c r="A281" s="431" t="s">
        <v>1047</v>
      </c>
      <c r="B281" s="432"/>
      <c r="C281" s="432"/>
      <c r="D281" s="433" t="s">
        <v>296</v>
      </c>
      <c r="E281" s="432"/>
      <c r="F281" s="432"/>
      <c r="G281" s="432"/>
      <c r="H281" s="435"/>
      <c r="I281" s="436">
        <f>SUM(I282:I293)</f>
        <v>95153.82</v>
      </c>
      <c r="K281" s="273"/>
    </row>
    <row r="282" spans="1:17" s="187" customFormat="1" ht="28.5" customHeight="1" x14ac:dyDescent="0.2">
      <c r="A282" s="499" t="s">
        <v>512</v>
      </c>
      <c r="B282" s="500" t="s">
        <v>80</v>
      </c>
      <c r="C282" s="500">
        <v>73679</v>
      </c>
      <c r="D282" s="501" t="s">
        <v>115</v>
      </c>
      <c r="E282" s="500" t="s">
        <v>90</v>
      </c>
      <c r="F282" s="497">
        <v>500</v>
      </c>
      <c r="G282" s="497">
        <v>0.51</v>
      </c>
      <c r="H282" s="497">
        <f t="shared" ref="H282:H289" si="52">ROUND((1+K$5)*G282,2)</f>
        <v>0.64</v>
      </c>
      <c r="I282" s="502">
        <f t="shared" ref="I282:I287" si="53">ROUND(F282*H282,2)</f>
        <v>320</v>
      </c>
      <c r="J282" s="185"/>
      <c r="K282" s="186"/>
      <c r="L282" s="186"/>
      <c r="M282" s="186"/>
      <c r="N282" s="186"/>
      <c r="O282" s="186"/>
      <c r="P282" s="186"/>
      <c r="Q282" s="186"/>
    </row>
    <row r="283" spans="1:17" s="187" customFormat="1" ht="42.75" x14ac:dyDescent="0.2">
      <c r="A283" s="499" t="s">
        <v>513</v>
      </c>
      <c r="B283" s="500" t="s">
        <v>80</v>
      </c>
      <c r="C283" s="500" t="s">
        <v>117</v>
      </c>
      <c r="D283" s="501" t="s">
        <v>118</v>
      </c>
      <c r="E283" s="500" t="s">
        <v>97</v>
      </c>
      <c r="F283" s="497">
        <f>F282*0.8*0.7</f>
        <v>280</v>
      </c>
      <c r="G283" s="497">
        <v>4.24</v>
      </c>
      <c r="H283" s="497">
        <f t="shared" si="52"/>
        <v>5.36</v>
      </c>
      <c r="I283" s="502">
        <f t="shared" si="53"/>
        <v>1500.8</v>
      </c>
      <c r="J283" s="185"/>
      <c r="K283" s="186"/>
      <c r="L283" s="186"/>
      <c r="M283" s="186"/>
      <c r="N283" s="186"/>
      <c r="O283" s="186"/>
      <c r="P283" s="186"/>
      <c r="Q283" s="186"/>
    </row>
    <row r="284" spans="1:17" s="187" customFormat="1" ht="28.5" x14ac:dyDescent="0.2">
      <c r="A284" s="499" t="s">
        <v>514</v>
      </c>
      <c r="B284" s="500" t="s">
        <v>80</v>
      </c>
      <c r="C284" s="500" t="s">
        <v>98</v>
      </c>
      <c r="D284" s="501" t="s">
        <v>99</v>
      </c>
      <c r="E284" s="500" t="s">
        <v>97</v>
      </c>
      <c r="F284" s="497">
        <f>F283*0.15</f>
        <v>42</v>
      </c>
      <c r="G284" s="497">
        <v>23.98</v>
      </c>
      <c r="H284" s="497">
        <f t="shared" si="52"/>
        <v>30.32</v>
      </c>
      <c r="I284" s="502">
        <f t="shared" si="53"/>
        <v>1273.44</v>
      </c>
      <c r="K284" s="273"/>
    </row>
    <row r="285" spans="1:17" s="187" customFormat="1" ht="28.5" x14ac:dyDescent="0.2">
      <c r="A285" s="499" t="s">
        <v>515</v>
      </c>
      <c r="B285" s="500" t="s">
        <v>80</v>
      </c>
      <c r="C285" s="500">
        <v>73733</v>
      </c>
      <c r="D285" s="501" t="s">
        <v>311</v>
      </c>
      <c r="E285" s="500" t="s">
        <v>83</v>
      </c>
      <c r="F285" s="497">
        <f>F282*0.8</f>
        <v>400</v>
      </c>
      <c r="G285" s="497">
        <v>2.31</v>
      </c>
      <c r="H285" s="497">
        <f t="shared" si="52"/>
        <v>2.92</v>
      </c>
      <c r="I285" s="502">
        <f t="shared" ref="I285" si="54">ROUND(F285*H285,2)</f>
        <v>1168</v>
      </c>
      <c r="J285" s="185"/>
      <c r="K285" s="186"/>
      <c r="L285" s="186"/>
      <c r="M285" s="186"/>
      <c r="N285" s="186"/>
      <c r="O285" s="186"/>
      <c r="P285" s="186"/>
      <c r="Q285" s="186"/>
    </row>
    <row r="286" spans="1:17" s="187" customFormat="1" ht="28.5" x14ac:dyDescent="0.2">
      <c r="A286" s="499" t="s">
        <v>516</v>
      </c>
      <c r="B286" s="500" t="s">
        <v>80</v>
      </c>
      <c r="C286" s="500" t="s">
        <v>107</v>
      </c>
      <c r="D286" s="501" t="s">
        <v>108</v>
      </c>
      <c r="E286" s="500" t="s">
        <v>97</v>
      </c>
      <c r="F286" s="497">
        <f>F283+F284</f>
        <v>322</v>
      </c>
      <c r="G286" s="497">
        <v>15.4</v>
      </c>
      <c r="H286" s="497">
        <f t="shared" si="52"/>
        <v>19.47</v>
      </c>
      <c r="I286" s="502">
        <f t="shared" si="53"/>
        <v>6269.34</v>
      </c>
      <c r="K286" s="273"/>
    </row>
    <row r="287" spans="1:17" s="187" customFormat="1" ht="28.5" customHeight="1" x14ac:dyDescent="0.2">
      <c r="A287" s="499" t="s">
        <v>517</v>
      </c>
      <c r="B287" s="500" t="s">
        <v>278</v>
      </c>
      <c r="C287" s="509">
        <v>83449</v>
      </c>
      <c r="D287" s="501" t="s">
        <v>983</v>
      </c>
      <c r="E287" s="500" t="s">
        <v>94</v>
      </c>
      <c r="F287" s="497">
        <v>4</v>
      </c>
      <c r="G287" s="505">
        <v>299.52</v>
      </c>
      <c r="H287" s="497">
        <f t="shared" si="52"/>
        <v>378.7</v>
      </c>
      <c r="I287" s="502">
        <f t="shared" si="53"/>
        <v>1514.8</v>
      </c>
      <c r="K287" s="273"/>
    </row>
    <row r="288" spans="1:17" s="187" customFormat="1" x14ac:dyDescent="0.2">
      <c r="A288" s="499" t="s">
        <v>518</v>
      </c>
      <c r="B288" s="500" t="s">
        <v>278</v>
      </c>
      <c r="C288" s="509" t="s">
        <v>284</v>
      </c>
      <c r="D288" s="501" t="s">
        <v>398</v>
      </c>
      <c r="E288" s="500" t="s">
        <v>94</v>
      </c>
      <c r="F288" s="497">
        <v>1</v>
      </c>
      <c r="G288" s="497">
        <f>'COMPOSIÇÕES DE CUSTO'!I188</f>
        <v>1216.8600000000001</v>
      </c>
      <c r="H288" s="497">
        <f t="shared" si="52"/>
        <v>1538.55</v>
      </c>
      <c r="I288" s="502">
        <f t="shared" ref="I288" si="55">ROUND(F288*H288,2)</f>
        <v>1538.55</v>
      </c>
      <c r="K288" s="273"/>
    </row>
    <row r="289" spans="1:17" s="187" customFormat="1" ht="28.5" x14ac:dyDescent="0.2">
      <c r="A289" s="499" t="s">
        <v>519</v>
      </c>
      <c r="B289" s="500" t="s">
        <v>80</v>
      </c>
      <c r="C289" s="509" t="s">
        <v>974</v>
      </c>
      <c r="D289" s="501" t="s">
        <v>975</v>
      </c>
      <c r="E289" s="500" t="s">
        <v>90</v>
      </c>
      <c r="F289" s="497">
        <f>F282</f>
        <v>500</v>
      </c>
      <c r="G289" s="497">
        <v>5.01</v>
      </c>
      <c r="H289" s="497">
        <f t="shared" si="52"/>
        <v>6.33</v>
      </c>
      <c r="I289" s="502">
        <f t="shared" ref="I289" si="56">ROUND(F289*H289,2)</f>
        <v>3165</v>
      </c>
      <c r="K289" s="273"/>
    </row>
    <row r="290" spans="1:17" s="187" customFormat="1" ht="28.5" x14ac:dyDescent="0.2">
      <c r="A290" s="499" t="s">
        <v>520</v>
      </c>
      <c r="B290" s="500" t="s">
        <v>278</v>
      </c>
      <c r="C290" s="509" t="s">
        <v>577</v>
      </c>
      <c r="D290" s="501" t="str">
        <f>'COMPOSIÇÕES DE CUSTO'!D201</f>
        <v>FORNECIMENTO E APLICAÇÃO DO MATERIAL HIDRÁULICO DA INTERLIGAÇÃO DAS UNIDADES DA ETE</v>
      </c>
      <c r="E290" s="500" t="s">
        <v>94</v>
      </c>
      <c r="F290" s="497">
        <v>1</v>
      </c>
      <c r="G290" s="497">
        <f>'COMPOSIÇÕES DE CUSTO'!I201</f>
        <v>56890</v>
      </c>
      <c r="H290" s="497">
        <f>ROUND((1+K$7)*G290,2)</f>
        <v>66447.740000000005</v>
      </c>
      <c r="I290" s="502">
        <f t="shared" ref="I290" si="57">ROUND(F290*H290,2)</f>
        <v>66447.740000000005</v>
      </c>
      <c r="J290" s="186">
        <v>18</v>
      </c>
      <c r="K290" s="186"/>
      <c r="L290" s="186"/>
      <c r="M290" s="186"/>
      <c r="N290" s="186"/>
      <c r="O290" s="186"/>
      <c r="P290" s="186"/>
      <c r="Q290" s="186"/>
    </row>
    <row r="291" spans="1:17" s="187" customFormat="1" x14ac:dyDescent="0.2">
      <c r="A291" s="499" t="s">
        <v>521</v>
      </c>
      <c r="B291" s="500" t="s">
        <v>278</v>
      </c>
      <c r="C291" s="509" t="s">
        <v>153</v>
      </c>
      <c r="D291" s="501" t="s">
        <v>439</v>
      </c>
      <c r="E291" s="500" t="s">
        <v>8</v>
      </c>
      <c r="F291" s="497">
        <v>1</v>
      </c>
      <c r="G291" s="497">
        <f>'COMPOSIÇÕES DE CUSTO'!I204</f>
        <v>421.38000000000005</v>
      </c>
      <c r="H291" s="497">
        <f t="shared" ref="H291:H292" si="58">ROUND((1+K$5)*G291,2)</f>
        <v>532.77</v>
      </c>
      <c r="I291" s="502">
        <f t="shared" ref="I291:I292" si="59">ROUND(F291*H291,2)</f>
        <v>532.77</v>
      </c>
      <c r="K291" s="273"/>
    </row>
    <row r="292" spans="1:17" s="187" customFormat="1" ht="15" thickBot="1" x14ac:dyDescent="0.25">
      <c r="A292" s="567" t="s">
        <v>522</v>
      </c>
      <c r="B292" s="524" t="s">
        <v>278</v>
      </c>
      <c r="C292" s="524" t="s">
        <v>489</v>
      </c>
      <c r="D292" s="526" t="str">
        <f>'INSTALAÇÕES ELÉTRICAS'!D24</f>
        <v>PADRÃO DE ENTRADA TIPO C1</v>
      </c>
      <c r="E292" s="524" t="s">
        <v>8</v>
      </c>
      <c r="F292" s="528">
        <v>1</v>
      </c>
      <c r="G292" s="528">
        <f>'INSTALAÇÕES ELÉTRICAS'!I24</f>
        <v>1092.5700000000002</v>
      </c>
      <c r="H292" s="528">
        <f t="shared" si="58"/>
        <v>1381.4</v>
      </c>
      <c r="I292" s="529">
        <f t="shared" si="59"/>
        <v>1381.4</v>
      </c>
      <c r="K292" s="273"/>
    </row>
    <row r="293" spans="1:17" s="187" customFormat="1" x14ac:dyDescent="0.2">
      <c r="A293" s="568" t="s">
        <v>523</v>
      </c>
      <c r="B293" s="569" t="s">
        <v>278</v>
      </c>
      <c r="C293" s="569" t="s">
        <v>489</v>
      </c>
      <c r="D293" s="570" t="str">
        <f>'INSTALAÇÕES ELÉTRICAS'!D14</f>
        <v>ETE - ILUMINAÇÃO EXTERNA</v>
      </c>
      <c r="E293" s="569" t="s">
        <v>8</v>
      </c>
      <c r="F293" s="571">
        <v>1</v>
      </c>
      <c r="G293" s="571">
        <f>'INSTALAÇÕES ELÉTRICAS'!I14</f>
        <v>7942.36</v>
      </c>
      <c r="H293" s="571">
        <f t="shared" ref="H293" si="60">ROUND((1+K$5)*G293,2)</f>
        <v>10041.98</v>
      </c>
      <c r="I293" s="572">
        <f t="shared" ref="I293" si="61">ROUND(F293*H293,2)</f>
        <v>10041.98</v>
      </c>
      <c r="K293" s="273"/>
    </row>
    <row r="294" spans="1:17" s="187" customFormat="1" x14ac:dyDescent="0.2">
      <c r="A294" s="227"/>
      <c r="B294" s="100"/>
      <c r="C294" s="100"/>
      <c r="D294" s="99"/>
      <c r="E294" s="100"/>
      <c r="F294" s="54"/>
      <c r="G294" s="54"/>
      <c r="H294" s="57"/>
      <c r="I294" s="114"/>
      <c r="K294" s="186"/>
    </row>
    <row r="295" spans="1:17" s="173" customFormat="1" ht="15" x14ac:dyDescent="0.2">
      <c r="A295" s="431" t="s">
        <v>1048</v>
      </c>
      <c r="B295" s="432"/>
      <c r="C295" s="432"/>
      <c r="D295" s="433" t="s">
        <v>70</v>
      </c>
      <c r="E295" s="432"/>
      <c r="F295" s="432"/>
      <c r="G295" s="432"/>
      <c r="H295" s="435"/>
      <c r="I295" s="436">
        <f>SUM(I296:I306)</f>
        <v>487623.20999999996</v>
      </c>
    </row>
    <row r="296" spans="1:17" s="187" customFormat="1" ht="42.75" x14ac:dyDescent="0.2">
      <c r="A296" s="499" t="s">
        <v>524</v>
      </c>
      <c r="B296" s="500" t="s">
        <v>80</v>
      </c>
      <c r="C296" s="500" t="s">
        <v>62</v>
      </c>
      <c r="D296" s="501" t="s">
        <v>63</v>
      </c>
      <c r="E296" s="500" t="s">
        <v>90</v>
      </c>
      <c r="F296" s="497">
        <v>1767.66</v>
      </c>
      <c r="G296" s="497">
        <v>43.01</v>
      </c>
      <c r="H296" s="497">
        <f t="shared" ref="H296:H305" si="62">ROUND((1+K$5)*G296,2)</f>
        <v>54.38</v>
      </c>
      <c r="I296" s="502">
        <f t="shared" ref="I296:I305" si="63">ROUND(F296*H296,2)</f>
        <v>96125.35</v>
      </c>
    </row>
    <row r="297" spans="1:17" s="187" customFormat="1" ht="28.5" x14ac:dyDescent="0.2">
      <c r="A297" s="499" t="s">
        <v>525</v>
      </c>
      <c r="B297" s="500" t="s">
        <v>80</v>
      </c>
      <c r="C297" s="500" t="s">
        <v>152</v>
      </c>
      <c r="D297" s="501" t="s">
        <v>543</v>
      </c>
      <c r="E297" s="500" t="s">
        <v>94</v>
      </c>
      <c r="F297" s="497">
        <v>1</v>
      </c>
      <c r="G297" s="497">
        <v>1760.58</v>
      </c>
      <c r="H297" s="497">
        <f t="shared" si="62"/>
        <v>2226</v>
      </c>
      <c r="I297" s="502">
        <f t="shared" ref="I297:I299" si="64">ROUND(F297*H297,2)</f>
        <v>2226</v>
      </c>
    </row>
    <row r="298" spans="1:17" s="187" customFormat="1" ht="28.5" x14ac:dyDescent="0.2">
      <c r="A298" s="499" t="s">
        <v>526</v>
      </c>
      <c r="B298" s="500" t="s">
        <v>80</v>
      </c>
      <c r="C298" s="500" t="s">
        <v>545</v>
      </c>
      <c r="D298" s="501" t="s">
        <v>544</v>
      </c>
      <c r="E298" s="500" t="s">
        <v>94</v>
      </c>
      <c r="F298" s="497">
        <v>1</v>
      </c>
      <c r="G298" s="497">
        <v>759.34</v>
      </c>
      <c r="H298" s="497">
        <f t="shared" ref="H298" si="65">ROUND((1+K$5)*G298,2)</f>
        <v>960.08</v>
      </c>
      <c r="I298" s="502">
        <f t="shared" ref="I298" si="66">ROUND(F298*H298,2)</f>
        <v>960.08</v>
      </c>
    </row>
    <row r="299" spans="1:17" s="187" customFormat="1" x14ac:dyDescent="0.2">
      <c r="A299" s="499" t="s">
        <v>527</v>
      </c>
      <c r="B299" s="500" t="s">
        <v>278</v>
      </c>
      <c r="C299" s="509" t="s">
        <v>578</v>
      </c>
      <c r="D299" s="501" t="s">
        <v>440</v>
      </c>
      <c r="E299" s="500" t="s">
        <v>8</v>
      </c>
      <c r="F299" s="497">
        <v>1</v>
      </c>
      <c r="G299" s="497">
        <f>'COMPOSIÇÕES DE CUSTO'!I217</f>
        <v>252.62</v>
      </c>
      <c r="H299" s="497">
        <f t="shared" si="62"/>
        <v>319.39999999999998</v>
      </c>
      <c r="I299" s="502">
        <f t="shared" si="64"/>
        <v>319.39999999999998</v>
      </c>
    </row>
    <row r="300" spans="1:17" s="507" customFormat="1" ht="32.25" customHeight="1" x14ac:dyDescent="0.2">
      <c r="A300" s="499" t="s">
        <v>568</v>
      </c>
      <c r="B300" s="500" t="s">
        <v>80</v>
      </c>
      <c r="C300" s="509" t="s">
        <v>106</v>
      </c>
      <c r="D300" s="501" t="s">
        <v>119</v>
      </c>
      <c r="E300" s="500" t="s">
        <v>920</v>
      </c>
      <c r="F300" s="497">
        <f>50*7*1.25</f>
        <v>437.5</v>
      </c>
      <c r="G300" s="510">
        <v>3.07</v>
      </c>
      <c r="H300" s="497">
        <f t="shared" ref="H300:H302" si="67">ROUND((1+K$5)*G300,2)</f>
        <v>3.88</v>
      </c>
      <c r="I300" s="502">
        <f t="shared" ref="I300:I302" si="68">ROUND(F300*H300,2)</f>
        <v>1697.5</v>
      </c>
      <c r="J300" s="506">
        <f t="shared" ref="J300" si="69">IF(C300="","",ROUND((H300*I300),2))</f>
        <v>6586.3</v>
      </c>
    </row>
    <row r="301" spans="1:17" s="191" customFormat="1" ht="28.5" x14ac:dyDescent="0.2">
      <c r="A301" s="499" t="s">
        <v>923</v>
      </c>
      <c r="B301" s="500" t="s">
        <v>80</v>
      </c>
      <c r="C301" s="500">
        <v>72841</v>
      </c>
      <c r="D301" s="501" t="s">
        <v>340</v>
      </c>
      <c r="E301" s="500" t="s">
        <v>13</v>
      </c>
      <c r="F301" s="497">
        <f>F300*1.3*5</f>
        <v>2843.75</v>
      </c>
      <c r="G301" s="497">
        <v>0.86</v>
      </c>
      <c r="H301" s="497">
        <f t="shared" si="67"/>
        <v>1.0900000000000001</v>
      </c>
      <c r="I301" s="502">
        <f t="shared" si="68"/>
        <v>3099.69</v>
      </c>
      <c r="K301" s="154"/>
    </row>
    <row r="302" spans="1:17" s="508" customFormat="1" ht="28.5" x14ac:dyDescent="0.2">
      <c r="A302" s="499" t="s">
        <v>924</v>
      </c>
      <c r="B302" s="500" t="s">
        <v>80</v>
      </c>
      <c r="C302" s="509" t="s">
        <v>921</v>
      </c>
      <c r="D302" s="501" t="s">
        <v>925</v>
      </c>
      <c r="E302" s="500" t="s">
        <v>97</v>
      </c>
      <c r="F302" s="497">
        <f>50*6*0.6</f>
        <v>180</v>
      </c>
      <c r="G302" s="510">
        <v>4.53</v>
      </c>
      <c r="H302" s="497">
        <f t="shared" si="67"/>
        <v>5.73</v>
      </c>
      <c r="I302" s="502">
        <f t="shared" si="68"/>
        <v>1031.4000000000001</v>
      </c>
      <c r="J302" s="511"/>
    </row>
    <row r="303" spans="1:17" s="187" customFormat="1" x14ac:dyDescent="0.2">
      <c r="A303" s="499" t="s">
        <v>528</v>
      </c>
      <c r="B303" s="500" t="s">
        <v>80</v>
      </c>
      <c r="C303" s="500" t="s">
        <v>997</v>
      </c>
      <c r="D303" s="501" t="s">
        <v>998</v>
      </c>
      <c r="E303" s="500" t="s">
        <v>83</v>
      </c>
      <c r="F303" s="497">
        <v>630</v>
      </c>
      <c r="G303" s="497">
        <v>6.29</v>
      </c>
      <c r="H303" s="497">
        <f t="shared" si="62"/>
        <v>7.95</v>
      </c>
      <c r="I303" s="502">
        <f t="shared" si="63"/>
        <v>5008.5</v>
      </c>
    </row>
    <row r="304" spans="1:17" s="187" customFormat="1" ht="28.5" customHeight="1" x14ac:dyDescent="0.2">
      <c r="A304" s="499" t="s">
        <v>529</v>
      </c>
      <c r="B304" s="500" t="s">
        <v>80</v>
      </c>
      <c r="C304" s="500" t="s">
        <v>396</v>
      </c>
      <c r="D304" s="501" t="s">
        <v>397</v>
      </c>
      <c r="E304" s="500" t="s">
        <v>83</v>
      </c>
      <c r="F304" s="497">
        <v>50</v>
      </c>
      <c r="G304" s="497">
        <v>39.53</v>
      </c>
      <c r="H304" s="497">
        <f t="shared" si="62"/>
        <v>49.98</v>
      </c>
      <c r="I304" s="502">
        <f t="shared" si="63"/>
        <v>2499</v>
      </c>
    </row>
    <row r="305" spans="1:10" s="187" customFormat="1" x14ac:dyDescent="0.2">
      <c r="A305" s="499" t="s">
        <v>549</v>
      </c>
      <c r="B305" s="500" t="s">
        <v>80</v>
      </c>
      <c r="C305" s="500" t="s">
        <v>66</v>
      </c>
      <c r="D305" s="501" t="s">
        <v>67</v>
      </c>
      <c r="E305" s="500" t="s">
        <v>90</v>
      </c>
      <c r="F305" s="497">
        <v>1767.66</v>
      </c>
      <c r="G305" s="497">
        <v>135.91</v>
      </c>
      <c r="H305" s="497">
        <f t="shared" si="62"/>
        <v>171.84</v>
      </c>
      <c r="I305" s="502">
        <f t="shared" si="63"/>
        <v>303754.69</v>
      </c>
    </row>
    <row r="306" spans="1:10" s="187" customFormat="1" x14ac:dyDescent="0.2">
      <c r="A306" s="499" t="s">
        <v>550</v>
      </c>
      <c r="B306" s="500" t="s">
        <v>80</v>
      </c>
      <c r="C306" s="500" t="s">
        <v>68</v>
      </c>
      <c r="D306" s="501" t="s">
        <v>69</v>
      </c>
      <c r="E306" s="500" t="s">
        <v>94</v>
      </c>
      <c r="F306" s="497">
        <v>560</v>
      </c>
      <c r="G306" s="497">
        <v>100.14</v>
      </c>
      <c r="H306" s="497">
        <f>ROUND((1+K$5)*G306,2)</f>
        <v>126.61</v>
      </c>
      <c r="I306" s="502">
        <f>ROUND(F306*H306,2)</f>
        <v>70901.600000000006</v>
      </c>
    </row>
    <row r="307" spans="1:10" x14ac:dyDescent="0.2">
      <c r="A307" s="227"/>
      <c r="B307" s="100"/>
      <c r="C307" s="100"/>
      <c r="D307" s="99"/>
      <c r="E307" s="100"/>
      <c r="F307" s="57"/>
      <c r="G307" s="57"/>
      <c r="H307" s="57"/>
      <c r="I307" s="114"/>
    </row>
    <row r="308" spans="1:10" x14ac:dyDescent="0.2">
      <c r="A308" s="227"/>
      <c r="B308" s="100"/>
      <c r="C308" s="100"/>
      <c r="D308" s="99"/>
      <c r="E308" s="100"/>
      <c r="F308" s="57"/>
      <c r="G308" s="57"/>
      <c r="H308" s="57"/>
      <c r="I308" s="114"/>
    </row>
    <row r="309" spans="1:10" x14ac:dyDescent="0.2">
      <c r="A309" s="227"/>
      <c r="B309" s="100"/>
      <c r="C309" s="100"/>
      <c r="D309" s="99"/>
      <c r="E309" s="100"/>
      <c r="F309" s="57"/>
      <c r="G309" s="57"/>
      <c r="H309" s="57"/>
      <c r="I309" s="114"/>
    </row>
    <row r="310" spans="1:10" x14ac:dyDescent="0.2">
      <c r="A310" s="227"/>
      <c r="B310" s="100"/>
      <c r="C310" s="100"/>
      <c r="D310" s="99"/>
      <c r="E310" s="100"/>
      <c r="F310" s="57"/>
      <c r="G310" s="57"/>
      <c r="H310" s="57"/>
      <c r="I310" s="114"/>
    </row>
    <row r="311" spans="1:10" x14ac:dyDescent="0.2">
      <c r="A311" s="227"/>
      <c r="B311" s="100"/>
      <c r="C311" s="100"/>
      <c r="D311" s="99"/>
      <c r="E311" s="100"/>
      <c r="F311" s="57"/>
      <c r="G311" s="57"/>
      <c r="H311" s="57"/>
      <c r="I311" s="114"/>
    </row>
    <row r="312" spans="1:10" x14ac:dyDescent="0.2">
      <c r="A312" s="227"/>
      <c r="B312" s="100"/>
      <c r="C312" s="100"/>
      <c r="D312" s="99"/>
      <c r="E312" s="100"/>
      <c r="F312" s="57"/>
      <c r="G312" s="57"/>
      <c r="H312" s="57"/>
      <c r="I312" s="114"/>
    </row>
    <row r="313" spans="1:10" x14ac:dyDescent="0.2">
      <c r="A313" s="227"/>
      <c r="B313" s="100"/>
      <c r="C313" s="100"/>
      <c r="D313" s="99"/>
      <c r="E313" s="100"/>
      <c r="F313" s="57"/>
      <c r="G313" s="57"/>
      <c r="H313" s="57"/>
      <c r="I313" s="114"/>
    </row>
    <row r="314" spans="1:10" x14ac:dyDescent="0.2">
      <c r="A314" s="227"/>
      <c r="B314" s="100"/>
      <c r="C314" s="100"/>
      <c r="D314" s="99"/>
      <c r="E314" s="100"/>
      <c r="F314" s="57"/>
      <c r="G314" s="57"/>
      <c r="H314" s="57"/>
      <c r="I314" s="114"/>
    </row>
    <row r="315" spans="1:10" x14ac:dyDescent="0.2">
      <c r="A315" s="227"/>
      <c r="B315" s="100"/>
      <c r="C315" s="100"/>
      <c r="D315" s="99"/>
      <c r="E315" s="100"/>
      <c r="F315" s="57"/>
      <c r="G315" s="57"/>
      <c r="H315" s="57"/>
      <c r="I315" s="114"/>
    </row>
    <row r="316" spans="1:10" x14ac:dyDescent="0.2">
      <c r="A316" s="227"/>
      <c r="B316" s="100"/>
      <c r="C316" s="100"/>
      <c r="D316" s="99"/>
      <c r="E316" s="100"/>
      <c r="F316" s="57"/>
      <c r="G316" s="57"/>
      <c r="H316" s="57"/>
      <c r="I316" s="114"/>
    </row>
    <row r="317" spans="1:10" ht="15" x14ac:dyDescent="0.2">
      <c r="A317" s="227"/>
      <c r="B317" s="100"/>
      <c r="C317" s="100"/>
      <c r="D317" s="99"/>
      <c r="E317" s="100"/>
      <c r="F317" s="57"/>
      <c r="G317" s="57"/>
      <c r="H317" s="57"/>
      <c r="I317" s="114"/>
      <c r="J317" s="235"/>
    </row>
    <row r="318" spans="1:10" ht="15.75" thickBot="1" x14ac:dyDescent="0.25">
      <c r="A318" s="355"/>
      <c r="B318" s="339"/>
      <c r="C318" s="339"/>
      <c r="D318" s="382"/>
      <c r="E318" s="339"/>
      <c r="F318" s="443"/>
      <c r="G318" s="443"/>
      <c r="H318" s="444"/>
      <c r="I318" s="445"/>
      <c r="J318" s="235"/>
    </row>
    <row r="321" spans="8:9" ht="15" x14ac:dyDescent="0.2">
      <c r="H321" s="442" t="s">
        <v>672</v>
      </c>
      <c r="I321" s="441" t="e">
        <f>I118+#REF!+I290</f>
        <v>#REF!</v>
      </c>
    </row>
  </sheetData>
  <mergeCells count="16">
    <mergeCell ref="I11:I13"/>
    <mergeCell ref="G11:G13"/>
    <mergeCell ref="H11:H13"/>
    <mergeCell ref="A1:I1"/>
    <mergeCell ref="E11:E13"/>
    <mergeCell ref="F11:F13"/>
    <mergeCell ref="A11:A13"/>
    <mergeCell ref="B11:B13"/>
    <mergeCell ref="C11:C13"/>
    <mergeCell ref="D11:D13"/>
    <mergeCell ref="A10:I10"/>
    <mergeCell ref="A5:G5"/>
    <mergeCell ref="A7:H7"/>
    <mergeCell ref="A9:H9"/>
    <mergeCell ref="H5:I5"/>
    <mergeCell ref="A3:I3"/>
  </mergeCells>
  <phoneticPr fontId="2" type="noConversion"/>
  <printOptions horizontalCentered="1"/>
  <pageMargins left="0.59055118110236227" right="0.59055118110236227" top="0.98425196850393704" bottom="0.78740157480314965" header="0.11811023622047245" footer="0.31496062992125984"/>
  <pageSetup paperSize="9" scale="67" orientation="landscape" r:id="rId1"/>
  <headerFooter scaleWithDoc="0" alignWithMargins="0">
    <oddHeader>&amp;L
&amp;G&amp;R
&amp;G</oddHeader>
    <oddFooter>&amp;C&amp;8
Av. Tancredo Neves, 3557 sala 306 – Bairro Castelo CEP 31.330-430 – Belo Horizonte / Minas Gerais.
Endereço Eletrônico: ottawaeng@terra.com.br – Telefax (31) 3418-2175 – CNPJ: 04.472.311/0001-04
&amp;R&amp;P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zoomScale="85" zoomScaleNormal="85" workbookViewId="0">
      <selection activeCell="A3" sqref="A3"/>
    </sheetView>
  </sheetViews>
  <sheetFormatPr defaultRowHeight="17.100000000000001" customHeight="1" x14ac:dyDescent="0.2"/>
  <cols>
    <col min="1" max="1" width="10.7109375" style="36" customWidth="1"/>
    <col min="2" max="2" width="50.7109375" style="36" customWidth="1"/>
    <col min="3" max="3" width="8.7109375" style="36" customWidth="1"/>
    <col min="4" max="4" width="14.7109375" style="36" customWidth="1"/>
    <col min="5" max="7" width="14.7109375" style="37" customWidth="1"/>
    <col min="8" max="8" width="19.7109375" style="36" customWidth="1"/>
    <col min="9" max="9" width="4.28515625" style="36" customWidth="1"/>
    <col min="10" max="10" width="10.7109375" style="36" customWidth="1"/>
    <col min="11" max="11" width="3.5703125" style="36" customWidth="1"/>
    <col min="12" max="15" width="10.7109375" style="36" customWidth="1"/>
    <col min="16" max="16" width="12.140625" style="39" customWidth="1"/>
    <col min="17" max="16384" width="9.140625" style="36"/>
  </cols>
  <sheetData>
    <row r="1" spans="1:16" s="11" customFormat="1" ht="30.75" customHeight="1" thickBot="1" x14ac:dyDescent="0.25">
      <c r="A1" s="615" t="s">
        <v>44</v>
      </c>
      <c r="B1" s="616"/>
      <c r="C1" s="616"/>
      <c r="D1" s="616"/>
      <c r="E1" s="616"/>
      <c r="F1" s="616"/>
      <c r="G1" s="616"/>
      <c r="H1" s="617"/>
    </row>
    <row r="2" spans="1:16" s="11" customFormat="1" ht="5.0999999999999996" customHeight="1" thickBot="1" x14ac:dyDescent="0.25">
      <c r="A2" s="256"/>
      <c r="B2" s="257"/>
      <c r="C2" s="257"/>
      <c r="D2" s="258"/>
      <c r="E2" s="257"/>
      <c r="F2" s="257"/>
      <c r="G2" s="257"/>
      <c r="H2" s="259"/>
    </row>
    <row r="3" spans="1:16" s="11" customFormat="1" ht="15.75" thickBot="1" x14ac:dyDescent="0.25">
      <c r="A3" s="251" t="s">
        <v>837</v>
      </c>
      <c r="B3" s="252"/>
      <c r="C3" s="252"/>
      <c r="D3" s="252"/>
      <c r="E3" s="252"/>
      <c r="F3" s="252"/>
      <c r="G3" s="624" t="s">
        <v>833</v>
      </c>
      <c r="H3" s="625"/>
    </row>
    <row r="4" spans="1:16" s="11" customFormat="1" ht="5.0999999999999996" customHeight="1" thickBot="1" x14ac:dyDescent="0.25">
      <c r="A4" s="256"/>
      <c r="B4" s="257"/>
      <c r="C4" s="257"/>
      <c r="D4" s="258"/>
      <c r="E4" s="257"/>
      <c r="F4" s="257"/>
      <c r="G4" s="257"/>
      <c r="H4" s="259"/>
    </row>
    <row r="5" spans="1:16" s="11" customFormat="1" ht="15.75" thickBot="1" x14ac:dyDescent="0.25">
      <c r="A5" s="251" t="s">
        <v>832</v>
      </c>
      <c r="B5" s="252"/>
      <c r="C5" s="252"/>
      <c r="D5" s="253"/>
      <c r="E5" s="254"/>
      <c r="F5" s="254"/>
      <c r="G5" s="254"/>
      <c r="H5" s="255"/>
      <c r="I5" s="12"/>
    </row>
    <row r="6" spans="1:16" s="11" customFormat="1" ht="5.0999999999999996" customHeight="1" thickBot="1" x14ac:dyDescent="0.25">
      <c r="A6" s="256"/>
      <c r="B6" s="257"/>
      <c r="C6" s="257"/>
      <c r="D6" s="258"/>
      <c r="E6" s="257"/>
      <c r="F6" s="257"/>
      <c r="G6" s="257"/>
      <c r="H6" s="259"/>
    </row>
    <row r="7" spans="1:16" s="11" customFormat="1" ht="15.75" thickBot="1" x14ac:dyDescent="0.25">
      <c r="A7" s="251" t="s">
        <v>834</v>
      </c>
      <c r="B7" s="252"/>
      <c r="C7" s="252"/>
      <c r="D7" s="253"/>
      <c r="E7" s="252"/>
      <c r="F7" s="252"/>
      <c r="G7" s="252"/>
      <c r="H7" s="255"/>
    </row>
    <row r="8" spans="1:16" s="17" customFormat="1" ht="30.75" customHeight="1" thickBot="1" x14ac:dyDescent="0.25">
      <c r="A8" s="13" t="s">
        <v>45</v>
      </c>
      <c r="B8" s="14" t="s">
        <v>46</v>
      </c>
      <c r="C8" s="14" t="s">
        <v>47</v>
      </c>
      <c r="D8" s="14" t="s">
        <v>48</v>
      </c>
      <c r="E8" s="14" t="s">
        <v>49</v>
      </c>
      <c r="F8" s="14" t="s">
        <v>50</v>
      </c>
      <c r="G8" s="14" t="s">
        <v>51</v>
      </c>
      <c r="H8" s="15" t="s">
        <v>52</v>
      </c>
      <c r="I8" s="16"/>
      <c r="J8" s="16"/>
      <c r="K8" s="16"/>
      <c r="L8" s="16"/>
      <c r="M8" s="16"/>
      <c r="N8" s="16"/>
      <c r="O8" s="16"/>
      <c r="P8" s="18"/>
    </row>
    <row r="9" spans="1:16" s="17" customFormat="1" ht="21" customHeight="1" thickTop="1" x14ac:dyDescent="0.2">
      <c r="A9" s="19" t="str">
        <f>ORÇAMENTO!A17</f>
        <v>01.00.00</v>
      </c>
      <c r="B9" s="20" t="str">
        <f>ORÇAMENTO!D17</f>
        <v>MOBILIZAÇÃO E DESMOBILIZAÇÃO</v>
      </c>
      <c r="C9" s="21">
        <f t="shared" ref="C9:C18" si="0">H9/$H$22*100</f>
        <v>5.7524890979796295</v>
      </c>
      <c r="D9" s="146">
        <v>70</v>
      </c>
      <c r="E9" s="143"/>
      <c r="F9" s="144"/>
      <c r="G9" s="146">
        <v>30</v>
      </c>
      <c r="H9" s="22">
        <f>ORÇAMENTO!I17</f>
        <v>132925.28000000003</v>
      </c>
      <c r="I9" s="23"/>
      <c r="J9" s="110">
        <f t="shared" ref="J9:J18" si="1">SUM(D9:G9)</f>
        <v>100</v>
      </c>
      <c r="K9" s="23"/>
      <c r="L9" s="105">
        <f t="shared" ref="L9:O16" si="2">$C9*D9/100</f>
        <v>4.0267423685857411</v>
      </c>
      <c r="M9" s="106">
        <f t="shared" si="2"/>
        <v>0</v>
      </c>
      <c r="N9" s="106">
        <f t="shared" si="2"/>
        <v>0</v>
      </c>
      <c r="O9" s="106">
        <f t="shared" si="2"/>
        <v>1.7257467293938888</v>
      </c>
    </row>
    <row r="10" spans="1:16" s="17" customFormat="1" ht="21" customHeight="1" x14ac:dyDescent="0.2">
      <c r="A10" s="104" t="str">
        <f>ORÇAMENTO!A19</f>
        <v>02.00.00</v>
      </c>
      <c r="B10" s="20" t="str">
        <f>ORÇAMENTO!D19</f>
        <v>ADMINISTRAÇÃO DA OBRA</v>
      </c>
      <c r="C10" s="21">
        <f t="shared" si="0"/>
        <v>12.840240080108234</v>
      </c>
      <c r="D10" s="146">
        <v>25</v>
      </c>
      <c r="E10" s="146">
        <v>25</v>
      </c>
      <c r="F10" s="147">
        <v>25</v>
      </c>
      <c r="G10" s="147">
        <v>25</v>
      </c>
      <c r="H10" s="22">
        <f>ORÇAMENTO!I19</f>
        <v>296705.03999999998</v>
      </c>
      <c r="I10" s="23"/>
      <c r="J10" s="111">
        <f t="shared" si="1"/>
        <v>100</v>
      </c>
      <c r="K10" s="23"/>
      <c r="L10" s="107">
        <f t="shared" si="2"/>
        <v>3.210060020027059</v>
      </c>
      <c r="M10" s="23">
        <f t="shared" si="2"/>
        <v>3.210060020027059</v>
      </c>
      <c r="N10" s="23">
        <f t="shared" si="2"/>
        <v>3.210060020027059</v>
      </c>
      <c r="O10" s="23">
        <f t="shared" si="2"/>
        <v>3.210060020027059</v>
      </c>
    </row>
    <row r="11" spans="1:16" s="17" customFormat="1" ht="21" customHeight="1" x14ac:dyDescent="0.2">
      <c r="A11" s="24" t="str">
        <f>ORÇAMENTO!A21</f>
        <v>03.00.00</v>
      </c>
      <c r="B11" s="25" t="str">
        <f>ORÇAMENTO!D21</f>
        <v>REDE COLETORA DE ESGOTOS</v>
      </c>
      <c r="C11" s="26">
        <f t="shared" si="0"/>
        <v>14.652844386623908</v>
      </c>
      <c r="D11" s="148">
        <v>45</v>
      </c>
      <c r="E11" s="148">
        <v>45</v>
      </c>
      <c r="F11" s="147">
        <v>10</v>
      </c>
      <c r="G11" s="144"/>
      <c r="H11" s="22">
        <f>ORÇAMENTO!I21</f>
        <v>338589.68000000005</v>
      </c>
      <c r="I11" s="23"/>
      <c r="J11" s="111">
        <f t="shared" si="1"/>
        <v>100</v>
      </c>
      <c r="K11" s="23"/>
      <c r="L11" s="107">
        <f t="shared" si="2"/>
        <v>6.5937799739807588</v>
      </c>
      <c r="M11" s="23">
        <f t="shared" si="2"/>
        <v>6.5937799739807588</v>
      </c>
      <c r="N11" s="23">
        <f t="shared" si="2"/>
        <v>1.4652844386623909</v>
      </c>
      <c r="O11" s="23">
        <f t="shared" si="2"/>
        <v>0</v>
      </c>
    </row>
    <row r="12" spans="1:16" s="17" customFormat="1" ht="21" customHeight="1" x14ac:dyDescent="0.2">
      <c r="A12" s="24" t="str">
        <f>ORÇAMENTO!A25</f>
        <v>05.01.00</v>
      </c>
      <c r="B12" s="25" t="str">
        <f>ORÇAMENTO!D25</f>
        <v>SERVIÇOS PRELIMINARES</v>
      </c>
      <c r="C12" s="26">
        <f t="shared" si="0"/>
        <v>5.1845130847505372</v>
      </c>
      <c r="D12" s="145"/>
      <c r="E12" s="148">
        <v>50</v>
      </c>
      <c r="F12" s="147">
        <v>50</v>
      </c>
      <c r="G12" s="144"/>
      <c r="H12" s="22">
        <f>ORÇAMENTO!I25</f>
        <v>119800.81</v>
      </c>
      <c r="I12" s="23"/>
      <c r="J12" s="111">
        <f t="shared" si="1"/>
        <v>100</v>
      </c>
      <c r="K12" s="23"/>
      <c r="L12" s="107">
        <f t="shared" si="2"/>
        <v>0</v>
      </c>
      <c r="M12" s="23">
        <f t="shared" si="2"/>
        <v>2.5922565423752686</v>
      </c>
      <c r="N12" s="23">
        <f t="shared" si="2"/>
        <v>2.5922565423752686</v>
      </c>
      <c r="O12" s="23">
        <f t="shared" si="2"/>
        <v>0</v>
      </c>
    </row>
    <row r="13" spans="1:16" s="17" customFormat="1" ht="21" customHeight="1" x14ac:dyDescent="0.2">
      <c r="A13" s="24" t="str">
        <f>ORÇAMENTO!A29</f>
        <v>05.03.00</v>
      </c>
      <c r="B13" s="27" t="str">
        <f>ORÇAMENTO!D29</f>
        <v>TRATAMENTO PRELIMINAR</v>
      </c>
      <c r="C13" s="26">
        <f t="shared" si="0"/>
        <v>1.5963470912141959</v>
      </c>
      <c r="D13" s="145"/>
      <c r="E13" s="145"/>
      <c r="F13" s="148">
        <v>50</v>
      </c>
      <c r="G13" s="148">
        <v>50</v>
      </c>
      <c r="H13" s="22">
        <f>ORÇAMENTO!I29</f>
        <v>36887.49</v>
      </c>
      <c r="I13" s="23"/>
      <c r="J13" s="111">
        <f t="shared" si="1"/>
        <v>100</v>
      </c>
      <c r="K13" s="23"/>
      <c r="L13" s="107">
        <f t="shared" si="2"/>
        <v>0</v>
      </c>
      <c r="M13" s="23">
        <f t="shared" si="2"/>
        <v>0</v>
      </c>
      <c r="N13" s="23">
        <f t="shared" si="2"/>
        <v>0.79817354560709797</v>
      </c>
      <c r="O13" s="23">
        <f t="shared" si="2"/>
        <v>0.79817354560709797</v>
      </c>
    </row>
    <row r="14" spans="1:16" s="17" customFormat="1" ht="21" customHeight="1" x14ac:dyDescent="0.2">
      <c r="A14" s="24" t="str">
        <f>ORÇAMENTO!A27</f>
        <v>05.02.00</v>
      </c>
      <c r="B14" s="25" t="str">
        <f>ORÇAMENTO!D27</f>
        <v>ELEVATÓRIA FINAL</v>
      </c>
      <c r="C14" s="26">
        <f t="shared" si="0"/>
        <v>4.1632505406668407</v>
      </c>
      <c r="D14" s="145"/>
      <c r="E14" s="145"/>
      <c r="F14" s="148">
        <v>50</v>
      </c>
      <c r="G14" s="148">
        <v>50</v>
      </c>
      <c r="H14" s="22">
        <f>ORÇAMENTO!I27</f>
        <v>96202.050000000017</v>
      </c>
      <c r="I14" s="23"/>
      <c r="J14" s="111">
        <f t="shared" si="1"/>
        <v>100</v>
      </c>
      <c r="K14" s="23"/>
      <c r="L14" s="107">
        <f t="shared" si="2"/>
        <v>0</v>
      </c>
      <c r="M14" s="23">
        <f t="shared" si="2"/>
        <v>0</v>
      </c>
      <c r="N14" s="23">
        <f t="shared" si="2"/>
        <v>2.0816252703334204</v>
      </c>
      <c r="O14" s="23">
        <f t="shared" si="2"/>
        <v>2.0816252703334204</v>
      </c>
    </row>
    <row r="15" spans="1:16" s="17" customFormat="1" ht="21" customHeight="1" x14ac:dyDescent="0.2">
      <c r="A15" s="24" t="str">
        <f>ORÇAMENTO!A33</f>
        <v>05.05.00</v>
      </c>
      <c r="B15" s="27" t="str">
        <f>ORÇAMENTO!D33</f>
        <v>LAGOAS FACULTATIVAS (02 UNIDADES)</v>
      </c>
      <c r="C15" s="26">
        <f t="shared" si="0"/>
        <v>26.39688457704381</v>
      </c>
      <c r="D15" s="145"/>
      <c r="E15" s="145"/>
      <c r="F15" s="148">
        <v>60</v>
      </c>
      <c r="G15" s="148">
        <v>40</v>
      </c>
      <c r="H15" s="22">
        <f>ORÇAMENTO!I33</f>
        <v>609964.35</v>
      </c>
      <c r="I15" s="23"/>
      <c r="J15" s="111">
        <f t="shared" si="1"/>
        <v>100</v>
      </c>
      <c r="K15" s="23"/>
      <c r="L15" s="107">
        <f t="shared" si="2"/>
        <v>0</v>
      </c>
      <c r="M15" s="23">
        <f t="shared" si="2"/>
        <v>0</v>
      </c>
      <c r="N15" s="23">
        <f t="shared" si="2"/>
        <v>15.838130746226286</v>
      </c>
      <c r="O15" s="23">
        <f t="shared" si="2"/>
        <v>10.558753830817524</v>
      </c>
    </row>
    <row r="16" spans="1:16" s="17" customFormat="1" ht="21" customHeight="1" x14ac:dyDescent="0.2">
      <c r="A16" s="24" t="str">
        <f>ORÇAMENTO!A37</f>
        <v>05.07.00</v>
      </c>
      <c r="B16" s="27" t="str">
        <f>ORÇAMENTO!D37</f>
        <v>UNIDADE DE APOIO</v>
      </c>
      <c r="C16" s="26">
        <f t="shared" si="0"/>
        <v>4.1931080275449508</v>
      </c>
      <c r="D16" s="145"/>
      <c r="E16" s="145"/>
      <c r="F16" s="148">
        <v>40</v>
      </c>
      <c r="G16" s="148">
        <v>60</v>
      </c>
      <c r="H16" s="22">
        <f>ORÇAMENTO!I37</f>
        <v>96891.98000000001</v>
      </c>
      <c r="I16" s="23"/>
      <c r="J16" s="111">
        <f t="shared" si="1"/>
        <v>100</v>
      </c>
      <c r="K16" s="23"/>
      <c r="L16" s="107">
        <f t="shared" si="2"/>
        <v>0</v>
      </c>
      <c r="M16" s="23">
        <f t="shared" si="2"/>
        <v>0</v>
      </c>
      <c r="N16" s="23">
        <f t="shared" si="2"/>
        <v>1.6772432110179805</v>
      </c>
      <c r="O16" s="23">
        <f t="shared" si="2"/>
        <v>2.5158648165269706</v>
      </c>
    </row>
    <row r="17" spans="1:16" s="17" customFormat="1" ht="21" customHeight="1" x14ac:dyDescent="0.2">
      <c r="A17" s="24" t="str">
        <f>ORÇAMENTO!A39</f>
        <v>05.08.00</v>
      </c>
      <c r="B17" s="27" t="str">
        <f>ORÇAMENTO!D39</f>
        <v>INTERLIGAÇÕES DAS UNIDADES DA ETE</v>
      </c>
      <c r="C17" s="26">
        <f t="shared" si="0"/>
        <v>4.1178872234169148</v>
      </c>
      <c r="D17" s="145"/>
      <c r="E17" s="145"/>
      <c r="F17" s="148">
        <v>30</v>
      </c>
      <c r="G17" s="148">
        <v>70</v>
      </c>
      <c r="H17" s="22">
        <f>ORÇAMENTO!I39</f>
        <v>95153.82</v>
      </c>
      <c r="I17" s="23"/>
      <c r="J17" s="111">
        <f t="shared" si="1"/>
        <v>100</v>
      </c>
      <c r="K17" s="23"/>
      <c r="L17" s="107"/>
      <c r="M17" s="23"/>
      <c r="N17" s="23">
        <f>$C17*F17/100</f>
        <v>1.2353661670250744</v>
      </c>
      <c r="O17" s="23">
        <f>$C17*G17/100</f>
        <v>2.8825210563918402</v>
      </c>
    </row>
    <row r="18" spans="1:16" s="17" customFormat="1" ht="21" customHeight="1" thickBot="1" x14ac:dyDescent="0.25">
      <c r="A18" s="24" t="str">
        <f>ORÇAMENTO!A41</f>
        <v>05.09.00</v>
      </c>
      <c r="B18" s="27" t="str">
        <f>ORÇAMENTO!D41</f>
        <v>URBANIZAÇÃO E PAISAGISMO</v>
      </c>
      <c r="C18" s="26">
        <f t="shared" si="0"/>
        <v>21.102435890650977</v>
      </c>
      <c r="D18" s="145"/>
      <c r="E18" s="148">
        <v>15</v>
      </c>
      <c r="F18" s="148">
        <v>30</v>
      </c>
      <c r="G18" s="148">
        <v>55</v>
      </c>
      <c r="H18" s="22">
        <f>ORÇAMENTO!I41</f>
        <v>487623.20999999996</v>
      </c>
      <c r="I18" s="23"/>
      <c r="J18" s="112">
        <f t="shared" si="1"/>
        <v>100</v>
      </c>
      <c r="K18" s="23"/>
      <c r="L18" s="108">
        <f>$C18*D18/100</f>
        <v>0</v>
      </c>
      <c r="M18" s="109">
        <f>$C18*E18/100</f>
        <v>3.165365383597647</v>
      </c>
      <c r="N18" s="109">
        <f>$C18*F18/100</f>
        <v>6.3307307671952939</v>
      </c>
      <c r="O18" s="109">
        <f>$C18*G18/100</f>
        <v>11.606339739858038</v>
      </c>
    </row>
    <row r="19" spans="1:16" s="17" customFormat="1" ht="21" customHeight="1" thickTop="1" x14ac:dyDescent="0.2">
      <c r="A19" s="24"/>
      <c r="B19" s="25"/>
      <c r="C19" s="26"/>
      <c r="D19" s="145"/>
      <c r="E19" s="145"/>
      <c r="F19" s="144"/>
      <c r="G19" s="144"/>
      <c r="H19" s="22"/>
      <c r="I19" s="23"/>
      <c r="J19" s="23"/>
      <c r="K19" s="23"/>
      <c r="L19" s="23"/>
      <c r="M19" s="23"/>
      <c r="N19" s="23"/>
      <c r="O19" s="23"/>
    </row>
    <row r="20" spans="1:16" s="17" customFormat="1" ht="21" customHeight="1" thickBot="1" x14ac:dyDescent="0.25">
      <c r="A20" s="24"/>
      <c r="B20" s="27"/>
      <c r="C20" s="26"/>
      <c r="D20" s="141"/>
      <c r="E20" s="141"/>
      <c r="F20" s="142"/>
      <c r="G20" s="142"/>
      <c r="H20" s="40"/>
      <c r="I20" s="23"/>
      <c r="J20" s="23"/>
      <c r="K20" s="23"/>
      <c r="L20" s="23"/>
      <c r="N20" s="18"/>
      <c r="O20" s="18"/>
    </row>
    <row r="21" spans="1:16" s="17" customFormat="1" ht="29.25" customHeight="1" x14ac:dyDescent="0.2">
      <c r="A21" s="618" t="s">
        <v>53</v>
      </c>
      <c r="B21" s="619"/>
      <c r="C21" s="620"/>
      <c r="D21" s="28">
        <f>L21</f>
        <v>13.830582362593558</v>
      </c>
      <c r="E21" s="28">
        <f>M21</f>
        <v>15.561461919980735</v>
      </c>
      <c r="F21" s="28">
        <f>N21</f>
        <v>35.22887070846987</v>
      </c>
      <c r="G21" s="28">
        <f>O21</f>
        <v>35.37908500895584</v>
      </c>
      <c r="H21" s="206">
        <f>SUM(D21:G21)</f>
        <v>100</v>
      </c>
      <c r="I21" s="23"/>
      <c r="J21" s="23"/>
      <c r="K21" s="23"/>
      <c r="L21" s="113">
        <f>SUM(L9:L20)</f>
        <v>13.830582362593558</v>
      </c>
      <c r="M21" s="113">
        <f>SUM(M9:M20)</f>
        <v>15.561461919980735</v>
      </c>
      <c r="N21" s="113">
        <f>SUM(N9:N20)</f>
        <v>35.22887070846987</v>
      </c>
      <c r="O21" s="113">
        <f>SUM(O9:O20)</f>
        <v>35.37908500895584</v>
      </c>
    </row>
    <row r="22" spans="1:16" s="17" customFormat="1" ht="29.25" customHeight="1" x14ac:dyDescent="0.2">
      <c r="A22" s="621" t="s">
        <v>54</v>
      </c>
      <c r="B22" s="622"/>
      <c r="C22" s="623"/>
      <c r="D22" s="29">
        <f>D21*$H22/100</f>
        <v>319589.31200000003</v>
      </c>
      <c r="E22" s="29">
        <f>E21*$H22/100</f>
        <v>359585.50250000006</v>
      </c>
      <c r="F22" s="29">
        <f>F21*$H22/100</f>
        <v>814048.91399999987</v>
      </c>
      <c r="G22" s="29">
        <f>G21*$H22/100</f>
        <v>817519.98150000011</v>
      </c>
      <c r="H22" s="30">
        <f>SUM(H9:H18)</f>
        <v>2310743.71</v>
      </c>
      <c r="I22" s="23"/>
      <c r="J22" s="23"/>
      <c r="K22" s="23"/>
      <c r="L22" s="23"/>
      <c r="N22" s="18"/>
      <c r="O22" s="18"/>
    </row>
    <row r="23" spans="1:16" s="17" customFormat="1" ht="29.25" customHeight="1" x14ac:dyDescent="0.2">
      <c r="A23" s="621" t="s">
        <v>55</v>
      </c>
      <c r="B23" s="622"/>
      <c r="C23" s="623"/>
      <c r="D23" s="31">
        <f>D21</f>
        <v>13.830582362593558</v>
      </c>
      <c r="E23" s="31">
        <f>E21+D23</f>
        <v>29.392044282574293</v>
      </c>
      <c r="F23" s="31">
        <f t="shared" ref="F23:G23" si="3">F21+E23</f>
        <v>64.62091499104416</v>
      </c>
      <c r="G23" s="31">
        <f t="shared" si="3"/>
        <v>100</v>
      </c>
      <c r="H23" s="30"/>
      <c r="I23" s="23"/>
      <c r="J23" s="23"/>
      <c r="K23" s="23"/>
      <c r="L23" s="23"/>
      <c r="N23" s="18"/>
      <c r="O23" s="18"/>
    </row>
    <row r="24" spans="1:16" s="17" customFormat="1" ht="29.25" customHeight="1" thickBot="1" x14ac:dyDescent="0.25">
      <c r="A24" s="612" t="s">
        <v>56</v>
      </c>
      <c r="B24" s="613"/>
      <c r="C24" s="614"/>
      <c r="D24" s="32">
        <f>D22</f>
        <v>319589.31200000003</v>
      </c>
      <c r="E24" s="32">
        <f>E22+D24</f>
        <v>679174.81450000009</v>
      </c>
      <c r="F24" s="32">
        <f t="shared" ref="F24:G24" si="4">F22+E24</f>
        <v>1493223.7285</v>
      </c>
      <c r="G24" s="32">
        <f t="shared" si="4"/>
        <v>2310743.71</v>
      </c>
      <c r="H24" s="33"/>
      <c r="I24" s="23"/>
      <c r="J24" s="23"/>
      <c r="K24" s="23"/>
      <c r="L24" s="23"/>
      <c r="N24" s="18"/>
      <c r="O24" s="18"/>
    </row>
    <row r="25" spans="1:16" s="17" customFormat="1" ht="18" customHeight="1" x14ac:dyDescent="0.2">
      <c r="B25" s="34"/>
      <c r="D25" s="35"/>
      <c r="M25" s="18"/>
    </row>
    <row r="26" spans="1:16" s="17" customFormat="1" ht="17.100000000000001" customHeight="1" x14ac:dyDescent="0.2">
      <c r="B26" s="34"/>
      <c r="E26" s="35"/>
      <c r="F26" s="35"/>
      <c r="G26" s="35"/>
      <c r="P26" s="18"/>
    </row>
    <row r="27" spans="1:16" s="17" customFormat="1" ht="17.100000000000001" customHeight="1" x14ac:dyDescent="0.2">
      <c r="A27" s="36"/>
      <c r="B27" s="34"/>
      <c r="E27" s="35"/>
      <c r="F27" s="35"/>
      <c r="G27" s="35"/>
      <c r="P27" s="18"/>
    </row>
    <row r="28" spans="1:16" ht="17.100000000000001" customHeight="1" x14ac:dyDescent="0.2">
      <c r="J28" s="38"/>
    </row>
  </sheetData>
  <mergeCells count="6">
    <mergeCell ref="A24:C24"/>
    <mergeCell ref="A1:H1"/>
    <mergeCell ref="A21:C21"/>
    <mergeCell ref="A22:C22"/>
    <mergeCell ref="A23:C23"/>
    <mergeCell ref="G3:H3"/>
  </mergeCells>
  <phoneticPr fontId="0" type="noConversion"/>
  <printOptions horizontalCentered="1"/>
  <pageMargins left="0.39370078740157483" right="0.39370078740157483" top="1.1811023622047245" bottom="0.98425196850393704" header="0.39370078740157483" footer="0.51181102362204722"/>
  <pageSetup paperSize="9" scale="90" orientation="landscape" r:id="rId1"/>
  <headerFooter alignWithMargins="0">
    <oddHeader>&amp;L&amp;G&amp;R&amp;G</oddHeader>
    <oddFooter>&amp;CAv. Tancredo Neves, 3557 sala 306 – Bairro Castelo CEP 31.330-430 – Belo Horizonte / Minas Gerais.
Endereço Eletrônico: ottawaeng@terra.com.br – Telefax (31) 3418-2175 – CNPJ: 04.472.311/0001-04
&amp;R&amp;P de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2"/>
  <sheetViews>
    <sheetView view="pageBreakPreview" topLeftCell="A184" zoomScale="85" zoomScaleNormal="85" zoomScaleSheetLayoutView="85" workbookViewId="0">
      <selection activeCell="D201" sqref="D201"/>
    </sheetView>
  </sheetViews>
  <sheetFormatPr defaultRowHeight="15" x14ac:dyDescent="0.2"/>
  <cols>
    <col min="1" max="1" width="12" style="65" bestFit="1" customWidth="1"/>
    <col min="2" max="2" width="17.7109375" style="2" bestFit="1" customWidth="1"/>
    <col min="3" max="3" width="12.7109375" style="2" customWidth="1"/>
    <col min="4" max="4" width="90.7109375" style="44" customWidth="1"/>
    <col min="5" max="5" width="11" style="2" customWidth="1"/>
    <col min="6" max="6" width="15.28515625" style="66" bestFit="1" customWidth="1"/>
    <col min="7" max="8" width="11.7109375" style="67" customWidth="1"/>
    <col min="9" max="9" width="14.7109375" style="68" customWidth="1"/>
    <col min="10" max="10" width="21" style="1" customWidth="1"/>
    <col min="11" max="11" width="5.85546875" style="1" customWidth="1"/>
    <col min="12" max="12" width="9.28515625" style="1" bestFit="1" customWidth="1"/>
    <col min="13" max="16384" width="9.140625" style="1"/>
  </cols>
  <sheetData>
    <row r="1" spans="1:17" ht="32.25" customHeight="1" thickBot="1" x14ac:dyDescent="0.25">
      <c r="A1" s="626" t="s">
        <v>194</v>
      </c>
      <c r="B1" s="627"/>
      <c r="C1" s="627"/>
      <c r="D1" s="627"/>
      <c r="E1" s="627"/>
      <c r="F1" s="627"/>
      <c r="G1" s="627"/>
      <c r="H1" s="627"/>
      <c r="I1" s="628"/>
      <c r="J1" s="3"/>
      <c r="K1" s="4"/>
      <c r="L1" s="4"/>
      <c r="M1" s="4"/>
      <c r="N1" s="4"/>
      <c r="O1" s="4"/>
      <c r="P1" s="4"/>
      <c r="Q1" s="4"/>
    </row>
    <row r="2" spans="1:17" ht="4.5" customHeight="1" x14ac:dyDescent="0.2">
      <c r="A2" s="409"/>
      <c r="B2" s="410"/>
      <c r="C2" s="410"/>
      <c r="D2" s="411"/>
      <c r="E2" s="410"/>
      <c r="F2" s="412"/>
      <c r="G2" s="413"/>
      <c r="H2" s="413"/>
      <c r="I2" s="414"/>
      <c r="J2" s="3"/>
      <c r="K2" s="4"/>
      <c r="L2" s="4"/>
      <c r="M2" s="4"/>
      <c r="N2" s="4"/>
      <c r="O2" s="4"/>
      <c r="P2" s="4"/>
      <c r="Q2" s="4"/>
    </row>
    <row r="3" spans="1:17" ht="16.5" customHeight="1" thickBot="1" x14ac:dyDescent="0.25">
      <c r="A3" s="606" t="s">
        <v>837</v>
      </c>
      <c r="B3" s="607"/>
      <c r="C3" s="607"/>
      <c r="D3" s="607"/>
      <c r="E3" s="607"/>
      <c r="F3" s="607"/>
      <c r="G3" s="607"/>
      <c r="H3" s="610" t="s">
        <v>833</v>
      </c>
      <c r="I3" s="611"/>
      <c r="J3" s="3"/>
      <c r="K3" s="4"/>
      <c r="L3" s="4"/>
      <c r="M3" s="4"/>
      <c r="N3" s="4"/>
      <c r="O3" s="4"/>
      <c r="P3" s="4"/>
      <c r="Q3" s="4"/>
    </row>
    <row r="4" spans="1:17" ht="4.5" customHeight="1" thickBot="1" x14ac:dyDescent="0.25">
      <c r="A4" s="415"/>
      <c r="B4" s="416"/>
      <c r="C4" s="416"/>
      <c r="D4" s="417"/>
      <c r="E4" s="416"/>
      <c r="F4" s="418"/>
      <c r="G4" s="419"/>
      <c r="H4" s="419"/>
      <c r="I4" s="420"/>
      <c r="J4" s="3"/>
      <c r="K4" s="4"/>
      <c r="L4" s="4"/>
      <c r="M4" s="4"/>
      <c r="N4" s="4"/>
      <c r="O4" s="4"/>
      <c r="P4" s="4"/>
      <c r="Q4" s="4"/>
    </row>
    <row r="5" spans="1:17" ht="15.75" customHeight="1" thickBot="1" x14ac:dyDescent="0.25">
      <c r="A5" s="608" t="s">
        <v>832</v>
      </c>
      <c r="B5" s="609"/>
      <c r="C5" s="609"/>
      <c r="D5" s="609"/>
      <c r="E5" s="609"/>
      <c r="F5" s="609"/>
      <c r="G5" s="609"/>
      <c r="H5" s="609"/>
      <c r="I5" s="396"/>
      <c r="J5" s="3"/>
      <c r="K5" s="4"/>
      <c r="L5" s="4"/>
      <c r="M5" s="4"/>
      <c r="N5" s="4"/>
      <c r="O5" s="4"/>
      <c r="P5" s="4"/>
      <c r="Q5" s="4"/>
    </row>
    <row r="6" spans="1:17" ht="4.5" customHeight="1" thickBot="1" x14ac:dyDescent="0.25">
      <c r="A6" s="415"/>
      <c r="B6" s="416"/>
      <c r="C6" s="416"/>
      <c r="D6" s="417"/>
      <c r="E6" s="416"/>
      <c r="F6" s="418"/>
      <c r="G6" s="419"/>
      <c r="H6" s="419"/>
      <c r="I6" s="420"/>
      <c r="J6" s="3"/>
      <c r="K6" s="4"/>
      <c r="L6" s="4"/>
      <c r="M6" s="4"/>
      <c r="N6" s="4"/>
      <c r="O6" s="4"/>
      <c r="P6" s="4"/>
      <c r="Q6" s="4"/>
    </row>
    <row r="7" spans="1:17" ht="15" customHeight="1" thickBot="1" x14ac:dyDescent="0.25">
      <c r="A7" s="608" t="s">
        <v>835</v>
      </c>
      <c r="B7" s="609"/>
      <c r="C7" s="609"/>
      <c r="D7" s="609"/>
      <c r="E7" s="609"/>
      <c r="F7" s="609"/>
      <c r="G7" s="609"/>
      <c r="H7" s="609"/>
      <c r="I7" s="400"/>
      <c r="J7" s="63">
        <v>1</v>
      </c>
      <c r="K7" s="4" t="s">
        <v>195</v>
      </c>
      <c r="L7" s="4">
        <v>122.43</v>
      </c>
      <c r="M7" s="4"/>
      <c r="N7" s="4"/>
      <c r="O7" s="4"/>
      <c r="P7" s="4"/>
      <c r="Q7" s="4"/>
    </row>
    <row r="8" spans="1:17" ht="4.5" customHeight="1" thickBot="1" x14ac:dyDescent="0.25">
      <c r="A8" s="603"/>
      <c r="B8" s="604"/>
      <c r="C8" s="604"/>
      <c r="D8" s="604"/>
      <c r="E8" s="604"/>
      <c r="F8" s="604"/>
      <c r="G8" s="604"/>
      <c r="H8" s="604"/>
      <c r="I8" s="605"/>
      <c r="J8" s="3"/>
      <c r="K8" s="4"/>
      <c r="L8" s="4"/>
      <c r="M8" s="4"/>
      <c r="N8" s="4"/>
      <c r="O8" s="4"/>
      <c r="P8" s="4"/>
      <c r="Q8" s="4"/>
    </row>
    <row r="9" spans="1:17" ht="14.25" customHeight="1" x14ac:dyDescent="0.2">
      <c r="A9" s="597" t="s">
        <v>71</v>
      </c>
      <c r="B9" s="594" t="s">
        <v>72</v>
      </c>
      <c r="C9" s="594" t="s">
        <v>73</v>
      </c>
      <c r="D9" s="600" t="s">
        <v>74</v>
      </c>
      <c r="E9" s="594" t="s">
        <v>75</v>
      </c>
      <c r="F9" s="594" t="s">
        <v>76</v>
      </c>
      <c r="G9" s="588" t="s">
        <v>460</v>
      </c>
      <c r="H9" s="588" t="s">
        <v>461</v>
      </c>
      <c r="I9" s="585" t="s">
        <v>459</v>
      </c>
      <c r="J9" s="3">
        <v>2</v>
      </c>
      <c r="K9" s="4"/>
      <c r="L9" s="4">
        <v>100</v>
      </c>
      <c r="M9" s="4"/>
      <c r="N9" s="4"/>
      <c r="O9" s="4"/>
      <c r="P9" s="4"/>
      <c r="Q9" s="4"/>
    </row>
    <row r="10" spans="1:17" ht="30.75" customHeight="1" x14ac:dyDescent="0.2">
      <c r="A10" s="598"/>
      <c r="B10" s="595"/>
      <c r="C10" s="595"/>
      <c r="D10" s="601"/>
      <c r="E10" s="595"/>
      <c r="F10" s="595"/>
      <c r="G10" s="589"/>
      <c r="H10" s="589"/>
      <c r="I10" s="586"/>
      <c r="J10" s="3"/>
      <c r="K10" s="4"/>
      <c r="L10" s="4">
        <f>SUM(L7:L9)</f>
        <v>222.43</v>
      </c>
      <c r="M10" s="4"/>
      <c r="N10" s="4"/>
      <c r="O10" s="4"/>
      <c r="P10" s="4"/>
      <c r="Q10" s="4"/>
    </row>
    <row r="11" spans="1:17" ht="21" customHeight="1" thickBot="1" x14ac:dyDescent="0.25">
      <c r="A11" s="599"/>
      <c r="B11" s="596"/>
      <c r="C11" s="596"/>
      <c r="D11" s="602"/>
      <c r="E11" s="596"/>
      <c r="F11" s="596"/>
      <c r="G11" s="590"/>
      <c r="H11" s="590"/>
      <c r="I11" s="587"/>
      <c r="J11" s="3"/>
      <c r="K11" s="4"/>
      <c r="L11" s="4">
        <f>L10/100</f>
        <v>2.2242999999999999</v>
      </c>
      <c r="M11" s="4"/>
      <c r="N11" s="4"/>
      <c r="O11" s="4"/>
      <c r="P11" s="4"/>
      <c r="Q11" s="4"/>
    </row>
    <row r="12" spans="1:17" ht="14.25" customHeight="1" x14ac:dyDescent="0.2">
      <c r="A12" s="216"/>
      <c r="B12" s="214"/>
      <c r="C12" s="214"/>
      <c r="D12" s="214"/>
      <c r="E12" s="214"/>
      <c r="F12" s="214"/>
      <c r="G12" s="215"/>
      <c r="H12" s="217"/>
      <c r="I12" s="217"/>
      <c r="J12" s="4"/>
      <c r="K12" s="4"/>
      <c r="L12" s="4"/>
      <c r="M12" s="4"/>
      <c r="N12" s="4"/>
      <c r="O12" s="4"/>
      <c r="P12" s="4"/>
      <c r="Q12" s="4"/>
    </row>
    <row r="13" spans="1:17" s="7" customFormat="1" x14ac:dyDescent="0.2">
      <c r="A13" s="207" t="s">
        <v>468</v>
      </c>
      <c r="B13" s="208" t="s">
        <v>278</v>
      </c>
      <c r="C13" s="209" t="s">
        <v>133</v>
      </c>
      <c r="D13" s="210" t="s">
        <v>196</v>
      </c>
      <c r="E13" s="208" t="s">
        <v>8</v>
      </c>
      <c r="F13" s="211"/>
      <c r="G13" s="212"/>
      <c r="H13" s="212"/>
      <c r="I13" s="213">
        <f>I14+I29+I37</f>
        <v>37088.129999999997</v>
      </c>
      <c r="J13" s="8"/>
      <c r="K13" s="9"/>
      <c r="L13" s="8"/>
      <c r="M13" s="8"/>
      <c r="N13" s="8"/>
      <c r="O13" s="8"/>
      <c r="P13" s="8"/>
      <c r="Q13" s="8"/>
    </row>
    <row r="14" spans="1:17" s="7" customFormat="1" x14ac:dyDescent="0.2">
      <c r="A14" s="48" t="s">
        <v>197</v>
      </c>
      <c r="B14" s="48"/>
      <c r="C14" s="48"/>
      <c r="D14" s="96" t="s">
        <v>198</v>
      </c>
      <c r="E14" s="46"/>
      <c r="F14" s="53"/>
      <c r="G14" s="53"/>
      <c r="H14" s="53"/>
      <c r="I14" s="493">
        <f>SUM(I15:I27)</f>
        <v>26362.25</v>
      </c>
      <c r="J14" s="8"/>
      <c r="K14" s="9"/>
      <c r="L14" s="8"/>
      <c r="M14" s="8"/>
      <c r="N14" s="8"/>
      <c r="O14" s="8"/>
      <c r="P14" s="8"/>
      <c r="Q14" s="8"/>
    </row>
    <row r="15" spans="1:17" s="7" customFormat="1" ht="14.25" x14ac:dyDescent="0.2">
      <c r="A15" s="46" t="s">
        <v>38</v>
      </c>
      <c r="B15" s="46" t="s">
        <v>80</v>
      </c>
      <c r="C15" s="46">
        <v>2707</v>
      </c>
      <c r="D15" s="97" t="s">
        <v>851</v>
      </c>
      <c r="E15" s="46" t="s">
        <v>79</v>
      </c>
      <c r="F15" s="53">
        <v>45</v>
      </c>
      <c r="G15" s="53">
        <v>76.489999999999995</v>
      </c>
      <c r="H15" s="53">
        <f t="shared" ref="H15:H27" si="0">G15</f>
        <v>76.489999999999995</v>
      </c>
      <c r="I15" s="494">
        <f t="shared" ref="I15:I27" si="1">ROUND(F15*H15,2)</f>
        <v>3442.05</v>
      </c>
      <c r="J15" s="8"/>
      <c r="K15" s="8"/>
      <c r="L15" s="8"/>
      <c r="M15" s="8"/>
      <c r="N15" s="8"/>
      <c r="O15" s="8"/>
      <c r="P15" s="8"/>
      <c r="Q15" s="8"/>
    </row>
    <row r="16" spans="1:17" s="7" customFormat="1" ht="14.25" customHeight="1" x14ac:dyDescent="0.2">
      <c r="A16" s="46" t="s">
        <v>674</v>
      </c>
      <c r="B16" s="52" t="s">
        <v>80</v>
      </c>
      <c r="C16" s="52">
        <v>4083</v>
      </c>
      <c r="D16" s="98" t="s">
        <v>852</v>
      </c>
      <c r="E16" s="52" t="s">
        <v>79</v>
      </c>
      <c r="F16" s="54">
        <v>180</v>
      </c>
      <c r="G16" s="54">
        <v>26.65</v>
      </c>
      <c r="H16" s="53">
        <f t="shared" si="0"/>
        <v>26.65</v>
      </c>
      <c r="I16" s="495">
        <f t="shared" si="1"/>
        <v>4797</v>
      </c>
      <c r="J16" s="8"/>
      <c r="K16" s="8"/>
      <c r="L16" s="8"/>
      <c r="M16" s="8"/>
      <c r="N16" s="8"/>
      <c r="O16" s="8"/>
      <c r="P16" s="8"/>
      <c r="Q16" s="8"/>
    </row>
    <row r="17" spans="1:17" s="7" customFormat="1" ht="14.25" x14ac:dyDescent="0.2">
      <c r="A17" s="46" t="s">
        <v>156</v>
      </c>
      <c r="B17" s="52" t="s">
        <v>80</v>
      </c>
      <c r="C17" s="52">
        <v>4083</v>
      </c>
      <c r="D17" s="98" t="s">
        <v>853</v>
      </c>
      <c r="E17" s="52" t="s">
        <v>79</v>
      </c>
      <c r="F17" s="54">
        <v>180</v>
      </c>
      <c r="G17" s="54">
        <v>26.65</v>
      </c>
      <c r="H17" s="53">
        <f t="shared" si="0"/>
        <v>26.65</v>
      </c>
      <c r="I17" s="495">
        <f t="shared" si="1"/>
        <v>4797</v>
      </c>
      <c r="J17" s="8"/>
      <c r="K17" s="8"/>
      <c r="L17" s="8"/>
      <c r="M17" s="8"/>
      <c r="N17" s="8"/>
      <c r="O17" s="8"/>
      <c r="P17" s="8"/>
      <c r="Q17" s="8"/>
    </row>
    <row r="18" spans="1:17" s="7" customFormat="1" ht="14.25" x14ac:dyDescent="0.2">
      <c r="A18" s="46" t="s">
        <v>39</v>
      </c>
      <c r="B18" s="46" t="s">
        <v>80</v>
      </c>
      <c r="C18" s="46">
        <v>2350</v>
      </c>
      <c r="D18" s="97" t="s">
        <v>199</v>
      </c>
      <c r="E18" s="46" t="s">
        <v>79</v>
      </c>
      <c r="F18" s="53">
        <v>180</v>
      </c>
      <c r="G18" s="53">
        <v>10.79</v>
      </c>
      <c r="H18" s="53">
        <f t="shared" si="0"/>
        <v>10.79</v>
      </c>
      <c r="I18" s="494">
        <f t="shared" si="1"/>
        <v>1942.2</v>
      </c>
      <c r="J18" s="8"/>
      <c r="K18" s="8"/>
      <c r="L18" s="8"/>
      <c r="M18" s="8"/>
      <c r="N18" s="8"/>
      <c r="O18" s="8"/>
      <c r="P18" s="8"/>
      <c r="Q18" s="8"/>
    </row>
    <row r="19" spans="1:17" s="7" customFormat="1" ht="14.25" x14ac:dyDescent="0.2">
      <c r="A19" s="46" t="s">
        <v>40</v>
      </c>
      <c r="B19" s="46" t="s">
        <v>80</v>
      </c>
      <c r="C19" s="46">
        <v>253</v>
      </c>
      <c r="D19" s="97" t="s">
        <v>412</v>
      </c>
      <c r="E19" s="46" t="s">
        <v>79</v>
      </c>
      <c r="F19" s="53">
        <v>180</v>
      </c>
      <c r="G19" s="53">
        <v>17.059999999999999</v>
      </c>
      <c r="H19" s="53">
        <f t="shared" si="0"/>
        <v>17.059999999999999</v>
      </c>
      <c r="I19" s="494">
        <f t="shared" si="1"/>
        <v>3070.8</v>
      </c>
      <c r="J19" s="8"/>
      <c r="K19" s="8"/>
      <c r="L19" s="8"/>
      <c r="M19" s="8"/>
      <c r="N19" s="8"/>
      <c r="O19" s="8"/>
      <c r="P19" s="8"/>
      <c r="Q19" s="8"/>
    </row>
    <row r="20" spans="1:17" s="7" customFormat="1" ht="14.25" x14ac:dyDescent="0.2">
      <c r="A20" s="46" t="s">
        <v>201</v>
      </c>
      <c r="B20" s="46" t="s">
        <v>80</v>
      </c>
      <c r="C20" s="46">
        <v>7592</v>
      </c>
      <c r="D20" s="97" t="s">
        <v>413</v>
      </c>
      <c r="E20" s="46" t="s">
        <v>79</v>
      </c>
      <c r="F20" s="53">
        <v>80</v>
      </c>
      <c r="G20" s="53">
        <v>12.92</v>
      </c>
      <c r="H20" s="53">
        <f t="shared" si="0"/>
        <v>12.92</v>
      </c>
      <c r="I20" s="494">
        <f t="shared" si="1"/>
        <v>1033.5999999999999</v>
      </c>
      <c r="J20" s="8"/>
      <c r="K20" s="8"/>
      <c r="L20" s="8"/>
      <c r="M20" s="8"/>
      <c r="N20" s="8"/>
      <c r="O20" s="8"/>
      <c r="P20" s="8"/>
      <c r="Q20" s="8"/>
    </row>
    <row r="21" spans="1:17" s="7" customFormat="1" ht="14.25" x14ac:dyDescent="0.2">
      <c r="A21" s="46" t="s">
        <v>203</v>
      </c>
      <c r="B21" s="52" t="s">
        <v>80</v>
      </c>
      <c r="C21" s="52">
        <v>244</v>
      </c>
      <c r="D21" s="98" t="s">
        <v>414</v>
      </c>
      <c r="E21" s="52" t="s">
        <v>79</v>
      </c>
      <c r="F21" s="54">
        <v>80</v>
      </c>
      <c r="G21" s="54">
        <v>9.6999999999999993</v>
      </c>
      <c r="H21" s="54">
        <f t="shared" si="0"/>
        <v>9.6999999999999993</v>
      </c>
      <c r="I21" s="495">
        <f t="shared" si="1"/>
        <v>776</v>
      </c>
      <c r="J21" s="8"/>
      <c r="K21" s="8"/>
      <c r="L21" s="8"/>
      <c r="M21" s="8"/>
      <c r="N21" s="8"/>
      <c r="O21" s="8"/>
      <c r="P21" s="8"/>
      <c r="Q21" s="8"/>
    </row>
    <row r="22" spans="1:17" s="7" customFormat="1" ht="14.25" x14ac:dyDescent="0.2">
      <c r="A22" s="46" t="s">
        <v>204</v>
      </c>
      <c r="B22" s="46" t="s">
        <v>80</v>
      </c>
      <c r="C22" s="46">
        <v>6122</v>
      </c>
      <c r="D22" s="97" t="s">
        <v>200</v>
      </c>
      <c r="E22" s="46" t="s">
        <v>79</v>
      </c>
      <c r="F22" s="53">
        <v>80</v>
      </c>
      <c r="G22" s="53">
        <v>10.79</v>
      </c>
      <c r="H22" s="53">
        <f t="shared" si="0"/>
        <v>10.79</v>
      </c>
      <c r="I22" s="494">
        <f t="shared" si="1"/>
        <v>863.2</v>
      </c>
      <c r="J22" s="8"/>
      <c r="K22" s="8"/>
      <c r="L22" s="8"/>
      <c r="M22" s="8"/>
      <c r="N22" s="8"/>
      <c r="O22" s="8"/>
      <c r="P22" s="8"/>
      <c r="Q22" s="8"/>
    </row>
    <row r="23" spans="1:17" s="7" customFormat="1" ht="14.25" x14ac:dyDescent="0.2">
      <c r="A23" s="46" t="s">
        <v>420</v>
      </c>
      <c r="B23" s="46" t="s">
        <v>80</v>
      </c>
      <c r="C23" s="46">
        <v>6111</v>
      </c>
      <c r="D23" s="97" t="s">
        <v>202</v>
      </c>
      <c r="E23" s="46" t="s">
        <v>79</v>
      </c>
      <c r="F23" s="53">
        <v>80</v>
      </c>
      <c r="G23" s="53">
        <v>10.62</v>
      </c>
      <c r="H23" s="53">
        <f t="shared" si="0"/>
        <v>10.62</v>
      </c>
      <c r="I23" s="494">
        <f t="shared" si="1"/>
        <v>849.6</v>
      </c>
      <c r="J23" s="8"/>
      <c r="K23" s="8"/>
      <c r="L23" s="8"/>
      <c r="M23" s="8"/>
      <c r="N23" s="8"/>
      <c r="O23" s="8"/>
      <c r="P23" s="8"/>
      <c r="Q23" s="8"/>
    </row>
    <row r="24" spans="1:17" s="7" customFormat="1" ht="14.25" x14ac:dyDescent="0.2">
      <c r="A24" s="46" t="s">
        <v>421</v>
      </c>
      <c r="B24" s="52" t="s">
        <v>80</v>
      </c>
      <c r="C24" s="52">
        <v>4095</v>
      </c>
      <c r="D24" s="98" t="s">
        <v>854</v>
      </c>
      <c r="E24" s="52" t="s">
        <v>79</v>
      </c>
      <c r="F24" s="54">
        <v>80</v>
      </c>
      <c r="G24" s="54">
        <v>13.48</v>
      </c>
      <c r="H24" s="54">
        <f t="shared" si="0"/>
        <v>13.48</v>
      </c>
      <c r="I24" s="495">
        <f t="shared" si="1"/>
        <v>1078.4000000000001</v>
      </c>
      <c r="J24" s="8"/>
      <c r="K24" s="8"/>
      <c r="L24" s="8"/>
      <c r="M24" s="8"/>
      <c r="N24" s="8"/>
      <c r="O24" s="8"/>
      <c r="P24" s="8"/>
      <c r="Q24" s="8"/>
    </row>
    <row r="25" spans="1:17" s="7" customFormat="1" ht="14.25" x14ac:dyDescent="0.2">
      <c r="A25" s="46" t="s">
        <v>422</v>
      </c>
      <c r="B25" s="46" t="s">
        <v>80</v>
      </c>
      <c r="C25" s="46">
        <v>20020</v>
      </c>
      <c r="D25" s="98" t="s">
        <v>415</v>
      </c>
      <c r="E25" s="46" t="s">
        <v>79</v>
      </c>
      <c r="F25" s="54">
        <v>80</v>
      </c>
      <c r="G25" s="53">
        <v>14.59</v>
      </c>
      <c r="H25" s="53">
        <f t="shared" si="0"/>
        <v>14.59</v>
      </c>
      <c r="I25" s="494">
        <f t="shared" si="1"/>
        <v>1167.2</v>
      </c>
      <c r="J25" s="8"/>
      <c r="K25" s="8"/>
      <c r="L25" s="8"/>
      <c r="M25" s="8"/>
      <c r="N25" s="8"/>
      <c r="O25" s="8"/>
      <c r="P25" s="8"/>
      <c r="Q25" s="8"/>
    </row>
    <row r="26" spans="1:17" s="7" customFormat="1" ht="14.25" x14ac:dyDescent="0.2">
      <c r="A26" s="46" t="s">
        <v>423</v>
      </c>
      <c r="B26" s="46" t="s">
        <v>80</v>
      </c>
      <c r="C26" s="46">
        <v>4093</v>
      </c>
      <c r="D26" s="98" t="s">
        <v>416</v>
      </c>
      <c r="E26" s="46" t="s">
        <v>79</v>
      </c>
      <c r="F26" s="53">
        <v>80</v>
      </c>
      <c r="G26" s="53">
        <v>14.59</v>
      </c>
      <c r="H26" s="53">
        <f t="shared" si="0"/>
        <v>14.59</v>
      </c>
      <c r="I26" s="494">
        <f t="shared" si="1"/>
        <v>1167.2</v>
      </c>
      <c r="J26" s="8"/>
      <c r="K26" s="8"/>
      <c r="L26" s="8"/>
      <c r="M26" s="8"/>
      <c r="N26" s="8"/>
      <c r="O26" s="8"/>
      <c r="P26" s="8"/>
      <c r="Q26" s="8"/>
    </row>
    <row r="27" spans="1:17" s="7" customFormat="1" ht="14.25" x14ac:dyDescent="0.2">
      <c r="A27" s="46" t="s">
        <v>855</v>
      </c>
      <c r="B27" s="46" t="s">
        <v>80</v>
      </c>
      <c r="C27" s="46">
        <v>10508</v>
      </c>
      <c r="D27" s="97" t="s">
        <v>205</v>
      </c>
      <c r="E27" s="46" t="s">
        <v>79</v>
      </c>
      <c r="F27" s="53">
        <v>100</v>
      </c>
      <c r="G27" s="53">
        <v>13.78</v>
      </c>
      <c r="H27" s="53">
        <f t="shared" si="0"/>
        <v>13.78</v>
      </c>
      <c r="I27" s="494">
        <f t="shared" si="1"/>
        <v>1378</v>
      </c>
      <c r="J27" s="8"/>
      <c r="K27" s="8"/>
      <c r="L27" s="8"/>
      <c r="M27" s="8"/>
      <c r="N27" s="8"/>
      <c r="O27" s="8"/>
      <c r="P27" s="8"/>
      <c r="Q27" s="8"/>
    </row>
    <row r="28" spans="1:17" s="7" customFormat="1" ht="14.25" x14ac:dyDescent="0.2">
      <c r="A28" s="46"/>
      <c r="B28" s="46"/>
      <c r="C28" s="46"/>
      <c r="D28" s="97"/>
      <c r="E28" s="46"/>
      <c r="F28" s="53"/>
      <c r="G28" s="53"/>
      <c r="H28" s="53"/>
      <c r="I28" s="494"/>
      <c r="J28" s="8"/>
      <c r="K28" s="8"/>
      <c r="L28" s="8"/>
      <c r="M28" s="8"/>
      <c r="N28" s="8"/>
      <c r="O28" s="8"/>
      <c r="P28" s="8"/>
      <c r="Q28" s="8"/>
    </row>
    <row r="29" spans="1:17" s="7" customFormat="1" x14ac:dyDescent="0.2">
      <c r="A29" s="48" t="s">
        <v>206</v>
      </c>
      <c r="B29" s="46"/>
      <c r="C29" s="46"/>
      <c r="D29" s="96" t="s">
        <v>207</v>
      </c>
      <c r="E29" s="46"/>
      <c r="F29" s="53"/>
      <c r="G29" s="53"/>
      <c r="H29" s="53"/>
      <c r="I29" s="493">
        <f>SUM(I30:I36)</f>
        <v>7291.88</v>
      </c>
      <c r="J29" s="8"/>
      <c r="K29" s="8"/>
      <c r="L29" s="8"/>
      <c r="M29" s="8"/>
      <c r="N29" s="8"/>
      <c r="O29" s="8"/>
      <c r="P29" s="8"/>
      <c r="Q29" s="8"/>
    </row>
    <row r="30" spans="1:17" s="7" customFormat="1" ht="57" x14ac:dyDescent="0.2">
      <c r="A30" s="46" t="s">
        <v>208</v>
      </c>
      <c r="B30" s="46" t="s">
        <v>80</v>
      </c>
      <c r="C30" s="46" t="s">
        <v>418</v>
      </c>
      <c r="D30" s="97" t="s">
        <v>419</v>
      </c>
      <c r="E30" s="46" t="s">
        <v>86</v>
      </c>
      <c r="F30" s="53">
        <v>1</v>
      </c>
      <c r="G30" s="53">
        <v>776.48</v>
      </c>
      <c r="H30" s="53">
        <f t="shared" ref="H30:H36" si="2">G30</f>
        <v>776.48</v>
      </c>
      <c r="I30" s="494">
        <f t="shared" ref="I30:I36" si="3">ROUND(F30*H30,2)</f>
        <v>776.48</v>
      </c>
      <c r="J30" s="8"/>
      <c r="K30" s="8"/>
      <c r="L30" s="8"/>
      <c r="M30" s="8"/>
      <c r="N30" s="8"/>
      <c r="O30" s="8"/>
      <c r="P30" s="8"/>
      <c r="Q30" s="8"/>
    </row>
    <row r="31" spans="1:17" s="7" customFormat="1" ht="28.5" x14ac:dyDescent="0.2">
      <c r="A31" s="46" t="s">
        <v>210</v>
      </c>
      <c r="B31" s="46" t="s">
        <v>80</v>
      </c>
      <c r="C31" s="46">
        <v>1160</v>
      </c>
      <c r="D31" s="97" t="s">
        <v>209</v>
      </c>
      <c r="E31" s="46" t="s">
        <v>79</v>
      </c>
      <c r="F31" s="53">
        <v>80</v>
      </c>
      <c r="G31" s="53">
        <v>15.78</v>
      </c>
      <c r="H31" s="53">
        <f t="shared" si="2"/>
        <v>15.78</v>
      </c>
      <c r="I31" s="494">
        <f t="shared" si="3"/>
        <v>1262.4000000000001</v>
      </c>
      <c r="J31" s="8"/>
      <c r="K31" s="8"/>
      <c r="L31" s="8"/>
      <c r="M31" s="8"/>
      <c r="N31" s="8"/>
      <c r="O31" s="8"/>
      <c r="P31" s="8"/>
      <c r="Q31" s="8"/>
    </row>
    <row r="32" spans="1:17" s="7" customFormat="1" ht="42.75" customHeight="1" x14ac:dyDescent="0.2">
      <c r="A32" s="46" t="s">
        <v>212</v>
      </c>
      <c r="B32" s="46" t="s">
        <v>80</v>
      </c>
      <c r="C32" s="46">
        <v>1133</v>
      </c>
      <c r="D32" s="97" t="s">
        <v>211</v>
      </c>
      <c r="E32" s="46" t="s">
        <v>79</v>
      </c>
      <c r="F32" s="54">
        <v>40</v>
      </c>
      <c r="G32" s="53">
        <v>55.35</v>
      </c>
      <c r="H32" s="53">
        <f t="shared" si="2"/>
        <v>55.35</v>
      </c>
      <c r="I32" s="494">
        <f t="shared" si="3"/>
        <v>2214</v>
      </c>
      <c r="J32" s="8"/>
      <c r="K32" s="8"/>
      <c r="L32" s="8"/>
      <c r="M32" s="8"/>
      <c r="N32" s="8"/>
      <c r="O32" s="8"/>
      <c r="P32" s="8"/>
      <c r="Q32" s="8"/>
    </row>
    <row r="33" spans="1:17" s="7" customFormat="1" ht="28.5" x14ac:dyDescent="0.2">
      <c r="A33" s="487" t="s">
        <v>213</v>
      </c>
      <c r="B33" s="487" t="s">
        <v>80</v>
      </c>
      <c r="C33" s="487">
        <v>1140</v>
      </c>
      <c r="D33" s="489" t="s">
        <v>417</v>
      </c>
      <c r="E33" s="487" t="s">
        <v>79</v>
      </c>
      <c r="F33" s="481">
        <v>100</v>
      </c>
      <c r="G33" s="481">
        <v>26.21</v>
      </c>
      <c r="H33" s="481">
        <f t="shared" si="2"/>
        <v>26.21</v>
      </c>
      <c r="I33" s="496">
        <f t="shared" si="3"/>
        <v>2621</v>
      </c>
      <c r="J33" s="8"/>
      <c r="K33" s="8"/>
      <c r="L33" s="8"/>
      <c r="M33" s="8"/>
      <c r="N33" s="8"/>
      <c r="O33" s="8"/>
      <c r="P33" s="8"/>
      <c r="Q33" s="8"/>
    </row>
    <row r="34" spans="1:17" s="7" customFormat="1" ht="14.25" x14ac:dyDescent="0.2">
      <c r="A34" s="46" t="s">
        <v>214</v>
      </c>
      <c r="B34" s="46" t="s">
        <v>80</v>
      </c>
      <c r="C34" s="46">
        <v>7252</v>
      </c>
      <c r="D34" s="97" t="s">
        <v>215</v>
      </c>
      <c r="E34" s="46" t="s">
        <v>79</v>
      </c>
      <c r="F34" s="53">
        <v>100</v>
      </c>
      <c r="G34" s="53">
        <v>1.33</v>
      </c>
      <c r="H34" s="53">
        <f t="shared" si="2"/>
        <v>1.33</v>
      </c>
      <c r="I34" s="494">
        <f t="shared" si="3"/>
        <v>133</v>
      </c>
      <c r="J34" s="8"/>
      <c r="K34" s="8"/>
      <c r="L34" s="8"/>
      <c r="M34" s="8"/>
      <c r="N34" s="8"/>
      <c r="O34" s="8"/>
      <c r="P34" s="8"/>
      <c r="Q34" s="8"/>
    </row>
    <row r="35" spans="1:17" s="7" customFormat="1" ht="28.5" x14ac:dyDescent="0.2">
      <c r="A35" s="46" t="s">
        <v>216</v>
      </c>
      <c r="B35" s="46" t="s">
        <v>80</v>
      </c>
      <c r="C35" s="46">
        <v>10485</v>
      </c>
      <c r="D35" s="97" t="s">
        <v>217</v>
      </c>
      <c r="E35" s="46" t="s">
        <v>79</v>
      </c>
      <c r="F35" s="53">
        <v>100</v>
      </c>
      <c r="G35" s="53">
        <v>1.1200000000000001</v>
      </c>
      <c r="H35" s="53">
        <f t="shared" si="2"/>
        <v>1.1200000000000001</v>
      </c>
      <c r="I35" s="494">
        <f t="shared" si="3"/>
        <v>112</v>
      </c>
      <c r="J35" s="8"/>
      <c r="K35" s="8"/>
      <c r="L35" s="8"/>
      <c r="M35" s="8"/>
      <c r="N35" s="8"/>
      <c r="O35" s="8"/>
      <c r="P35" s="8"/>
      <c r="Q35" s="8"/>
    </row>
    <row r="36" spans="1:17" s="7" customFormat="1" ht="14.25" x14ac:dyDescent="0.2">
      <c r="A36" s="46" t="s">
        <v>218</v>
      </c>
      <c r="B36" s="46" t="s">
        <v>80</v>
      </c>
      <c r="C36" s="46">
        <v>643</v>
      </c>
      <c r="D36" s="97" t="s">
        <v>219</v>
      </c>
      <c r="E36" s="46" t="s">
        <v>79</v>
      </c>
      <c r="F36" s="53">
        <f>F35</f>
        <v>100</v>
      </c>
      <c r="G36" s="53">
        <v>1.73</v>
      </c>
      <c r="H36" s="53">
        <f t="shared" si="2"/>
        <v>1.73</v>
      </c>
      <c r="I36" s="494">
        <f t="shared" si="3"/>
        <v>173</v>
      </c>
      <c r="J36" s="8"/>
      <c r="K36" s="8"/>
      <c r="L36" s="8"/>
      <c r="M36" s="8"/>
      <c r="N36" s="8"/>
      <c r="O36" s="8"/>
      <c r="P36" s="8"/>
      <c r="Q36" s="8"/>
    </row>
    <row r="37" spans="1:17" s="7" customFormat="1" x14ac:dyDescent="0.2">
      <c r="A37" s="48" t="s">
        <v>467</v>
      </c>
      <c r="B37" s="46"/>
      <c r="C37" s="46"/>
      <c r="D37" s="96" t="s">
        <v>220</v>
      </c>
      <c r="E37" s="46"/>
      <c r="F37" s="53"/>
      <c r="G37" s="53"/>
      <c r="H37" s="53"/>
      <c r="I37" s="493">
        <f>SUM(I38:I40)</f>
        <v>3434</v>
      </c>
      <c r="J37" s="8"/>
      <c r="K37" s="8"/>
      <c r="L37" s="8"/>
      <c r="M37" s="8"/>
      <c r="N37" s="8"/>
      <c r="O37" s="8"/>
      <c r="P37" s="8"/>
      <c r="Q37" s="8"/>
    </row>
    <row r="38" spans="1:17" s="7" customFormat="1" ht="14.25" x14ac:dyDescent="0.2">
      <c r="A38" s="46" t="s">
        <v>221</v>
      </c>
      <c r="B38" s="46" t="s">
        <v>80</v>
      </c>
      <c r="C38" s="46">
        <v>14250</v>
      </c>
      <c r="D38" s="97" t="s">
        <v>222</v>
      </c>
      <c r="E38" s="46" t="s">
        <v>223</v>
      </c>
      <c r="F38" s="53">
        <v>600</v>
      </c>
      <c r="G38" s="53">
        <v>0.48</v>
      </c>
      <c r="H38" s="53">
        <f>G38</f>
        <v>0.48</v>
      </c>
      <c r="I38" s="494">
        <f>ROUND(F38*H38,2)</f>
        <v>288</v>
      </c>
      <c r="J38" s="8"/>
      <c r="K38" s="8"/>
      <c r="L38" s="8"/>
      <c r="M38" s="8"/>
      <c r="N38" s="8"/>
      <c r="O38" s="8"/>
      <c r="P38" s="8"/>
      <c r="Q38" s="8"/>
    </row>
    <row r="39" spans="1:17" s="7" customFormat="1" ht="14.25" customHeight="1" x14ac:dyDescent="0.2">
      <c r="A39" s="46" t="s">
        <v>224</v>
      </c>
      <c r="B39" s="46" t="s">
        <v>80</v>
      </c>
      <c r="C39" s="46">
        <v>4221</v>
      </c>
      <c r="D39" s="97" t="s">
        <v>225</v>
      </c>
      <c r="E39" s="46" t="s">
        <v>226</v>
      </c>
      <c r="F39" s="53">
        <v>600</v>
      </c>
      <c r="G39" s="53">
        <v>2.91</v>
      </c>
      <c r="H39" s="53">
        <f>G39</f>
        <v>2.91</v>
      </c>
      <c r="I39" s="494">
        <f>ROUND(F39*H39,2)</f>
        <v>1746</v>
      </c>
      <c r="J39" s="8"/>
      <c r="K39" s="8"/>
      <c r="L39" s="8"/>
      <c r="M39" s="8"/>
      <c r="N39" s="8"/>
      <c r="O39" s="8"/>
      <c r="P39" s="8"/>
      <c r="Q39" s="8"/>
    </row>
    <row r="40" spans="1:17" s="7" customFormat="1" ht="15" customHeight="1" x14ac:dyDescent="0.2">
      <c r="A40" s="46" t="s">
        <v>227</v>
      </c>
      <c r="B40" s="46" t="s">
        <v>80</v>
      </c>
      <c r="C40" s="46">
        <v>4222</v>
      </c>
      <c r="D40" s="97" t="s">
        <v>228</v>
      </c>
      <c r="E40" s="46" t="s">
        <v>226</v>
      </c>
      <c r="F40" s="53">
        <v>400</v>
      </c>
      <c r="G40" s="53">
        <v>3.5</v>
      </c>
      <c r="H40" s="53">
        <f>G40</f>
        <v>3.5</v>
      </c>
      <c r="I40" s="494">
        <f>ROUND(F40*H40,2)</f>
        <v>1400</v>
      </c>
      <c r="J40" s="8"/>
      <c r="K40" s="8"/>
      <c r="L40" s="8"/>
      <c r="M40" s="8"/>
      <c r="N40" s="8"/>
      <c r="O40" s="8"/>
      <c r="P40" s="8"/>
      <c r="Q40" s="8"/>
    </row>
    <row r="41" spans="1:17" s="7" customFormat="1" ht="14.25" x14ac:dyDescent="0.2">
      <c r="A41" s="454"/>
      <c r="B41" s="455"/>
      <c r="C41" s="455"/>
      <c r="D41" s="456"/>
      <c r="E41" s="455"/>
      <c r="F41" s="457"/>
      <c r="G41" s="458"/>
      <c r="H41" s="458"/>
      <c r="I41" s="459"/>
      <c r="J41" s="8"/>
      <c r="K41" s="8"/>
      <c r="L41" s="8"/>
      <c r="M41" s="8"/>
      <c r="N41" s="8"/>
      <c r="O41" s="8"/>
      <c r="P41" s="8"/>
      <c r="Q41" s="8"/>
    </row>
    <row r="42" spans="1:17" s="7" customFormat="1" ht="30" x14ac:dyDescent="0.2">
      <c r="A42" s="124" t="s">
        <v>466</v>
      </c>
      <c r="B42" s="125" t="s">
        <v>278</v>
      </c>
      <c r="C42" s="126" t="s">
        <v>134</v>
      </c>
      <c r="D42" s="127" t="s">
        <v>301</v>
      </c>
      <c r="E42" s="125" t="s">
        <v>8</v>
      </c>
      <c r="F42" s="128"/>
      <c r="G42" s="129"/>
      <c r="H42" s="129"/>
      <c r="I42" s="130">
        <f>SUM(I43:I44)</f>
        <v>83807</v>
      </c>
      <c r="J42" s="6"/>
      <c r="K42" s="6"/>
      <c r="L42" s="6"/>
      <c r="M42" s="6"/>
      <c r="N42" s="6"/>
      <c r="O42" s="6"/>
      <c r="P42" s="6"/>
      <c r="Q42" s="6"/>
    </row>
    <row r="43" spans="1:17" s="50" customFormat="1" ht="14.25" x14ac:dyDescent="0.2">
      <c r="A43" s="531" t="s">
        <v>89</v>
      </c>
      <c r="B43" s="518" t="s">
        <v>80</v>
      </c>
      <c r="C43" s="518">
        <v>9819</v>
      </c>
      <c r="D43" s="519" t="s">
        <v>976</v>
      </c>
      <c r="E43" s="518" t="s">
        <v>90</v>
      </c>
      <c r="F43" s="520">
        <v>900</v>
      </c>
      <c r="G43" s="520">
        <v>42.55</v>
      </c>
      <c r="H43" s="520">
        <f>ROUND((1+K$3)*G43,2)</f>
        <v>42.55</v>
      </c>
      <c r="I43" s="522">
        <f>ROUND(F43*H43,2)</f>
        <v>38295</v>
      </c>
      <c r="J43" s="49"/>
      <c r="K43" s="49"/>
      <c r="L43" s="49"/>
      <c r="M43" s="49"/>
      <c r="N43" s="49"/>
      <c r="O43" s="49"/>
      <c r="P43" s="49"/>
      <c r="Q43" s="49"/>
    </row>
    <row r="44" spans="1:17" s="50" customFormat="1" ht="14.25" x14ac:dyDescent="0.2">
      <c r="A44" s="531" t="s">
        <v>57</v>
      </c>
      <c r="B44" s="518" t="s">
        <v>80</v>
      </c>
      <c r="C44" s="518">
        <v>9821</v>
      </c>
      <c r="D44" s="519" t="s">
        <v>977</v>
      </c>
      <c r="E44" s="518" t="s">
        <v>90</v>
      </c>
      <c r="F44" s="520">
        <v>400</v>
      </c>
      <c r="G44" s="520">
        <v>113.78</v>
      </c>
      <c r="H44" s="520">
        <f>ROUND((1+K$3)*G44,2)</f>
        <v>113.78</v>
      </c>
      <c r="I44" s="522">
        <f>ROUND(F44*H44,2)</f>
        <v>45512</v>
      </c>
      <c r="J44" s="49"/>
      <c r="K44" s="49"/>
      <c r="L44" s="49"/>
      <c r="M44" s="49"/>
      <c r="N44" s="49"/>
      <c r="O44" s="49"/>
      <c r="P44" s="49"/>
      <c r="Q44" s="49"/>
    </row>
    <row r="45" spans="1:17" s="50" customFormat="1" ht="14.25" x14ac:dyDescent="0.2">
      <c r="A45" s="138"/>
      <c r="B45" s="132"/>
      <c r="C45" s="132"/>
      <c r="D45" s="131"/>
      <c r="E45" s="132"/>
      <c r="F45" s="134"/>
      <c r="G45" s="134"/>
      <c r="H45" s="134"/>
      <c r="I45" s="139"/>
      <c r="J45" s="49"/>
      <c r="K45" s="49"/>
      <c r="L45" s="49"/>
      <c r="M45" s="49"/>
      <c r="N45" s="49"/>
      <c r="O45" s="49"/>
      <c r="P45" s="49"/>
      <c r="Q45" s="49"/>
    </row>
    <row r="46" spans="1:17" x14ac:dyDescent="0.2">
      <c r="A46" s="124" t="s">
        <v>465</v>
      </c>
      <c r="B46" s="125" t="s">
        <v>278</v>
      </c>
      <c r="C46" s="126" t="s">
        <v>399</v>
      </c>
      <c r="D46" s="127" t="s">
        <v>579</v>
      </c>
      <c r="E46" s="125"/>
      <c r="F46" s="135"/>
      <c r="G46" s="136"/>
      <c r="H46" s="136"/>
      <c r="I46" s="130">
        <f>I47+I48+I49</f>
        <v>147.4</v>
      </c>
      <c r="J46" s="5"/>
      <c r="K46" s="5"/>
      <c r="L46" s="5"/>
      <c r="M46" s="5"/>
      <c r="N46" s="5"/>
      <c r="O46" s="5"/>
      <c r="P46" s="5"/>
      <c r="Q46" s="5"/>
    </row>
    <row r="47" spans="1:17" s="50" customFormat="1" ht="14.25" x14ac:dyDescent="0.2">
      <c r="A47" s="138" t="s">
        <v>164</v>
      </c>
      <c r="B47" s="132" t="s">
        <v>389</v>
      </c>
      <c r="C47" s="218">
        <v>560</v>
      </c>
      <c r="D47" s="137" t="s">
        <v>388</v>
      </c>
      <c r="E47" s="218" t="s">
        <v>90</v>
      </c>
      <c r="F47" s="219">
        <f>11.43+0.4</f>
        <v>11.83</v>
      </c>
      <c r="G47" s="220">
        <v>9.42</v>
      </c>
      <c r="H47" s="221">
        <f>G47*J$7</f>
        <v>9.42</v>
      </c>
      <c r="I47" s="222">
        <f>ROUND(F47*H47,2)</f>
        <v>111.44</v>
      </c>
      <c r="J47" s="223"/>
      <c r="K47" s="223"/>
      <c r="L47" s="223"/>
      <c r="M47" s="223"/>
      <c r="N47" s="223"/>
      <c r="O47" s="223"/>
      <c r="P47" s="223"/>
      <c r="Q47" s="223"/>
    </row>
    <row r="48" spans="1:17" s="50" customFormat="1" ht="14.25" x14ac:dyDescent="0.2">
      <c r="A48" s="138" t="s">
        <v>165</v>
      </c>
      <c r="B48" s="132" t="s">
        <v>389</v>
      </c>
      <c r="C48" s="218">
        <v>6110</v>
      </c>
      <c r="D48" s="137" t="s">
        <v>232</v>
      </c>
      <c r="E48" s="218" t="s">
        <v>79</v>
      </c>
      <c r="F48" s="219">
        <v>2</v>
      </c>
      <c r="G48" s="220">
        <v>10.48</v>
      </c>
      <c r="H48" s="221">
        <f>G48*J$7</f>
        <v>10.48</v>
      </c>
      <c r="I48" s="222">
        <f t="shared" ref="I48:I49" si="4">ROUND(F48*H48,2)</f>
        <v>20.96</v>
      </c>
      <c r="J48" s="223"/>
      <c r="K48" s="223"/>
      <c r="L48" s="223"/>
      <c r="M48" s="223"/>
      <c r="N48" s="223"/>
      <c r="O48" s="223"/>
      <c r="P48" s="223"/>
      <c r="Q48" s="223"/>
    </row>
    <row r="49" spans="1:17" s="50" customFormat="1" ht="14.25" x14ac:dyDescent="0.2">
      <c r="A49" s="138" t="s">
        <v>116</v>
      </c>
      <c r="B49" s="132" t="s">
        <v>389</v>
      </c>
      <c r="C49" s="218">
        <v>252</v>
      </c>
      <c r="D49" s="137" t="s">
        <v>303</v>
      </c>
      <c r="E49" s="218" t="s">
        <v>79</v>
      </c>
      <c r="F49" s="219">
        <v>2</v>
      </c>
      <c r="G49" s="220">
        <v>7.5</v>
      </c>
      <c r="H49" s="221">
        <f>G49*J$7</f>
        <v>7.5</v>
      </c>
      <c r="I49" s="222">
        <f t="shared" si="4"/>
        <v>15</v>
      </c>
      <c r="J49" s="223"/>
      <c r="K49" s="223"/>
      <c r="L49" s="223"/>
      <c r="M49" s="223"/>
      <c r="N49" s="223"/>
      <c r="O49" s="223"/>
      <c r="P49" s="223"/>
      <c r="Q49" s="223"/>
    </row>
    <row r="50" spans="1:17" s="116" customFormat="1" x14ac:dyDescent="0.2">
      <c r="A50" s="292"/>
      <c r="B50" s="132"/>
      <c r="C50" s="132"/>
      <c r="D50" s="277"/>
      <c r="E50" s="132"/>
      <c r="F50" s="278"/>
      <c r="G50" s="221"/>
      <c r="H50" s="221"/>
      <c r="I50" s="222"/>
      <c r="J50" s="115"/>
      <c r="K50" s="115"/>
      <c r="L50" s="115"/>
      <c r="M50" s="115"/>
      <c r="N50" s="115"/>
      <c r="O50" s="115"/>
      <c r="P50" s="115"/>
      <c r="Q50" s="115"/>
    </row>
    <row r="51" spans="1:17" s="7" customFormat="1" ht="45" x14ac:dyDescent="0.2">
      <c r="A51" s="124" t="s">
        <v>464</v>
      </c>
      <c r="B51" s="125" t="s">
        <v>278</v>
      </c>
      <c r="C51" s="126" t="s">
        <v>573</v>
      </c>
      <c r="D51" s="127" t="s">
        <v>546</v>
      </c>
      <c r="E51" s="125" t="s">
        <v>8</v>
      </c>
      <c r="F51" s="128"/>
      <c r="G51" s="129"/>
      <c r="H51" s="129"/>
      <c r="I51" s="130">
        <f>SUM(I52:I55)</f>
        <v>219.89000000000001</v>
      </c>
      <c r="J51" s="6"/>
      <c r="K51" s="6"/>
      <c r="L51" s="6"/>
      <c r="M51" s="6"/>
      <c r="N51" s="6"/>
      <c r="O51" s="6"/>
      <c r="P51" s="6"/>
      <c r="Q51" s="6"/>
    </row>
    <row r="52" spans="1:17" s="116" customFormat="1" ht="14.25" x14ac:dyDescent="0.2">
      <c r="A52" s="138" t="s">
        <v>580</v>
      </c>
      <c r="B52" s="132" t="s">
        <v>80</v>
      </c>
      <c r="C52" s="132">
        <v>11125</v>
      </c>
      <c r="D52" s="277" t="s">
        <v>229</v>
      </c>
      <c r="E52" s="132" t="s">
        <v>2</v>
      </c>
      <c r="F52" s="278">
        <v>5.77</v>
      </c>
      <c r="G52" s="221">
        <v>16.760000000000002</v>
      </c>
      <c r="H52" s="221">
        <f>G52*J$7</f>
        <v>16.760000000000002</v>
      </c>
      <c r="I52" s="222">
        <f>ROUND(F52*H52,2)</f>
        <v>96.71</v>
      </c>
      <c r="J52" s="115"/>
      <c r="K52" s="115"/>
      <c r="L52" s="115"/>
      <c r="M52" s="115"/>
      <c r="N52" s="115"/>
      <c r="O52" s="115"/>
      <c r="P52" s="115"/>
      <c r="Q52" s="115"/>
    </row>
    <row r="53" spans="1:17" s="116" customFormat="1" ht="14.25" x14ac:dyDescent="0.2">
      <c r="A53" s="138" t="s">
        <v>581</v>
      </c>
      <c r="B53" s="132" t="s">
        <v>80</v>
      </c>
      <c r="C53" s="132">
        <v>585</v>
      </c>
      <c r="D53" s="277" t="s">
        <v>230</v>
      </c>
      <c r="E53" s="132" t="s">
        <v>2</v>
      </c>
      <c r="F53" s="278">
        <v>2.0499999999999998</v>
      </c>
      <c r="G53" s="221">
        <v>17</v>
      </c>
      <c r="H53" s="221">
        <f>G53*J$7</f>
        <v>17</v>
      </c>
      <c r="I53" s="222">
        <f>ROUND(F53*H53,2)</f>
        <v>34.85</v>
      </c>
      <c r="J53" s="115"/>
      <c r="K53" s="115"/>
      <c r="L53" s="115"/>
      <c r="M53" s="115"/>
      <c r="N53" s="115"/>
      <c r="O53" s="115"/>
      <c r="P53" s="115"/>
      <c r="Q53" s="115"/>
    </row>
    <row r="54" spans="1:17" s="116" customFormat="1" ht="14.25" x14ac:dyDescent="0.2">
      <c r="A54" s="138" t="s">
        <v>582</v>
      </c>
      <c r="B54" s="132" t="s">
        <v>80</v>
      </c>
      <c r="C54" s="132">
        <v>252</v>
      </c>
      <c r="D54" s="277" t="s">
        <v>231</v>
      </c>
      <c r="E54" s="132" t="s">
        <v>79</v>
      </c>
      <c r="F54" s="278">
        <v>2.5</v>
      </c>
      <c r="G54" s="221">
        <v>7.5</v>
      </c>
      <c r="H54" s="221">
        <f>G54*L$11</f>
        <v>16.68225</v>
      </c>
      <c r="I54" s="222">
        <f>ROUND(F54*H54,2)</f>
        <v>41.71</v>
      </c>
      <c r="J54" s="115"/>
      <c r="K54" s="115"/>
      <c r="L54" s="115"/>
      <c r="M54" s="115"/>
      <c r="N54" s="115"/>
      <c r="O54" s="115"/>
      <c r="P54" s="115"/>
      <c r="Q54" s="115"/>
    </row>
    <row r="55" spans="1:17" s="116" customFormat="1" ht="14.25" x14ac:dyDescent="0.2">
      <c r="A55" s="138" t="s">
        <v>583</v>
      </c>
      <c r="B55" s="132" t="s">
        <v>80</v>
      </c>
      <c r="C55" s="132">
        <v>6110</v>
      </c>
      <c r="D55" s="277" t="s">
        <v>232</v>
      </c>
      <c r="E55" s="132" t="s">
        <v>79</v>
      </c>
      <c r="F55" s="278">
        <v>2</v>
      </c>
      <c r="G55" s="221">
        <v>10.48</v>
      </c>
      <c r="H55" s="221">
        <f>G55*L$11</f>
        <v>23.310663999999999</v>
      </c>
      <c r="I55" s="222">
        <f>ROUND(F55*H55,2)</f>
        <v>46.62</v>
      </c>
      <c r="J55" s="115"/>
      <c r="K55" s="115"/>
      <c r="L55" s="115"/>
      <c r="M55" s="115"/>
      <c r="N55" s="115"/>
      <c r="O55" s="115"/>
      <c r="P55" s="115"/>
      <c r="Q55" s="115"/>
    </row>
    <row r="56" spans="1:17" s="116" customFormat="1" ht="14.25" x14ac:dyDescent="0.2">
      <c r="A56" s="138"/>
      <c r="B56" s="132"/>
      <c r="C56" s="132"/>
      <c r="D56" s="277"/>
      <c r="E56" s="132"/>
      <c r="F56" s="278"/>
      <c r="G56" s="221"/>
      <c r="H56" s="221"/>
      <c r="I56" s="222"/>
      <c r="J56" s="115"/>
      <c r="K56" s="115"/>
      <c r="L56" s="115"/>
      <c r="M56" s="115"/>
      <c r="N56" s="115"/>
      <c r="O56" s="115"/>
      <c r="P56" s="115"/>
      <c r="Q56" s="115"/>
    </row>
    <row r="57" spans="1:17" s="50" customFormat="1" ht="14.25" x14ac:dyDescent="0.2">
      <c r="A57" s="138"/>
      <c r="B57" s="132"/>
      <c r="C57" s="132"/>
      <c r="D57" s="131"/>
      <c r="E57" s="132"/>
      <c r="F57" s="134"/>
      <c r="G57" s="134"/>
      <c r="H57" s="134"/>
      <c r="I57" s="139"/>
      <c r="J57" s="49"/>
      <c r="K57" s="49"/>
      <c r="L57" s="49"/>
      <c r="M57" s="49"/>
      <c r="N57" s="49"/>
      <c r="O57" s="49"/>
      <c r="P57" s="49"/>
      <c r="Q57" s="49"/>
    </row>
    <row r="58" spans="1:17" s="58" customFormat="1" x14ac:dyDescent="0.2">
      <c r="A58" s="124" t="s">
        <v>463</v>
      </c>
      <c r="B58" s="125" t="s">
        <v>278</v>
      </c>
      <c r="C58" s="126" t="s">
        <v>135</v>
      </c>
      <c r="D58" s="127" t="s">
        <v>282</v>
      </c>
      <c r="E58" s="125" t="s">
        <v>8</v>
      </c>
      <c r="F58" s="128"/>
      <c r="G58" s="129"/>
      <c r="H58" s="129"/>
      <c r="I58" s="130">
        <f>SUM(I59:I74)</f>
        <v>1888.02</v>
      </c>
      <c r="J58" s="64"/>
      <c r="K58" s="64"/>
      <c r="L58" s="64"/>
      <c r="M58" s="64"/>
      <c r="N58" s="64"/>
      <c r="O58" s="64"/>
      <c r="P58" s="64"/>
      <c r="Q58" s="64"/>
    </row>
    <row r="59" spans="1:17" s="116" customFormat="1" ht="28.5" x14ac:dyDescent="0.2">
      <c r="A59" s="138" t="s">
        <v>12</v>
      </c>
      <c r="B59" s="132" t="s">
        <v>80</v>
      </c>
      <c r="C59" s="132">
        <v>10408</v>
      </c>
      <c r="D59" s="131" t="s">
        <v>530</v>
      </c>
      <c r="E59" s="132" t="s">
        <v>8</v>
      </c>
      <c r="F59" s="134">
        <v>2</v>
      </c>
      <c r="G59" s="520">
        <v>188.75</v>
      </c>
      <c r="H59" s="134">
        <f t="shared" ref="H59:H74" si="5">ROUND((1+K$3)*G59,2)</f>
        <v>188.75</v>
      </c>
      <c r="I59" s="139">
        <f t="shared" ref="I59:I67" si="6">ROUND(F59*H59,2)</f>
        <v>377.5</v>
      </c>
      <c r="J59" s="115"/>
      <c r="K59" s="115"/>
      <c r="L59" s="115"/>
      <c r="M59" s="115"/>
      <c r="N59" s="115"/>
      <c r="O59" s="115"/>
      <c r="P59" s="115"/>
      <c r="Q59" s="115"/>
    </row>
    <row r="60" spans="1:17" s="116" customFormat="1" ht="14.25" x14ac:dyDescent="0.2">
      <c r="A60" s="138" t="s">
        <v>175</v>
      </c>
      <c r="B60" s="132" t="s">
        <v>80</v>
      </c>
      <c r="C60" s="132">
        <v>6028</v>
      </c>
      <c r="D60" s="131" t="s">
        <v>531</v>
      </c>
      <c r="E60" s="132" t="s">
        <v>8</v>
      </c>
      <c r="F60" s="134">
        <v>3</v>
      </c>
      <c r="G60" s="520">
        <v>93.93</v>
      </c>
      <c r="H60" s="134">
        <f t="shared" si="5"/>
        <v>93.93</v>
      </c>
      <c r="I60" s="139">
        <f t="shared" si="6"/>
        <v>281.79000000000002</v>
      </c>
      <c r="J60" s="115"/>
      <c r="K60" s="115"/>
      <c r="L60" s="115"/>
      <c r="M60" s="115"/>
      <c r="N60" s="115"/>
      <c r="O60" s="115"/>
      <c r="P60" s="115"/>
      <c r="Q60" s="115"/>
    </row>
    <row r="61" spans="1:17" s="116" customFormat="1" ht="14.25" x14ac:dyDescent="0.2">
      <c r="A61" s="138" t="s">
        <v>176</v>
      </c>
      <c r="B61" s="132" t="s">
        <v>80</v>
      </c>
      <c r="C61" s="132">
        <v>3589</v>
      </c>
      <c r="D61" s="131" t="s">
        <v>533</v>
      </c>
      <c r="E61" s="132" t="s">
        <v>8</v>
      </c>
      <c r="F61" s="134">
        <v>1</v>
      </c>
      <c r="G61" s="520">
        <v>77.06</v>
      </c>
      <c r="H61" s="134">
        <f t="shared" si="5"/>
        <v>77.06</v>
      </c>
      <c r="I61" s="139">
        <f t="shared" si="6"/>
        <v>77.06</v>
      </c>
      <c r="J61" s="115"/>
      <c r="K61" s="115"/>
      <c r="L61" s="115"/>
      <c r="M61" s="115"/>
      <c r="N61" s="115"/>
      <c r="O61" s="115"/>
      <c r="P61" s="115"/>
      <c r="Q61" s="115"/>
    </row>
    <row r="62" spans="1:17" s="116" customFormat="1" ht="28.5" x14ac:dyDescent="0.2">
      <c r="A62" s="138" t="s">
        <v>177</v>
      </c>
      <c r="B62" s="132" t="s">
        <v>80</v>
      </c>
      <c r="C62" s="132">
        <v>7696</v>
      </c>
      <c r="D62" s="131" t="s">
        <v>532</v>
      </c>
      <c r="E62" s="132" t="s">
        <v>90</v>
      </c>
      <c r="F62" s="134">
        <v>0.6</v>
      </c>
      <c r="G62" s="520">
        <v>34.93</v>
      </c>
      <c r="H62" s="134">
        <f t="shared" si="5"/>
        <v>34.93</v>
      </c>
      <c r="I62" s="139">
        <f t="shared" si="6"/>
        <v>20.96</v>
      </c>
      <c r="J62" s="115"/>
      <c r="K62" s="115"/>
      <c r="L62" s="115"/>
      <c r="M62" s="115"/>
      <c r="N62" s="115"/>
      <c r="O62" s="115"/>
      <c r="P62" s="115"/>
      <c r="Q62" s="115"/>
    </row>
    <row r="63" spans="1:17" s="116" customFormat="1" ht="14.25" x14ac:dyDescent="0.2">
      <c r="A63" s="138" t="s">
        <v>469</v>
      </c>
      <c r="B63" s="132" t="s">
        <v>80</v>
      </c>
      <c r="C63" s="132">
        <v>3471</v>
      </c>
      <c r="D63" s="131" t="s">
        <v>536</v>
      </c>
      <c r="E63" s="132" t="s">
        <v>8</v>
      </c>
      <c r="F63" s="134">
        <v>1</v>
      </c>
      <c r="G63" s="520">
        <v>29.92</v>
      </c>
      <c r="H63" s="134">
        <f t="shared" si="5"/>
        <v>29.92</v>
      </c>
      <c r="I63" s="139">
        <f t="shared" si="6"/>
        <v>29.92</v>
      </c>
      <c r="J63" s="115"/>
      <c r="K63" s="115"/>
      <c r="L63" s="115"/>
      <c r="M63" s="115"/>
      <c r="N63" s="115"/>
      <c r="O63" s="115"/>
      <c r="P63" s="115"/>
      <c r="Q63" s="115"/>
    </row>
    <row r="64" spans="1:17" s="116" customFormat="1" ht="14.25" x14ac:dyDescent="0.2">
      <c r="A64" s="138" t="s">
        <v>470</v>
      </c>
      <c r="B64" s="132" t="s">
        <v>80</v>
      </c>
      <c r="C64" s="132">
        <v>3912</v>
      </c>
      <c r="D64" s="131" t="s">
        <v>534</v>
      </c>
      <c r="E64" s="132" t="s">
        <v>8</v>
      </c>
      <c r="F64" s="134">
        <v>4</v>
      </c>
      <c r="G64" s="520">
        <v>21.05</v>
      </c>
      <c r="H64" s="134">
        <f t="shared" si="5"/>
        <v>21.05</v>
      </c>
      <c r="I64" s="139">
        <f t="shared" si="6"/>
        <v>84.2</v>
      </c>
      <c r="J64" s="115"/>
      <c r="K64" s="115"/>
      <c r="L64" s="115"/>
      <c r="M64" s="115"/>
      <c r="N64" s="115"/>
      <c r="O64" s="115"/>
      <c r="P64" s="115"/>
      <c r="Q64" s="115"/>
    </row>
    <row r="65" spans="1:17" s="116" customFormat="1" ht="14.25" x14ac:dyDescent="0.2">
      <c r="A65" s="138" t="s">
        <v>401</v>
      </c>
      <c r="B65" s="132" t="s">
        <v>93</v>
      </c>
      <c r="C65" s="132">
        <v>25013908</v>
      </c>
      <c r="D65" s="131" t="s">
        <v>535</v>
      </c>
      <c r="E65" s="132" t="s">
        <v>90</v>
      </c>
      <c r="F65" s="134">
        <v>1.7</v>
      </c>
      <c r="G65" s="134">
        <v>5.22</v>
      </c>
      <c r="H65" s="134">
        <f t="shared" si="5"/>
        <v>5.22</v>
      </c>
      <c r="I65" s="139">
        <f t="shared" si="6"/>
        <v>8.8699999999999992</v>
      </c>
      <c r="J65" s="115"/>
      <c r="K65" s="115"/>
      <c r="L65" s="115"/>
      <c r="M65" s="115"/>
      <c r="N65" s="115"/>
      <c r="O65" s="115"/>
      <c r="P65" s="115"/>
      <c r="Q65" s="115"/>
    </row>
    <row r="66" spans="1:17" s="116" customFormat="1" ht="14.25" x14ac:dyDescent="0.2">
      <c r="A66" s="138" t="s">
        <v>471</v>
      </c>
      <c r="B66" s="132" t="s">
        <v>80</v>
      </c>
      <c r="C66" s="132">
        <v>12419</v>
      </c>
      <c r="D66" s="131" t="s">
        <v>537</v>
      </c>
      <c r="E66" s="132" t="s">
        <v>8</v>
      </c>
      <c r="F66" s="134">
        <v>1</v>
      </c>
      <c r="G66" s="520">
        <v>76.09</v>
      </c>
      <c r="H66" s="134">
        <f t="shared" si="5"/>
        <v>76.09</v>
      </c>
      <c r="I66" s="139">
        <f t="shared" si="6"/>
        <v>76.09</v>
      </c>
      <c r="J66" s="115"/>
      <c r="K66" s="115"/>
      <c r="L66" s="115"/>
      <c r="M66" s="115"/>
      <c r="N66" s="115"/>
      <c r="O66" s="115"/>
      <c r="P66" s="115"/>
      <c r="Q66" s="115"/>
    </row>
    <row r="67" spans="1:17" s="116" customFormat="1" ht="14.25" x14ac:dyDescent="0.2">
      <c r="A67" s="138" t="s">
        <v>472</v>
      </c>
      <c r="B67" s="132" t="s">
        <v>80</v>
      </c>
      <c r="C67" s="132">
        <v>48</v>
      </c>
      <c r="D67" s="131" t="s">
        <v>538</v>
      </c>
      <c r="E67" s="132" t="s">
        <v>8</v>
      </c>
      <c r="F67" s="134">
        <v>1</v>
      </c>
      <c r="G67" s="520">
        <v>31.64</v>
      </c>
      <c r="H67" s="134">
        <f t="shared" si="5"/>
        <v>31.64</v>
      </c>
      <c r="I67" s="139">
        <f t="shared" si="6"/>
        <v>31.64</v>
      </c>
      <c r="J67" s="115"/>
      <c r="K67" s="115"/>
      <c r="L67" s="115"/>
      <c r="M67" s="115"/>
      <c r="N67" s="115"/>
      <c r="O67" s="115"/>
      <c r="P67" s="115"/>
      <c r="Q67" s="115"/>
    </row>
    <row r="68" spans="1:17" s="116" customFormat="1" ht="14.25" x14ac:dyDescent="0.2">
      <c r="A68" s="138" t="s">
        <v>473</v>
      </c>
      <c r="B68" s="132" t="s">
        <v>80</v>
      </c>
      <c r="C68" s="132">
        <v>1790</v>
      </c>
      <c r="D68" s="131" t="s">
        <v>541</v>
      </c>
      <c r="E68" s="132" t="s">
        <v>8</v>
      </c>
      <c r="F68" s="134">
        <v>1</v>
      </c>
      <c r="G68" s="520">
        <v>95.11</v>
      </c>
      <c r="H68" s="134">
        <f t="shared" si="5"/>
        <v>95.11</v>
      </c>
      <c r="I68" s="139">
        <f t="shared" ref="I68" si="7">ROUND(F68*H68,2)</f>
        <v>95.11</v>
      </c>
      <c r="J68" s="115"/>
      <c r="K68" s="115"/>
      <c r="L68" s="115"/>
      <c r="M68" s="115"/>
      <c r="N68" s="115"/>
      <c r="O68" s="115"/>
      <c r="P68" s="115"/>
      <c r="Q68" s="115"/>
    </row>
    <row r="69" spans="1:17" s="50" customFormat="1" ht="14.25" x14ac:dyDescent="0.2">
      <c r="A69" s="138" t="s">
        <v>474</v>
      </c>
      <c r="B69" s="132" t="s">
        <v>80</v>
      </c>
      <c r="C69" s="132">
        <v>9887</v>
      </c>
      <c r="D69" s="131" t="s">
        <v>539</v>
      </c>
      <c r="E69" s="132" t="s">
        <v>8</v>
      </c>
      <c r="F69" s="134">
        <v>2</v>
      </c>
      <c r="G69" s="520">
        <v>64.92</v>
      </c>
      <c r="H69" s="134">
        <f t="shared" si="5"/>
        <v>64.92</v>
      </c>
      <c r="I69" s="139">
        <f t="shared" ref="I69" si="8">ROUND(F69*H69,2)</f>
        <v>129.84</v>
      </c>
      <c r="J69" s="223"/>
      <c r="K69" s="223"/>
      <c r="L69" s="223"/>
      <c r="M69" s="223"/>
      <c r="N69" s="223"/>
      <c r="O69" s="223"/>
      <c r="P69" s="223"/>
      <c r="Q69" s="223"/>
    </row>
    <row r="70" spans="1:17" s="50" customFormat="1" ht="14.25" x14ac:dyDescent="0.2">
      <c r="A70" s="138" t="s">
        <v>584</v>
      </c>
      <c r="B70" s="132" t="s">
        <v>80</v>
      </c>
      <c r="C70" s="132">
        <v>4181</v>
      </c>
      <c r="D70" s="131" t="s">
        <v>540</v>
      </c>
      <c r="E70" s="132" t="s">
        <v>8</v>
      </c>
      <c r="F70" s="134">
        <v>1</v>
      </c>
      <c r="G70" s="520">
        <v>22.2</v>
      </c>
      <c r="H70" s="134">
        <f t="shared" si="5"/>
        <v>22.2</v>
      </c>
      <c r="I70" s="139">
        <f t="shared" ref="I70" si="9">ROUND(F70*H70,2)</f>
        <v>22.2</v>
      </c>
      <c r="J70" s="223"/>
      <c r="K70" s="223"/>
      <c r="L70" s="223"/>
      <c r="M70" s="223"/>
      <c r="N70" s="223"/>
      <c r="O70" s="223"/>
      <c r="P70" s="223"/>
      <c r="Q70" s="223"/>
    </row>
    <row r="71" spans="1:17" s="50" customFormat="1" ht="14.25" customHeight="1" thickBot="1" x14ac:dyDescent="0.25">
      <c r="A71" s="461" t="s">
        <v>585</v>
      </c>
      <c r="B71" s="462" t="s">
        <v>80</v>
      </c>
      <c r="C71" s="462">
        <v>21148</v>
      </c>
      <c r="D71" s="463" t="s">
        <v>542</v>
      </c>
      <c r="E71" s="462" t="s">
        <v>90</v>
      </c>
      <c r="F71" s="464">
        <f>0.6+0.14+0.46+0.65</f>
        <v>1.85</v>
      </c>
      <c r="G71" s="543">
        <v>37.47</v>
      </c>
      <c r="H71" s="464">
        <f t="shared" si="5"/>
        <v>37.47</v>
      </c>
      <c r="I71" s="465">
        <f t="shared" ref="I71" si="10">ROUND(F71*H71,2)</f>
        <v>69.319999999999993</v>
      </c>
      <c r="J71" s="223"/>
      <c r="K71" s="223"/>
      <c r="L71" s="223"/>
      <c r="M71" s="223"/>
      <c r="N71" s="223"/>
      <c r="O71" s="223"/>
      <c r="P71" s="223"/>
      <c r="Q71" s="223"/>
    </row>
    <row r="72" spans="1:17" s="120" customFormat="1" x14ac:dyDescent="0.25">
      <c r="A72" s="460" t="s">
        <v>586</v>
      </c>
      <c r="B72" s="268" t="s">
        <v>80</v>
      </c>
      <c r="C72" s="268">
        <v>2696</v>
      </c>
      <c r="D72" s="269" t="s">
        <v>234</v>
      </c>
      <c r="E72" s="268" t="s">
        <v>79</v>
      </c>
      <c r="F72" s="270">
        <v>16</v>
      </c>
      <c r="G72" s="535">
        <v>14.76</v>
      </c>
      <c r="H72" s="270">
        <f t="shared" si="5"/>
        <v>14.76</v>
      </c>
      <c r="I72" s="272">
        <f>ROUND(F72*H72,2)</f>
        <v>236.16</v>
      </c>
      <c r="J72" s="119"/>
      <c r="K72" s="119"/>
      <c r="L72" s="119"/>
      <c r="M72" s="119"/>
      <c r="N72" s="119"/>
      <c r="O72" s="119"/>
      <c r="P72" s="119"/>
      <c r="Q72" s="119"/>
    </row>
    <row r="73" spans="1:17" s="120" customFormat="1" x14ac:dyDescent="0.25">
      <c r="A73" s="138" t="s">
        <v>587</v>
      </c>
      <c r="B73" s="132" t="s">
        <v>80</v>
      </c>
      <c r="C73" s="132">
        <v>246</v>
      </c>
      <c r="D73" s="131" t="s">
        <v>233</v>
      </c>
      <c r="E73" s="132" t="s">
        <v>79</v>
      </c>
      <c r="F73" s="134">
        <v>16</v>
      </c>
      <c r="G73" s="520">
        <v>11.09</v>
      </c>
      <c r="H73" s="134">
        <f t="shared" si="5"/>
        <v>11.09</v>
      </c>
      <c r="I73" s="139">
        <f>ROUND(F73*H73,2)</f>
        <v>177.44</v>
      </c>
      <c r="J73" s="119"/>
      <c r="K73" s="119"/>
      <c r="L73" s="119"/>
      <c r="M73" s="119"/>
      <c r="N73" s="119"/>
      <c r="O73" s="119"/>
      <c r="P73" s="119"/>
      <c r="Q73" s="119"/>
    </row>
    <row r="74" spans="1:17" s="116" customFormat="1" ht="14.25" x14ac:dyDescent="0.2">
      <c r="A74" s="138" t="s">
        <v>588</v>
      </c>
      <c r="B74" s="132" t="s">
        <v>80</v>
      </c>
      <c r="C74" s="132">
        <v>6111</v>
      </c>
      <c r="D74" s="131" t="s">
        <v>235</v>
      </c>
      <c r="E74" s="132" t="s">
        <v>79</v>
      </c>
      <c r="F74" s="134">
        <v>16</v>
      </c>
      <c r="G74" s="520">
        <v>10.62</v>
      </c>
      <c r="H74" s="134">
        <f t="shared" si="5"/>
        <v>10.62</v>
      </c>
      <c r="I74" s="139">
        <f>ROUND(F74*H74,2)</f>
        <v>169.92</v>
      </c>
      <c r="J74" s="115"/>
      <c r="K74" s="115"/>
      <c r="L74" s="115"/>
      <c r="M74" s="115"/>
      <c r="N74" s="115"/>
      <c r="O74" s="115"/>
      <c r="P74" s="115"/>
      <c r="Q74" s="115"/>
    </row>
    <row r="75" spans="1:17" s="116" customFormat="1" ht="14.25" x14ac:dyDescent="0.2">
      <c r="A75" s="138"/>
      <c r="B75" s="132"/>
      <c r="C75" s="132"/>
      <c r="D75" s="131"/>
      <c r="E75" s="132"/>
      <c r="F75" s="134"/>
      <c r="G75" s="140"/>
      <c r="H75" s="134"/>
      <c r="I75" s="139"/>
      <c r="J75" s="115"/>
      <c r="K75" s="115"/>
      <c r="L75" s="115"/>
      <c r="M75" s="115"/>
      <c r="N75" s="115"/>
      <c r="O75" s="115"/>
      <c r="P75" s="115"/>
      <c r="Q75" s="115"/>
    </row>
    <row r="76" spans="1:17" x14ac:dyDescent="0.2">
      <c r="A76" s="124" t="s">
        <v>475</v>
      </c>
      <c r="B76" s="125" t="s">
        <v>278</v>
      </c>
      <c r="C76" s="126" t="s">
        <v>136</v>
      </c>
      <c r="D76" s="127" t="s">
        <v>438</v>
      </c>
      <c r="E76" s="125" t="s">
        <v>8</v>
      </c>
      <c r="F76" s="128"/>
      <c r="G76" s="129"/>
      <c r="H76" s="129"/>
      <c r="I76" s="130">
        <f>SUM(I77:I89)</f>
        <v>2979.5800000000004</v>
      </c>
      <c r="J76" s="5"/>
      <c r="K76" s="5"/>
      <c r="L76" s="5"/>
      <c r="M76" s="5"/>
      <c r="N76" s="5"/>
      <c r="O76" s="5"/>
      <c r="P76" s="5"/>
      <c r="Q76" s="5"/>
    </row>
    <row r="77" spans="1:17" s="50" customFormat="1" ht="28.5" x14ac:dyDescent="0.2">
      <c r="A77" s="138" t="s">
        <v>138</v>
      </c>
      <c r="B77" s="132" t="s">
        <v>80</v>
      </c>
      <c r="C77" s="132" t="s">
        <v>98</v>
      </c>
      <c r="D77" s="131" t="s">
        <v>99</v>
      </c>
      <c r="E77" s="132" t="s">
        <v>97</v>
      </c>
      <c r="F77" s="134">
        <v>0.16</v>
      </c>
      <c r="G77" s="140">
        <v>23.98</v>
      </c>
      <c r="H77" s="134">
        <f t="shared" ref="H77:H89" si="11">ROUND((1+K$3)*G77,2)</f>
        <v>23.98</v>
      </c>
      <c r="I77" s="139">
        <f t="shared" ref="I77:I89" si="12">ROUND(F77*H77,2)</f>
        <v>3.84</v>
      </c>
      <c r="J77" s="223"/>
      <c r="K77" s="223"/>
      <c r="L77" s="223"/>
      <c r="M77" s="223"/>
      <c r="N77" s="223"/>
      <c r="O77" s="223"/>
      <c r="P77" s="223"/>
      <c r="Q77" s="223"/>
    </row>
    <row r="78" spans="1:17" s="50" customFormat="1" ht="14.25" customHeight="1" x14ac:dyDescent="0.2">
      <c r="A78" s="138" t="s">
        <v>178</v>
      </c>
      <c r="B78" s="132" t="s">
        <v>80</v>
      </c>
      <c r="C78" s="132">
        <v>73733</v>
      </c>
      <c r="D78" s="131" t="s">
        <v>311</v>
      </c>
      <c r="E78" s="132" t="s">
        <v>83</v>
      </c>
      <c r="F78" s="134">
        <v>0.78</v>
      </c>
      <c r="G78" s="140">
        <v>2.31</v>
      </c>
      <c r="H78" s="134">
        <f t="shared" si="11"/>
        <v>2.31</v>
      </c>
      <c r="I78" s="139">
        <f t="shared" si="12"/>
        <v>1.8</v>
      </c>
      <c r="J78" s="223"/>
      <c r="K78" s="223"/>
      <c r="L78" s="223"/>
      <c r="M78" s="223"/>
      <c r="N78" s="223"/>
      <c r="O78" s="223"/>
      <c r="P78" s="223"/>
      <c r="Q78" s="223"/>
    </row>
    <row r="79" spans="1:17" s="50" customFormat="1" ht="14.25" x14ac:dyDescent="0.2">
      <c r="A79" s="138" t="s">
        <v>179</v>
      </c>
      <c r="B79" s="132" t="s">
        <v>80</v>
      </c>
      <c r="C79" s="132" t="s">
        <v>384</v>
      </c>
      <c r="D79" s="131" t="s">
        <v>385</v>
      </c>
      <c r="E79" s="132" t="s">
        <v>97</v>
      </c>
      <c r="F79" s="134">
        <f>F77</f>
        <v>0.16</v>
      </c>
      <c r="G79" s="140">
        <v>27.4</v>
      </c>
      <c r="H79" s="134">
        <f t="shared" si="11"/>
        <v>27.4</v>
      </c>
      <c r="I79" s="139">
        <f t="shared" si="12"/>
        <v>4.38</v>
      </c>
      <c r="J79" s="223"/>
      <c r="K79" s="223"/>
      <c r="L79" s="223"/>
      <c r="M79" s="223"/>
      <c r="N79" s="223"/>
      <c r="O79" s="223"/>
      <c r="P79" s="223"/>
      <c r="Q79" s="223"/>
    </row>
    <row r="80" spans="1:17" s="50" customFormat="1" ht="28.5" x14ac:dyDescent="0.2">
      <c r="A80" s="138" t="s">
        <v>589</v>
      </c>
      <c r="B80" s="132" t="s">
        <v>80</v>
      </c>
      <c r="C80" s="132" t="s">
        <v>64</v>
      </c>
      <c r="D80" s="131" t="s">
        <v>65</v>
      </c>
      <c r="E80" s="132" t="s">
        <v>83</v>
      </c>
      <c r="F80" s="134">
        <v>3.24</v>
      </c>
      <c r="G80" s="140">
        <v>84.65</v>
      </c>
      <c r="H80" s="134">
        <f t="shared" si="11"/>
        <v>84.65</v>
      </c>
      <c r="I80" s="139">
        <f t="shared" si="12"/>
        <v>274.27</v>
      </c>
      <c r="J80" s="223"/>
      <c r="K80" s="223"/>
      <c r="L80" s="223"/>
      <c r="M80" s="223"/>
      <c r="N80" s="223"/>
      <c r="O80" s="223"/>
      <c r="P80" s="223"/>
      <c r="Q80" s="223"/>
    </row>
    <row r="81" spans="1:17" s="50" customFormat="1" ht="28.5" x14ac:dyDescent="0.2">
      <c r="A81" s="138" t="s">
        <v>180</v>
      </c>
      <c r="B81" s="132" t="s">
        <v>80</v>
      </c>
      <c r="C81" s="132" t="s">
        <v>409</v>
      </c>
      <c r="D81" s="131" t="s">
        <v>410</v>
      </c>
      <c r="E81" s="132" t="s">
        <v>97</v>
      </c>
      <c r="F81" s="134">
        <f>0.326+0.161+0.246</f>
        <v>0.73299999999999998</v>
      </c>
      <c r="G81" s="140">
        <v>337.44</v>
      </c>
      <c r="H81" s="134">
        <f t="shared" si="11"/>
        <v>337.44</v>
      </c>
      <c r="I81" s="139">
        <f>ROUND(F81*H81,2)</f>
        <v>247.34</v>
      </c>
      <c r="J81" s="223"/>
      <c r="K81" s="223"/>
      <c r="L81" s="223"/>
      <c r="M81" s="223"/>
      <c r="N81" s="223"/>
      <c r="O81" s="223"/>
      <c r="P81" s="223"/>
      <c r="Q81" s="223"/>
    </row>
    <row r="82" spans="1:17" s="50" customFormat="1" ht="42.75" x14ac:dyDescent="0.2">
      <c r="A82" s="138" t="s">
        <v>181</v>
      </c>
      <c r="B82" s="132" t="s">
        <v>80</v>
      </c>
      <c r="C82" s="132" t="s">
        <v>6</v>
      </c>
      <c r="D82" s="131" t="s">
        <v>441</v>
      </c>
      <c r="E82" s="132" t="s">
        <v>83</v>
      </c>
      <c r="F82" s="134">
        <f>9.9+0.92</f>
        <v>10.82</v>
      </c>
      <c r="G82" s="140">
        <v>33.159999999999997</v>
      </c>
      <c r="H82" s="134">
        <f t="shared" si="11"/>
        <v>33.159999999999997</v>
      </c>
      <c r="I82" s="139">
        <f t="shared" si="12"/>
        <v>358.79</v>
      </c>
      <c r="J82" s="223"/>
      <c r="K82" s="223"/>
      <c r="L82" s="223"/>
      <c r="M82" s="223"/>
      <c r="N82" s="223"/>
      <c r="O82" s="223"/>
      <c r="P82" s="223"/>
      <c r="Q82" s="223"/>
    </row>
    <row r="83" spans="1:17" s="50" customFormat="1" ht="14.25" x14ac:dyDescent="0.2">
      <c r="A83" s="138" t="s">
        <v>182</v>
      </c>
      <c r="B83" s="132" t="s">
        <v>80</v>
      </c>
      <c r="C83" s="132" t="s">
        <v>41</v>
      </c>
      <c r="D83" s="131" t="s">
        <v>42</v>
      </c>
      <c r="E83" s="132" t="s">
        <v>83</v>
      </c>
      <c r="F83" s="134">
        <f>F82*2</f>
        <v>21.64</v>
      </c>
      <c r="G83" s="140">
        <v>3.28</v>
      </c>
      <c r="H83" s="134">
        <f t="shared" si="11"/>
        <v>3.28</v>
      </c>
      <c r="I83" s="139">
        <f t="shared" si="12"/>
        <v>70.98</v>
      </c>
      <c r="J83" s="223"/>
      <c r="K83" s="223"/>
      <c r="L83" s="223"/>
      <c r="M83" s="223"/>
      <c r="N83" s="223"/>
      <c r="O83" s="223"/>
      <c r="P83" s="223"/>
      <c r="Q83" s="223"/>
    </row>
    <row r="84" spans="1:17" s="50" customFormat="1" ht="28.5" x14ac:dyDescent="0.2">
      <c r="A84" s="138" t="s">
        <v>183</v>
      </c>
      <c r="B84" s="132" t="s">
        <v>80</v>
      </c>
      <c r="C84" s="132" t="s">
        <v>390</v>
      </c>
      <c r="D84" s="131" t="s">
        <v>391</v>
      </c>
      <c r="E84" s="132" t="s">
        <v>83</v>
      </c>
      <c r="F84" s="134">
        <f>F83</f>
        <v>21.64</v>
      </c>
      <c r="G84" s="140">
        <v>18.579999999999998</v>
      </c>
      <c r="H84" s="134">
        <f t="shared" si="11"/>
        <v>18.579999999999998</v>
      </c>
      <c r="I84" s="139">
        <f t="shared" si="12"/>
        <v>402.07</v>
      </c>
      <c r="J84" s="223"/>
      <c r="K84" s="223"/>
      <c r="L84" s="223"/>
      <c r="M84" s="223"/>
      <c r="N84" s="223"/>
      <c r="O84" s="223"/>
      <c r="P84" s="223"/>
      <c r="Q84" s="223"/>
    </row>
    <row r="85" spans="1:17" s="50" customFormat="1" ht="14.25" x14ac:dyDescent="0.2">
      <c r="A85" s="138" t="s">
        <v>184</v>
      </c>
      <c r="B85" s="132" t="s">
        <v>80</v>
      </c>
      <c r="C85" s="132" t="s">
        <v>442</v>
      </c>
      <c r="D85" s="131" t="s">
        <v>443</v>
      </c>
      <c r="E85" s="132" t="s">
        <v>83</v>
      </c>
      <c r="F85" s="134">
        <v>5.0599999999999996</v>
      </c>
      <c r="G85" s="140">
        <v>219.78</v>
      </c>
      <c r="H85" s="134">
        <f t="shared" si="11"/>
        <v>219.78</v>
      </c>
      <c r="I85" s="139">
        <f t="shared" si="12"/>
        <v>1112.0899999999999</v>
      </c>
      <c r="J85" s="223"/>
      <c r="K85" s="223"/>
      <c r="L85" s="223"/>
      <c r="M85" s="223"/>
      <c r="N85" s="223"/>
      <c r="O85" s="223"/>
      <c r="P85" s="223"/>
      <c r="Q85" s="223"/>
    </row>
    <row r="86" spans="1:17" s="50" customFormat="1" ht="14.25" x14ac:dyDescent="0.2">
      <c r="A86" s="138" t="s">
        <v>185</v>
      </c>
      <c r="B86" s="132" t="s">
        <v>80</v>
      </c>
      <c r="C86" s="132">
        <v>2426</v>
      </c>
      <c r="D86" s="131" t="s">
        <v>444</v>
      </c>
      <c r="E86" s="132" t="s">
        <v>8</v>
      </c>
      <c r="F86" s="134">
        <v>6</v>
      </c>
      <c r="G86" s="140">
        <v>7.31</v>
      </c>
      <c r="H86" s="134">
        <f t="shared" si="11"/>
        <v>7.31</v>
      </c>
      <c r="I86" s="139">
        <f t="shared" si="12"/>
        <v>43.86</v>
      </c>
      <c r="J86" s="223"/>
      <c r="K86" s="223"/>
      <c r="L86" s="223"/>
      <c r="M86" s="223"/>
      <c r="N86" s="223"/>
      <c r="O86" s="223"/>
      <c r="P86" s="223"/>
      <c r="Q86" s="223"/>
    </row>
    <row r="87" spans="1:17" s="50" customFormat="1" ht="14.25" x14ac:dyDescent="0.2">
      <c r="A87" s="138" t="s">
        <v>186</v>
      </c>
      <c r="B87" s="132" t="s">
        <v>80</v>
      </c>
      <c r="C87" s="132">
        <v>3105</v>
      </c>
      <c r="D87" s="131" t="s">
        <v>445</v>
      </c>
      <c r="E87" s="132" t="s">
        <v>8</v>
      </c>
      <c r="F87" s="134">
        <v>1</v>
      </c>
      <c r="G87" s="140">
        <v>47.34</v>
      </c>
      <c r="H87" s="134">
        <f t="shared" si="11"/>
        <v>47.34</v>
      </c>
      <c r="I87" s="139">
        <f t="shared" si="12"/>
        <v>47.34</v>
      </c>
      <c r="J87" s="223"/>
      <c r="K87" s="223"/>
      <c r="L87" s="223"/>
      <c r="M87" s="223"/>
      <c r="N87" s="223"/>
      <c r="O87" s="223"/>
      <c r="P87" s="223"/>
      <c r="Q87" s="223"/>
    </row>
    <row r="88" spans="1:17" s="50" customFormat="1" ht="14.25" x14ac:dyDescent="0.2">
      <c r="A88" s="138" t="s">
        <v>187</v>
      </c>
      <c r="B88" s="132" t="s">
        <v>80</v>
      </c>
      <c r="C88" s="132" t="s">
        <v>446</v>
      </c>
      <c r="D88" s="131" t="s">
        <v>447</v>
      </c>
      <c r="E88" s="132" t="s">
        <v>83</v>
      </c>
      <c r="F88" s="134">
        <f>F82*1.6</f>
        <v>17.312000000000001</v>
      </c>
      <c r="G88" s="140">
        <v>11.27</v>
      </c>
      <c r="H88" s="134">
        <f t="shared" si="11"/>
        <v>11.27</v>
      </c>
      <c r="I88" s="139">
        <f t="shared" si="12"/>
        <v>195.11</v>
      </c>
      <c r="J88" s="223"/>
      <c r="K88" s="223"/>
      <c r="L88" s="223"/>
      <c r="M88" s="223"/>
      <c r="N88" s="223"/>
      <c r="O88" s="223"/>
      <c r="P88" s="223"/>
      <c r="Q88" s="223"/>
    </row>
    <row r="89" spans="1:17" s="50" customFormat="1" ht="14.25" x14ac:dyDescent="0.2">
      <c r="A89" s="138" t="s">
        <v>188</v>
      </c>
      <c r="B89" s="132" t="s">
        <v>80</v>
      </c>
      <c r="C89" s="132" t="s">
        <v>448</v>
      </c>
      <c r="D89" s="131" t="s">
        <v>449</v>
      </c>
      <c r="E89" s="132" t="s">
        <v>83</v>
      </c>
      <c r="F89" s="134">
        <f>F85*2.5</f>
        <v>12.649999999999999</v>
      </c>
      <c r="G89" s="140">
        <v>17.21</v>
      </c>
      <c r="H89" s="134">
        <f t="shared" si="11"/>
        <v>17.21</v>
      </c>
      <c r="I89" s="139">
        <f t="shared" si="12"/>
        <v>217.71</v>
      </c>
      <c r="J89" s="223"/>
      <c r="K89" s="223"/>
      <c r="L89" s="223"/>
      <c r="M89" s="223"/>
      <c r="N89" s="223"/>
      <c r="O89" s="223"/>
      <c r="P89" s="223"/>
      <c r="Q89" s="223"/>
    </row>
    <row r="90" spans="1:17" s="50" customFormat="1" ht="14.25" x14ac:dyDescent="0.2">
      <c r="A90" s="224"/>
      <c r="B90" s="225"/>
      <c r="C90" s="229"/>
      <c r="D90" s="226"/>
      <c r="E90" s="229"/>
      <c r="F90" s="230"/>
      <c r="G90" s="231"/>
      <c r="H90" s="221"/>
      <c r="I90" s="222"/>
      <c r="J90" s="223"/>
      <c r="K90" s="223"/>
      <c r="L90" s="223"/>
      <c r="M90" s="223"/>
      <c r="N90" s="223"/>
      <c r="O90" s="223"/>
      <c r="P90" s="223"/>
      <c r="Q90" s="223"/>
    </row>
    <row r="91" spans="1:17" s="41" customFormat="1" ht="30" x14ac:dyDescent="0.2">
      <c r="A91" s="124" t="s">
        <v>462</v>
      </c>
      <c r="B91" s="125" t="s">
        <v>278</v>
      </c>
      <c r="C91" s="126" t="s">
        <v>400</v>
      </c>
      <c r="D91" s="260" t="s">
        <v>553</v>
      </c>
      <c r="E91" s="125" t="s">
        <v>8</v>
      </c>
      <c r="F91" s="128"/>
      <c r="G91" s="129"/>
      <c r="H91" s="129"/>
      <c r="I91" s="130">
        <f>SUM(I92:I101)</f>
        <v>1095.54</v>
      </c>
      <c r="J91" s="42"/>
      <c r="K91" s="43"/>
      <c r="L91" s="42"/>
      <c r="M91" s="42"/>
      <c r="N91" s="42"/>
      <c r="O91" s="42"/>
      <c r="P91" s="42"/>
      <c r="Q91" s="42"/>
    </row>
    <row r="92" spans="1:17" s="116" customFormat="1" ht="28.5" x14ac:dyDescent="0.2">
      <c r="A92" s="531" t="s">
        <v>402</v>
      </c>
      <c r="B92" s="518" t="s">
        <v>80</v>
      </c>
      <c r="C92" s="518" t="s">
        <v>98</v>
      </c>
      <c r="D92" s="519" t="s">
        <v>99</v>
      </c>
      <c r="E92" s="518" t="s">
        <v>97</v>
      </c>
      <c r="F92" s="520">
        <v>1.3</v>
      </c>
      <c r="G92" s="521">
        <v>49.27</v>
      </c>
      <c r="H92" s="520">
        <f t="shared" ref="H92:H100" si="13">ROUND((1+K$3)*G92,2)</f>
        <v>49.27</v>
      </c>
      <c r="I92" s="522">
        <f t="shared" ref="I92:I100" si="14">ROUND(F92*H92,2)</f>
        <v>64.05</v>
      </c>
      <c r="J92" s="115"/>
      <c r="K92" s="115"/>
      <c r="L92" s="115"/>
      <c r="M92" s="115"/>
      <c r="N92" s="115"/>
      <c r="O92" s="115"/>
      <c r="P92" s="115"/>
      <c r="Q92" s="115"/>
    </row>
    <row r="93" spans="1:17" s="116" customFormat="1" ht="14.25" customHeight="1" x14ac:dyDescent="0.2">
      <c r="A93" s="531" t="s">
        <v>403</v>
      </c>
      <c r="B93" s="518" t="s">
        <v>80</v>
      </c>
      <c r="C93" s="518">
        <v>79483</v>
      </c>
      <c r="D93" s="519" t="s">
        <v>931</v>
      </c>
      <c r="E93" s="518" t="s">
        <v>83</v>
      </c>
      <c r="F93" s="520">
        <v>2.9</v>
      </c>
      <c r="G93" s="521">
        <v>21.11</v>
      </c>
      <c r="H93" s="520">
        <f t="shared" si="13"/>
        <v>21.11</v>
      </c>
      <c r="I93" s="522">
        <f t="shared" si="14"/>
        <v>61.22</v>
      </c>
      <c r="J93" s="115"/>
      <c r="K93" s="115"/>
      <c r="L93" s="115"/>
      <c r="M93" s="115"/>
      <c r="N93" s="115"/>
      <c r="O93" s="115"/>
      <c r="P93" s="115"/>
      <c r="Q93" s="115"/>
    </row>
    <row r="94" spans="1:17" s="116" customFormat="1" ht="14.25" x14ac:dyDescent="0.2">
      <c r="A94" s="531" t="s">
        <v>404</v>
      </c>
      <c r="B94" s="518" t="s">
        <v>80</v>
      </c>
      <c r="C94" s="518" t="s">
        <v>384</v>
      </c>
      <c r="D94" s="519" t="s">
        <v>385</v>
      </c>
      <c r="E94" s="518" t="s">
        <v>97</v>
      </c>
      <c r="F94" s="520">
        <f>F92</f>
        <v>1.3</v>
      </c>
      <c r="G94" s="521">
        <v>56.31</v>
      </c>
      <c r="H94" s="520">
        <f t="shared" si="13"/>
        <v>56.31</v>
      </c>
      <c r="I94" s="522">
        <f t="shared" si="14"/>
        <v>73.2</v>
      </c>
      <c r="J94" s="115"/>
      <c r="K94" s="115"/>
      <c r="L94" s="115"/>
      <c r="M94" s="115"/>
      <c r="N94" s="115"/>
      <c r="O94" s="115"/>
      <c r="P94" s="115"/>
      <c r="Q94" s="115"/>
    </row>
    <row r="95" spans="1:17" s="116" customFormat="1" ht="14.25" x14ac:dyDescent="0.2">
      <c r="A95" s="531" t="s">
        <v>405</v>
      </c>
      <c r="B95" s="518" t="s">
        <v>80</v>
      </c>
      <c r="C95" s="518" t="s">
        <v>3</v>
      </c>
      <c r="D95" s="519" t="s">
        <v>4</v>
      </c>
      <c r="E95" s="518" t="s">
        <v>97</v>
      </c>
      <c r="F95" s="520">
        <f>F93*0.05</f>
        <v>0.14499999999999999</v>
      </c>
      <c r="G95" s="521">
        <v>85.35</v>
      </c>
      <c r="H95" s="520">
        <f t="shared" si="13"/>
        <v>85.35</v>
      </c>
      <c r="I95" s="522">
        <f t="shared" si="14"/>
        <v>12.38</v>
      </c>
      <c r="J95" s="115"/>
      <c r="K95" s="115"/>
      <c r="L95" s="115"/>
      <c r="M95" s="115"/>
      <c r="N95" s="115"/>
      <c r="O95" s="115"/>
      <c r="P95" s="115"/>
      <c r="Q95" s="115"/>
    </row>
    <row r="96" spans="1:17" s="116" customFormat="1" ht="14.25" x14ac:dyDescent="0.2">
      <c r="A96" s="531" t="s">
        <v>406</v>
      </c>
      <c r="B96" s="518" t="s">
        <v>80</v>
      </c>
      <c r="C96" s="518" t="s">
        <v>60</v>
      </c>
      <c r="D96" s="519" t="s">
        <v>14</v>
      </c>
      <c r="E96" s="518" t="s">
        <v>97</v>
      </c>
      <c r="F96" s="520">
        <f>F95</f>
        <v>0.14499999999999999</v>
      </c>
      <c r="G96" s="521">
        <v>344.14</v>
      </c>
      <c r="H96" s="520">
        <f t="shared" si="13"/>
        <v>344.14</v>
      </c>
      <c r="I96" s="522">
        <f t="shared" si="14"/>
        <v>49.9</v>
      </c>
      <c r="J96" s="115"/>
      <c r="K96" s="115"/>
      <c r="L96" s="115"/>
      <c r="M96" s="115"/>
      <c r="N96" s="115"/>
      <c r="O96" s="115"/>
      <c r="P96" s="115"/>
      <c r="Q96" s="115"/>
    </row>
    <row r="97" spans="1:17" s="116" customFormat="1" ht="42.75" x14ac:dyDescent="0.2">
      <c r="A97" s="531" t="s">
        <v>476</v>
      </c>
      <c r="B97" s="518" t="s">
        <v>80</v>
      </c>
      <c r="C97" s="518">
        <v>87451</v>
      </c>
      <c r="D97" s="519" t="s">
        <v>932</v>
      </c>
      <c r="E97" s="518" t="s">
        <v>83</v>
      </c>
      <c r="F97" s="520">
        <v>4</v>
      </c>
      <c r="G97" s="521">
        <v>63.04</v>
      </c>
      <c r="H97" s="520">
        <f t="shared" si="13"/>
        <v>63.04</v>
      </c>
      <c r="I97" s="522">
        <f t="shared" si="14"/>
        <v>252.16</v>
      </c>
      <c r="J97" s="115"/>
      <c r="K97" s="115"/>
      <c r="L97" s="115"/>
      <c r="M97" s="115"/>
      <c r="N97" s="115"/>
      <c r="O97" s="115"/>
      <c r="P97" s="115"/>
      <c r="Q97" s="115"/>
    </row>
    <row r="98" spans="1:17" s="116" customFormat="1" ht="42.75" x14ac:dyDescent="0.2">
      <c r="A98" s="531" t="s">
        <v>477</v>
      </c>
      <c r="B98" s="518" t="s">
        <v>80</v>
      </c>
      <c r="C98" s="518">
        <v>87863</v>
      </c>
      <c r="D98" s="519" t="s">
        <v>933</v>
      </c>
      <c r="E98" s="518" t="s">
        <v>83</v>
      </c>
      <c r="F98" s="520">
        <f>F97*2</f>
        <v>8</v>
      </c>
      <c r="G98" s="521">
        <v>3.86</v>
      </c>
      <c r="H98" s="520">
        <f t="shared" si="13"/>
        <v>3.86</v>
      </c>
      <c r="I98" s="522">
        <f t="shared" si="14"/>
        <v>30.88</v>
      </c>
      <c r="J98" s="115"/>
      <c r="K98" s="115"/>
      <c r="L98" s="115"/>
      <c r="M98" s="115"/>
      <c r="N98" s="115"/>
      <c r="O98" s="115"/>
      <c r="P98" s="115"/>
      <c r="Q98" s="115"/>
    </row>
    <row r="99" spans="1:17" s="116" customFormat="1" ht="42.75" x14ac:dyDescent="0.2">
      <c r="A99" s="532" t="s">
        <v>478</v>
      </c>
      <c r="B99" s="533" t="s">
        <v>80</v>
      </c>
      <c r="C99" s="533">
        <v>87775</v>
      </c>
      <c r="D99" s="534" t="s">
        <v>934</v>
      </c>
      <c r="E99" s="533" t="s">
        <v>83</v>
      </c>
      <c r="F99" s="535">
        <f>F98</f>
        <v>8</v>
      </c>
      <c r="G99" s="530">
        <v>35.049999999999997</v>
      </c>
      <c r="H99" s="535">
        <f t="shared" si="13"/>
        <v>35.049999999999997</v>
      </c>
      <c r="I99" s="536">
        <f t="shared" si="14"/>
        <v>280.39999999999998</v>
      </c>
      <c r="J99" s="115"/>
      <c r="K99" s="115"/>
      <c r="L99" s="115"/>
      <c r="M99" s="115"/>
      <c r="N99" s="115"/>
      <c r="O99" s="115"/>
      <c r="P99" s="115"/>
      <c r="Q99" s="115"/>
    </row>
    <row r="100" spans="1:17" s="116" customFormat="1" ht="28.5" x14ac:dyDescent="0.2">
      <c r="A100" s="531" t="s">
        <v>479</v>
      </c>
      <c r="B100" s="518" t="s">
        <v>80</v>
      </c>
      <c r="C100" s="518">
        <v>5652</v>
      </c>
      <c r="D100" s="519" t="s">
        <v>935</v>
      </c>
      <c r="E100" s="518" t="s">
        <v>97</v>
      </c>
      <c r="F100" s="520">
        <v>0.72</v>
      </c>
      <c r="G100" s="521">
        <v>238.99</v>
      </c>
      <c r="H100" s="520">
        <f t="shared" si="13"/>
        <v>238.99</v>
      </c>
      <c r="I100" s="522">
        <f t="shared" si="14"/>
        <v>172.07</v>
      </c>
      <c r="J100" s="115"/>
      <c r="K100" s="115"/>
      <c r="L100" s="115"/>
      <c r="M100" s="115"/>
      <c r="N100" s="115"/>
      <c r="O100" s="115"/>
      <c r="P100" s="115"/>
      <c r="Q100" s="115"/>
    </row>
    <row r="101" spans="1:17" s="116" customFormat="1" ht="28.5" x14ac:dyDescent="0.2">
      <c r="A101" s="531" t="s">
        <v>480</v>
      </c>
      <c r="B101" s="518" t="s">
        <v>80</v>
      </c>
      <c r="C101" s="518" t="s">
        <v>490</v>
      </c>
      <c r="D101" s="519" t="s">
        <v>491</v>
      </c>
      <c r="E101" s="518" t="s">
        <v>97</v>
      </c>
      <c r="F101" s="520">
        <v>0.3</v>
      </c>
      <c r="G101" s="521">
        <v>330.94</v>
      </c>
      <c r="H101" s="520">
        <f>G101*J$7</f>
        <v>330.94</v>
      </c>
      <c r="I101" s="522">
        <f>ROUND(F101*H101,2)</f>
        <v>99.28</v>
      </c>
      <c r="J101" s="115"/>
      <c r="K101" s="115"/>
      <c r="L101" s="115"/>
      <c r="M101" s="115"/>
      <c r="N101" s="115"/>
      <c r="O101" s="115"/>
      <c r="P101" s="115"/>
      <c r="Q101" s="115"/>
    </row>
    <row r="102" spans="1:17" s="116" customFormat="1" ht="14.25" x14ac:dyDescent="0.2">
      <c r="A102" s="138"/>
      <c r="B102" s="132"/>
      <c r="C102" s="132"/>
      <c r="D102" s="291"/>
      <c r="E102" s="132"/>
      <c r="F102" s="134"/>
      <c r="G102" s="140"/>
      <c r="H102" s="134"/>
      <c r="I102" s="139"/>
      <c r="J102" s="115"/>
      <c r="K102" s="115"/>
      <c r="L102" s="115"/>
      <c r="M102" s="115"/>
      <c r="N102" s="115"/>
      <c r="O102" s="115"/>
      <c r="P102" s="115"/>
      <c r="Q102" s="115"/>
    </row>
    <row r="103" spans="1:17" s="41" customFormat="1" ht="30" x14ac:dyDescent="0.2">
      <c r="A103" s="124" t="s">
        <v>481</v>
      </c>
      <c r="B103" s="125" t="s">
        <v>278</v>
      </c>
      <c r="C103" s="126" t="s">
        <v>147</v>
      </c>
      <c r="D103" s="260" t="s">
        <v>554</v>
      </c>
      <c r="E103" s="125" t="s">
        <v>8</v>
      </c>
      <c r="F103" s="128"/>
      <c r="G103" s="129"/>
      <c r="H103" s="129"/>
      <c r="I103" s="130">
        <f>SUM(I104:I110)</f>
        <v>2852.9999999999995</v>
      </c>
      <c r="J103" s="42"/>
      <c r="K103" s="43"/>
      <c r="L103" s="42"/>
      <c r="M103" s="42"/>
      <c r="N103" s="42"/>
      <c r="O103" s="42"/>
      <c r="P103" s="42"/>
      <c r="Q103" s="42"/>
    </row>
    <row r="104" spans="1:17" s="116" customFormat="1" ht="42.75" x14ac:dyDescent="0.2">
      <c r="A104" s="531" t="s">
        <v>139</v>
      </c>
      <c r="B104" s="518" t="s">
        <v>80</v>
      </c>
      <c r="C104" s="518">
        <v>87451</v>
      </c>
      <c r="D104" s="519" t="s">
        <v>932</v>
      </c>
      <c r="E104" s="518" t="s">
        <v>83</v>
      </c>
      <c r="F104" s="520">
        <v>4.8</v>
      </c>
      <c r="G104" s="521">
        <v>63.04</v>
      </c>
      <c r="H104" s="520">
        <f>ROUND((1+K$3)*G104,2)</f>
        <v>63.04</v>
      </c>
      <c r="I104" s="522">
        <f t="shared" ref="I104:I107" si="15">ROUND(F104*H104,2)</f>
        <v>302.58999999999997</v>
      </c>
      <c r="J104" s="115"/>
      <c r="K104" s="115"/>
      <c r="L104" s="115"/>
      <c r="M104" s="115"/>
      <c r="N104" s="115"/>
      <c r="O104" s="115"/>
      <c r="P104" s="115"/>
      <c r="Q104" s="115"/>
    </row>
    <row r="105" spans="1:17" s="116" customFormat="1" ht="42.75" x14ac:dyDescent="0.2">
      <c r="A105" s="531" t="s">
        <v>189</v>
      </c>
      <c r="B105" s="518" t="s">
        <v>80</v>
      </c>
      <c r="C105" s="518">
        <v>87863</v>
      </c>
      <c r="D105" s="519" t="s">
        <v>933</v>
      </c>
      <c r="E105" s="537" t="s">
        <v>83</v>
      </c>
      <c r="F105" s="535">
        <f>F104*2</f>
        <v>9.6</v>
      </c>
      <c r="G105" s="521">
        <v>3.86</v>
      </c>
      <c r="H105" s="538">
        <f>ROUND((1+K$3)*G105,2)</f>
        <v>3.86</v>
      </c>
      <c r="I105" s="539">
        <f t="shared" si="15"/>
        <v>37.06</v>
      </c>
      <c r="J105" s="115"/>
      <c r="K105" s="115"/>
      <c r="L105" s="115"/>
      <c r="M105" s="115"/>
      <c r="N105" s="115"/>
      <c r="O105" s="115"/>
      <c r="P105" s="115"/>
      <c r="Q105" s="115"/>
    </row>
    <row r="106" spans="1:17" s="116" customFormat="1" ht="42.75" x14ac:dyDescent="0.2">
      <c r="A106" s="531" t="s">
        <v>190</v>
      </c>
      <c r="B106" s="533" t="s">
        <v>80</v>
      </c>
      <c r="C106" s="533">
        <v>87775</v>
      </c>
      <c r="D106" s="534" t="s">
        <v>934</v>
      </c>
      <c r="E106" s="533" t="s">
        <v>83</v>
      </c>
      <c r="F106" s="535">
        <f>F105</f>
        <v>9.6</v>
      </c>
      <c r="G106" s="530">
        <v>35.049999999999997</v>
      </c>
      <c r="H106" s="535">
        <f>ROUND((1+K$3)*G106,2)</f>
        <v>35.049999999999997</v>
      </c>
      <c r="I106" s="536">
        <f t="shared" si="15"/>
        <v>336.48</v>
      </c>
      <c r="J106" s="115"/>
      <c r="K106" s="115"/>
      <c r="L106" s="115"/>
      <c r="M106" s="115"/>
      <c r="N106" s="115"/>
      <c r="O106" s="115"/>
      <c r="P106" s="115"/>
      <c r="Q106" s="115"/>
    </row>
    <row r="107" spans="1:17" s="116" customFormat="1" ht="28.5" x14ac:dyDescent="0.2">
      <c r="A107" s="531" t="s">
        <v>590</v>
      </c>
      <c r="B107" s="518" t="s">
        <v>80</v>
      </c>
      <c r="C107" s="518">
        <v>5652</v>
      </c>
      <c r="D107" s="519" t="s">
        <v>935</v>
      </c>
      <c r="E107" s="518" t="s">
        <v>97</v>
      </c>
      <c r="F107" s="520">
        <v>0.8</v>
      </c>
      <c r="G107" s="521">
        <v>238.99</v>
      </c>
      <c r="H107" s="520">
        <f>ROUND((1+K$3)*G107,2)</f>
        <v>238.99</v>
      </c>
      <c r="I107" s="522">
        <f t="shared" si="15"/>
        <v>191.19</v>
      </c>
      <c r="J107" s="115"/>
      <c r="K107" s="115"/>
      <c r="L107" s="115"/>
      <c r="M107" s="115"/>
      <c r="N107" s="115"/>
      <c r="O107" s="115"/>
      <c r="P107" s="115"/>
      <c r="Q107" s="115"/>
    </row>
    <row r="108" spans="1:17" s="116" customFormat="1" ht="28.5" x14ac:dyDescent="0.2">
      <c r="A108" s="531" t="s">
        <v>591</v>
      </c>
      <c r="B108" s="518" t="s">
        <v>80</v>
      </c>
      <c r="C108" s="518" t="s">
        <v>490</v>
      </c>
      <c r="D108" s="519" t="s">
        <v>491</v>
      </c>
      <c r="E108" s="518" t="s">
        <v>97</v>
      </c>
      <c r="F108" s="520">
        <f>(1.44*0.15)+0.24*0.35</f>
        <v>0.3</v>
      </c>
      <c r="G108" s="521">
        <v>330.94</v>
      </c>
      <c r="H108" s="520">
        <f>G108*J$7</f>
        <v>330.94</v>
      </c>
      <c r="I108" s="522">
        <f>ROUND(F108*H108,2)</f>
        <v>99.28</v>
      </c>
      <c r="J108" s="115"/>
      <c r="K108" s="115"/>
      <c r="L108" s="115"/>
      <c r="M108" s="115"/>
      <c r="N108" s="115"/>
      <c r="O108" s="115"/>
      <c r="P108" s="115"/>
      <c r="Q108" s="115"/>
    </row>
    <row r="109" spans="1:17" s="116" customFormat="1" ht="42.75" x14ac:dyDescent="0.2">
      <c r="A109" s="531" t="s">
        <v>592</v>
      </c>
      <c r="B109" s="518" t="s">
        <v>80</v>
      </c>
      <c r="C109" s="518" t="s">
        <v>557</v>
      </c>
      <c r="D109" s="519" t="s">
        <v>556</v>
      </c>
      <c r="E109" s="518" t="s">
        <v>8</v>
      </c>
      <c r="F109" s="520">
        <v>2</v>
      </c>
      <c r="G109" s="521">
        <v>901.15</v>
      </c>
      <c r="H109" s="520">
        <f>G109*J$7</f>
        <v>901.15</v>
      </c>
      <c r="I109" s="522">
        <f>ROUND(F109*H109,2)</f>
        <v>1802.3</v>
      </c>
      <c r="J109" s="115"/>
      <c r="K109" s="115"/>
      <c r="L109" s="115"/>
      <c r="M109" s="115"/>
      <c r="N109" s="115"/>
      <c r="O109" s="115"/>
      <c r="P109" s="115"/>
      <c r="Q109" s="115"/>
    </row>
    <row r="110" spans="1:17" s="116" customFormat="1" ht="14.25" x14ac:dyDescent="0.2">
      <c r="A110" s="531" t="s">
        <v>593</v>
      </c>
      <c r="B110" s="518" t="s">
        <v>80</v>
      </c>
      <c r="C110" s="518" t="s">
        <v>559</v>
      </c>
      <c r="D110" s="540" t="s">
        <v>558</v>
      </c>
      <c r="E110" s="537" t="s">
        <v>83</v>
      </c>
      <c r="F110" s="520">
        <f>0.6*0.6</f>
        <v>0.36</v>
      </c>
      <c r="G110" s="521">
        <v>233.61</v>
      </c>
      <c r="H110" s="520">
        <f>G110*J$7</f>
        <v>233.61</v>
      </c>
      <c r="I110" s="522">
        <f>ROUND(F110*H110,2)</f>
        <v>84.1</v>
      </c>
      <c r="J110" s="115"/>
      <c r="K110" s="115"/>
      <c r="L110" s="115"/>
      <c r="M110" s="115"/>
      <c r="N110" s="115"/>
      <c r="O110" s="115"/>
      <c r="P110" s="115"/>
      <c r="Q110" s="115"/>
    </row>
    <row r="111" spans="1:17" s="50" customFormat="1" ht="14.25" x14ac:dyDescent="0.2">
      <c r="A111" s="289"/>
      <c r="B111" s="132"/>
      <c r="C111" s="132"/>
      <c r="D111" s="277"/>
      <c r="E111" s="132"/>
      <c r="F111" s="288"/>
      <c r="G111" s="221"/>
      <c r="H111" s="221"/>
      <c r="I111" s="290"/>
      <c r="J111" s="223"/>
      <c r="K111" s="223"/>
      <c r="L111" s="223"/>
      <c r="M111" s="223"/>
      <c r="N111" s="223"/>
      <c r="O111" s="223"/>
      <c r="P111" s="223"/>
      <c r="Q111" s="223"/>
    </row>
    <row r="112" spans="1:17" ht="30" x14ac:dyDescent="0.2">
      <c r="A112" s="124" t="s">
        <v>594</v>
      </c>
      <c r="B112" s="125" t="s">
        <v>278</v>
      </c>
      <c r="C112" s="126" t="s">
        <v>574</v>
      </c>
      <c r="D112" s="127" t="s">
        <v>564</v>
      </c>
      <c r="E112" s="125" t="s">
        <v>8</v>
      </c>
      <c r="F112" s="128"/>
      <c r="G112" s="129"/>
      <c r="H112" s="129"/>
      <c r="I112" s="130">
        <f>SUM(I113:I116)</f>
        <v>90.01</v>
      </c>
      <c r="J112" s="5"/>
      <c r="K112" s="5"/>
      <c r="L112" s="5"/>
      <c r="M112" s="5"/>
      <c r="N112" s="5"/>
      <c r="O112" s="5"/>
      <c r="P112" s="5"/>
      <c r="Q112" s="5"/>
    </row>
    <row r="113" spans="1:17" ht="14.25" x14ac:dyDescent="0.2">
      <c r="A113" s="531" t="s">
        <v>595</v>
      </c>
      <c r="B113" s="518" t="s">
        <v>80</v>
      </c>
      <c r="C113" s="518">
        <v>11125</v>
      </c>
      <c r="D113" s="541" t="s">
        <v>229</v>
      </c>
      <c r="E113" s="518" t="s">
        <v>2</v>
      </c>
      <c r="F113" s="542">
        <v>1.67</v>
      </c>
      <c r="G113" s="538">
        <v>14.02</v>
      </c>
      <c r="H113" s="538">
        <f>G113*J$7</f>
        <v>14.02</v>
      </c>
      <c r="I113" s="539">
        <f>ROUND(F113*H113,2)</f>
        <v>23.41</v>
      </c>
    </row>
    <row r="114" spans="1:17" ht="14.25" x14ac:dyDescent="0.2">
      <c r="A114" s="531" t="s">
        <v>596</v>
      </c>
      <c r="B114" s="518" t="s">
        <v>80</v>
      </c>
      <c r="C114" s="518">
        <v>585</v>
      </c>
      <c r="D114" s="541" t="s">
        <v>230</v>
      </c>
      <c r="E114" s="518" t="s">
        <v>2</v>
      </c>
      <c r="F114" s="542">
        <v>1.1200000000000001</v>
      </c>
      <c r="G114" s="538">
        <v>16.98</v>
      </c>
      <c r="H114" s="538">
        <f>G114*J$7</f>
        <v>16.98</v>
      </c>
      <c r="I114" s="539">
        <f>ROUND(F114*H114,2)</f>
        <v>19.02</v>
      </c>
      <c r="J114" s="5"/>
      <c r="K114" s="5"/>
      <c r="L114" s="5"/>
      <c r="M114" s="5"/>
      <c r="N114" s="5"/>
      <c r="O114" s="5"/>
      <c r="P114" s="5"/>
      <c r="Q114" s="5"/>
    </row>
    <row r="115" spans="1:17" ht="14.25" x14ac:dyDescent="0.2">
      <c r="A115" s="531" t="s">
        <v>597</v>
      </c>
      <c r="B115" s="518" t="s">
        <v>80</v>
      </c>
      <c r="C115" s="518">
        <v>252</v>
      </c>
      <c r="D115" s="541" t="s">
        <v>231</v>
      </c>
      <c r="E115" s="518" t="s">
        <v>79</v>
      </c>
      <c r="F115" s="542">
        <v>1</v>
      </c>
      <c r="G115" s="538">
        <v>9.19</v>
      </c>
      <c r="H115" s="538">
        <f>G115*L$11</f>
        <v>20.441316999999998</v>
      </c>
      <c r="I115" s="539">
        <f>ROUND(F115*H115,2)</f>
        <v>20.440000000000001</v>
      </c>
      <c r="J115" s="5"/>
      <c r="K115" s="5"/>
      <c r="L115" s="5"/>
      <c r="M115" s="5"/>
      <c r="N115" s="5"/>
      <c r="O115" s="5"/>
      <c r="P115" s="5"/>
      <c r="Q115" s="5"/>
    </row>
    <row r="116" spans="1:17" ht="14.25" x14ac:dyDescent="0.2">
      <c r="A116" s="531" t="s">
        <v>598</v>
      </c>
      <c r="B116" s="518" t="s">
        <v>80</v>
      </c>
      <c r="C116" s="518">
        <v>6110</v>
      </c>
      <c r="D116" s="541" t="s">
        <v>232</v>
      </c>
      <c r="E116" s="518" t="s">
        <v>79</v>
      </c>
      <c r="F116" s="542">
        <v>1</v>
      </c>
      <c r="G116" s="538">
        <v>12.2</v>
      </c>
      <c r="H116" s="538">
        <f>G116*L$11</f>
        <v>27.136459999999996</v>
      </c>
      <c r="I116" s="539">
        <f>ROUND(F116*H116,2)</f>
        <v>27.14</v>
      </c>
      <c r="J116" s="5"/>
      <c r="K116" s="5"/>
      <c r="L116" s="5"/>
      <c r="M116" s="5"/>
      <c r="N116" s="5"/>
      <c r="O116" s="5"/>
      <c r="P116" s="5"/>
      <c r="Q116" s="5"/>
    </row>
    <row r="117" spans="1:17" s="116" customFormat="1" ht="14.25" x14ac:dyDescent="0.2">
      <c r="A117" s="138"/>
      <c r="B117" s="132"/>
      <c r="C117" s="132"/>
      <c r="D117" s="131"/>
      <c r="E117" s="132"/>
      <c r="F117" s="134"/>
      <c r="G117" s="140"/>
      <c r="H117" s="134"/>
      <c r="I117" s="139"/>
      <c r="J117" s="115"/>
      <c r="K117" s="115"/>
      <c r="L117" s="115"/>
      <c r="M117" s="115"/>
      <c r="N117" s="115"/>
      <c r="O117" s="115"/>
      <c r="P117" s="115"/>
      <c r="Q117" s="115"/>
    </row>
    <row r="118" spans="1:17" s="116" customFormat="1" x14ac:dyDescent="0.2">
      <c r="A118" s="124" t="s">
        <v>482</v>
      </c>
      <c r="B118" s="125" t="s">
        <v>278</v>
      </c>
      <c r="C118" s="126" t="s">
        <v>145</v>
      </c>
      <c r="D118" s="127" t="s">
        <v>563</v>
      </c>
      <c r="E118" s="125" t="s">
        <v>8</v>
      </c>
      <c r="F118" s="128"/>
      <c r="G118" s="129"/>
      <c r="H118" s="129"/>
      <c r="I118" s="130">
        <f>SUM(I119:I121)</f>
        <v>163.95999999999998</v>
      </c>
      <c r="J118" s="115"/>
      <c r="K118" s="115"/>
      <c r="L118" s="115"/>
      <c r="M118" s="115"/>
      <c r="N118" s="115"/>
      <c r="O118" s="115"/>
      <c r="P118" s="115"/>
      <c r="Q118" s="115"/>
    </row>
    <row r="119" spans="1:17" s="116" customFormat="1" ht="14.25" x14ac:dyDescent="0.2">
      <c r="A119" s="475" t="s">
        <v>140</v>
      </c>
      <c r="B119" s="279" t="s">
        <v>80</v>
      </c>
      <c r="C119" s="279">
        <v>79475</v>
      </c>
      <c r="D119" s="280" t="s">
        <v>560</v>
      </c>
      <c r="E119" s="279" t="s">
        <v>97</v>
      </c>
      <c r="F119" s="281">
        <v>0.17</v>
      </c>
      <c r="G119" s="282">
        <v>173.27</v>
      </c>
      <c r="H119" s="282">
        <f>ROUND((1+K$3)*G119,2)</f>
        <v>173.27</v>
      </c>
      <c r="I119" s="283">
        <f t="shared" ref="I119:I121" si="16">ROUND(F119*H119,2)</f>
        <v>29.46</v>
      </c>
      <c r="J119" s="115"/>
      <c r="K119" s="115"/>
      <c r="L119" s="115"/>
      <c r="M119" s="115"/>
      <c r="N119" s="115"/>
      <c r="O119" s="115"/>
      <c r="P119" s="115"/>
      <c r="Q119" s="115"/>
    </row>
    <row r="120" spans="1:17" s="50" customFormat="1" ht="28.5" x14ac:dyDescent="0.2">
      <c r="A120" s="475" t="s">
        <v>191</v>
      </c>
      <c r="B120" s="225" t="s">
        <v>80</v>
      </c>
      <c r="C120" s="225">
        <v>73361</v>
      </c>
      <c r="D120" s="284" t="s">
        <v>561</v>
      </c>
      <c r="E120" s="225" t="s">
        <v>97</v>
      </c>
      <c r="F120" s="285">
        <f>F119</f>
        <v>0.17</v>
      </c>
      <c r="G120" s="286">
        <v>238.68</v>
      </c>
      <c r="H120" s="285">
        <f>ROUND((1+K$3)*G120,2)</f>
        <v>238.68</v>
      </c>
      <c r="I120" s="287">
        <f t="shared" si="16"/>
        <v>40.58</v>
      </c>
      <c r="J120" s="223"/>
      <c r="K120" s="223"/>
      <c r="L120" s="223"/>
      <c r="M120" s="223"/>
      <c r="N120" s="223"/>
      <c r="O120" s="223"/>
      <c r="P120" s="223"/>
      <c r="Q120" s="223"/>
    </row>
    <row r="121" spans="1:17" s="50" customFormat="1" ht="29.25" thickBot="1" x14ac:dyDescent="0.25">
      <c r="A121" s="476" t="s">
        <v>485</v>
      </c>
      <c r="B121" s="462" t="s">
        <v>80</v>
      </c>
      <c r="C121" s="462">
        <v>6501</v>
      </c>
      <c r="D121" s="472" t="s">
        <v>562</v>
      </c>
      <c r="E121" s="462" t="s">
        <v>97</v>
      </c>
      <c r="F121" s="473">
        <f>0.2*0.36*1.1</f>
        <v>7.9200000000000007E-2</v>
      </c>
      <c r="G121" s="466">
        <v>1185.8599999999999</v>
      </c>
      <c r="H121" s="466">
        <f>ROUND((1+K$3)*G121,2)</f>
        <v>1185.8599999999999</v>
      </c>
      <c r="I121" s="474">
        <f t="shared" si="16"/>
        <v>93.92</v>
      </c>
      <c r="J121" s="223"/>
      <c r="K121" s="223"/>
      <c r="L121" s="223"/>
      <c r="M121" s="223"/>
      <c r="N121" s="223"/>
      <c r="O121" s="223"/>
      <c r="P121" s="223"/>
      <c r="Q121" s="223"/>
    </row>
    <row r="122" spans="1:17" s="50" customFormat="1" ht="14.25" x14ac:dyDescent="0.2">
      <c r="A122" s="467"/>
      <c r="B122" s="268"/>
      <c r="C122" s="268"/>
      <c r="D122" s="468"/>
      <c r="E122" s="268"/>
      <c r="F122" s="469"/>
      <c r="G122" s="470"/>
      <c r="H122" s="470"/>
      <c r="I122" s="471"/>
      <c r="J122" s="223"/>
      <c r="K122" s="223"/>
      <c r="L122" s="223"/>
      <c r="M122" s="223"/>
      <c r="N122" s="223"/>
      <c r="O122" s="223"/>
      <c r="P122" s="223"/>
      <c r="Q122" s="223"/>
    </row>
    <row r="123" spans="1:17" s="116" customFormat="1" ht="45" x14ac:dyDescent="0.2">
      <c r="A123" s="124" t="s">
        <v>483</v>
      </c>
      <c r="B123" s="125" t="s">
        <v>278</v>
      </c>
      <c r="C123" s="126" t="s">
        <v>146</v>
      </c>
      <c r="D123" s="127" t="s">
        <v>555</v>
      </c>
      <c r="E123" s="125" t="s">
        <v>8</v>
      </c>
      <c r="F123" s="128"/>
      <c r="G123" s="129"/>
      <c r="H123" s="129"/>
      <c r="I123" s="130">
        <f>SUM(I124:I127)</f>
        <v>160.38999999999999</v>
      </c>
      <c r="J123" s="115"/>
      <c r="K123" s="115"/>
      <c r="L123" s="115"/>
      <c r="M123" s="115"/>
      <c r="N123" s="115"/>
      <c r="O123" s="115"/>
      <c r="P123" s="115"/>
      <c r="Q123" s="115"/>
    </row>
    <row r="124" spans="1:17" s="116" customFormat="1" ht="14.25" x14ac:dyDescent="0.2">
      <c r="A124" s="138" t="s">
        <v>484</v>
      </c>
      <c r="B124" s="132" t="s">
        <v>80</v>
      </c>
      <c r="C124" s="132">
        <v>11125</v>
      </c>
      <c r="D124" s="277" t="s">
        <v>229</v>
      </c>
      <c r="E124" s="132" t="s">
        <v>2</v>
      </c>
      <c r="F124" s="278">
        <v>3.53</v>
      </c>
      <c r="G124" s="221">
        <v>16.760000000000002</v>
      </c>
      <c r="H124" s="221">
        <f>G124*J$7</f>
        <v>16.760000000000002</v>
      </c>
      <c r="I124" s="222">
        <f>ROUND(F124*H124,2)</f>
        <v>59.16</v>
      </c>
      <c r="J124" s="115"/>
      <c r="K124" s="115"/>
      <c r="L124" s="115"/>
      <c r="M124" s="115"/>
      <c r="N124" s="115"/>
      <c r="O124" s="115"/>
      <c r="P124" s="115"/>
      <c r="Q124" s="115"/>
    </row>
    <row r="125" spans="1:17" s="116" customFormat="1" ht="14.25" x14ac:dyDescent="0.2">
      <c r="A125" s="138" t="s">
        <v>192</v>
      </c>
      <c r="B125" s="132" t="s">
        <v>80</v>
      </c>
      <c r="C125" s="132">
        <v>585</v>
      </c>
      <c r="D125" s="277" t="s">
        <v>230</v>
      </c>
      <c r="E125" s="132" t="s">
        <v>2</v>
      </c>
      <c r="F125" s="278">
        <v>1.25</v>
      </c>
      <c r="G125" s="221">
        <v>17</v>
      </c>
      <c r="H125" s="221">
        <f>G125*J$7</f>
        <v>17</v>
      </c>
      <c r="I125" s="222">
        <f>ROUND(F125*H125,2)</f>
        <v>21.25</v>
      </c>
      <c r="J125" s="115"/>
      <c r="K125" s="115"/>
      <c r="L125" s="115"/>
      <c r="M125" s="115"/>
      <c r="N125" s="115"/>
      <c r="O125" s="115"/>
      <c r="P125" s="115"/>
      <c r="Q125" s="115"/>
    </row>
    <row r="126" spans="1:17" s="116" customFormat="1" ht="14.25" x14ac:dyDescent="0.2">
      <c r="A126" s="138" t="s">
        <v>193</v>
      </c>
      <c r="B126" s="132" t="s">
        <v>80</v>
      </c>
      <c r="C126" s="132">
        <v>252</v>
      </c>
      <c r="D126" s="277" t="s">
        <v>231</v>
      </c>
      <c r="E126" s="132" t="s">
        <v>79</v>
      </c>
      <c r="F126" s="278">
        <v>2</v>
      </c>
      <c r="G126" s="221">
        <v>7.5</v>
      </c>
      <c r="H126" s="221">
        <f>G126*L$11</f>
        <v>16.68225</v>
      </c>
      <c r="I126" s="222">
        <f>ROUND(F126*H126,2)</f>
        <v>33.36</v>
      </c>
      <c r="J126" s="115"/>
      <c r="K126" s="115"/>
      <c r="L126" s="115"/>
      <c r="M126" s="115"/>
      <c r="N126" s="115"/>
      <c r="O126" s="115"/>
      <c r="P126" s="115"/>
      <c r="Q126" s="115"/>
    </row>
    <row r="127" spans="1:17" s="116" customFormat="1" ht="14.25" x14ac:dyDescent="0.2">
      <c r="A127" s="138" t="s">
        <v>304</v>
      </c>
      <c r="B127" s="132" t="s">
        <v>80</v>
      </c>
      <c r="C127" s="132">
        <v>6110</v>
      </c>
      <c r="D127" s="277" t="s">
        <v>232</v>
      </c>
      <c r="E127" s="132" t="s">
        <v>79</v>
      </c>
      <c r="F127" s="278">
        <v>2</v>
      </c>
      <c r="G127" s="221">
        <v>10.48</v>
      </c>
      <c r="H127" s="221">
        <f>G127*L$11</f>
        <v>23.310663999999999</v>
      </c>
      <c r="I127" s="222">
        <f>ROUND(F127*H127,2)</f>
        <v>46.62</v>
      </c>
      <c r="J127" s="115"/>
      <c r="K127" s="115"/>
      <c r="L127" s="115"/>
      <c r="M127" s="115"/>
      <c r="N127" s="115"/>
      <c r="O127" s="115"/>
      <c r="P127" s="115"/>
      <c r="Q127" s="115"/>
    </row>
    <row r="128" spans="1:17" s="116" customFormat="1" ht="14.25" x14ac:dyDescent="0.2">
      <c r="A128" s="138"/>
      <c r="B128" s="132"/>
      <c r="C128" s="132"/>
      <c r="D128" s="277"/>
      <c r="E128" s="132"/>
      <c r="F128" s="278"/>
      <c r="G128" s="221"/>
      <c r="H128" s="221"/>
      <c r="I128" s="222"/>
      <c r="J128" s="115"/>
      <c r="K128" s="115"/>
      <c r="L128" s="115"/>
      <c r="M128" s="115"/>
      <c r="N128" s="115"/>
      <c r="O128" s="115"/>
      <c r="P128" s="115"/>
      <c r="Q128" s="115"/>
    </row>
    <row r="129" spans="1:17" s="41" customFormat="1" x14ac:dyDescent="0.2">
      <c r="A129" s="124" t="s">
        <v>599</v>
      </c>
      <c r="B129" s="125" t="s">
        <v>278</v>
      </c>
      <c r="C129" s="126" t="s">
        <v>575</v>
      </c>
      <c r="D129" s="127" t="s">
        <v>283</v>
      </c>
      <c r="E129" s="125" t="s">
        <v>8</v>
      </c>
      <c r="F129" s="128"/>
      <c r="G129" s="129"/>
      <c r="H129" s="129"/>
      <c r="I129" s="130">
        <f>SUM(I130:I172)</f>
        <v>2432.71</v>
      </c>
      <c r="J129" s="42"/>
      <c r="K129" s="43"/>
      <c r="L129" s="42"/>
      <c r="M129" s="42"/>
      <c r="N129" s="42"/>
      <c r="O129" s="42"/>
      <c r="P129" s="42"/>
      <c r="Q129" s="42"/>
    </row>
    <row r="130" spans="1:17" s="50" customFormat="1" ht="14.25" x14ac:dyDescent="0.2">
      <c r="A130" s="138" t="s">
        <v>600</v>
      </c>
      <c r="B130" s="132" t="s">
        <v>80</v>
      </c>
      <c r="C130" s="132">
        <v>6138</v>
      </c>
      <c r="D130" s="131" t="s">
        <v>30</v>
      </c>
      <c r="E130" s="132" t="s">
        <v>94</v>
      </c>
      <c r="F130" s="134">
        <v>1</v>
      </c>
      <c r="G130" s="134">
        <v>3.04</v>
      </c>
      <c r="H130" s="134">
        <f t="shared" ref="H130:H172" si="17">ROUND((1+K$3)*G130,2)</f>
        <v>3.04</v>
      </c>
      <c r="I130" s="139">
        <f t="shared" ref="I130:I168" si="18">ROUND(F130*H130,2)</f>
        <v>3.04</v>
      </c>
      <c r="J130" s="223"/>
      <c r="K130" s="117"/>
      <c r="L130" s="223"/>
      <c r="M130" s="223"/>
      <c r="N130" s="223"/>
      <c r="O130" s="223"/>
      <c r="P130" s="223"/>
      <c r="Q130" s="223"/>
    </row>
    <row r="131" spans="1:17" s="50" customFormat="1" ht="14.25" x14ac:dyDescent="0.2">
      <c r="A131" s="138" t="s">
        <v>601</v>
      </c>
      <c r="B131" s="132" t="s">
        <v>80</v>
      </c>
      <c r="C131" s="132">
        <v>9862</v>
      </c>
      <c r="D131" s="131" t="s">
        <v>17</v>
      </c>
      <c r="E131" s="132" t="s">
        <v>90</v>
      </c>
      <c r="F131" s="134">
        <v>3</v>
      </c>
      <c r="G131" s="134">
        <v>11.06</v>
      </c>
      <c r="H131" s="134">
        <f t="shared" si="17"/>
        <v>11.06</v>
      </c>
      <c r="I131" s="139">
        <f t="shared" si="18"/>
        <v>33.18</v>
      </c>
      <c r="J131" s="223"/>
      <c r="K131" s="117"/>
      <c r="L131" s="223"/>
      <c r="M131" s="223"/>
      <c r="N131" s="223"/>
      <c r="O131" s="223"/>
      <c r="P131" s="223"/>
      <c r="Q131" s="223"/>
    </row>
    <row r="132" spans="1:17" s="50" customFormat="1" ht="14.25" x14ac:dyDescent="0.2">
      <c r="A132" s="138" t="s">
        <v>602</v>
      </c>
      <c r="B132" s="132" t="s">
        <v>80</v>
      </c>
      <c r="C132" s="132">
        <v>9859</v>
      </c>
      <c r="D132" s="131" t="s">
        <v>19</v>
      </c>
      <c r="E132" s="132" t="s">
        <v>90</v>
      </c>
      <c r="F132" s="134">
        <v>7</v>
      </c>
      <c r="G132" s="134">
        <v>3.69</v>
      </c>
      <c r="H132" s="134">
        <f t="shared" si="17"/>
        <v>3.69</v>
      </c>
      <c r="I132" s="139">
        <f t="shared" si="18"/>
        <v>25.83</v>
      </c>
      <c r="J132" s="223"/>
      <c r="K132" s="117"/>
      <c r="L132" s="223"/>
      <c r="M132" s="223"/>
      <c r="N132" s="223"/>
      <c r="O132" s="223"/>
      <c r="P132" s="223"/>
      <c r="Q132" s="223"/>
    </row>
    <row r="133" spans="1:17" s="50" customFormat="1" ht="14.25" x14ac:dyDescent="0.2">
      <c r="A133" s="138" t="s">
        <v>603</v>
      </c>
      <c r="B133" s="132" t="s">
        <v>80</v>
      </c>
      <c r="C133" s="132">
        <v>9856</v>
      </c>
      <c r="D133" s="131" t="s">
        <v>18</v>
      </c>
      <c r="E133" s="132" t="s">
        <v>90</v>
      </c>
      <c r="F133" s="134">
        <v>1</v>
      </c>
      <c r="G133" s="134">
        <v>2.99</v>
      </c>
      <c r="H133" s="134">
        <f t="shared" si="17"/>
        <v>2.99</v>
      </c>
      <c r="I133" s="139">
        <f t="shared" si="18"/>
        <v>2.99</v>
      </c>
      <c r="J133" s="223"/>
      <c r="K133" s="117"/>
      <c r="L133" s="223"/>
      <c r="M133" s="223"/>
      <c r="N133" s="223"/>
      <c r="O133" s="223"/>
      <c r="P133" s="223"/>
      <c r="Q133" s="223"/>
    </row>
    <row r="134" spans="1:17" s="50" customFormat="1" ht="14.25" x14ac:dyDescent="0.2">
      <c r="A134" s="138" t="s">
        <v>604</v>
      </c>
      <c r="B134" s="132" t="s">
        <v>80</v>
      </c>
      <c r="C134" s="132">
        <v>7126</v>
      </c>
      <c r="D134" s="131" t="s">
        <v>20</v>
      </c>
      <c r="E134" s="132" t="s">
        <v>94</v>
      </c>
      <c r="F134" s="134">
        <v>2</v>
      </c>
      <c r="G134" s="134">
        <v>7.73</v>
      </c>
      <c r="H134" s="134">
        <f t="shared" si="17"/>
        <v>7.73</v>
      </c>
      <c r="I134" s="139">
        <f t="shared" si="18"/>
        <v>15.46</v>
      </c>
      <c r="J134" s="223"/>
      <c r="K134" s="117"/>
      <c r="L134" s="223"/>
      <c r="M134" s="223"/>
      <c r="N134" s="223"/>
      <c r="O134" s="223"/>
      <c r="P134" s="223"/>
      <c r="Q134" s="223"/>
    </row>
    <row r="135" spans="1:17" s="50" customFormat="1" ht="14.25" x14ac:dyDescent="0.2">
      <c r="A135" s="138" t="s">
        <v>605</v>
      </c>
      <c r="B135" s="132" t="s">
        <v>80</v>
      </c>
      <c r="C135" s="132">
        <v>7120</v>
      </c>
      <c r="D135" s="131" t="s">
        <v>21</v>
      </c>
      <c r="E135" s="132" t="s">
        <v>94</v>
      </c>
      <c r="F135" s="134">
        <v>1</v>
      </c>
      <c r="G135" s="134">
        <v>2.58</v>
      </c>
      <c r="H135" s="134">
        <f t="shared" si="17"/>
        <v>2.58</v>
      </c>
      <c r="I135" s="139">
        <f t="shared" si="18"/>
        <v>2.58</v>
      </c>
      <c r="J135" s="223"/>
      <c r="K135" s="117"/>
      <c r="L135" s="223"/>
      <c r="M135" s="223"/>
      <c r="N135" s="223"/>
      <c r="O135" s="223"/>
      <c r="P135" s="223"/>
      <c r="Q135" s="223"/>
    </row>
    <row r="136" spans="1:17" s="50" customFormat="1" ht="14.25" x14ac:dyDescent="0.2">
      <c r="A136" s="138" t="s">
        <v>606</v>
      </c>
      <c r="B136" s="132" t="s">
        <v>80</v>
      </c>
      <c r="C136" s="132">
        <v>7123</v>
      </c>
      <c r="D136" s="131" t="s">
        <v>22</v>
      </c>
      <c r="E136" s="132" t="s">
        <v>94</v>
      </c>
      <c r="F136" s="134">
        <v>1</v>
      </c>
      <c r="G136" s="134">
        <v>1.37</v>
      </c>
      <c r="H136" s="134">
        <f t="shared" si="17"/>
        <v>1.37</v>
      </c>
      <c r="I136" s="139">
        <f t="shared" si="18"/>
        <v>1.37</v>
      </c>
      <c r="J136" s="49"/>
      <c r="K136" s="49"/>
      <c r="L136" s="49"/>
      <c r="M136" s="49"/>
      <c r="N136" s="49"/>
      <c r="O136" s="49"/>
      <c r="P136" s="49"/>
      <c r="Q136" s="49"/>
    </row>
    <row r="137" spans="1:17" s="50" customFormat="1" ht="14.25" customHeight="1" x14ac:dyDescent="0.2">
      <c r="A137" s="138" t="s">
        <v>607</v>
      </c>
      <c r="B137" s="132" t="s">
        <v>80</v>
      </c>
      <c r="C137" s="132">
        <v>72</v>
      </c>
      <c r="D137" s="131" t="s">
        <v>31</v>
      </c>
      <c r="E137" s="132" t="s">
        <v>94</v>
      </c>
      <c r="F137" s="134">
        <v>1</v>
      </c>
      <c r="G137" s="134">
        <v>12.93</v>
      </c>
      <c r="H137" s="134">
        <f t="shared" si="17"/>
        <v>12.93</v>
      </c>
      <c r="I137" s="139">
        <f t="shared" si="18"/>
        <v>12.93</v>
      </c>
      <c r="J137" s="49"/>
      <c r="K137" s="49"/>
      <c r="L137" s="49"/>
      <c r="M137" s="49"/>
      <c r="N137" s="49"/>
      <c r="O137" s="49"/>
      <c r="P137" s="49"/>
      <c r="Q137" s="49"/>
    </row>
    <row r="138" spans="1:17" s="50" customFormat="1" ht="28.5" x14ac:dyDescent="0.2">
      <c r="A138" s="138" t="s">
        <v>608</v>
      </c>
      <c r="B138" s="132" t="s">
        <v>80</v>
      </c>
      <c r="C138" s="132">
        <v>73</v>
      </c>
      <c r="D138" s="131" t="s">
        <v>32</v>
      </c>
      <c r="E138" s="132" t="s">
        <v>94</v>
      </c>
      <c r="F138" s="134">
        <v>1</v>
      </c>
      <c r="G138" s="134">
        <v>8.11</v>
      </c>
      <c r="H138" s="134">
        <f t="shared" si="17"/>
        <v>8.11</v>
      </c>
      <c r="I138" s="139">
        <f t="shared" si="18"/>
        <v>8.11</v>
      </c>
      <c r="J138" s="223"/>
      <c r="K138" s="117"/>
      <c r="L138" s="223"/>
      <c r="M138" s="223"/>
      <c r="N138" s="223"/>
      <c r="O138" s="223"/>
      <c r="P138" s="223"/>
      <c r="Q138" s="223"/>
    </row>
    <row r="139" spans="1:17" s="50" customFormat="1" ht="14.25" x14ac:dyDescent="0.2">
      <c r="A139" s="138" t="s">
        <v>609</v>
      </c>
      <c r="B139" s="132" t="s">
        <v>80</v>
      </c>
      <c r="C139" s="132">
        <v>3481</v>
      </c>
      <c r="D139" s="131" t="s">
        <v>33</v>
      </c>
      <c r="E139" s="132" t="s">
        <v>94</v>
      </c>
      <c r="F139" s="134">
        <v>1</v>
      </c>
      <c r="G139" s="134">
        <v>6.4</v>
      </c>
      <c r="H139" s="134">
        <f t="shared" si="17"/>
        <v>6.4</v>
      </c>
      <c r="I139" s="139">
        <f t="shared" si="18"/>
        <v>6.4</v>
      </c>
      <c r="J139" s="223"/>
      <c r="K139" s="117"/>
      <c r="L139" s="223"/>
      <c r="M139" s="223"/>
      <c r="N139" s="223"/>
      <c r="O139" s="223"/>
      <c r="P139" s="223"/>
      <c r="Q139" s="223"/>
    </row>
    <row r="140" spans="1:17" s="50" customFormat="1" ht="14.25" x14ac:dyDescent="0.2">
      <c r="A140" s="138" t="s">
        <v>610</v>
      </c>
      <c r="B140" s="132" t="s">
        <v>80</v>
      </c>
      <c r="C140" s="132">
        <v>3534</v>
      </c>
      <c r="D140" s="131" t="s">
        <v>125</v>
      </c>
      <c r="E140" s="132" t="s">
        <v>94</v>
      </c>
      <c r="F140" s="134">
        <v>9</v>
      </c>
      <c r="G140" s="134">
        <v>2.1800000000000002</v>
      </c>
      <c r="H140" s="134">
        <f t="shared" si="17"/>
        <v>2.1800000000000002</v>
      </c>
      <c r="I140" s="139">
        <f t="shared" si="18"/>
        <v>19.62</v>
      </c>
      <c r="J140" s="223"/>
      <c r="K140" s="117"/>
      <c r="L140" s="223"/>
      <c r="M140" s="223"/>
      <c r="N140" s="223"/>
      <c r="O140" s="223"/>
      <c r="P140" s="223"/>
      <c r="Q140" s="223"/>
    </row>
    <row r="141" spans="1:17" s="50" customFormat="1" ht="14.25" x14ac:dyDescent="0.2">
      <c r="A141" s="138" t="s">
        <v>611</v>
      </c>
      <c r="B141" s="132" t="s">
        <v>80</v>
      </c>
      <c r="C141" s="132">
        <v>3442</v>
      </c>
      <c r="D141" s="131" t="s">
        <v>120</v>
      </c>
      <c r="E141" s="132" t="s">
        <v>94</v>
      </c>
      <c r="F141" s="134">
        <v>1</v>
      </c>
      <c r="G141" s="134">
        <v>6.74</v>
      </c>
      <c r="H141" s="134">
        <f t="shared" si="17"/>
        <v>6.74</v>
      </c>
      <c r="I141" s="139">
        <f t="shared" si="18"/>
        <v>6.74</v>
      </c>
      <c r="J141" s="223"/>
      <c r="K141" s="117"/>
      <c r="L141" s="223"/>
      <c r="M141" s="223"/>
      <c r="N141" s="223"/>
      <c r="O141" s="223"/>
      <c r="P141" s="223"/>
      <c r="Q141" s="223"/>
    </row>
    <row r="142" spans="1:17" s="50" customFormat="1" ht="14.25" x14ac:dyDescent="0.2">
      <c r="A142" s="138" t="s">
        <v>612</v>
      </c>
      <c r="B142" s="132" t="s">
        <v>80</v>
      </c>
      <c r="C142" s="132">
        <v>3450</v>
      </c>
      <c r="D142" s="131" t="s">
        <v>126</v>
      </c>
      <c r="E142" s="132" t="s">
        <v>94</v>
      </c>
      <c r="F142" s="134">
        <v>1</v>
      </c>
      <c r="G142" s="134">
        <v>5.91</v>
      </c>
      <c r="H142" s="134">
        <f t="shared" si="17"/>
        <v>5.91</v>
      </c>
      <c r="I142" s="139">
        <f t="shared" si="18"/>
        <v>5.91</v>
      </c>
      <c r="J142" s="223"/>
      <c r="K142" s="117"/>
      <c r="L142" s="223"/>
      <c r="M142" s="223"/>
      <c r="N142" s="223"/>
      <c r="O142" s="223"/>
      <c r="P142" s="223"/>
      <c r="Q142" s="223"/>
    </row>
    <row r="143" spans="1:17" s="50" customFormat="1" ht="14.25" x14ac:dyDescent="0.2">
      <c r="A143" s="138" t="s">
        <v>613</v>
      </c>
      <c r="B143" s="132" t="s">
        <v>80</v>
      </c>
      <c r="C143" s="132">
        <v>3496</v>
      </c>
      <c r="D143" s="131" t="s">
        <v>127</v>
      </c>
      <c r="E143" s="132" t="s">
        <v>94</v>
      </c>
      <c r="F143" s="134">
        <v>1</v>
      </c>
      <c r="G143" s="134">
        <v>1.6</v>
      </c>
      <c r="H143" s="134">
        <f t="shared" si="17"/>
        <v>1.6</v>
      </c>
      <c r="I143" s="139">
        <f t="shared" si="18"/>
        <v>1.6</v>
      </c>
      <c r="J143" s="223"/>
      <c r="K143" s="117"/>
      <c r="L143" s="223"/>
      <c r="M143" s="223"/>
      <c r="N143" s="223"/>
      <c r="O143" s="223"/>
      <c r="P143" s="223"/>
      <c r="Q143" s="223"/>
    </row>
    <row r="144" spans="1:17" s="50" customFormat="1" ht="14.25" x14ac:dyDescent="0.2">
      <c r="A144" s="138" t="s">
        <v>614</v>
      </c>
      <c r="B144" s="132" t="s">
        <v>80</v>
      </c>
      <c r="C144" s="132">
        <v>9899</v>
      </c>
      <c r="D144" s="131" t="s">
        <v>34</v>
      </c>
      <c r="E144" s="132" t="s">
        <v>94</v>
      </c>
      <c r="F144" s="134">
        <v>1</v>
      </c>
      <c r="G144" s="134">
        <v>4.1100000000000003</v>
      </c>
      <c r="H144" s="134">
        <f t="shared" si="17"/>
        <v>4.1100000000000003</v>
      </c>
      <c r="I144" s="139">
        <f t="shared" si="18"/>
        <v>4.1100000000000003</v>
      </c>
      <c r="J144" s="223"/>
      <c r="K144" s="117"/>
      <c r="L144" s="223"/>
      <c r="M144" s="223"/>
      <c r="N144" s="223"/>
      <c r="O144" s="223"/>
      <c r="P144" s="223"/>
      <c r="Q144" s="223"/>
    </row>
    <row r="145" spans="1:17" s="50" customFormat="1" ht="14.25" x14ac:dyDescent="0.2">
      <c r="A145" s="138" t="s">
        <v>615</v>
      </c>
      <c r="B145" s="132" t="s">
        <v>80</v>
      </c>
      <c r="C145" s="132">
        <v>4211</v>
      </c>
      <c r="D145" s="131" t="s">
        <v>121</v>
      </c>
      <c r="E145" s="132" t="s">
        <v>94</v>
      </c>
      <c r="F145" s="134">
        <v>1</v>
      </c>
      <c r="G145" s="134">
        <v>0.46</v>
      </c>
      <c r="H145" s="134">
        <f t="shared" si="17"/>
        <v>0.46</v>
      </c>
      <c r="I145" s="139">
        <f t="shared" si="18"/>
        <v>0.46</v>
      </c>
      <c r="J145" s="223"/>
      <c r="K145" s="117"/>
      <c r="L145" s="223"/>
      <c r="M145" s="223"/>
      <c r="N145" s="223"/>
      <c r="O145" s="223"/>
      <c r="P145" s="223"/>
      <c r="Q145" s="223"/>
    </row>
    <row r="146" spans="1:17" s="50" customFormat="1" ht="14.25" x14ac:dyDescent="0.2">
      <c r="A146" s="138" t="s">
        <v>616</v>
      </c>
      <c r="B146" s="132" t="s">
        <v>80</v>
      </c>
      <c r="C146" s="132">
        <v>4210</v>
      </c>
      <c r="D146" s="131" t="s">
        <v>122</v>
      </c>
      <c r="E146" s="132" t="s">
        <v>94</v>
      </c>
      <c r="F146" s="134">
        <v>1</v>
      </c>
      <c r="G146" s="134">
        <v>0.51</v>
      </c>
      <c r="H146" s="134">
        <f t="shared" si="17"/>
        <v>0.51</v>
      </c>
      <c r="I146" s="139">
        <f t="shared" si="18"/>
        <v>0.51</v>
      </c>
      <c r="J146" s="223"/>
      <c r="K146" s="117"/>
      <c r="L146" s="223"/>
      <c r="M146" s="223"/>
      <c r="N146" s="223"/>
      <c r="O146" s="223"/>
      <c r="P146" s="223"/>
      <c r="Q146" s="223"/>
    </row>
    <row r="147" spans="1:17" s="50" customFormat="1" ht="14.25" x14ac:dyDescent="0.2">
      <c r="A147" s="138" t="s">
        <v>617</v>
      </c>
      <c r="B147" s="132" t="s">
        <v>80</v>
      </c>
      <c r="C147" s="132">
        <v>10228</v>
      </c>
      <c r="D147" s="131" t="s">
        <v>43</v>
      </c>
      <c r="E147" s="132" t="s">
        <v>94</v>
      </c>
      <c r="F147" s="134">
        <v>1</v>
      </c>
      <c r="G147" s="134">
        <v>149</v>
      </c>
      <c r="H147" s="134">
        <f t="shared" si="17"/>
        <v>149</v>
      </c>
      <c r="I147" s="139">
        <f t="shared" si="18"/>
        <v>149</v>
      </c>
      <c r="J147" s="223"/>
      <c r="K147" s="117"/>
      <c r="L147" s="223"/>
      <c r="M147" s="223"/>
      <c r="N147" s="223"/>
      <c r="O147" s="223"/>
      <c r="P147" s="223"/>
      <c r="Q147" s="223"/>
    </row>
    <row r="148" spans="1:17" s="50" customFormat="1" ht="14.25" customHeight="1" x14ac:dyDescent="0.2">
      <c r="A148" s="138" t="s">
        <v>618</v>
      </c>
      <c r="B148" s="132" t="s">
        <v>80</v>
      </c>
      <c r="C148" s="132">
        <v>1031</v>
      </c>
      <c r="D148" s="131" t="s">
        <v>128</v>
      </c>
      <c r="E148" s="132" t="s">
        <v>94</v>
      </c>
      <c r="F148" s="134">
        <v>1</v>
      </c>
      <c r="G148" s="134">
        <v>3.66</v>
      </c>
      <c r="H148" s="134">
        <f t="shared" si="17"/>
        <v>3.66</v>
      </c>
      <c r="I148" s="139">
        <f t="shared" si="18"/>
        <v>3.66</v>
      </c>
      <c r="J148" s="223"/>
      <c r="K148" s="117"/>
      <c r="L148" s="223"/>
      <c r="M148" s="223"/>
      <c r="N148" s="223"/>
      <c r="O148" s="223"/>
      <c r="P148" s="223"/>
      <c r="Q148" s="223"/>
    </row>
    <row r="149" spans="1:17" s="50" customFormat="1" ht="14.25" x14ac:dyDescent="0.2">
      <c r="A149" s="138" t="s">
        <v>619</v>
      </c>
      <c r="B149" s="132" t="s">
        <v>80</v>
      </c>
      <c r="C149" s="132">
        <v>6015</v>
      </c>
      <c r="D149" s="131" t="s">
        <v>35</v>
      </c>
      <c r="E149" s="132" t="s">
        <v>94</v>
      </c>
      <c r="F149" s="134">
        <v>1</v>
      </c>
      <c r="G149" s="134">
        <v>83.05</v>
      </c>
      <c r="H149" s="134">
        <f t="shared" si="17"/>
        <v>83.05</v>
      </c>
      <c r="I149" s="139">
        <f t="shared" si="18"/>
        <v>83.05</v>
      </c>
      <c r="J149" s="223"/>
      <c r="K149" s="117"/>
      <c r="L149" s="223"/>
      <c r="M149" s="223"/>
      <c r="N149" s="223"/>
      <c r="O149" s="223"/>
      <c r="P149" s="223"/>
      <c r="Q149" s="223"/>
    </row>
    <row r="150" spans="1:17" s="50" customFormat="1" ht="14.25" x14ac:dyDescent="0.2">
      <c r="A150" s="138" t="s">
        <v>620</v>
      </c>
      <c r="B150" s="132" t="s">
        <v>80</v>
      </c>
      <c r="C150" s="132">
        <v>6021</v>
      </c>
      <c r="D150" s="131" t="s">
        <v>129</v>
      </c>
      <c r="E150" s="132" t="s">
        <v>94</v>
      </c>
      <c r="F150" s="134">
        <v>1</v>
      </c>
      <c r="G150" s="134">
        <v>38.409999999999997</v>
      </c>
      <c r="H150" s="134">
        <f t="shared" si="17"/>
        <v>38.409999999999997</v>
      </c>
      <c r="I150" s="139">
        <f t="shared" si="18"/>
        <v>38.409999999999997</v>
      </c>
      <c r="J150" s="223"/>
      <c r="K150" s="117"/>
      <c r="L150" s="223"/>
      <c r="M150" s="223"/>
      <c r="N150" s="223"/>
      <c r="O150" s="223"/>
      <c r="P150" s="223"/>
      <c r="Q150" s="223"/>
    </row>
    <row r="151" spans="1:17" s="50" customFormat="1" ht="14.25" x14ac:dyDescent="0.2">
      <c r="A151" s="138" t="s">
        <v>621</v>
      </c>
      <c r="B151" s="268" t="s">
        <v>80</v>
      </c>
      <c r="C151" s="268">
        <v>11871</v>
      </c>
      <c r="D151" s="269" t="s">
        <v>148</v>
      </c>
      <c r="E151" s="268" t="s">
        <v>94</v>
      </c>
      <c r="F151" s="270">
        <v>1</v>
      </c>
      <c r="G151" s="270">
        <v>152</v>
      </c>
      <c r="H151" s="270">
        <f t="shared" si="17"/>
        <v>152</v>
      </c>
      <c r="I151" s="272">
        <f t="shared" si="18"/>
        <v>152</v>
      </c>
      <c r="J151" s="223"/>
      <c r="K151" s="117"/>
      <c r="L151" s="223"/>
      <c r="M151" s="223"/>
      <c r="N151" s="223"/>
      <c r="O151" s="223"/>
      <c r="P151" s="223"/>
      <c r="Q151" s="223"/>
    </row>
    <row r="152" spans="1:17" s="50" customFormat="1" ht="14.25" x14ac:dyDescent="0.2">
      <c r="A152" s="138" t="s">
        <v>622</v>
      </c>
      <c r="B152" s="132" t="s">
        <v>80</v>
      </c>
      <c r="C152" s="132">
        <v>6005</v>
      </c>
      <c r="D152" s="131" t="s">
        <v>15</v>
      </c>
      <c r="E152" s="132" t="s">
        <v>94</v>
      </c>
      <c r="F152" s="134">
        <v>1</v>
      </c>
      <c r="G152" s="134">
        <v>42.52</v>
      </c>
      <c r="H152" s="134">
        <f t="shared" si="17"/>
        <v>42.52</v>
      </c>
      <c r="I152" s="139">
        <f t="shared" si="18"/>
        <v>42.52</v>
      </c>
      <c r="J152" s="223"/>
      <c r="K152" s="117"/>
      <c r="L152" s="223"/>
      <c r="M152" s="223"/>
      <c r="N152" s="223"/>
      <c r="O152" s="223"/>
      <c r="P152" s="223"/>
      <c r="Q152" s="223"/>
    </row>
    <row r="153" spans="1:17" s="50" customFormat="1" ht="14.25" x14ac:dyDescent="0.2">
      <c r="A153" s="138" t="s">
        <v>623</v>
      </c>
      <c r="B153" s="132" t="s">
        <v>93</v>
      </c>
      <c r="C153" s="132">
        <v>25004896</v>
      </c>
      <c r="D153" s="131" t="s">
        <v>130</v>
      </c>
      <c r="E153" s="132" t="s">
        <v>94</v>
      </c>
      <c r="F153" s="134">
        <v>2</v>
      </c>
      <c r="G153" s="275">
        <v>4.18</v>
      </c>
      <c r="H153" s="134">
        <f t="shared" si="17"/>
        <v>4.18</v>
      </c>
      <c r="I153" s="139">
        <f t="shared" si="18"/>
        <v>8.36</v>
      </c>
      <c r="J153" s="223"/>
      <c r="K153" s="117"/>
      <c r="L153" s="223"/>
      <c r="M153" s="223"/>
      <c r="N153" s="223"/>
      <c r="O153" s="223"/>
      <c r="P153" s="223"/>
      <c r="Q153" s="223"/>
    </row>
    <row r="154" spans="1:17" s="50" customFormat="1" ht="14.25" x14ac:dyDescent="0.2">
      <c r="A154" s="138" t="s">
        <v>624</v>
      </c>
      <c r="B154" s="132" t="s">
        <v>80</v>
      </c>
      <c r="C154" s="132">
        <v>7606</v>
      </c>
      <c r="D154" s="131" t="s">
        <v>23</v>
      </c>
      <c r="E154" s="132" t="s">
        <v>94</v>
      </c>
      <c r="F154" s="134">
        <v>1</v>
      </c>
      <c r="G154" s="134">
        <v>28.31</v>
      </c>
      <c r="H154" s="134">
        <f t="shared" si="17"/>
        <v>28.31</v>
      </c>
      <c r="I154" s="139">
        <f t="shared" si="18"/>
        <v>28.31</v>
      </c>
      <c r="J154" s="223"/>
      <c r="K154" s="117"/>
      <c r="L154" s="223"/>
      <c r="M154" s="223"/>
      <c r="N154" s="223"/>
      <c r="O154" s="223"/>
      <c r="P154" s="223"/>
      <c r="Q154" s="223"/>
    </row>
    <row r="155" spans="1:17" s="50" customFormat="1" thickBot="1" x14ac:dyDescent="0.25">
      <c r="A155" s="461" t="s">
        <v>625</v>
      </c>
      <c r="B155" s="462" t="s">
        <v>80</v>
      </c>
      <c r="C155" s="462">
        <v>9836</v>
      </c>
      <c r="D155" s="463" t="s">
        <v>24</v>
      </c>
      <c r="E155" s="462" t="s">
        <v>90</v>
      </c>
      <c r="F155" s="464">
        <v>30</v>
      </c>
      <c r="G155" s="464">
        <v>7.86</v>
      </c>
      <c r="H155" s="464">
        <f t="shared" si="17"/>
        <v>7.86</v>
      </c>
      <c r="I155" s="465">
        <f t="shared" si="18"/>
        <v>235.8</v>
      </c>
      <c r="J155" s="223"/>
      <c r="K155" s="117"/>
      <c r="L155" s="223"/>
      <c r="M155" s="223"/>
      <c r="N155" s="223"/>
      <c r="O155" s="223"/>
      <c r="P155" s="223"/>
      <c r="Q155" s="223"/>
    </row>
    <row r="156" spans="1:17" s="50" customFormat="1" ht="14.25" x14ac:dyDescent="0.2">
      <c r="A156" s="460" t="s">
        <v>626</v>
      </c>
      <c r="B156" s="268" t="s">
        <v>80</v>
      </c>
      <c r="C156" s="268">
        <v>9838</v>
      </c>
      <c r="D156" s="269" t="s">
        <v>25</v>
      </c>
      <c r="E156" s="268" t="s">
        <v>90</v>
      </c>
      <c r="F156" s="270">
        <v>9</v>
      </c>
      <c r="G156" s="270">
        <v>5.14</v>
      </c>
      <c r="H156" s="270">
        <f t="shared" si="17"/>
        <v>5.14</v>
      </c>
      <c r="I156" s="272">
        <f t="shared" si="18"/>
        <v>46.26</v>
      </c>
      <c r="J156" s="223"/>
      <c r="K156" s="117"/>
      <c r="L156" s="223"/>
      <c r="M156" s="223"/>
      <c r="N156" s="223"/>
      <c r="O156" s="223"/>
      <c r="P156" s="223"/>
      <c r="Q156" s="223"/>
    </row>
    <row r="157" spans="1:17" s="50" customFormat="1" ht="14.25" x14ac:dyDescent="0.2">
      <c r="A157" s="138" t="s">
        <v>627</v>
      </c>
      <c r="B157" s="132" t="s">
        <v>80</v>
      </c>
      <c r="C157" s="132">
        <v>9835</v>
      </c>
      <c r="D157" s="131" t="s">
        <v>123</v>
      </c>
      <c r="E157" s="132" t="s">
        <v>90</v>
      </c>
      <c r="F157" s="134">
        <v>4</v>
      </c>
      <c r="G157" s="134">
        <v>2.71</v>
      </c>
      <c r="H157" s="134">
        <f t="shared" si="17"/>
        <v>2.71</v>
      </c>
      <c r="I157" s="139">
        <f t="shared" si="18"/>
        <v>10.84</v>
      </c>
      <c r="J157" s="223"/>
      <c r="K157" s="117"/>
      <c r="L157" s="223"/>
      <c r="M157" s="223"/>
      <c r="N157" s="223"/>
      <c r="O157" s="223"/>
      <c r="P157" s="223"/>
      <c r="Q157" s="223"/>
    </row>
    <row r="158" spans="1:17" s="50" customFormat="1" ht="14.25" x14ac:dyDescent="0.2">
      <c r="A158" s="138" t="s">
        <v>628</v>
      </c>
      <c r="B158" s="132" t="s">
        <v>80</v>
      </c>
      <c r="C158" s="132">
        <v>20157</v>
      </c>
      <c r="D158" s="131" t="s">
        <v>131</v>
      </c>
      <c r="E158" s="132" t="s">
        <v>94</v>
      </c>
      <c r="F158" s="134">
        <v>1</v>
      </c>
      <c r="G158" s="134">
        <v>18.95</v>
      </c>
      <c r="H158" s="134">
        <f t="shared" si="17"/>
        <v>18.95</v>
      </c>
      <c r="I158" s="139">
        <f t="shared" si="18"/>
        <v>18.95</v>
      </c>
      <c r="J158" s="223"/>
      <c r="K158" s="117"/>
      <c r="L158" s="223"/>
      <c r="M158" s="223"/>
      <c r="N158" s="223"/>
      <c r="O158" s="223"/>
      <c r="P158" s="223"/>
      <c r="Q158" s="223"/>
    </row>
    <row r="159" spans="1:17" s="50" customFormat="1" ht="14.25" x14ac:dyDescent="0.2">
      <c r="A159" s="138" t="s">
        <v>629</v>
      </c>
      <c r="B159" s="132" t="s">
        <v>80</v>
      </c>
      <c r="C159" s="132">
        <v>20149</v>
      </c>
      <c r="D159" s="131" t="s">
        <v>132</v>
      </c>
      <c r="E159" s="132" t="s">
        <v>94</v>
      </c>
      <c r="F159" s="134">
        <v>2</v>
      </c>
      <c r="G159" s="134">
        <v>4.67</v>
      </c>
      <c r="H159" s="134">
        <f t="shared" si="17"/>
        <v>4.67</v>
      </c>
      <c r="I159" s="139">
        <f t="shared" si="18"/>
        <v>9.34</v>
      </c>
      <c r="J159" s="223"/>
      <c r="K159" s="117"/>
      <c r="L159" s="223"/>
      <c r="M159" s="223"/>
      <c r="N159" s="223"/>
      <c r="O159" s="223"/>
      <c r="P159" s="223"/>
      <c r="Q159" s="223"/>
    </row>
    <row r="160" spans="1:17" s="50" customFormat="1" ht="14.25" x14ac:dyDescent="0.2">
      <c r="A160" s="138" t="s">
        <v>630</v>
      </c>
      <c r="B160" s="132" t="s">
        <v>80</v>
      </c>
      <c r="C160" s="132">
        <v>3517</v>
      </c>
      <c r="D160" s="131" t="s">
        <v>124</v>
      </c>
      <c r="E160" s="132" t="s">
        <v>94</v>
      </c>
      <c r="F160" s="134">
        <v>2</v>
      </c>
      <c r="G160" s="134">
        <v>1.02</v>
      </c>
      <c r="H160" s="134">
        <f t="shared" si="17"/>
        <v>1.02</v>
      </c>
      <c r="I160" s="139">
        <f t="shared" si="18"/>
        <v>2.04</v>
      </c>
      <c r="J160" s="223"/>
      <c r="K160" s="117"/>
      <c r="L160" s="223"/>
      <c r="M160" s="223"/>
      <c r="N160" s="223"/>
      <c r="O160" s="223"/>
      <c r="P160" s="223"/>
      <c r="Q160" s="223"/>
    </row>
    <row r="161" spans="1:17" s="50" customFormat="1" ht="14.25" x14ac:dyDescent="0.2">
      <c r="A161" s="138" t="s">
        <v>631</v>
      </c>
      <c r="B161" s="132" t="s">
        <v>80</v>
      </c>
      <c r="C161" s="132">
        <v>3502</v>
      </c>
      <c r="D161" s="131" t="s">
        <v>26</v>
      </c>
      <c r="E161" s="132" t="s">
        <v>94</v>
      </c>
      <c r="F161" s="134">
        <v>2</v>
      </c>
      <c r="G161" s="134">
        <v>3.34</v>
      </c>
      <c r="H161" s="134">
        <f t="shared" si="17"/>
        <v>3.34</v>
      </c>
      <c r="I161" s="139">
        <f t="shared" si="18"/>
        <v>6.68</v>
      </c>
      <c r="J161" s="223"/>
      <c r="K161" s="117"/>
      <c r="L161" s="223"/>
      <c r="M161" s="223"/>
      <c r="N161" s="223"/>
      <c r="O161" s="223"/>
      <c r="P161" s="223"/>
      <c r="Q161" s="223"/>
    </row>
    <row r="162" spans="1:17" s="50" customFormat="1" ht="14.25" x14ac:dyDescent="0.2">
      <c r="A162" s="138" t="s">
        <v>632</v>
      </c>
      <c r="B162" s="132" t="s">
        <v>80</v>
      </c>
      <c r="C162" s="132">
        <v>3659</v>
      </c>
      <c r="D162" s="131" t="s">
        <v>27</v>
      </c>
      <c r="E162" s="132" t="s">
        <v>94</v>
      </c>
      <c r="F162" s="134">
        <v>1</v>
      </c>
      <c r="G162" s="134">
        <v>7.43</v>
      </c>
      <c r="H162" s="134">
        <f t="shared" si="17"/>
        <v>7.43</v>
      </c>
      <c r="I162" s="139">
        <f t="shared" si="18"/>
        <v>7.43</v>
      </c>
      <c r="J162" s="223"/>
      <c r="K162" s="117"/>
      <c r="L162" s="223"/>
      <c r="M162" s="223"/>
      <c r="N162" s="223"/>
      <c r="O162" s="223"/>
      <c r="P162" s="223"/>
      <c r="Q162" s="223"/>
    </row>
    <row r="163" spans="1:17" s="50" customFormat="1" ht="14.25" x14ac:dyDescent="0.2">
      <c r="A163" s="138" t="s">
        <v>633</v>
      </c>
      <c r="B163" s="132" t="s">
        <v>80</v>
      </c>
      <c r="C163" s="132">
        <v>11655</v>
      </c>
      <c r="D163" s="131" t="s">
        <v>28</v>
      </c>
      <c r="E163" s="132" t="s">
        <v>94</v>
      </c>
      <c r="F163" s="134">
        <v>1</v>
      </c>
      <c r="G163" s="134">
        <v>8.59</v>
      </c>
      <c r="H163" s="134">
        <f t="shared" si="17"/>
        <v>8.59</v>
      </c>
      <c r="I163" s="139">
        <f t="shared" si="18"/>
        <v>8.59</v>
      </c>
      <c r="J163" s="223"/>
      <c r="K163" s="117"/>
      <c r="L163" s="223"/>
      <c r="M163" s="223"/>
      <c r="N163" s="223"/>
      <c r="O163" s="223"/>
      <c r="P163" s="223"/>
      <c r="Q163" s="223"/>
    </row>
    <row r="164" spans="1:17" s="50" customFormat="1" ht="14.25" x14ac:dyDescent="0.2">
      <c r="A164" s="138" t="s">
        <v>634</v>
      </c>
      <c r="B164" s="132" t="s">
        <v>80</v>
      </c>
      <c r="C164" s="132">
        <v>11712</v>
      </c>
      <c r="D164" s="131" t="s">
        <v>36</v>
      </c>
      <c r="E164" s="132" t="s">
        <v>94</v>
      </c>
      <c r="F164" s="134">
        <v>1</v>
      </c>
      <c r="G164" s="134">
        <v>18.95</v>
      </c>
      <c r="H164" s="134">
        <f t="shared" si="17"/>
        <v>18.95</v>
      </c>
      <c r="I164" s="139">
        <f t="shared" si="18"/>
        <v>18.95</v>
      </c>
      <c r="J164" s="223"/>
      <c r="K164" s="117"/>
      <c r="L164" s="223"/>
      <c r="M164" s="223"/>
      <c r="N164" s="223"/>
      <c r="O164" s="223"/>
      <c r="P164" s="223"/>
      <c r="Q164" s="223"/>
    </row>
    <row r="165" spans="1:17" s="50" customFormat="1" ht="14.25" x14ac:dyDescent="0.2">
      <c r="A165" s="138" t="s">
        <v>635</v>
      </c>
      <c r="B165" s="132" t="s">
        <v>80</v>
      </c>
      <c r="C165" s="132">
        <v>11743</v>
      </c>
      <c r="D165" s="131" t="s">
        <v>149</v>
      </c>
      <c r="E165" s="132" t="s">
        <v>94</v>
      </c>
      <c r="F165" s="134">
        <v>1</v>
      </c>
      <c r="G165" s="134">
        <v>6.08</v>
      </c>
      <c r="H165" s="134">
        <f t="shared" si="17"/>
        <v>6.08</v>
      </c>
      <c r="I165" s="139">
        <f t="shared" si="18"/>
        <v>6.08</v>
      </c>
      <c r="J165" s="223"/>
      <c r="K165" s="117"/>
      <c r="L165" s="223"/>
      <c r="M165" s="223"/>
      <c r="N165" s="223"/>
      <c r="O165" s="223"/>
      <c r="P165" s="223"/>
      <c r="Q165" s="223"/>
    </row>
    <row r="166" spans="1:17" s="50" customFormat="1" ht="14.25" x14ac:dyDescent="0.2">
      <c r="A166" s="138" t="s">
        <v>636</v>
      </c>
      <c r="B166" s="132" t="s">
        <v>80</v>
      </c>
      <c r="C166" s="132">
        <v>84</v>
      </c>
      <c r="D166" s="131" t="s">
        <v>29</v>
      </c>
      <c r="E166" s="132" t="s">
        <v>94</v>
      </c>
      <c r="F166" s="134">
        <v>1</v>
      </c>
      <c r="G166" s="134">
        <v>1.59</v>
      </c>
      <c r="H166" s="134">
        <f t="shared" si="17"/>
        <v>1.59</v>
      </c>
      <c r="I166" s="139">
        <f t="shared" si="18"/>
        <v>1.59</v>
      </c>
      <c r="J166" s="223"/>
      <c r="K166" s="117"/>
      <c r="L166" s="223"/>
      <c r="M166" s="223"/>
      <c r="N166" s="223"/>
      <c r="O166" s="223"/>
      <c r="P166" s="223"/>
      <c r="Q166" s="223"/>
    </row>
    <row r="167" spans="1:17" s="50" customFormat="1" ht="14.25" x14ac:dyDescent="0.2">
      <c r="A167" s="138" t="s">
        <v>637</v>
      </c>
      <c r="B167" s="132" t="s">
        <v>7</v>
      </c>
      <c r="C167" s="276"/>
      <c r="D167" s="131" t="s">
        <v>37</v>
      </c>
      <c r="E167" s="132" t="s">
        <v>94</v>
      </c>
      <c r="F167" s="134">
        <v>1</v>
      </c>
      <c r="G167" s="134">
        <v>4.5</v>
      </c>
      <c r="H167" s="134">
        <f t="shared" si="17"/>
        <v>4.5</v>
      </c>
      <c r="I167" s="139">
        <f t="shared" si="18"/>
        <v>4.5</v>
      </c>
      <c r="J167" s="223"/>
      <c r="K167" s="117"/>
      <c r="L167" s="223"/>
      <c r="M167" s="223"/>
      <c r="N167" s="223"/>
      <c r="O167" s="223"/>
      <c r="P167" s="223"/>
      <c r="Q167" s="223"/>
    </row>
    <row r="168" spans="1:17" s="50" customFormat="1" ht="14.25" x14ac:dyDescent="0.2">
      <c r="A168" s="138" t="s">
        <v>638</v>
      </c>
      <c r="B168" s="132" t="s">
        <v>80</v>
      </c>
      <c r="C168" s="132">
        <v>6154</v>
      </c>
      <c r="D168" s="131" t="s">
        <v>150</v>
      </c>
      <c r="E168" s="132" t="s">
        <v>94</v>
      </c>
      <c r="F168" s="134">
        <v>1</v>
      </c>
      <c r="G168" s="134">
        <v>5.35</v>
      </c>
      <c r="H168" s="134">
        <f t="shared" si="17"/>
        <v>5.35</v>
      </c>
      <c r="I168" s="139">
        <f t="shared" si="18"/>
        <v>5.35</v>
      </c>
      <c r="J168" s="223"/>
      <c r="K168" s="117"/>
      <c r="L168" s="223"/>
      <c r="M168" s="223"/>
      <c r="N168" s="223"/>
      <c r="O168" s="223"/>
      <c r="P168" s="223"/>
      <c r="Q168" s="223"/>
    </row>
    <row r="169" spans="1:17" s="50" customFormat="1" ht="28.5" x14ac:dyDescent="0.2">
      <c r="A169" s="138" t="s">
        <v>639</v>
      </c>
      <c r="B169" s="132" t="s">
        <v>80</v>
      </c>
      <c r="C169" s="132">
        <v>12612</v>
      </c>
      <c r="D169" s="131" t="s">
        <v>151</v>
      </c>
      <c r="E169" s="132" t="s">
        <v>94</v>
      </c>
      <c r="F169" s="134">
        <v>1</v>
      </c>
      <c r="G169" s="134">
        <v>3.68</v>
      </c>
      <c r="H169" s="134">
        <f t="shared" si="17"/>
        <v>3.68</v>
      </c>
      <c r="I169" s="139">
        <f t="shared" ref="I169:I172" si="19">ROUND(F169*H169,2)</f>
        <v>3.68</v>
      </c>
      <c r="J169" s="223"/>
      <c r="K169" s="117"/>
      <c r="L169" s="223"/>
      <c r="M169" s="223"/>
      <c r="N169" s="223"/>
      <c r="O169" s="223"/>
      <c r="P169" s="223"/>
      <c r="Q169" s="223"/>
    </row>
    <row r="170" spans="1:17" s="120" customFormat="1" x14ac:dyDescent="0.25">
      <c r="A170" s="138" t="s">
        <v>640</v>
      </c>
      <c r="B170" s="132" t="s">
        <v>80</v>
      </c>
      <c r="C170" s="132">
        <v>2696</v>
      </c>
      <c r="D170" s="131" t="s">
        <v>234</v>
      </c>
      <c r="E170" s="132" t="s">
        <v>79</v>
      </c>
      <c r="F170" s="134">
        <v>56</v>
      </c>
      <c r="G170" s="140">
        <v>10.48</v>
      </c>
      <c r="H170" s="134">
        <f t="shared" si="17"/>
        <v>10.48</v>
      </c>
      <c r="I170" s="139">
        <f t="shared" si="19"/>
        <v>586.88</v>
      </c>
      <c r="J170" s="119"/>
      <c r="K170" s="119"/>
      <c r="L170" s="119"/>
      <c r="M170" s="119"/>
      <c r="N170" s="119"/>
      <c r="O170" s="119"/>
      <c r="P170" s="119"/>
      <c r="Q170" s="119"/>
    </row>
    <row r="171" spans="1:17" s="120" customFormat="1" x14ac:dyDescent="0.25">
      <c r="A171" s="138" t="s">
        <v>641</v>
      </c>
      <c r="B171" s="132" t="s">
        <v>80</v>
      </c>
      <c r="C171" s="132">
        <v>246</v>
      </c>
      <c r="D171" s="131" t="s">
        <v>233</v>
      </c>
      <c r="E171" s="132" t="s">
        <v>79</v>
      </c>
      <c r="F171" s="134">
        <v>56</v>
      </c>
      <c r="G171" s="140">
        <v>7.5</v>
      </c>
      <c r="H171" s="134">
        <f t="shared" si="17"/>
        <v>7.5</v>
      </c>
      <c r="I171" s="139">
        <f t="shared" si="19"/>
        <v>420</v>
      </c>
      <c r="J171" s="119"/>
      <c r="K171" s="119"/>
      <c r="L171" s="119"/>
      <c r="M171" s="119"/>
      <c r="N171" s="119"/>
      <c r="O171" s="119"/>
      <c r="P171" s="119"/>
      <c r="Q171" s="119"/>
    </row>
    <row r="172" spans="1:17" s="116" customFormat="1" ht="14.25" x14ac:dyDescent="0.2">
      <c r="A172" s="138" t="s">
        <v>642</v>
      </c>
      <c r="B172" s="132" t="s">
        <v>80</v>
      </c>
      <c r="C172" s="132">
        <v>6111</v>
      </c>
      <c r="D172" s="131" t="s">
        <v>235</v>
      </c>
      <c r="E172" s="132" t="s">
        <v>79</v>
      </c>
      <c r="F172" s="134">
        <v>56</v>
      </c>
      <c r="G172" s="140">
        <v>6.85</v>
      </c>
      <c r="H172" s="134">
        <f t="shared" si="17"/>
        <v>6.85</v>
      </c>
      <c r="I172" s="139">
        <f t="shared" si="19"/>
        <v>383.6</v>
      </c>
      <c r="J172" s="115"/>
      <c r="K172" s="115"/>
      <c r="L172" s="115"/>
      <c r="M172" s="115"/>
      <c r="N172" s="115"/>
      <c r="O172" s="115"/>
      <c r="P172" s="115"/>
      <c r="Q172" s="115"/>
    </row>
    <row r="173" spans="1:17" s="50" customFormat="1" ht="14.25" x14ac:dyDescent="0.2">
      <c r="A173" s="138"/>
      <c r="B173" s="132"/>
      <c r="C173" s="218"/>
      <c r="D173" s="137"/>
      <c r="E173" s="218"/>
      <c r="F173" s="228"/>
      <c r="G173" s="220"/>
      <c r="H173" s="221"/>
      <c r="I173" s="222"/>
      <c r="J173" s="223"/>
      <c r="K173" s="223"/>
      <c r="L173" s="223"/>
      <c r="M173" s="223"/>
      <c r="N173" s="223"/>
      <c r="O173" s="223"/>
      <c r="P173" s="223"/>
      <c r="Q173" s="223"/>
    </row>
    <row r="174" spans="1:17" s="41" customFormat="1" x14ac:dyDescent="0.2">
      <c r="A174" s="124" t="s">
        <v>643</v>
      </c>
      <c r="B174" s="125" t="s">
        <v>278</v>
      </c>
      <c r="C174" s="126" t="s">
        <v>576</v>
      </c>
      <c r="D174" s="127" t="s">
        <v>61</v>
      </c>
      <c r="E174" s="125" t="s">
        <v>8</v>
      </c>
      <c r="F174" s="128"/>
      <c r="G174" s="129"/>
      <c r="H174" s="129"/>
      <c r="I174" s="130">
        <f>SUM(I175:I184)</f>
        <v>235.28</v>
      </c>
      <c r="J174" s="42"/>
      <c r="K174" s="43"/>
      <c r="L174" s="42"/>
      <c r="M174" s="42"/>
      <c r="N174" s="42"/>
      <c r="O174" s="42"/>
      <c r="P174" s="42"/>
      <c r="Q174" s="42"/>
    </row>
    <row r="175" spans="1:17" s="116" customFormat="1" ht="28.5" x14ac:dyDescent="0.2">
      <c r="A175" s="138" t="s">
        <v>644</v>
      </c>
      <c r="B175" s="132" t="s">
        <v>80</v>
      </c>
      <c r="C175" s="132" t="s">
        <v>98</v>
      </c>
      <c r="D175" s="131" t="s">
        <v>99</v>
      </c>
      <c r="E175" s="132" t="s">
        <v>97</v>
      </c>
      <c r="F175" s="134">
        <f>1.3*1.3*0.7</f>
        <v>1.1830000000000001</v>
      </c>
      <c r="G175" s="140">
        <v>23.98</v>
      </c>
      <c r="H175" s="134">
        <f t="shared" ref="H175:H184" si="20">ROUND((1+K$3)*G175,2)</f>
        <v>23.98</v>
      </c>
      <c r="I175" s="139">
        <f t="shared" ref="I175:I184" si="21">ROUND(F175*H175,2)</f>
        <v>28.37</v>
      </c>
      <c r="J175" s="115"/>
      <c r="K175" s="115"/>
      <c r="L175" s="115"/>
      <c r="M175" s="115"/>
      <c r="N175" s="115"/>
      <c r="O175" s="115"/>
      <c r="P175" s="115"/>
      <c r="Q175" s="115"/>
    </row>
    <row r="176" spans="1:17" s="116" customFormat="1" ht="14.25" customHeight="1" x14ac:dyDescent="0.2">
      <c r="A176" s="138" t="s">
        <v>645</v>
      </c>
      <c r="B176" s="132" t="s">
        <v>80</v>
      </c>
      <c r="C176" s="132">
        <v>73733</v>
      </c>
      <c r="D176" s="131" t="s">
        <v>311</v>
      </c>
      <c r="E176" s="132" t="s">
        <v>83</v>
      </c>
      <c r="F176" s="134">
        <f>1.3*1.3</f>
        <v>1.6900000000000002</v>
      </c>
      <c r="G176" s="140">
        <v>2.31</v>
      </c>
      <c r="H176" s="134">
        <f t="shared" si="20"/>
        <v>2.31</v>
      </c>
      <c r="I176" s="139">
        <f t="shared" si="21"/>
        <v>3.9</v>
      </c>
      <c r="J176" s="115"/>
      <c r="K176" s="115"/>
      <c r="L176" s="115"/>
      <c r="M176" s="115"/>
      <c r="N176" s="115"/>
      <c r="O176" s="115"/>
      <c r="P176" s="115"/>
      <c r="Q176" s="115"/>
    </row>
    <row r="177" spans="1:17" s="116" customFormat="1" ht="28.5" x14ac:dyDescent="0.2">
      <c r="A177" s="138" t="s">
        <v>646</v>
      </c>
      <c r="B177" s="132" t="s">
        <v>80</v>
      </c>
      <c r="C177" s="132" t="s">
        <v>107</v>
      </c>
      <c r="D177" s="131" t="s">
        <v>108</v>
      </c>
      <c r="E177" s="132" t="s">
        <v>97</v>
      </c>
      <c r="F177" s="134">
        <f>F175-0.8*0.8*0.8</f>
        <v>0.67099999999999993</v>
      </c>
      <c r="G177" s="140">
        <v>15.4</v>
      </c>
      <c r="H177" s="134">
        <f t="shared" si="20"/>
        <v>15.4</v>
      </c>
      <c r="I177" s="139">
        <f t="shared" si="21"/>
        <v>10.33</v>
      </c>
      <c r="J177" s="115"/>
      <c r="K177" s="115"/>
      <c r="L177" s="115"/>
      <c r="M177" s="115"/>
      <c r="N177" s="115"/>
      <c r="O177" s="115"/>
      <c r="P177" s="115"/>
      <c r="Q177" s="115"/>
    </row>
    <row r="178" spans="1:17" s="116" customFormat="1" ht="14.25" x14ac:dyDescent="0.2">
      <c r="A178" s="138" t="s">
        <v>647</v>
      </c>
      <c r="B178" s="132" t="s">
        <v>80</v>
      </c>
      <c r="C178" s="132" t="s">
        <v>384</v>
      </c>
      <c r="D178" s="131" t="s">
        <v>385</v>
      </c>
      <c r="E178" s="132" t="s">
        <v>97</v>
      </c>
      <c r="F178" s="134">
        <f>F175-F177</f>
        <v>0.51200000000000012</v>
      </c>
      <c r="G178" s="140">
        <v>27.4</v>
      </c>
      <c r="H178" s="134">
        <f t="shared" si="20"/>
        <v>27.4</v>
      </c>
      <c r="I178" s="139">
        <f t="shared" si="21"/>
        <v>14.03</v>
      </c>
      <c r="J178" s="115"/>
      <c r="K178" s="115"/>
      <c r="L178" s="115"/>
      <c r="M178" s="115"/>
      <c r="N178" s="115"/>
      <c r="O178" s="115"/>
      <c r="P178" s="115"/>
      <c r="Q178" s="115"/>
    </row>
    <row r="179" spans="1:17" s="116" customFormat="1" ht="14.25" x14ac:dyDescent="0.2">
      <c r="A179" s="138" t="s">
        <v>648</v>
      </c>
      <c r="B179" s="132" t="s">
        <v>80</v>
      </c>
      <c r="C179" s="132" t="s">
        <v>3</v>
      </c>
      <c r="D179" s="131" t="s">
        <v>4</v>
      </c>
      <c r="E179" s="132" t="s">
        <v>97</v>
      </c>
      <c r="F179" s="134">
        <f>1.3*1.3*0.05</f>
        <v>8.450000000000002E-2</v>
      </c>
      <c r="G179" s="140">
        <v>71.45</v>
      </c>
      <c r="H179" s="134">
        <f t="shared" si="20"/>
        <v>71.45</v>
      </c>
      <c r="I179" s="139">
        <f t="shared" si="21"/>
        <v>6.04</v>
      </c>
      <c r="J179" s="115"/>
      <c r="K179" s="115"/>
      <c r="L179" s="115"/>
      <c r="M179" s="115"/>
      <c r="N179" s="115"/>
      <c r="O179" s="115"/>
      <c r="P179" s="115"/>
      <c r="Q179" s="115"/>
    </row>
    <row r="180" spans="1:17" s="116" customFormat="1" ht="14.25" x14ac:dyDescent="0.2">
      <c r="A180" s="138" t="s">
        <v>649</v>
      </c>
      <c r="B180" s="132" t="s">
        <v>80</v>
      </c>
      <c r="C180" s="132" t="s">
        <v>60</v>
      </c>
      <c r="D180" s="131" t="s">
        <v>14</v>
      </c>
      <c r="E180" s="132" t="s">
        <v>97</v>
      </c>
      <c r="F180" s="134">
        <f>F179</f>
        <v>8.450000000000002E-2</v>
      </c>
      <c r="G180" s="140">
        <v>257.04000000000002</v>
      </c>
      <c r="H180" s="134">
        <f t="shared" si="20"/>
        <v>257.04000000000002</v>
      </c>
      <c r="I180" s="139">
        <f t="shared" si="21"/>
        <v>21.72</v>
      </c>
      <c r="J180" s="115"/>
      <c r="K180" s="115"/>
      <c r="L180" s="115"/>
      <c r="M180" s="115"/>
      <c r="N180" s="115"/>
      <c r="O180" s="115"/>
      <c r="P180" s="115"/>
      <c r="Q180" s="115"/>
    </row>
    <row r="181" spans="1:17" s="116" customFormat="1" ht="14.25" customHeight="1" x14ac:dyDescent="0.2">
      <c r="A181" s="138" t="s">
        <v>650</v>
      </c>
      <c r="B181" s="132" t="s">
        <v>80</v>
      </c>
      <c r="C181" s="132" t="s">
        <v>407</v>
      </c>
      <c r="D181" s="131" t="s">
        <v>408</v>
      </c>
      <c r="E181" s="132" t="s">
        <v>83</v>
      </c>
      <c r="F181" s="134">
        <f>0.7*0.6*4</f>
        <v>1.68</v>
      </c>
      <c r="G181" s="140">
        <v>60.67</v>
      </c>
      <c r="H181" s="134">
        <f t="shared" si="20"/>
        <v>60.67</v>
      </c>
      <c r="I181" s="139">
        <f t="shared" si="21"/>
        <v>101.93</v>
      </c>
      <c r="J181" s="115"/>
      <c r="K181" s="115"/>
      <c r="L181" s="115"/>
      <c r="M181" s="115"/>
      <c r="N181" s="115"/>
      <c r="O181" s="115"/>
      <c r="P181" s="115"/>
      <c r="Q181" s="115"/>
    </row>
    <row r="182" spans="1:17" s="116" customFormat="1" ht="14.25" x14ac:dyDescent="0.2">
      <c r="A182" s="138" t="s">
        <v>651</v>
      </c>
      <c r="B182" s="132" t="s">
        <v>80</v>
      </c>
      <c r="C182" s="218" t="s">
        <v>41</v>
      </c>
      <c r="D182" s="137" t="s">
        <v>42</v>
      </c>
      <c r="E182" s="218" t="s">
        <v>83</v>
      </c>
      <c r="F182" s="228">
        <f>0.6*0.6*4</f>
        <v>1.44</v>
      </c>
      <c r="G182" s="220">
        <v>3.28</v>
      </c>
      <c r="H182" s="221">
        <f t="shared" si="20"/>
        <v>3.28</v>
      </c>
      <c r="I182" s="222">
        <f t="shared" si="21"/>
        <v>4.72</v>
      </c>
      <c r="J182" s="115"/>
      <c r="K182" s="115"/>
      <c r="L182" s="115"/>
      <c r="M182" s="115"/>
      <c r="N182" s="115"/>
      <c r="O182" s="115"/>
      <c r="P182" s="115"/>
      <c r="Q182" s="115"/>
    </row>
    <row r="183" spans="1:17" s="116" customFormat="1" ht="28.5" x14ac:dyDescent="0.2">
      <c r="A183" s="138" t="s">
        <v>652</v>
      </c>
      <c r="B183" s="268" t="s">
        <v>80</v>
      </c>
      <c r="C183" s="268" t="s">
        <v>390</v>
      </c>
      <c r="D183" s="269" t="s">
        <v>391</v>
      </c>
      <c r="E183" s="268" t="s">
        <v>83</v>
      </c>
      <c r="F183" s="270">
        <f>0.6*0.6*4+0.6*0.6</f>
        <v>1.7999999999999998</v>
      </c>
      <c r="G183" s="271">
        <v>18.579999999999998</v>
      </c>
      <c r="H183" s="270">
        <f t="shared" si="20"/>
        <v>18.579999999999998</v>
      </c>
      <c r="I183" s="272">
        <f t="shared" si="21"/>
        <v>33.44</v>
      </c>
      <c r="J183" s="115"/>
      <c r="K183" s="115"/>
      <c r="L183" s="115"/>
      <c r="M183" s="115"/>
      <c r="N183" s="115"/>
      <c r="O183" s="115"/>
      <c r="P183" s="115"/>
      <c r="Q183" s="115"/>
    </row>
    <row r="184" spans="1:17" s="116" customFormat="1" ht="28.5" x14ac:dyDescent="0.2">
      <c r="A184" s="138" t="s">
        <v>653</v>
      </c>
      <c r="B184" s="132" t="s">
        <v>80</v>
      </c>
      <c r="C184" s="132" t="s">
        <v>409</v>
      </c>
      <c r="D184" s="131" t="s">
        <v>410</v>
      </c>
      <c r="E184" s="132" t="s">
        <v>97</v>
      </c>
      <c r="F184" s="134">
        <f>0.8*0.8*0.05</f>
        <v>3.2000000000000008E-2</v>
      </c>
      <c r="G184" s="140">
        <v>337.44</v>
      </c>
      <c r="H184" s="134">
        <f t="shared" si="20"/>
        <v>337.44</v>
      </c>
      <c r="I184" s="139">
        <f t="shared" si="21"/>
        <v>10.8</v>
      </c>
      <c r="J184" s="115"/>
      <c r="K184" s="115"/>
      <c r="L184" s="115"/>
      <c r="M184" s="115"/>
      <c r="N184" s="115"/>
      <c r="O184" s="115"/>
      <c r="P184" s="115"/>
      <c r="Q184" s="115"/>
    </row>
    <row r="185" spans="1:17" s="116" customFormat="1" ht="14.25" x14ac:dyDescent="0.2">
      <c r="A185" s="138"/>
      <c r="B185" s="132"/>
      <c r="C185" s="132"/>
      <c r="D185" s="131"/>
      <c r="E185" s="132"/>
      <c r="F185" s="134"/>
      <c r="G185" s="140"/>
      <c r="H185" s="134"/>
      <c r="I185" s="139"/>
      <c r="J185" s="115"/>
      <c r="K185" s="115"/>
      <c r="L185" s="115"/>
      <c r="M185" s="115"/>
      <c r="N185" s="115"/>
      <c r="O185" s="115"/>
      <c r="P185" s="115"/>
      <c r="Q185" s="115"/>
    </row>
    <row r="186" spans="1:17" s="116" customFormat="1" thickBot="1" x14ac:dyDescent="0.25">
      <c r="A186" s="461"/>
      <c r="B186" s="462"/>
      <c r="C186" s="462"/>
      <c r="D186" s="463"/>
      <c r="E186" s="462"/>
      <c r="F186" s="464"/>
      <c r="G186" s="480"/>
      <c r="H186" s="464"/>
      <c r="I186" s="465"/>
      <c r="J186" s="115"/>
      <c r="K186" s="115"/>
      <c r="L186" s="115"/>
      <c r="M186" s="115"/>
      <c r="N186" s="115"/>
      <c r="O186" s="115"/>
      <c r="P186" s="115"/>
      <c r="Q186" s="115"/>
    </row>
    <row r="187" spans="1:17" s="7" customFormat="1" ht="14.25" x14ac:dyDescent="0.2">
      <c r="A187" s="454"/>
      <c r="B187" s="455"/>
      <c r="C187" s="455"/>
      <c r="D187" s="269"/>
      <c r="E187" s="268"/>
      <c r="F187" s="270"/>
      <c r="G187" s="477"/>
      <c r="H187" s="478"/>
      <c r="I187" s="479"/>
      <c r="J187" s="6"/>
      <c r="K187" s="6"/>
      <c r="L187" s="6"/>
      <c r="M187" s="6"/>
      <c r="N187" s="6"/>
      <c r="O187" s="6"/>
      <c r="P187" s="6"/>
      <c r="Q187" s="6"/>
    </row>
    <row r="188" spans="1:17" s="41" customFormat="1" x14ac:dyDescent="0.2">
      <c r="A188" s="124" t="s">
        <v>486</v>
      </c>
      <c r="B188" s="125" t="s">
        <v>278</v>
      </c>
      <c r="C188" s="126" t="s">
        <v>284</v>
      </c>
      <c r="D188" s="127" t="s">
        <v>398</v>
      </c>
      <c r="E188" s="125" t="s">
        <v>8</v>
      </c>
      <c r="F188" s="128"/>
      <c r="G188" s="129"/>
      <c r="H188" s="129"/>
      <c r="I188" s="130">
        <f>SUM(I189:I199)</f>
        <v>1216.8600000000001</v>
      </c>
      <c r="J188" s="42"/>
      <c r="K188" s="43"/>
      <c r="L188" s="42"/>
      <c r="M188" s="42"/>
      <c r="N188" s="42"/>
      <c r="O188" s="42"/>
      <c r="P188" s="42"/>
      <c r="Q188" s="42"/>
    </row>
    <row r="189" spans="1:17" s="116" customFormat="1" ht="28.5" x14ac:dyDescent="0.2">
      <c r="A189" s="46" t="s">
        <v>984</v>
      </c>
      <c r="B189" s="100" t="s">
        <v>80</v>
      </c>
      <c r="C189" s="100" t="s">
        <v>98</v>
      </c>
      <c r="D189" s="313" t="s">
        <v>99</v>
      </c>
      <c r="E189" s="100" t="s">
        <v>97</v>
      </c>
      <c r="F189" s="57">
        <f>1.5*1.5*0.55+2*2*0.4</f>
        <v>2.8375000000000004</v>
      </c>
      <c r="G189" s="564">
        <v>49.27</v>
      </c>
      <c r="H189" s="54">
        <f>G189</f>
        <v>49.27</v>
      </c>
      <c r="I189" s="57">
        <f t="shared" ref="I189:I199" si="22">ROUND(F189*H189,2)</f>
        <v>139.80000000000001</v>
      </c>
      <c r="J189" s="115"/>
      <c r="K189" s="115"/>
      <c r="L189" s="115"/>
      <c r="M189" s="115"/>
      <c r="N189" s="115"/>
      <c r="O189" s="115"/>
      <c r="P189" s="115"/>
      <c r="Q189" s="115"/>
    </row>
    <row r="190" spans="1:17" s="116" customFormat="1" ht="14.25" customHeight="1" x14ac:dyDescent="0.2">
      <c r="A190" s="46" t="s">
        <v>985</v>
      </c>
      <c r="B190" s="100" t="s">
        <v>80</v>
      </c>
      <c r="C190" s="100">
        <v>5622</v>
      </c>
      <c r="D190" s="313" t="s">
        <v>856</v>
      </c>
      <c r="E190" s="100" t="s">
        <v>83</v>
      </c>
      <c r="F190" s="57">
        <f>1.5*1.5+2*2</f>
        <v>6.25</v>
      </c>
      <c r="G190" s="564">
        <v>4.6399999999999997</v>
      </c>
      <c r="H190" s="54">
        <f t="shared" ref="H190:H199" si="23">G190</f>
        <v>4.6399999999999997</v>
      </c>
      <c r="I190" s="57">
        <f t="shared" si="22"/>
        <v>29</v>
      </c>
      <c r="J190" s="115"/>
      <c r="K190" s="115"/>
      <c r="L190" s="115"/>
      <c r="M190" s="115"/>
      <c r="N190" s="115"/>
      <c r="O190" s="115"/>
      <c r="P190" s="115"/>
      <c r="Q190" s="115"/>
    </row>
    <row r="191" spans="1:17" s="116" customFormat="1" ht="28.5" x14ac:dyDescent="0.2">
      <c r="A191" s="46" t="s">
        <v>986</v>
      </c>
      <c r="B191" s="100" t="s">
        <v>80</v>
      </c>
      <c r="C191" s="100" t="s">
        <v>107</v>
      </c>
      <c r="D191" s="313" t="s">
        <v>108</v>
      </c>
      <c r="E191" s="100" t="s">
        <v>97</v>
      </c>
      <c r="F191" s="57">
        <f>0.1*F189</f>
        <v>0.28375000000000006</v>
      </c>
      <c r="G191" s="564">
        <v>27.17</v>
      </c>
      <c r="H191" s="54">
        <f t="shared" si="23"/>
        <v>27.17</v>
      </c>
      <c r="I191" s="57">
        <f t="shared" si="22"/>
        <v>7.71</v>
      </c>
      <c r="J191" s="115"/>
      <c r="K191" s="115"/>
      <c r="L191" s="115"/>
      <c r="M191" s="115"/>
      <c r="N191" s="115"/>
      <c r="O191" s="115"/>
      <c r="P191" s="115"/>
      <c r="Q191" s="115"/>
    </row>
    <row r="192" spans="1:17" s="116" customFormat="1" ht="14.25" x14ac:dyDescent="0.2">
      <c r="A192" s="46" t="s">
        <v>987</v>
      </c>
      <c r="B192" s="100" t="s">
        <v>80</v>
      </c>
      <c r="C192" s="100" t="s">
        <v>384</v>
      </c>
      <c r="D192" s="313" t="s">
        <v>385</v>
      </c>
      <c r="E192" s="100" t="s">
        <v>97</v>
      </c>
      <c r="F192" s="57">
        <f>F189-F191</f>
        <v>2.5537500000000004</v>
      </c>
      <c r="G192" s="564">
        <v>38.770000000000003</v>
      </c>
      <c r="H192" s="54">
        <f t="shared" si="23"/>
        <v>38.770000000000003</v>
      </c>
      <c r="I192" s="57">
        <f t="shared" si="22"/>
        <v>99.01</v>
      </c>
      <c r="J192" s="115"/>
      <c r="K192" s="115"/>
      <c r="L192" s="115"/>
      <c r="M192" s="115"/>
      <c r="N192" s="115"/>
      <c r="O192" s="115"/>
      <c r="P192" s="115"/>
      <c r="Q192" s="115"/>
    </row>
    <row r="193" spans="1:18" s="116" customFormat="1" ht="14.25" x14ac:dyDescent="0.2">
      <c r="A193" s="46" t="s">
        <v>988</v>
      </c>
      <c r="B193" s="100" t="s">
        <v>80</v>
      </c>
      <c r="C193" s="100" t="s">
        <v>3</v>
      </c>
      <c r="D193" s="313" t="s">
        <v>4</v>
      </c>
      <c r="E193" s="100" t="s">
        <v>97</v>
      </c>
      <c r="F193" s="57">
        <f>1.5*1.5*0.1</f>
        <v>0.22500000000000001</v>
      </c>
      <c r="G193" s="564">
        <v>84.48</v>
      </c>
      <c r="H193" s="54">
        <f t="shared" si="23"/>
        <v>84.48</v>
      </c>
      <c r="I193" s="57">
        <f t="shared" si="22"/>
        <v>19.010000000000002</v>
      </c>
      <c r="J193" s="115"/>
      <c r="K193" s="115"/>
      <c r="L193" s="115"/>
      <c r="M193" s="115"/>
      <c r="N193" s="115"/>
      <c r="O193" s="115"/>
      <c r="P193" s="115"/>
      <c r="Q193" s="115"/>
    </row>
    <row r="194" spans="1:18" s="116" customFormat="1" ht="14.25" x14ac:dyDescent="0.2">
      <c r="A194" s="46" t="s">
        <v>989</v>
      </c>
      <c r="B194" s="100" t="s">
        <v>80</v>
      </c>
      <c r="C194" s="100" t="s">
        <v>60</v>
      </c>
      <c r="D194" s="313" t="s">
        <v>14</v>
      </c>
      <c r="E194" s="100" t="s">
        <v>97</v>
      </c>
      <c r="F194" s="57">
        <f>1.5*1.5*0.15</f>
        <v>0.33749999999999997</v>
      </c>
      <c r="G194" s="564">
        <v>344.14</v>
      </c>
      <c r="H194" s="54">
        <f t="shared" si="23"/>
        <v>344.14</v>
      </c>
      <c r="I194" s="57">
        <f t="shared" si="22"/>
        <v>116.15</v>
      </c>
      <c r="J194" s="115"/>
      <c r="K194" s="115"/>
      <c r="L194" s="115"/>
      <c r="M194" s="115"/>
      <c r="N194" s="115"/>
      <c r="O194" s="115"/>
      <c r="P194" s="115"/>
      <c r="Q194" s="115"/>
    </row>
    <row r="195" spans="1:18" s="116" customFormat="1" ht="14.25" customHeight="1" x14ac:dyDescent="0.2">
      <c r="A195" s="46" t="s">
        <v>990</v>
      </c>
      <c r="B195" s="100" t="s">
        <v>80</v>
      </c>
      <c r="C195" s="100" t="s">
        <v>154</v>
      </c>
      <c r="D195" s="313" t="s">
        <v>155</v>
      </c>
      <c r="E195" s="100" t="s">
        <v>83</v>
      </c>
      <c r="F195" s="57">
        <f>0.6*1.2*2+1.1*0.95</f>
        <v>2.4849999999999999</v>
      </c>
      <c r="G195" s="564">
        <v>48.18</v>
      </c>
      <c r="H195" s="54">
        <f t="shared" si="23"/>
        <v>48.18</v>
      </c>
      <c r="I195" s="57">
        <f t="shared" si="22"/>
        <v>119.73</v>
      </c>
      <c r="J195" s="115"/>
      <c r="K195" s="115"/>
      <c r="L195" s="115"/>
      <c r="M195" s="115"/>
      <c r="N195" s="115"/>
      <c r="O195" s="115"/>
      <c r="P195" s="115"/>
      <c r="Q195" s="115"/>
    </row>
    <row r="196" spans="1:18" s="116" customFormat="1" ht="28.5" x14ac:dyDescent="0.2">
      <c r="A196" s="46" t="s">
        <v>991</v>
      </c>
      <c r="B196" s="100" t="s">
        <v>80</v>
      </c>
      <c r="C196" s="100" t="s">
        <v>867</v>
      </c>
      <c r="D196" s="313" t="s">
        <v>992</v>
      </c>
      <c r="E196" s="100" t="s">
        <v>83</v>
      </c>
      <c r="F196" s="57">
        <f>1.5*4*0.15</f>
        <v>0.89999999999999991</v>
      </c>
      <c r="G196" s="564">
        <v>52.56</v>
      </c>
      <c r="H196" s="54">
        <f t="shared" si="23"/>
        <v>52.56</v>
      </c>
      <c r="I196" s="57">
        <f t="shared" si="22"/>
        <v>47.3</v>
      </c>
      <c r="J196" s="115"/>
      <c r="K196" s="115"/>
      <c r="L196" s="115"/>
      <c r="M196" s="115"/>
      <c r="N196" s="115"/>
      <c r="O196" s="115"/>
      <c r="P196" s="115"/>
      <c r="Q196" s="115"/>
    </row>
    <row r="197" spans="1:18" s="116" customFormat="1" ht="14.25" x14ac:dyDescent="0.2">
      <c r="A197" s="46" t="s">
        <v>993</v>
      </c>
      <c r="B197" s="100" t="s">
        <v>80</v>
      </c>
      <c r="C197" s="100">
        <v>73611</v>
      </c>
      <c r="D197" s="313" t="s">
        <v>411</v>
      </c>
      <c r="E197" s="100" t="s">
        <v>97</v>
      </c>
      <c r="F197" s="57">
        <f>2*2*0.4</f>
        <v>1.6</v>
      </c>
      <c r="G197" s="564">
        <v>320.66000000000003</v>
      </c>
      <c r="H197" s="54">
        <f t="shared" si="23"/>
        <v>320.66000000000003</v>
      </c>
      <c r="I197" s="57">
        <f t="shared" si="22"/>
        <v>513.05999999999995</v>
      </c>
      <c r="J197" s="115"/>
      <c r="K197" s="115"/>
      <c r="L197" s="115"/>
      <c r="M197" s="115"/>
      <c r="N197" s="115"/>
      <c r="O197" s="115"/>
      <c r="P197" s="115"/>
      <c r="Q197" s="115"/>
    </row>
    <row r="198" spans="1:18" s="116" customFormat="1" ht="57" x14ac:dyDescent="0.2">
      <c r="A198" s="46" t="s">
        <v>994</v>
      </c>
      <c r="B198" s="100" t="s">
        <v>80</v>
      </c>
      <c r="C198" s="565">
        <v>87874</v>
      </c>
      <c r="D198" s="566" t="s">
        <v>895</v>
      </c>
      <c r="E198" s="100" t="s">
        <v>83</v>
      </c>
      <c r="F198" s="57">
        <f>F195*2</f>
        <v>4.97</v>
      </c>
      <c r="G198" s="564">
        <v>2.95</v>
      </c>
      <c r="H198" s="54">
        <f t="shared" si="23"/>
        <v>2.95</v>
      </c>
      <c r="I198" s="57">
        <f t="shared" si="22"/>
        <v>14.66</v>
      </c>
      <c r="J198" s="115"/>
      <c r="K198" s="115"/>
      <c r="L198" s="115"/>
      <c r="M198" s="115"/>
      <c r="N198" s="115"/>
      <c r="O198" s="115"/>
      <c r="P198" s="115"/>
      <c r="Q198" s="115"/>
    </row>
    <row r="199" spans="1:18" s="116" customFormat="1" ht="57" x14ac:dyDescent="0.2">
      <c r="A199" s="46" t="s">
        <v>995</v>
      </c>
      <c r="B199" s="52" t="s">
        <v>80</v>
      </c>
      <c r="C199" s="52">
        <v>87527</v>
      </c>
      <c r="D199" s="556" t="s">
        <v>996</v>
      </c>
      <c r="E199" s="52" t="s">
        <v>83</v>
      </c>
      <c r="F199" s="54">
        <f>F195*2</f>
        <v>4.97</v>
      </c>
      <c r="G199" s="555">
        <v>22.42</v>
      </c>
      <c r="H199" s="54">
        <f t="shared" si="23"/>
        <v>22.42</v>
      </c>
      <c r="I199" s="54">
        <f t="shared" si="22"/>
        <v>111.43</v>
      </c>
      <c r="J199" s="115"/>
      <c r="K199" s="115"/>
      <c r="L199" s="115"/>
      <c r="M199" s="115"/>
      <c r="N199" s="115"/>
      <c r="O199" s="115"/>
      <c r="P199" s="115"/>
      <c r="Q199" s="115"/>
    </row>
    <row r="200" spans="1:18" s="116" customFormat="1" ht="14.25" x14ac:dyDescent="0.2">
      <c r="A200" s="123"/>
      <c r="B200" s="132"/>
      <c r="C200" s="132"/>
      <c r="D200" s="131"/>
      <c r="E200" s="132"/>
      <c r="F200" s="134"/>
      <c r="G200" s="140"/>
      <c r="H200" s="133"/>
      <c r="I200" s="139"/>
      <c r="J200" s="115"/>
      <c r="K200" s="115"/>
      <c r="L200" s="115"/>
      <c r="M200" s="115"/>
      <c r="N200" s="115"/>
      <c r="O200" s="115"/>
      <c r="P200" s="115"/>
      <c r="Q200" s="115"/>
    </row>
    <row r="201" spans="1:18" s="7" customFormat="1" ht="30" x14ac:dyDescent="0.2">
      <c r="A201" s="124" t="s">
        <v>654</v>
      </c>
      <c r="B201" s="125" t="s">
        <v>278</v>
      </c>
      <c r="C201" s="126" t="s">
        <v>577</v>
      </c>
      <c r="D201" s="127" t="s">
        <v>302</v>
      </c>
      <c r="E201" s="125" t="s">
        <v>8</v>
      </c>
      <c r="F201" s="128"/>
      <c r="G201" s="129"/>
      <c r="H201" s="129"/>
      <c r="I201" s="130">
        <f>SUM(I202:I202)</f>
        <v>56890</v>
      </c>
      <c r="J201" s="49"/>
      <c r="K201" s="117"/>
      <c r="L201" s="49"/>
      <c r="M201" s="49"/>
      <c r="N201" s="49"/>
      <c r="O201" s="49"/>
      <c r="P201" s="49"/>
      <c r="Q201" s="49"/>
      <c r="R201" s="118"/>
    </row>
    <row r="202" spans="1:18" s="50" customFormat="1" ht="14.25" x14ac:dyDescent="0.2">
      <c r="A202" s="531" t="s">
        <v>655</v>
      </c>
      <c r="B202" s="518" t="s">
        <v>80</v>
      </c>
      <c r="C202" s="518">
        <v>9821</v>
      </c>
      <c r="D202" s="519" t="s">
        <v>977</v>
      </c>
      <c r="E202" s="518" t="s">
        <v>90</v>
      </c>
      <c r="F202" s="520">
        <v>500</v>
      </c>
      <c r="G202" s="520">
        <v>113.78</v>
      </c>
      <c r="H202" s="520">
        <f t="shared" ref="H202" si="24">ROUND((1+K$3)*G202,2)</f>
        <v>113.78</v>
      </c>
      <c r="I202" s="522">
        <f t="shared" ref="I202" si="25">ROUND(F202*H202,2)</f>
        <v>56890</v>
      </c>
      <c r="J202" s="223"/>
      <c r="K202" s="117"/>
      <c r="L202" s="223"/>
      <c r="M202" s="223"/>
      <c r="N202" s="223"/>
      <c r="O202" s="223"/>
      <c r="P202" s="223"/>
      <c r="Q202" s="223"/>
    </row>
    <row r="203" spans="1:18" ht="14.25" x14ac:dyDescent="0.2">
      <c r="A203" s="123"/>
      <c r="B203" s="132"/>
      <c r="C203" s="132"/>
      <c r="D203" s="131"/>
      <c r="E203" s="132"/>
      <c r="F203" s="133"/>
      <c r="G203" s="140"/>
      <c r="H203" s="133"/>
      <c r="I203" s="139"/>
      <c r="J203" s="5"/>
      <c r="K203" s="5"/>
      <c r="L203" s="5"/>
      <c r="M203" s="5"/>
      <c r="N203" s="5"/>
      <c r="O203" s="5"/>
      <c r="P203" s="5"/>
      <c r="Q203" s="5"/>
    </row>
    <row r="204" spans="1:18" x14ac:dyDescent="0.2">
      <c r="A204" s="124" t="s">
        <v>487</v>
      </c>
      <c r="B204" s="125" t="s">
        <v>278</v>
      </c>
      <c r="C204" s="126" t="s">
        <v>153</v>
      </c>
      <c r="D204" s="127" t="s">
        <v>439</v>
      </c>
      <c r="E204" s="125" t="s">
        <v>8</v>
      </c>
      <c r="F204" s="128"/>
      <c r="G204" s="129"/>
      <c r="H204" s="129"/>
      <c r="I204" s="130">
        <f>SUM(I205:I215)</f>
        <v>421.38000000000005</v>
      </c>
      <c r="J204" s="5"/>
      <c r="K204" s="5"/>
      <c r="L204" s="5"/>
      <c r="M204" s="5"/>
      <c r="N204" s="5"/>
      <c r="O204" s="5"/>
      <c r="P204" s="5"/>
      <c r="Q204" s="5"/>
    </row>
    <row r="205" spans="1:18" s="50" customFormat="1" ht="28.5" x14ac:dyDescent="0.2">
      <c r="A205" s="138" t="s">
        <v>285</v>
      </c>
      <c r="B205" s="132" t="s">
        <v>80</v>
      </c>
      <c r="C205" s="132" t="s">
        <v>98</v>
      </c>
      <c r="D205" s="131" t="s">
        <v>99</v>
      </c>
      <c r="E205" s="132" t="s">
        <v>97</v>
      </c>
      <c r="F205" s="134">
        <v>0.12</v>
      </c>
      <c r="G205" s="140">
        <v>23.98</v>
      </c>
      <c r="H205" s="134">
        <f t="shared" ref="H205:H215" si="26">ROUND((1+K$3)*G205,2)</f>
        <v>23.98</v>
      </c>
      <c r="I205" s="139">
        <f t="shared" ref="I205:I209" si="27">ROUND(F205*H205,2)</f>
        <v>2.88</v>
      </c>
      <c r="J205" s="223"/>
      <c r="K205" s="223"/>
      <c r="L205" s="223"/>
      <c r="M205" s="223"/>
      <c r="N205" s="223"/>
      <c r="O205" s="223"/>
      <c r="P205" s="223"/>
      <c r="Q205" s="223"/>
    </row>
    <row r="206" spans="1:18" s="50" customFormat="1" ht="14.25" customHeight="1" x14ac:dyDescent="0.2">
      <c r="A206" s="138" t="s">
        <v>286</v>
      </c>
      <c r="B206" s="132" t="s">
        <v>80</v>
      </c>
      <c r="C206" s="132">
        <v>73733</v>
      </c>
      <c r="D206" s="131" t="s">
        <v>311</v>
      </c>
      <c r="E206" s="132" t="s">
        <v>83</v>
      </c>
      <c r="F206" s="134">
        <v>0.42</v>
      </c>
      <c r="G206" s="140">
        <v>2.31</v>
      </c>
      <c r="H206" s="134">
        <f t="shared" si="26"/>
        <v>2.31</v>
      </c>
      <c r="I206" s="139">
        <f t="shared" si="27"/>
        <v>0.97</v>
      </c>
      <c r="J206" s="223"/>
      <c r="K206" s="223"/>
      <c r="L206" s="223"/>
      <c r="M206" s="223"/>
      <c r="N206" s="223"/>
      <c r="O206" s="223"/>
      <c r="P206" s="223"/>
      <c r="Q206" s="223"/>
    </row>
    <row r="207" spans="1:18" s="50" customFormat="1" ht="14.25" x14ac:dyDescent="0.2">
      <c r="A207" s="138" t="s">
        <v>287</v>
      </c>
      <c r="B207" s="132" t="s">
        <v>80</v>
      </c>
      <c r="C207" s="132" t="s">
        <v>384</v>
      </c>
      <c r="D207" s="131" t="s">
        <v>385</v>
      </c>
      <c r="E207" s="132" t="s">
        <v>97</v>
      </c>
      <c r="F207" s="134">
        <v>0.42</v>
      </c>
      <c r="G207" s="140">
        <v>27.4</v>
      </c>
      <c r="H207" s="134">
        <f t="shared" si="26"/>
        <v>27.4</v>
      </c>
      <c r="I207" s="139">
        <f t="shared" si="27"/>
        <v>11.51</v>
      </c>
      <c r="J207" s="223"/>
      <c r="K207" s="223"/>
      <c r="L207" s="223"/>
      <c r="M207" s="223"/>
      <c r="N207" s="223"/>
      <c r="O207" s="223"/>
      <c r="P207" s="223"/>
      <c r="Q207" s="223"/>
    </row>
    <row r="208" spans="1:18" s="50" customFormat="1" ht="14.25" x14ac:dyDescent="0.2">
      <c r="A208" s="138" t="s">
        <v>288</v>
      </c>
      <c r="B208" s="132" t="s">
        <v>80</v>
      </c>
      <c r="C208" s="132" t="s">
        <v>60</v>
      </c>
      <c r="D208" s="131" t="s">
        <v>14</v>
      </c>
      <c r="E208" s="132" t="s">
        <v>97</v>
      </c>
      <c r="F208" s="134">
        <v>0.02</v>
      </c>
      <c r="G208" s="140">
        <v>257.04000000000002</v>
      </c>
      <c r="H208" s="134">
        <f t="shared" si="26"/>
        <v>257.04000000000002</v>
      </c>
      <c r="I208" s="139">
        <f t="shared" si="27"/>
        <v>5.14</v>
      </c>
      <c r="J208" s="223"/>
      <c r="K208" s="223"/>
      <c r="L208" s="223"/>
      <c r="M208" s="223"/>
      <c r="N208" s="223"/>
      <c r="O208" s="223"/>
      <c r="P208" s="223"/>
      <c r="Q208" s="223"/>
    </row>
    <row r="209" spans="1:17" s="50" customFormat="1" ht="28.5" x14ac:dyDescent="0.2">
      <c r="A209" s="138" t="s">
        <v>289</v>
      </c>
      <c r="B209" s="268" t="s">
        <v>80</v>
      </c>
      <c r="C209" s="268" t="s">
        <v>64</v>
      </c>
      <c r="D209" s="269" t="s">
        <v>65</v>
      </c>
      <c r="E209" s="268" t="s">
        <v>83</v>
      </c>
      <c r="F209" s="270">
        <v>0.4</v>
      </c>
      <c r="G209" s="271">
        <v>84.65</v>
      </c>
      <c r="H209" s="270">
        <f t="shared" si="26"/>
        <v>84.65</v>
      </c>
      <c r="I209" s="272">
        <f t="shared" si="27"/>
        <v>33.86</v>
      </c>
      <c r="J209" s="223"/>
      <c r="K209" s="223"/>
      <c r="L209" s="223"/>
      <c r="M209" s="223"/>
      <c r="N209" s="223"/>
      <c r="O209" s="223"/>
      <c r="P209" s="223"/>
      <c r="Q209" s="223"/>
    </row>
    <row r="210" spans="1:17" s="50" customFormat="1" ht="28.5" x14ac:dyDescent="0.2">
      <c r="A210" s="138" t="s">
        <v>290</v>
      </c>
      <c r="B210" s="132" t="s">
        <v>80</v>
      </c>
      <c r="C210" s="132" t="s">
        <v>409</v>
      </c>
      <c r="D210" s="131" t="s">
        <v>410</v>
      </c>
      <c r="E210" s="132" t="s">
        <v>97</v>
      </c>
      <c r="F210" s="134">
        <v>0.14000000000000001</v>
      </c>
      <c r="G210" s="140">
        <v>337.44</v>
      </c>
      <c r="H210" s="134">
        <f t="shared" si="26"/>
        <v>337.44</v>
      </c>
      <c r="I210" s="139">
        <f>ROUND(F210*H210,2)</f>
        <v>47.24</v>
      </c>
      <c r="J210" s="223"/>
      <c r="K210" s="223"/>
      <c r="L210" s="223"/>
      <c r="M210" s="223"/>
      <c r="N210" s="223"/>
      <c r="O210" s="223"/>
      <c r="P210" s="223"/>
      <c r="Q210" s="223"/>
    </row>
    <row r="211" spans="1:17" s="50" customFormat="1" ht="42.75" x14ac:dyDescent="0.2">
      <c r="A211" s="138" t="s">
        <v>291</v>
      </c>
      <c r="B211" s="132" t="s">
        <v>80</v>
      </c>
      <c r="C211" s="132" t="s">
        <v>6</v>
      </c>
      <c r="D211" s="131" t="s">
        <v>441</v>
      </c>
      <c r="E211" s="132" t="s">
        <v>83</v>
      </c>
      <c r="F211" s="134">
        <v>3.3</v>
      </c>
      <c r="G211" s="140">
        <v>33.159999999999997</v>
      </c>
      <c r="H211" s="134">
        <f t="shared" si="26"/>
        <v>33.159999999999997</v>
      </c>
      <c r="I211" s="139">
        <f t="shared" ref="I211:I220" si="28">ROUND(F211*H211,2)</f>
        <v>109.43</v>
      </c>
      <c r="J211" s="223"/>
      <c r="K211" s="223"/>
      <c r="L211" s="223"/>
      <c r="M211" s="223"/>
      <c r="N211" s="223"/>
      <c r="O211" s="223"/>
      <c r="P211" s="223"/>
      <c r="Q211" s="223"/>
    </row>
    <row r="212" spans="1:17" s="50" customFormat="1" ht="14.25" x14ac:dyDescent="0.2">
      <c r="A212" s="138" t="s">
        <v>292</v>
      </c>
      <c r="B212" s="132" t="s">
        <v>80</v>
      </c>
      <c r="C212" s="132" t="s">
        <v>41</v>
      </c>
      <c r="D212" s="131" t="s">
        <v>42</v>
      </c>
      <c r="E212" s="132" t="s">
        <v>83</v>
      </c>
      <c r="F212" s="134">
        <v>6.63</v>
      </c>
      <c r="G212" s="140">
        <v>3.28</v>
      </c>
      <c r="H212" s="134">
        <f t="shared" si="26"/>
        <v>3.28</v>
      </c>
      <c r="I212" s="139">
        <f t="shared" si="28"/>
        <v>21.75</v>
      </c>
      <c r="J212" s="223"/>
      <c r="K212" s="223"/>
      <c r="L212" s="223"/>
      <c r="M212" s="223"/>
      <c r="N212" s="223"/>
      <c r="O212" s="223"/>
      <c r="P212" s="223"/>
      <c r="Q212" s="223"/>
    </row>
    <row r="213" spans="1:17" s="50" customFormat="1" ht="28.5" x14ac:dyDescent="0.2">
      <c r="A213" s="138" t="s">
        <v>293</v>
      </c>
      <c r="B213" s="132" t="s">
        <v>80</v>
      </c>
      <c r="C213" s="132" t="s">
        <v>390</v>
      </c>
      <c r="D213" s="131" t="s">
        <v>391</v>
      </c>
      <c r="E213" s="132" t="s">
        <v>83</v>
      </c>
      <c r="F213" s="134">
        <v>6.63</v>
      </c>
      <c r="G213" s="140">
        <v>18.579999999999998</v>
      </c>
      <c r="H213" s="134">
        <f t="shared" si="26"/>
        <v>18.579999999999998</v>
      </c>
      <c r="I213" s="139">
        <f t="shared" si="28"/>
        <v>123.19</v>
      </c>
      <c r="J213" s="223"/>
      <c r="K213" s="223"/>
      <c r="L213" s="223"/>
      <c r="M213" s="223"/>
      <c r="N213" s="223"/>
      <c r="O213" s="223"/>
      <c r="P213" s="223"/>
      <c r="Q213" s="223"/>
    </row>
    <row r="214" spans="1:17" s="50" customFormat="1" ht="14.25" x14ac:dyDescent="0.2">
      <c r="A214" s="138" t="s">
        <v>294</v>
      </c>
      <c r="B214" s="132" t="s">
        <v>80</v>
      </c>
      <c r="C214" s="132" t="s">
        <v>446</v>
      </c>
      <c r="D214" s="131" t="s">
        <v>447</v>
      </c>
      <c r="E214" s="132" t="s">
        <v>83</v>
      </c>
      <c r="F214" s="134">
        <v>5.3</v>
      </c>
      <c r="G214" s="140">
        <v>11.27</v>
      </c>
      <c r="H214" s="134">
        <f t="shared" si="26"/>
        <v>11.27</v>
      </c>
      <c r="I214" s="139">
        <f t="shared" si="28"/>
        <v>59.73</v>
      </c>
      <c r="J214" s="223"/>
      <c r="K214" s="223"/>
      <c r="L214" s="223"/>
      <c r="M214" s="223"/>
      <c r="N214" s="223"/>
      <c r="O214" s="223"/>
      <c r="P214" s="223"/>
      <c r="Q214" s="223"/>
    </row>
    <row r="215" spans="1:17" s="50" customFormat="1" ht="14.25" x14ac:dyDescent="0.2">
      <c r="A215" s="138" t="s">
        <v>295</v>
      </c>
      <c r="B215" s="132" t="s">
        <v>80</v>
      </c>
      <c r="C215" s="132" t="s">
        <v>448</v>
      </c>
      <c r="D215" s="131" t="s">
        <v>449</v>
      </c>
      <c r="E215" s="132" t="s">
        <v>83</v>
      </c>
      <c r="F215" s="134">
        <v>0.33</v>
      </c>
      <c r="G215" s="140">
        <v>17.21</v>
      </c>
      <c r="H215" s="134">
        <f t="shared" si="26"/>
        <v>17.21</v>
      </c>
      <c r="I215" s="139">
        <f t="shared" si="28"/>
        <v>5.68</v>
      </c>
      <c r="J215" s="223"/>
      <c r="K215" s="223"/>
      <c r="L215" s="223"/>
      <c r="M215" s="223"/>
      <c r="N215" s="223"/>
      <c r="O215" s="223"/>
      <c r="P215" s="223"/>
      <c r="Q215" s="223"/>
    </row>
    <row r="216" spans="1:17" ht="14.25" x14ac:dyDescent="0.2">
      <c r="A216" s="123"/>
      <c r="B216" s="132"/>
      <c r="C216" s="132"/>
      <c r="D216" s="131"/>
      <c r="E216" s="132"/>
      <c r="F216" s="134"/>
      <c r="G216" s="140"/>
      <c r="H216" s="133"/>
      <c r="I216" s="139"/>
      <c r="J216" s="5"/>
      <c r="K216" s="5"/>
      <c r="L216" s="5"/>
      <c r="M216" s="5"/>
      <c r="N216" s="5"/>
      <c r="O216" s="5"/>
      <c r="P216" s="5"/>
      <c r="Q216" s="5"/>
    </row>
    <row r="217" spans="1:17" x14ac:dyDescent="0.2">
      <c r="A217" s="124" t="s">
        <v>656</v>
      </c>
      <c r="B217" s="125" t="s">
        <v>278</v>
      </c>
      <c r="C217" s="126" t="s">
        <v>578</v>
      </c>
      <c r="D217" s="127" t="s">
        <v>440</v>
      </c>
      <c r="E217" s="125" t="s">
        <v>8</v>
      </c>
      <c r="F217" s="128"/>
      <c r="G217" s="129"/>
      <c r="H217" s="129"/>
      <c r="I217" s="130">
        <f>SUM(I218:I220)</f>
        <v>252.62</v>
      </c>
      <c r="J217" s="5"/>
      <c r="K217" s="5"/>
      <c r="L217" s="5"/>
      <c r="M217" s="5"/>
      <c r="N217" s="5"/>
      <c r="O217" s="5"/>
      <c r="P217" s="5"/>
      <c r="Q217" s="5"/>
    </row>
    <row r="218" spans="1:17" s="50" customFormat="1" ht="57" x14ac:dyDescent="0.2">
      <c r="A218" s="138" t="s">
        <v>657</v>
      </c>
      <c r="B218" s="132" t="s">
        <v>80</v>
      </c>
      <c r="C218" s="132">
        <v>73659</v>
      </c>
      <c r="D218" s="131" t="s">
        <v>450</v>
      </c>
      <c r="E218" s="132" t="s">
        <v>8</v>
      </c>
      <c r="F218" s="134">
        <v>1</v>
      </c>
      <c r="G218" s="140">
        <v>96.8</v>
      </c>
      <c r="H218" s="134">
        <f>ROUND((1+K$3)*G218,2)</f>
        <v>96.8</v>
      </c>
      <c r="I218" s="139">
        <f t="shared" si="28"/>
        <v>96.8</v>
      </c>
      <c r="J218" s="223"/>
      <c r="K218" s="223"/>
      <c r="L218" s="223"/>
      <c r="M218" s="223"/>
      <c r="N218" s="223"/>
      <c r="O218" s="223"/>
      <c r="P218" s="223"/>
      <c r="Q218" s="223"/>
    </row>
    <row r="219" spans="1:17" s="50" customFormat="1" ht="14.25" x14ac:dyDescent="0.2">
      <c r="A219" s="138" t="s">
        <v>658</v>
      </c>
      <c r="B219" s="132" t="s">
        <v>80</v>
      </c>
      <c r="C219" s="132" t="s">
        <v>451</v>
      </c>
      <c r="D219" s="131" t="s">
        <v>452</v>
      </c>
      <c r="E219" s="132" t="s">
        <v>8</v>
      </c>
      <c r="F219" s="134">
        <v>1</v>
      </c>
      <c r="G219" s="140">
        <v>71.67</v>
      </c>
      <c r="H219" s="134">
        <f>ROUND((1+K$3)*G219,2)</f>
        <v>71.67</v>
      </c>
      <c r="I219" s="139">
        <f t="shared" si="28"/>
        <v>71.67</v>
      </c>
      <c r="J219" s="223"/>
      <c r="K219" s="223"/>
      <c r="L219" s="223"/>
      <c r="M219" s="223"/>
      <c r="N219" s="223"/>
      <c r="O219" s="223"/>
      <c r="P219" s="223"/>
      <c r="Q219" s="223"/>
    </row>
    <row r="220" spans="1:17" s="50" customFormat="1" ht="14.25" x14ac:dyDescent="0.2">
      <c r="A220" s="138" t="s">
        <v>659</v>
      </c>
      <c r="B220" s="132" t="s">
        <v>80</v>
      </c>
      <c r="C220" s="132" t="s">
        <v>453</v>
      </c>
      <c r="D220" s="131" t="s">
        <v>454</v>
      </c>
      <c r="E220" s="132" t="s">
        <v>8</v>
      </c>
      <c r="F220" s="134">
        <v>1</v>
      </c>
      <c r="G220" s="140">
        <v>84.15</v>
      </c>
      <c r="H220" s="134">
        <f>ROUND((1+K$3)*G220,2)</f>
        <v>84.15</v>
      </c>
      <c r="I220" s="139">
        <f t="shared" si="28"/>
        <v>84.15</v>
      </c>
      <c r="J220" s="223"/>
      <c r="K220" s="223"/>
      <c r="L220" s="223"/>
      <c r="M220" s="223"/>
      <c r="N220" s="223"/>
      <c r="O220" s="223"/>
      <c r="P220" s="223"/>
      <c r="Q220" s="223"/>
    </row>
    <row r="221" spans="1:17" s="50" customFormat="1" ht="14.25" x14ac:dyDescent="0.2">
      <c r="A221" s="138"/>
      <c r="B221" s="132"/>
      <c r="C221" s="132"/>
      <c r="D221" s="131"/>
      <c r="E221" s="132"/>
      <c r="F221" s="134"/>
      <c r="G221" s="140"/>
      <c r="H221" s="134"/>
      <c r="I221" s="139"/>
      <c r="J221" s="223"/>
      <c r="K221" s="223"/>
      <c r="L221" s="223"/>
      <c r="M221" s="223"/>
      <c r="N221" s="223"/>
      <c r="O221" s="223"/>
      <c r="P221" s="223"/>
      <c r="Q221" s="223"/>
    </row>
    <row r="222" spans="1:17" s="50" customFormat="1" ht="14.25" x14ac:dyDescent="0.2">
      <c r="A222" s="138"/>
      <c r="B222" s="132"/>
      <c r="C222" s="132"/>
      <c r="D222" s="131"/>
      <c r="E222" s="132"/>
      <c r="F222" s="134"/>
      <c r="G222" s="140"/>
      <c r="H222" s="134"/>
      <c r="I222" s="139"/>
      <c r="J222" s="223"/>
      <c r="K222" s="223"/>
      <c r="L222" s="223"/>
      <c r="M222" s="223"/>
      <c r="N222" s="223"/>
      <c r="O222" s="223"/>
      <c r="P222" s="223"/>
      <c r="Q222" s="223"/>
    </row>
    <row r="223" spans="1:17" s="50" customFormat="1" ht="14.25" x14ac:dyDescent="0.2">
      <c r="A223" s="138"/>
      <c r="B223" s="132"/>
      <c r="C223" s="132"/>
      <c r="D223" s="131"/>
      <c r="E223" s="132"/>
      <c r="F223" s="134"/>
      <c r="G223" s="140"/>
      <c r="H223" s="134"/>
      <c r="I223" s="139"/>
      <c r="J223" s="223"/>
      <c r="K223" s="223"/>
      <c r="L223" s="223"/>
      <c r="M223" s="223"/>
      <c r="N223" s="223"/>
      <c r="O223" s="223"/>
      <c r="P223" s="223"/>
      <c r="Q223" s="223"/>
    </row>
    <row r="224" spans="1:17" s="50" customFormat="1" thickBot="1" x14ac:dyDescent="0.25">
      <c r="A224" s="461"/>
      <c r="B224" s="462"/>
      <c r="C224" s="462"/>
      <c r="D224" s="463"/>
      <c r="E224" s="462"/>
      <c r="F224" s="464"/>
      <c r="G224" s="480"/>
      <c r="H224" s="464"/>
      <c r="I224" s="465"/>
      <c r="J224" s="223"/>
      <c r="K224" s="223"/>
      <c r="L224" s="223"/>
      <c r="M224" s="223"/>
      <c r="N224" s="223"/>
      <c r="O224" s="223"/>
      <c r="P224" s="223"/>
      <c r="Q224" s="223"/>
    </row>
    <row r="225" spans="1:17" s="50" customFormat="1" ht="14.25" x14ac:dyDescent="0.2">
      <c r="A225" s="460"/>
      <c r="B225" s="268"/>
      <c r="C225" s="268"/>
      <c r="D225" s="269"/>
      <c r="E225" s="268"/>
      <c r="F225" s="270"/>
      <c r="G225" s="271"/>
      <c r="H225" s="270"/>
      <c r="I225" s="272"/>
      <c r="J225" s="223"/>
      <c r="K225" s="223"/>
      <c r="L225" s="223"/>
      <c r="M225" s="223"/>
      <c r="N225" s="223"/>
      <c r="O225" s="223"/>
      <c r="P225" s="223"/>
      <c r="Q225" s="223"/>
    </row>
    <row r="226" spans="1:17" ht="30" x14ac:dyDescent="0.2">
      <c r="A226" s="124" t="s">
        <v>811</v>
      </c>
      <c r="B226" s="125" t="s">
        <v>278</v>
      </c>
      <c r="C226" s="126" t="s">
        <v>812</v>
      </c>
      <c r="D226" s="127" t="s">
        <v>813</v>
      </c>
      <c r="E226" s="125" t="s">
        <v>8</v>
      </c>
      <c r="F226" s="128"/>
      <c r="G226" s="129"/>
      <c r="H226" s="129"/>
      <c r="I226" s="130">
        <f>SUM(I227:I257)</f>
        <v>3231.4424000000008</v>
      </c>
      <c r="J226" s="5"/>
      <c r="K226" s="5"/>
      <c r="L226" s="5"/>
      <c r="M226" s="5"/>
      <c r="N226" s="5"/>
      <c r="O226" s="5"/>
      <c r="P226" s="5"/>
      <c r="Q226" s="5"/>
    </row>
    <row r="227" spans="1:17" s="50" customFormat="1" ht="14.25" x14ac:dyDescent="0.2">
      <c r="A227" s="138" t="s">
        <v>822</v>
      </c>
      <c r="B227" s="132" t="s">
        <v>80</v>
      </c>
      <c r="C227" s="132">
        <v>10965</v>
      </c>
      <c r="D227" s="131" t="s">
        <v>814</v>
      </c>
      <c r="E227" s="132" t="s">
        <v>90</v>
      </c>
      <c r="F227" s="134">
        <v>15.35</v>
      </c>
      <c r="G227" s="140">
        <v>27.51</v>
      </c>
      <c r="H227" s="134">
        <f>ROUND((1+K$3)*G227,2)</f>
        <v>27.51</v>
      </c>
      <c r="I227" s="139">
        <f t="shared" ref="I227" si="29">ROUND(F227*H227,2)</f>
        <v>422.28</v>
      </c>
      <c r="J227" s="223"/>
      <c r="K227" s="223"/>
      <c r="L227" s="223"/>
      <c r="M227" s="223"/>
      <c r="N227" s="223"/>
      <c r="O227" s="223"/>
      <c r="P227" s="223"/>
      <c r="Q227" s="223"/>
    </row>
    <row r="228" spans="1:17" s="50" customFormat="1" ht="14.25" x14ac:dyDescent="0.2">
      <c r="A228" s="138" t="s">
        <v>823</v>
      </c>
      <c r="B228" s="132" t="s">
        <v>80</v>
      </c>
      <c r="C228" s="132">
        <v>10966</v>
      </c>
      <c r="D228" s="131" t="s">
        <v>815</v>
      </c>
      <c r="E228" s="132" t="s">
        <v>2</v>
      </c>
      <c r="F228" s="134">
        <v>128.34</v>
      </c>
      <c r="G228" s="140">
        <v>3.08</v>
      </c>
      <c r="H228" s="134">
        <f t="shared" ref="H228:H234" si="30">ROUND((1+K$3)*G228,2)</f>
        <v>3.08</v>
      </c>
      <c r="I228" s="139">
        <f t="shared" ref="I228" si="31">ROUND(F228*H228,2)</f>
        <v>395.29</v>
      </c>
      <c r="J228" s="223"/>
      <c r="K228" s="223"/>
      <c r="L228" s="223"/>
      <c r="M228" s="223"/>
      <c r="N228" s="223"/>
      <c r="O228" s="223"/>
      <c r="P228" s="223"/>
      <c r="Q228" s="223"/>
    </row>
    <row r="229" spans="1:17" s="50" customFormat="1" ht="14.25" x14ac:dyDescent="0.2">
      <c r="A229" s="138" t="s">
        <v>824</v>
      </c>
      <c r="B229" s="132" t="s">
        <v>80</v>
      </c>
      <c r="C229" s="132">
        <v>10998</v>
      </c>
      <c r="D229" s="131" t="s">
        <v>817</v>
      </c>
      <c r="E229" s="132" t="s">
        <v>2</v>
      </c>
      <c r="F229" s="134">
        <v>5</v>
      </c>
      <c r="G229" s="140">
        <v>13.24</v>
      </c>
      <c r="H229" s="134">
        <f t="shared" si="30"/>
        <v>13.24</v>
      </c>
      <c r="I229" s="139">
        <f t="shared" ref="I229:I230" si="32">ROUND(F229*H229,2)</f>
        <v>66.2</v>
      </c>
      <c r="J229" s="223"/>
      <c r="K229" s="223"/>
      <c r="L229" s="223"/>
      <c r="M229" s="223"/>
      <c r="N229" s="223"/>
      <c r="O229" s="223"/>
      <c r="P229" s="223"/>
      <c r="Q229" s="223"/>
    </row>
    <row r="230" spans="1:17" s="50" customFormat="1" ht="14.25" x14ac:dyDescent="0.2">
      <c r="A230" s="138" t="s">
        <v>825</v>
      </c>
      <c r="B230" s="132" t="s">
        <v>80</v>
      </c>
      <c r="C230" s="132">
        <v>6160</v>
      </c>
      <c r="D230" s="131" t="s">
        <v>816</v>
      </c>
      <c r="E230" s="132" t="s">
        <v>79</v>
      </c>
      <c r="F230" s="134">
        <v>20</v>
      </c>
      <c r="G230" s="140">
        <v>11.17</v>
      </c>
      <c r="H230" s="134">
        <f t="shared" si="30"/>
        <v>11.17</v>
      </c>
      <c r="I230" s="139">
        <f t="shared" si="32"/>
        <v>223.4</v>
      </c>
      <c r="J230" s="223"/>
      <c r="K230" s="223"/>
      <c r="L230" s="223"/>
      <c r="M230" s="223"/>
      <c r="N230" s="223"/>
      <c r="O230" s="223"/>
      <c r="P230" s="223"/>
      <c r="Q230" s="223"/>
    </row>
    <row r="231" spans="1:17" s="50" customFormat="1" ht="14.25" customHeight="1" x14ac:dyDescent="0.2">
      <c r="A231" s="138" t="s">
        <v>826</v>
      </c>
      <c r="B231" s="132" t="s">
        <v>80</v>
      </c>
      <c r="C231" s="132">
        <v>6121</v>
      </c>
      <c r="D231" s="131" t="s">
        <v>818</v>
      </c>
      <c r="E231" s="132" t="s">
        <v>79</v>
      </c>
      <c r="F231" s="134">
        <v>20</v>
      </c>
      <c r="G231" s="140">
        <v>11.17</v>
      </c>
      <c r="H231" s="134">
        <f t="shared" si="30"/>
        <v>11.17</v>
      </c>
      <c r="I231" s="139">
        <f t="shared" ref="I231" si="33">ROUND(F231*H231,2)</f>
        <v>223.4</v>
      </c>
      <c r="J231" s="223"/>
      <c r="K231" s="223"/>
      <c r="L231" s="223"/>
      <c r="M231" s="223"/>
      <c r="N231" s="223"/>
      <c r="O231" s="223"/>
      <c r="P231" s="223"/>
      <c r="Q231" s="223"/>
    </row>
    <row r="232" spans="1:17" s="50" customFormat="1" ht="14.25" customHeight="1" x14ac:dyDescent="0.2">
      <c r="A232" s="138" t="s">
        <v>827</v>
      </c>
      <c r="B232" s="132" t="s">
        <v>80</v>
      </c>
      <c r="C232" s="132">
        <v>73713</v>
      </c>
      <c r="D232" s="131" t="s">
        <v>819</v>
      </c>
      <c r="E232" s="132" t="s">
        <v>8</v>
      </c>
      <c r="F232" s="134">
        <v>2</v>
      </c>
      <c r="G232" s="140">
        <v>269.73</v>
      </c>
      <c r="H232" s="134">
        <f t="shared" si="30"/>
        <v>269.73</v>
      </c>
      <c r="I232" s="139">
        <f t="shared" ref="I232:I234" si="34">ROUND(F232*H232,2)</f>
        <v>539.46</v>
      </c>
      <c r="J232" s="223"/>
      <c r="K232" s="223"/>
      <c r="L232" s="223"/>
      <c r="M232" s="223"/>
      <c r="N232" s="223"/>
      <c r="O232" s="223"/>
      <c r="P232" s="223"/>
      <c r="Q232" s="223"/>
    </row>
    <row r="233" spans="1:17" s="50" customFormat="1" ht="42.75" x14ac:dyDescent="0.2">
      <c r="A233" s="138" t="s">
        <v>828</v>
      </c>
      <c r="B233" s="132" t="s">
        <v>80</v>
      </c>
      <c r="C233" s="132">
        <v>5619</v>
      </c>
      <c r="D233" s="131" t="s">
        <v>820</v>
      </c>
      <c r="E233" s="132" t="s">
        <v>97</v>
      </c>
      <c r="F233" s="134">
        <v>1.44</v>
      </c>
      <c r="G233" s="140">
        <v>348.06</v>
      </c>
      <c r="H233" s="134">
        <f t="shared" si="30"/>
        <v>348.06</v>
      </c>
      <c r="I233" s="139">
        <f t="shared" si="34"/>
        <v>501.21</v>
      </c>
      <c r="J233" s="223"/>
      <c r="K233" s="223"/>
      <c r="L233" s="223"/>
      <c r="M233" s="223"/>
      <c r="N233" s="223"/>
      <c r="O233" s="223"/>
      <c r="P233" s="223"/>
      <c r="Q233" s="223"/>
    </row>
    <row r="234" spans="1:17" s="50" customFormat="1" ht="14.25" x14ac:dyDescent="0.2">
      <c r="A234" s="138" t="s">
        <v>829</v>
      </c>
      <c r="B234" s="132" t="s">
        <v>80</v>
      </c>
      <c r="C234" s="132">
        <v>6111</v>
      </c>
      <c r="D234" s="131" t="s">
        <v>235</v>
      </c>
      <c r="E234" s="132" t="s">
        <v>79</v>
      </c>
      <c r="F234" s="134">
        <v>32</v>
      </c>
      <c r="G234" s="140">
        <v>6.85</v>
      </c>
      <c r="H234" s="134">
        <f t="shared" si="30"/>
        <v>6.85</v>
      </c>
      <c r="I234" s="139">
        <f t="shared" si="34"/>
        <v>219.2</v>
      </c>
      <c r="J234" s="223"/>
      <c r="K234" s="223"/>
      <c r="L234" s="223"/>
      <c r="M234" s="223"/>
      <c r="N234" s="223"/>
      <c r="O234" s="223"/>
      <c r="P234" s="223"/>
      <c r="Q234" s="223"/>
    </row>
    <row r="235" spans="1:17" s="50" customFormat="1" ht="14.25" x14ac:dyDescent="0.2">
      <c r="A235" s="138" t="s">
        <v>830</v>
      </c>
      <c r="B235" s="132" t="s">
        <v>80</v>
      </c>
      <c r="C235" s="132">
        <v>4750</v>
      </c>
      <c r="D235" s="131" t="s">
        <v>801</v>
      </c>
      <c r="E235" s="132" t="s">
        <v>740</v>
      </c>
      <c r="F235" s="134">
        <v>32</v>
      </c>
      <c r="G235" s="140">
        <v>10.48</v>
      </c>
      <c r="H235" s="134">
        <f t="shared" ref="H235" si="35">ROUND((1+K$3)*G235,2)</f>
        <v>10.48</v>
      </c>
      <c r="I235" s="139">
        <f t="shared" ref="I235" si="36">ROUND(F235*H235,2)</f>
        <v>335.36</v>
      </c>
      <c r="J235" s="223"/>
      <c r="K235" s="223"/>
      <c r="L235" s="223"/>
      <c r="M235" s="223"/>
      <c r="N235" s="223"/>
      <c r="O235" s="223"/>
      <c r="P235" s="223"/>
      <c r="Q235" s="223"/>
    </row>
    <row r="236" spans="1:17" s="50" customFormat="1" ht="14.25" x14ac:dyDescent="0.2">
      <c r="A236" s="138"/>
      <c r="B236" s="132"/>
      <c r="C236" s="132"/>
      <c r="D236" s="131"/>
      <c r="E236" s="132"/>
      <c r="F236" s="134"/>
      <c r="G236" s="140"/>
      <c r="H236" s="134"/>
      <c r="I236" s="139"/>
      <c r="J236" s="223"/>
      <c r="K236" s="223"/>
      <c r="L236" s="223"/>
      <c r="M236" s="223"/>
      <c r="N236" s="223"/>
      <c r="O236" s="223"/>
      <c r="P236" s="223"/>
      <c r="Q236" s="223"/>
    </row>
    <row r="237" spans="1:17" s="50" customFormat="1" ht="14.25" x14ac:dyDescent="0.2">
      <c r="A237" s="138"/>
      <c r="B237" s="132"/>
      <c r="C237" s="132"/>
      <c r="D237" s="131"/>
      <c r="E237" s="132"/>
      <c r="F237" s="134"/>
      <c r="G237" s="140"/>
      <c r="H237" s="134"/>
      <c r="I237" s="139"/>
      <c r="J237" s="223"/>
      <c r="K237" s="223"/>
      <c r="L237" s="223"/>
      <c r="M237" s="223"/>
      <c r="N237" s="223"/>
      <c r="O237" s="223"/>
      <c r="P237" s="223"/>
      <c r="Q237" s="223"/>
    </row>
    <row r="238" spans="1:17" s="50" customFormat="1" x14ac:dyDescent="0.2">
      <c r="A238" s="124" t="s">
        <v>811</v>
      </c>
      <c r="B238" s="125" t="s">
        <v>278</v>
      </c>
      <c r="C238" s="126" t="s">
        <v>812</v>
      </c>
      <c r="D238" s="127" t="s">
        <v>930</v>
      </c>
      <c r="E238" s="125" t="s">
        <v>90</v>
      </c>
      <c r="F238" s="128"/>
      <c r="G238" s="129"/>
      <c r="H238" s="129"/>
      <c r="I238" s="130">
        <f>SUM(I239:I246)</f>
        <v>152.8212</v>
      </c>
      <c r="J238" s="223"/>
      <c r="K238" s="223"/>
      <c r="L238" s="223"/>
      <c r="M238" s="223"/>
      <c r="N238" s="223"/>
      <c r="O238" s="223"/>
      <c r="P238" s="223"/>
      <c r="Q238" s="223"/>
    </row>
    <row r="239" spans="1:17" s="50" customFormat="1" ht="29.25" customHeight="1" x14ac:dyDescent="0.2">
      <c r="A239" s="554" t="s">
        <v>297</v>
      </c>
      <c r="B239" s="100" t="s">
        <v>80</v>
      </c>
      <c r="C239" s="100">
        <v>73481</v>
      </c>
      <c r="D239" s="313" t="s">
        <v>957</v>
      </c>
      <c r="E239" s="100" t="s">
        <v>97</v>
      </c>
      <c r="F239" s="54">
        <v>0.17</v>
      </c>
      <c r="G239" s="555">
        <v>35.9</v>
      </c>
      <c r="H239" s="53">
        <f>G239</f>
        <v>35.9</v>
      </c>
      <c r="I239" s="114">
        <f>F239*H239</f>
        <v>6.1029999999999998</v>
      </c>
      <c r="J239" s="223"/>
      <c r="K239" s="223"/>
      <c r="L239" s="223"/>
      <c r="M239" s="223"/>
      <c r="N239" s="223"/>
      <c r="O239" s="223"/>
      <c r="P239" s="223"/>
      <c r="Q239" s="223"/>
    </row>
    <row r="240" spans="1:17" s="50" customFormat="1" ht="14.25" x14ac:dyDescent="0.2">
      <c r="A240" s="554" t="s">
        <v>298</v>
      </c>
      <c r="B240" s="100" t="s">
        <v>80</v>
      </c>
      <c r="C240" s="100" t="s">
        <v>958</v>
      </c>
      <c r="D240" s="313" t="s">
        <v>959</v>
      </c>
      <c r="E240" s="100" t="s">
        <v>97</v>
      </c>
      <c r="F240" s="54">
        <v>0.06</v>
      </c>
      <c r="G240" s="555">
        <v>29.56</v>
      </c>
      <c r="H240" s="53">
        <f t="shared" ref="H240:H246" si="37">G240</f>
        <v>29.56</v>
      </c>
      <c r="I240" s="114">
        <f t="shared" ref="I240:I246" si="38">F240*H240</f>
        <v>1.7735999999999998</v>
      </c>
      <c r="J240" s="223"/>
      <c r="K240" s="223"/>
      <c r="L240" s="223"/>
      <c r="M240" s="223"/>
      <c r="N240" s="223"/>
      <c r="O240" s="223"/>
      <c r="P240" s="223"/>
      <c r="Q240" s="223"/>
    </row>
    <row r="241" spans="1:17" s="50" customFormat="1" ht="14.25" x14ac:dyDescent="0.2">
      <c r="A241" s="554" t="s">
        <v>299</v>
      </c>
      <c r="B241" s="100" t="s">
        <v>80</v>
      </c>
      <c r="C241" s="100" t="s">
        <v>960</v>
      </c>
      <c r="D241" s="313" t="s">
        <v>961</v>
      </c>
      <c r="E241" s="100" t="s">
        <v>83</v>
      </c>
      <c r="F241" s="54">
        <v>0.4</v>
      </c>
      <c r="G241" s="555">
        <v>18.3</v>
      </c>
      <c r="H241" s="53">
        <f t="shared" si="37"/>
        <v>18.3</v>
      </c>
      <c r="I241" s="114">
        <f t="shared" si="38"/>
        <v>7.32</v>
      </c>
      <c r="J241" s="223"/>
      <c r="K241" s="223"/>
      <c r="L241" s="517">
        <f>60*F245</f>
        <v>1.7999999999999998</v>
      </c>
      <c r="M241" s="223"/>
      <c r="N241" s="223"/>
      <c r="O241" s="223"/>
      <c r="P241" s="223"/>
      <c r="Q241" s="223"/>
    </row>
    <row r="242" spans="1:17" s="50" customFormat="1" ht="14.25" x14ac:dyDescent="0.2">
      <c r="A242" s="554" t="s">
        <v>300</v>
      </c>
      <c r="B242" s="100" t="s">
        <v>80</v>
      </c>
      <c r="C242" s="52" t="s">
        <v>962</v>
      </c>
      <c r="D242" s="556" t="s">
        <v>963</v>
      </c>
      <c r="E242" s="52" t="s">
        <v>964</v>
      </c>
      <c r="F242" s="54">
        <v>0.08</v>
      </c>
      <c r="G242" s="555">
        <v>473.77</v>
      </c>
      <c r="H242" s="54">
        <f t="shared" si="37"/>
        <v>473.77</v>
      </c>
      <c r="I242" s="62">
        <f t="shared" si="38"/>
        <v>37.901600000000002</v>
      </c>
      <c r="J242" s="223"/>
      <c r="K242" s="223"/>
      <c r="L242" s="517"/>
      <c r="M242" s="223"/>
      <c r="N242" s="223"/>
      <c r="O242" s="223"/>
      <c r="P242" s="223"/>
      <c r="Q242" s="223"/>
    </row>
    <row r="243" spans="1:17" s="50" customFormat="1" ht="14.25" x14ac:dyDescent="0.2">
      <c r="A243" s="554" t="s">
        <v>426</v>
      </c>
      <c r="B243" s="100" t="s">
        <v>80</v>
      </c>
      <c r="C243" s="100" t="s">
        <v>927</v>
      </c>
      <c r="D243" s="313" t="s">
        <v>928</v>
      </c>
      <c r="E243" s="100" t="s">
        <v>97</v>
      </c>
      <c r="F243" s="54">
        <v>0.08</v>
      </c>
      <c r="G243" s="555">
        <v>354.79</v>
      </c>
      <c r="H243" s="53">
        <f t="shared" si="37"/>
        <v>354.79</v>
      </c>
      <c r="I243" s="114">
        <f t="shared" si="38"/>
        <v>28.383200000000002</v>
      </c>
      <c r="J243" s="223"/>
      <c r="K243" s="223"/>
      <c r="L243" s="223"/>
      <c r="M243" s="223"/>
      <c r="N243" s="223"/>
      <c r="O243" s="223"/>
      <c r="P243" s="223"/>
      <c r="Q243" s="223"/>
    </row>
    <row r="244" spans="1:17" s="50" customFormat="1" ht="42.75" x14ac:dyDescent="0.2">
      <c r="A244" s="554" t="s">
        <v>428</v>
      </c>
      <c r="B244" s="100" t="s">
        <v>80</v>
      </c>
      <c r="C244" s="100">
        <v>87447</v>
      </c>
      <c r="D244" s="313" t="s">
        <v>965</v>
      </c>
      <c r="E244" s="100" t="s">
        <v>83</v>
      </c>
      <c r="F244" s="54">
        <v>1.2</v>
      </c>
      <c r="G244" s="555">
        <v>40.54</v>
      </c>
      <c r="H244" s="53">
        <f t="shared" si="37"/>
        <v>40.54</v>
      </c>
      <c r="I244" s="114">
        <f t="shared" si="38"/>
        <v>48.647999999999996</v>
      </c>
      <c r="J244" s="223"/>
      <c r="K244" s="223"/>
      <c r="L244" s="223"/>
      <c r="M244" s="223"/>
      <c r="N244" s="223"/>
      <c r="O244" s="223"/>
      <c r="P244" s="223"/>
      <c r="Q244" s="223"/>
    </row>
    <row r="245" spans="1:17" s="50" customFormat="1" ht="28.5" x14ac:dyDescent="0.2">
      <c r="A245" s="554" t="s">
        <v>430</v>
      </c>
      <c r="B245" s="100" t="s">
        <v>80</v>
      </c>
      <c r="C245" s="100">
        <v>5652</v>
      </c>
      <c r="D245" s="313" t="s">
        <v>966</v>
      </c>
      <c r="E245" s="100" t="s">
        <v>97</v>
      </c>
      <c r="F245" s="54">
        <v>0.03</v>
      </c>
      <c r="G245" s="555">
        <v>238.99</v>
      </c>
      <c r="H245" s="53">
        <f t="shared" si="37"/>
        <v>238.99</v>
      </c>
      <c r="I245" s="114">
        <f t="shared" si="38"/>
        <v>7.1696999999999997</v>
      </c>
      <c r="J245" s="223"/>
      <c r="K245" s="223"/>
      <c r="L245" s="223"/>
      <c r="M245" s="223"/>
      <c r="N245" s="223"/>
      <c r="O245" s="223"/>
      <c r="P245" s="223"/>
      <c r="Q245" s="223"/>
    </row>
    <row r="246" spans="1:17" s="50" customFormat="1" ht="28.5" x14ac:dyDescent="0.2">
      <c r="A246" s="554" t="s">
        <v>846</v>
      </c>
      <c r="B246" s="100" t="s">
        <v>80</v>
      </c>
      <c r="C246" s="100">
        <v>92873</v>
      </c>
      <c r="D246" s="313" t="s">
        <v>929</v>
      </c>
      <c r="E246" s="100" t="s">
        <v>97</v>
      </c>
      <c r="F246" s="54">
        <f>F243+F245</f>
        <v>0.11</v>
      </c>
      <c r="G246" s="555">
        <v>141.11000000000001</v>
      </c>
      <c r="H246" s="53">
        <f t="shared" si="37"/>
        <v>141.11000000000001</v>
      </c>
      <c r="I246" s="114">
        <f t="shared" si="38"/>
        <v>15.522100000000002</v>
      </c>
      <c r="J246" s="223"/>
      <c r="K246" s="223"/>
      <c r="L246" s="223"/>
      <c r="M246" s="223"/>
      <c r="N246" s="223"/>
      <c r="O246" s="223"/>
      <c r="P246" s="223"/>
      <c r="Q246" s="223"/>
    </row>
    <row r="247" spans="1:17" s="50" customFormat="1" ht="14.25" x14ac:dyDescent="0.2">
      <c r="A247" s="138"/>
      <c r="B247" s="132"/>
      <c r="C247" s="132"/>
      <c r="D247" s="131"/>
      <c r="E247" s="132"/>
      <c r="F247" s="134"/>
      <c r="G247" s="140"/>
      <c r="H247" s="134"/>
      <c r="I247" s="139"/>
      <c r="J247" s="223"/>
      <c r="K247" s="223"/>
      <c r="L247" s="223"/>
      <c r="M247" s="223"/>
      <c r="N247" s="223"/>
      <c r="O247" s="223"/>
      <c r="P247" s="223"/>
      <c r="Q247" s="223"/>
    </row>
    <row r="248" spans="1:17" s="50" customFormat="1" ht="14.25" x14ac:dyDescent="0.2">
      <c r="A248" s="138"/>
      <c r="B248" s="132"/>
      <c r="C248" s="132"/>
      <c r="D248" s="131"/>
      <c r="E248" s="132"/>
      <c r="F248" s="134"/>
      <c r="G248" s="140"/>
      <c r="H248" s="134"/>
      <c r="I248" s="139"/>
      <c r="J248" s="223"/>
      <c r="K248" s="223"/>
      <c r="L248" s="223"/>
      <c r="M248" s="223"/>
      <c r="N248" s="223"/>
      <c r="O248" s="223"/>
      <c r="P248" s="223"/>
      <c r="Q248" s="223"/>
    </row>
    <row r="249" spans="1:17" s="50" customFormat="1" ht="14.25" x14ac:dyDescent="0.2">
      <c r="A249" s="138"/>
      <c r="B249" s="132"/>
      <c r="C249" s="132"/>
      <c r="D249" s="131"/>
      <c r="E249" s="132"/>
      <c r="F249" s="134"/>
      <c r="G249" s="140"/>
      <c r="H249" s="134"/>
      <c r="I249" s="139"/>
      <c r="J249" s="223"/>
      <c r="K249" s="223"/>
      <c r="L249" s="223"/>
      <c r="M249" s="223"/>
      <c r="N249" s="223"/>
      <c r="O249" s="223"/>
      <c r="P249" s="223"/>
      <c r="Q249" s="223"/>
    </row>
    <row r="250" spans="1:17" s="50" customFormat="1" ht="14.25" x14ac:dyDescent="0.2">
      <c r="A250" s="138"/>
      <c r="B250" s="132"/>
      <c r="C250" s="132"/>
      <c r="D250" s="131"/>
      <c r="E250" s="132"/>
      <c r="F250" s="134"/>
      <c r="G250" s="140"/>
      <c r="H250" s="134"/>
      <c r="I250" s="139"/>
      <c r="J250" s="223"/>
      <c r="K250" s="223"/>
      <c r="L250" s="223"/>
      <c r="M250" s="223"/>
      <c r="N250" s="223"/>
      <c r="O250" s="223"/>
      <c r="P250" s="223"/>
      <c r="Q250" s="223"/>
    </row>
    <row r="251" spans="1:17" s="50" customFormat="1" ht="14.25" x14ac:dyDescent="0.2">
      <c r="A251" s="138"/>
      <c r="B251" s="132"/>
      <c r="C251" s="132"/>
      <c r="D251" s="131"/>
      <c r="E251" s="132"/>
      <c r="F251" s="134"/>
      <c r="G251" s="140"/>
      <c r="H251" s="134"/>
      <c r="I251" s="139"/>
      <c r="J251" s="223"/>
      <c r="K251" s="223"/>
      <c r="L251" s="223"/>
      <c r="M251" s="223"/>
      <c r="N251" s="223"/>
      <c r="O251" s="223"/>
      <c r="P251" s="223"/>
      <c r="Q251" s="223"/>
    </row>
    <row r="252" spans="1:17" s="50" customFormat="1" ht="14.25" x14ac:dyDescent="0.2">
      <c r="A252" s="138"/>
      <c r="B252" s="132"/>
      <c r="C252" s="132"/>
      <c r="D252" s="131"/>
      <c r="E252" s="132"/>
      <c r="F252" s="134"/>
      <c r="G252" s="140"/>
      <c r="H252" s="134"/>
      <c r="I252" s="139"/>
      <c r="J252" s="223"/>
      <c r="K252" s="223"/>
      <c r="L252" s="223"/>
      <c r="M252" s="223"/>
      <c r="N252" s="223"/>
      <c r="O252" s="223"/>
      <c r="P252" s="223"/>
      <c r="Q252" s="223"/>
    </row>
    <row r="253" spans="1:17" s="50" customFormat="1" ht="14.25" x14ac:dyDescent="0.2">
      <c r="A253" s="138"/>
      <c r="B253" s="132"/>
      <c r="C253" s="132"/>
      <c r="D253" s="131"/>
      <c r="E253" s="132"/>
      <c r="F253" s="134"/>
      <c r="G253" s="140"/>
      <c r="H253" s="134"/>
      <c r="I253" s="139"/>
      <c r="J253" s="223"/>
      <c r="K253" s="223"/>
      <c r="L253" s="223"/>
      <c r="M253" s="223"/>
      <c r="N253" s="223"/>
      <c r="O253" s="223"/>
      <c r="P253" s="223"/>
      <c r="Q253" s="223"/>
    </row>
    <row r="254" spans="1:17" s="50" customFormat="1" ht="14.25" x14ac:dyDescent="0.2">
      <c r="A254" s="138"/>
      <c r="B254" s="132"/>
      <c r="C254" s="132"/>
      <c r="D254" s="131"/>
      <c r="E254" s="132"/>
      <c r="F254" s="134"/>
      <c r="G254" s="140"/>
      <c r="H254" s="134"/>
      <c r="I254" s="139"/>
      <c r="J254" s="223"/>
      <c r="K254" s="223"/>
      <c r="L254" s="223"/>
      <c r="M254" s="223"/>
      <c r="N254" s="223"/>
      <c r="O254" s="223"/>
      <c r="P254" s="223"/>
      <c r="Q254" s="223"/>
    </row>
    <row r="255" spans="1:17" s="50" customFormat="1" ht="14.25" x14ac:dyDescent="0.2">
      <c r="A255" s="138"/>
      <c r="B255" s="132"/>
      <c r="C255" s="132"/>
      <c r="D255" s="131"/>
      <c r="E255" s="132"/>
      <c r="F255" s="134"/>
      <c r="G255" s="140"/>
      <c r="H255" s="134"/>
      <c r="I255" s="139"/>
      <c r="J255" s="223"/>
      <c r="K255" s="223"/>
      <c r="L255" s="223"/>
      <c r="M255" s="223"/>
      <c r="N255" s="223"/>
      <c r="O255" s="223"/>
      <c r="P255" s="223"/>
      <c r="Q255" s="223"/>
    </row>
    <row r="256" spans="1:17" s="50" customFormat="1" ht="14.25" x14ac:dyDescent="0.2">
      <c r="A256" s="138"/>
      <c r="B256" s="132"/>
      <c r="C256" s="132"/>
      <c r="D256" s="131"/>
      <c r="E256" s="132"/>
      <c r="F256" s="134"/>
      <c r="G256" s="140"/>
      <c r="H256" s="134"/>
      <c r="I256" s="139"/>
      <c r="J256" s="223"/>
      <c r="K256" s="223"/>
      <c r="L256" s="223"/>
      <c r="M256" s="223"/>
      <c r="N256" s="223"/>
      <c r="O256" s="223"/>
      <c r="P256" s="223"/>
      <c r="Q256" s="223"/>
    </row>
    <row r="257" spans="1:17" s="50" customFormat="1" ht="14.25" x14ac:dyDescent="0.2">
      <c r="A257" s="138"/>
      <c r="B257" s="132"/>
      <c r="C257" s="132"/>
      <c r="D257" s="131"/>
      <c r="E257" s="132"/>
      <c r="F257" s="134"/>
      <c r="G257" s="140"/>
      <c r="H257" s="134"/>
      <c r="I257" s="139"/>
      <c r="J257" s="223"/>
      <c r="K257" s="223"/>
      <c r="L257" s="223"/>
      <c r="M257" s="223"/>
      <c r="N257" s="223"/>
      <c r="O257" s="223"/>
      <c r="P257" s="223"/>
      <c r="Q257" s="223"/>
    </row>
    <row r="258" spans="1:17" s="50" customFormat="1" thickBot="1" x14ac:dyDescent="0.25">
      <c r="A258" s="461"/>
      <c r="B258" s="462"/>
      <c r="C258" s="462"/>
      <c r="D258" s="463"/>
      <c r="E258" s="462"/>
      <c r="F258" s="464"/>
      <c r="G258" s="480"/>
      <c r="H258" s="464"/>
      <c r="I258" s="465"/>
      <c r="J258" s="223"/>
      <c r="K258" s="223"/>
      <c r="L258" s="223"/>
      <c r="M258" s="223"/>
      <c r="N258" s="223"/>
      <c r="O258" s="223"/>
      <c r="P258" s="223"/>
      <c r="Q258" s="223"/>
    </row>
    <row r="259" spans="1:17" x14ac:dyDescent="0.2">
      <c r="J259" s="5"/>
      <c r="K259" s="5"/>
      <c r="L259" s="5"/>
      <c r="M259" s="5"/>
      <c r="N259" s="5"/>
      <c r="O259" s="5"/>
      <c r="P259" s="5"/>
      <c r="Q259" s="5"/>
    </row>
    <row r="260" spans="1:17" ht="14.25" x14ac:dyDescent="0.2">
      <c r="A260" s="155"/>
      <c r="B260" s="155"/>
      <c r="C260" s="193"/>
      <c r="D260" s="194"/>
      <c r="E260" s="193"/>
      <c r="F260" s="195"/>
      <c r="G260" s="196"/>
      <c r="H260" s="197"/>
      <c r="I260" s="180"/>
    </row>
    <row r="261" spans="1:17" x14ac:dyDescent="0.2">
      <c r="I261" s="68">
        <f>I227+I228+I229</f>
        <v>883.77</v>
      </c>
      <c r="J261" s="1">
        <f>I261/I226*100</f>
        <v>27.349087206381885</v>
      </c>
    </row>
    <row r="262" spans="1:17" x14ac:dyDescent="0.2">
      <c r="I262" s="68">
        <f>I230+I231</f>
        <v>446.8</v>
      </c>
      <c r="J262" s="1">
        <f>I262/I226*100</f>
        <v>13.826642863880226</v>
      </c>
    </row>
  </sheetData>
  <mergeCells count="15">
    <mergeCell ref="A1:I1"/>
    <mergeCell ref="A9:A11"/>
    <mergeCell ref="B9:B11"/>
    <mergeCell ref="C9:C11"/>
    <mergeCell ref="D9:D11"/>
    <mergeCell ref="E9:E11"/>
    <mergeCell ref="F9:F11"/>
    <mergeCell ref="A3:G3"/>
    <mergeCell ref="H3:I3"/>
    <mergeCell ref="A5:H5"/>
    <mergeCell ref="A7:H7"/>
    <mergeCell ref="A8:I8"/>
    <mergeCell ref="G9:G11"/>
    <mergeCell ref="H9:H11"/>
    <mergeCell ref="I9:I11"/>
  </mergeCells>
  <printOptions horizontalCentered="1"/>
  <pageMargins left="0.51181102362204722" right="0.51181102362204722" top="0.94488188976377963" bottom="0.78740157480314965" header="0.31496062992125984" footer="0.31496062992125984"/>
  <pageSetup paperSize="9" scale="69" orientation="landscape" r:id="rId1"/>
  <headerFooter>
    <oddHeader>&amp;L&amp;G&amp;R&amp;G</oddHeader>
    <oddFooter>&amp;CAv. Tancredo Neves, 3557 sala 306 – Bairro Castelo CEP 31.330-430 – Belo Horizonte / Minas Gerais.
Endereço Eletrônico: ottawaeng@terra.com.br – Telefax (31) 3418-2175 – CNPJ: 04.472.311/0001-04
&amp;R&amp;P de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5"/>
  <sheetViews>
    <sheetView view="pageBreakPreview" topLeftCell="A28" zoomScale="60" zoomScaleNormal="100" workbookViewId="0">
      <selection activeCell="H202" sqref="H202"/>
    </sheetView>
  </sheetViews>
  <sheetFormatPr defaultRowHeight="14.25" x14ac:dyDescent="0.2"/>
  <cols>
    <col min="1" max="2" width="16" style="2" customWidth="1"/>
    <col min="3" max="3" width="15.140625" style="2" customWidth="1"/>
    <col min="4" max="4" width="76.7109375" style="44" customWidth="1"/>
    <col min="5" max="5" width="11" style="2" customWidth="1"/>
    <col min="6" max="6" width="13.5703125" style="2" customWidth="1"/>
    <col min="7" max="7" width="14.7109375" style="386" customWidth="1"/>
    <col min="8" max="8" width="14.7109375" style="67" customWidth="1"/>
    <col min="9" max="9" width="18.7109375" style="68" customWidth="1"/>
    <col min="10" max="10" width="9.7109375" style="1" customWidth="1"/>
    <col min="11" max="11" width="8.140625" style="1" customWidth="1"/>
    <col min="12" max="12" width="5.7109375" style="1" customWidth="1"/>
    <col min="13" max="16384" width="9.140625" style="1"/>
  </cols>
  <sheetData>
    <row r="1" spans="1:16" ht="32.25" customHeight="1" x14ac:dyDescent="0.2">
      <c r="A1" s="641" t="s">
        <v>660</v>
      </c>
      <c r="B1" s="642"/>
      <c r="C1" s="642"/>
      <c r="D1" s="642"/>
      <c r="E1" s="642"/>
      <c r="F1" s="642"/>
      <c r="G1" s="642"/>
      <c r="H1" s="642"/>
      <c r="I1" s="643"/>
      <c r="J1" s="3"/>
      <c r="K1" s="4"/>
      <c r="L1" s="4"/>
      <c r="M1" s="4"/>
      <c r="N1" s="4"/>
      <c r="O1" s="4"/>
      <c r="P1" s="4"/>
    </row>
    <row r="2" spans="1:16" ht="4.5" customHeight="1" thickBot="1" x14ac:dyDescent="0.25">
      <c r="A2" s="314"/>
      <c r="B2" s="315"/>
      <c r="C2" s="315"/>
      <c r="D2" s="316"/>
      <c r="E2" s="315"/>
      <c r="F2" s="317"/>
      <c r="G2" s="318"/>
      <c r="H2" s="319"/>
      <c r="I2" s="320"/>
      <c r="J2" s="3"/>
      <c r="K2" s="4"/>
      <c r="L2" s="4"/>
      <c r="M2" s="4"/>
      <c r="N2" s="4"/>
      <c r="O2" s="4"/>
      <c r="P2" s="4"/>
    </row>
    <row r="3" spans="1:16" ht="17.25" customHeight="1" thickTop="1" thickBot="1" x14ac:dyDescent="0.25">
      <c r="A3" s="387" t="s">
        <v>661</v>
      </c>
      <c r="B3" s="644" t="s">
        <v>806</v>
      </c>
      <c r="C3" s="644"/>
      <c r="D3" s="644"/>
      <c r="E3" s="388"/>
      <c r="F3" s="389"/>
      <c r="G3" s="390"/>
      <c r="H3" s="391"/>
      <c r="I3" s="408" t="s">
        <v>548</v>
      </c>
      <c r="J3" s="3"/>
      <c r="K3" s="321" t="s">
        <v>662</v>
      </c>
      <c r="L3" s="322">
        <v>0</v>
      </c>
      <c r="M3" s="4"/>
      <c r="N3" s="4"/>
      <c r="O3" s="4"/>
      <c r="P3" s="4"/>
    </row>
    <row r="4" spans="1:16" ht="4.5" customHeight="1" thickBot="1" x14ac:dyDescent="0.25">
      <c r="A4" s="314"/>
      <c r="B4" s="315"/>
      <c r="C4" s="315"/>
      <c r="D4" s="316"/>
      <c r="E4" s="315"/>
      <c r="F4" s="317"/>
      <c r="G4" s="318"/>
      <c r="H4" s="319"/>
      <c r="I4" s="320"/>
      <c r="J4" s="3"/>
      <c r="K4" s="4"/>
      <c r="L4" s="4"/>
      <c r="M4" s="4"/>
      <c r="N4" s="4"/>
      <c r="O4" s="4"/>
      <c r="P4" s="4"/>
    </row>
    <row r="5" spans="1:16" ht="15.75" customHeight="1" thickBot="1" x14ac:dyDescent="0.25">
      <c r="A5" s="392" t="s">
        <v>663</v>
      </c>
      <c r="B5" s="609" t="s">
        <v>807</v>
      </c>
      <c r="C5" s="645"/>
      <c r="D5" s="645"/>
      <c r="E5" s="393"/>
      <c r="F5" s="393"/>
      <c r="G5" s="394"/>
      <c r="H5" s="395"/>
      <c r="I5" s="396"/>
      <c r="J5" s="3"/>
      <c r="K5" s="4">
        <v>1.2242999999999999</v>
      </c>
      <c r="L5" s="4"/>
      <c r="M5" s="4"/>
      <c r="N5" s="4"/>
      <c r="O5" s="4"/>
      <c r="P5" s="4"/>
    </row>
    <row r="6" spans="1:16" ht="4.5" customHeight="1" thickBot="1" x14ac:dyDescent="0.25">
      <c r="A6" s="314"/>
      <c r="B6" s="315"/>
      <c r="C6" s="315"/>
      <c r="D6" s="316"/>
      <c r="E6" s="315"/>
      <c r="F6" s="317"/>
      <c r="G6" s="318"/>
      <c r="H6" s="319"/>
      <c r="I6" s="320"/>
      <c r="J6" s="3"/>
      <c r="K6" s="4"/>
      <c r="L6" s="4"/>
      <c r="M6" s="4"/>
      <c r="N6" s="4"/>
      <c r="O6" s="4"/>
      <c r="P6" s="4"/>
    </row>
    <row r="7" spans="1:16" ht="15" customHeight="1" thickBot="1" x14ac:dyDescent="0.25">
      <c r="A7" s="392" t="s">
        <v>808</v>
      </c>
      <c r="B7" s="397" t="s">
        <v>809</v>
      </c>
      <c r="C7" s="393"/>
      <c r="D7" s="398"/>
      <c r="E7" s="393"/>
      <c r="F7" s="399"/>
      <c r="G7" s="394"/>
      <c r="H7" s="395"/>
      <c r="I7" s="400"/>
      <c r="J7" s="3"/>
      <c r="K7" s="4"/>
      <c r="L7" s="4"/>
      <c r="M7" s="4"/>
      <c r="N7" s="4"/>
      <c r="O7" s="4"/>
      <c r="P7" s="4"/>
    </row>
    <row r="8" spans="1:16" ht="4.5" customHeight="1" thickBot="1" x14ac:dyDescent="0.25">
      <c r="A8" s="314"/>
      <c r="B8" s="315"/>
      <c r="C8" s="315"/>
      <c r="D8" s="316"/>
      <c r="E8" s="315"/>
      <c r="F8" s="317"/>
      <c r="G8" s="318"/>
      <c r="H8" s="319"/>
      <c r="I8" s="320"/>
      <c r="J8" s="3"/>
      <c r="K8" s="4"/>
      <c r="L8" s="4"/>
      <c r="M8" s="4"/>
      <c r="N8" s="4"/>
      <c r="O8" s="4"/>
      <c r="P8" s="4"/>
    </row>
    <row r="9" spans="1:16" ht="15" x14ac:dyDescent="0.2">
      <c r="A9" s="597" t="s">
        <v>71</v>
      </c>
      <c r="B9" s="594" t="s">
        <v>72</v>
      </c>
      <c r="C9" s="594" t="s">
        <v>73</v>
      </c>
      <c r="D9" s="600" t="s">
        <v>74</v>
      </c>
      <c r="E9" s="648" t="s">
        <v>75</v>
      </c>
      <c r="F9" s="651" t="s">
        <v>76</v>
      </c>
      <c r="G9" s="401" t="s">
        <v>664</v>
      </c>
      <c r="H9" s="402" t="s">
        <v>664</v>
      </c>
      <c r="I9" s="403" t="s">
        <v>664</v>
      </c>
      <c r="J9" s="3"/>
      <c r="K9" s="4"/>
      <c r="L9" s="4"/>
      <c r="M9" s="4"/>
      <c r="N9" s="4"/>
      <c r="O9" s="4"/>
      <c r="P9" s="4"/>
    </row>
    <row r="10" spans="1:16" ht="30.75" customHeight="1" x14ac:dyDescent="0.2">
      <c r="A10" s="598"/>
      <c r="B10" s="595"/>
      <c r="C10" s="595"/>
      <c r="D10" s="601"/>
      <c r="E10" s="649"/>
      <c r="F10" s="652"/>
      <c r="G10" s="404" t="s">
        <v>665</v>
      </c>
      <c r="H10" s="405" t="s">
        <v>665</v>
      </c>
      <c r="I10" s="406" t="s">
        <v>666</v>
      </c>
      <c r="J10" s="3"/>
      <c r="K10" s="4"/>
      <c r="L10" s="4"/>
      <c r="M10" s="4"/>
      <c r="N10" s="4"/>
      <c r="O10" s="4"/>
      <c r="P10" s="4"/>
    </row>
    <row r="11" spans="1:16" ht="21" customHeight="1" x14ac:dyDescent="0.2">
      <c r="A11" s="646"/>
      <c r="B11" s="595"/>
      <c r="C11" s="595"/>
      <c r="D11" s="647"/>
      <c r="E11" s="650"/>
      <c r="F11" s="653"/>
      <c r="G11" s="404" t="s">
        <v>667</v>
      </c>
      <c r="H11" s="407" t="s">
        <v>668</v>
      </c>
      <c r="I11" s="406"/>
      <c r="J11" s="3"/>
      <c r="K11" s="4"/>
      <c r="L11" s="4"/>
      <c r="M11" s="4"/>
      <c r="N11" s="4"/>
      <c r="O11" s="4"/>
      <c r="P11" s="4"/>
    </row>
    <row r="12" spans="1:16" ht="14.25" customHeight="1" x14ac:dyDescent="0.2">
      <c r="A12" s="323"/>
      <c r="B12" s="324"/>
      <c r="C12" s="324"/>
      <c r="D12" s="325" t="s">
        <v>77</v>
      </c>
      <c r="E12" s="324"/>
      <c r="F12" s="326"/>
      <c r="G12" s="327"/>
      <c r="H12" s="328"/>
      <c r="I12" s="329"/>
      <c r="J12" s="3"/>
      <c r="K12" s="4"/>
      <c r="L12" s="4"/>
      <c r="M12" s="4"/>
      <c r="N12" s="4"/>
      <c r="O12" s="4"/>
      <c r="P12" s="4"/>
    </row>
    <row r="13" spans="1:16" s="7" customFormat="1" ht="14.25" customHeight="1" x14ac:dyDescent="0.2">
      <c r="A13" s="47"/>
      <c r="B13" s="46"/>
      <c r="C13" s="46"/>
      <c r="D13" s="96"/>
      <c r="E13" s="46"/>
      <c r="F13" s="330"/>
      <c r="G13" s="331"/>
      <c r="H13" s="332"/>
      <c r="I13" s="333"/>
      <c r="J13" s="334"/>
      <c r="K13" s="6"/>
      <c r="L13" s="6"/>
      <c r="M13" s="6"/>
      <c r="N13" s="6"/>
      <c r="O13" s="6"/>
      <c r="P13" s="6"/>
    </row>
    <row r="14" spans="1:16" s="7" customFormat="1" ht="14.25" customHeight="1" x14ac:dyDescent="0.2">
      <c r="A14" s="47" t="str">
        <f>A49</f>
        <v>01.00.00</v>
      </c>
      <c r="B14" s="48"/>
      <c r="C14" s="48"/>
      <c r="D14" s="96" t="str">
        <f>D49</f>
        <v>ETE - ILUMINAÇÃO EXTERNA</v>
      </c>
      <c r="E14" s="48"/>
      <c r="F14" s="335"/>
      <c r="G14" s="336"/>
      <c r="H14" s="337"/>
      <c r="I14" s="333">
        <f>I49</f>
        <v>7942.36</v>
      </c>
      <c r="J14" s="334"/>
      <c r="K14" s="6"/>
      <c r="L14" s="6"/>
      <c r="M14" s="6"/>
      <c r="N14" s="6"/>
      <c r="O14" s="6"/>
      <c r="P14" s="6"/>
    </row>
    <row r="15" spans="1:16" s="7" customFormat="1" ht="14.25" customHeight="1" x14ac:dyDescent="0.2">
      <c r="A15" s="47"/>
      <c r="B15" s="48"/>
      <c r="C15" s="48"/>
      <c r="D15" s="96"/>
      <c r="E15" s="48"/>
      <c r="F15" s="335"/>
      <c r="G15" s="336"/>
      <c r="H15" s="337"/>
      <c r="I15" s="333"/>
      <c r="J15" s="334"/>
      <c r="K15" s="6"/>
      <c r="L15" s="6"/>
      <c r="M15" s="6"/>
      <c r="N15" s="6"/>
      <c r="O15" s="6"/>
      <c r="P15" s="6"/>
    </row>
    <row r="16" spans="1:16" s="7" customFormat="1" ht="14.25" customHeight="1" x14ac:dyDescent="0.2">
      <c r="A16" s="47" t="str">
        <f>A63</f>
        <v>02.00.00</v>
      </c>
      <c r="B16" s="48"/>
      <c r="C16" s="48"/>
      <c r="D16" s="96" t="str">
        <f>D63</f>
        <v>ET E - UNIDADE DE APOIO - ILUMINAÇÃO/TOMADAS</v>
      </c>
      <c r="E16" s="48"/>
      <c r="F16" s="335"/>
      <c r="G16" s="336"/>
      <c r="H16" s="337"/>
      <c r="I16" s="333">
        <f>I63</f>
        <v>2126.0600000000004</v>
      </c>
      <c r="J16" s="334"/>
      <c r="K16" s="6"/>
      <c r="L16" s="6"/>
      <c r="M16" s="6"/>
      <c r="N16" s="6"/>
      <c r="O16" s="6"/>
      <c r="P16" s="6"/>
    </row>
    <row r="17" spans="1:16" s="7" customFormat="1" ht="14.25" customHeight="1" x14ac:dyDescent="0.2">
      <c r="A17" s="47"/>
      <c r="B17" s="48"/>
      <c r="C17" s="48"/>
      <c r="D17" s="96"/>
      <c r="E17" s="48"/>
      <c r="F17" s="335"/>
      <c r="G17" s="336"/>
      <c r="H17" s="337"/>
      <c r="I17" s="333"/>
      <c r="J17" s="334"/>
      <c r="K17" s="6"/>
      <c r="L17" s="6"/>
      <c r="M17" s="6"/>
      <c r="N17" s="6"/>
      <c r="O17" s="6"/>
      <c r="P17" s="6"/>
    </row>
    <row r="18" spans="1:16" s="7" customFormat="1" ht="14.25" customHeight="1" x14ac:dyDescent="0.2">
      <c r="A18" s="47" t="str">
        <f>A98</f>
        <v>03.00.00</v>
      </c>
      <c r="B18" s="48"/>
      <c r="C18" s="48"/>
      <c r="D18" s="96" t="str">
        <f>D98</f>
        <v>ETE- UNIDADE DE APOIO -SPDA/ATERRAMENTO</v>
      </c>
      <c r="E18" s="48"/>
      <c r="F18" s="335"/>
      <c r="G18" s="336"/>
      <c r="H18" s="337"/>
      <c r="I18" s="333">
        <f>I98</f>
        <v>1533.1</v>
      </c>
      <c r="J18" s="334"/>
      <c r="K18" s="6"/>
      <c r="L18" s="6"/>
      <c r="M18" s="6"/>
      <c r="N18" s="6"/>
      <c r="O18" s="6"/>
      <c r="P18" s="6"/>
    </row>
    <row r="19" spans="1:16" s="7" customFormat="1" ht="14.25" customHeight="1" x14ac:dyDescent="0.2">
      <c r="A19" s="47"/>
      <c r="B19" s="48"/>
      <c r="C19" s="48"/>
      <c r="D19" s="96"/>
      <c r="E19" s="48"/>
      <c r="F19" s="335"/>
      <c r="G19" s="336"/>
      <c r="H19" s="337"/>
      <c r="I19" s="333"/>
      <c r="J19" s="334"/>
      <c r="K19" s="6"/>
      <c r="L19" s="6"/>
      <c r="M19" s="6"/>
      <c r="N19" s="6"/>
      <c r="O19" s="6"/>
      <c r="P19" s="6"/>
    </row>
    <row r="20" spans="1:16" s="7" customFormat="1" ht="14.25" customHeight="1" x14ac:dyDescent="0.2">
      <c r="A20" s="47" t="str">
        <f>A119</f>
        <v>04.00.00</v>
      </c>
      <c r="B20" s="48"/>
      <c r="C20" s="48"/>
      <c r="D20" s="96" t="str">
        <f>D119</f>
        <v>ETE-BANCO DE DUTOS E ALIMENTAÇÃO DOS MOTORES</v>
      </c>
      <c r="E20" s="48"/>
      <c r="F20" s="335"/>
      <c r="G20" s="336"/>
      <c r="H20" s="337"/>
      <c r="I20" s="333">
        <f>I119</f>
        <v>11407.45</v>
      </c>
      <c r="J20" s="334"/>
      <c r="K20" s="6"/>
      <c r="L20" s="6"/>
      <c r="M20" s="6"/>
      <c r="N20" s="6"/>
      <c r="O20" s="6"/>
      <c r="P20" s="6"/>
    </row>
    <row r="21" spans="1:16" s="7" customFormat="1" ht="14.25" customHeight="1" x14ac:dyDescent="0.2">
      <c r="A21" s="47"/>
      <c r="B21" s="48"/>
      <c r="C21" s="48"/>
      <c r="D21" s="96"/>
      <c r="E21" s="48"/>
      <c r="F21" s="335"/>
      <c r="G21" s="336"/>
      <c r="H21" s="337"/>
      <c r="I21" s="333"/>
      <c r="J21" s="334"/>
      <c r="K21" s="6"/>
      <c r="L21" s="6"/>
      <c r="M21" s="6"/>
      <c r="N21" s="6"/>
      <c r="O21" s="6"/>
      <c r="P21" s="6"/>
    </row>
    <row r="22" spans="1:16" s="7" customFormat="1" ht="14.25" customHeight="1" x14ac:dyDescent="0.2">
      <c r="A22" s="47" t="str">
        <f>A135</f>
        <v>05.00.00</v>
      </c>
      <c r="B22" s="48"/>
      <c r="C22" s="48"/>
      <c r="D22" s="96" t="str">
        <f>D135</f>
        <v>EQUIPAMENTOS - QCM</v>
      </c>
      <c r="E22" s="48"/>
      <c r="F22" s="335"/>
      <c r="G22" s="336"/>
      <c r="H22" s="337"/>
      <c r="I22" s="333">
        <f>I135</f>
        <v>3000</v>
      </c>
      <c r="J22" s="334"/>
      <c r="K22" s="6"/>
      <c r="L22" s="6"/>
      <c r="M22" s="6"/>
      <c r="N22" s="6"/>
      <c r="O22" s="6"/>
      <c r="P22" s="6"/>
    </row>
    <row r="23" spans="1:16" s="7" customFormat="1" ht="14.25" customHeight="1" x14ac:dyDescent="0.2">
      <c r="A23" s="47"/>
      <c r="B23" s="48"/>
      <c r="C23" s="48"/>
      <c r="D23" s="96"/>
      <c r="E23" s="48"/>
      <c r="F23" s="335"/>
      <c r="G23" s="336"/>
      <c r="H23" s="337"/>
      <c r="I23" s="333"/>
      <c r="J23" s="334"/>
      <c r="K23" s="6"/>
      <c r="L23" s="6"/>
      <c r="M23" s="6"/>
      <c r="N23" s="6"/>
      <c r="O23" s="6"/>
      <c r="P23" s="6"/>
    </row>
    <row r="24" spans="1:16" s="7" customFormat="1" ht="14.25" customHeight="1" x14ac:dyDescent="0.2">
      <c r="A24" s="47" t="str">
        <f>A138</f>
        <v>06.00.00</v>
      </c>
      <c r="B24" s="48"/>
      <c r="C24" s="48"/>
      <c r="D24" s="96" t="str">
        <f>D138</f>
        <v>PADRÃO DE ENTRADA TIPO C1</v>
      </c>
      <c r="E24" s="48"/>
      <c r="F24" s="335"/>
      <c r="G24" s="336"/>
      <c r="H24" s="337"/>
      <c r="I24" s="333">
        <f>I138</f>
        <v>1092.5700000000002</v>
      </c>
      <c r="J24" s="334"/>
      <c r="K24" s="6"/>
      <c r="L24" s="6"/>
      <c r="M24" s="6"/>
      <c r="N24" s="6"/>
      <c r="O24" s="6"/>
      <c r="P24" s="6"/>
    </row>
    <row r="25" spans="1:16" s="7" customFormat="1" ht="14.25" customHeight="1" x14ac:dyDescent="0.2">
      <c r="A25" s="47"/>
      <c r="B25" s="48"/>
      <c r="C25" s="48"/>
      <c r="D25" s="96"/>
      <c r="E25" s="48"/>
      <c r="F25" s="335"/>
      <c r="G25" s="336"/>
      <c r="H25" s="337"/>
      <c r="I25" s="333"/>
      <c r="J25" s="334"/>
      <c r="K25" s="6"/>
      <c r="L25" s="6"/>
      <c r="M25" s="6"/>
      <c r="N25" s="6"/>
      <c r="O25" s="6"/>
      <c r="P25" s="6"/>
    </row>
    <row r="26" spans="1:16" s="7" customFormat="1" ht="14.25" customHeight="1" x14ac:dyDescent="0.2">
      <c r="A26" s="47"/>
      <c r="B26" s="48"/>
      <c r="C26" s="48"/>
      <c r="D26" s="96"/>
      <c r="E26" s="48"/>
      <c r="F26" s="335"/>
      <c r="G26" s="336"/>
      <c r="H26" s="337"/>
      <c r="I26" s="333"/>
      <c r="J26" s="334"/>
      <c r="K26" s="6"/>
      <c r="L26" s="6"/>
      <c r="M26" s="6"/>
      <c r="N26" s="6"/>
      <c r="O26" s="6"/>
      <c r="P26" s="6"/>
    </row>
    <row r="27" spans="1:16" s="7" customFormat="1" ht="14.25" customHeight="1" x14ac:dyDescent="0.2">
      <c r="A27" s="47"/>
      <c r="B27" s="48"/>
      <c r="C27" s="48"/>
      <c r="D27" s="96" t="s">
        <v>669</v>
      </c>
      <c r="E27" s="48"/>
      <c r="F27" s="335"/>
      <c r="G27" s="336"/>
      <c r="H27" s="337"/>
      <c r="I27" s="333">
        <f>SUM(I14:I24)</f>
        <v>27101.54</v>
      </c>
      <c r="J27" s="334"/>
      <c r="K27" s="6"/>
      <c r="L27" s="6"/>
      <c r="M27" s="6"/>
      <c r="N27" s="6"/>
      <c r="O27" s="6"/>
      <c r="P27" s="6"/>
    </row>
    <row r="28" spans="1:16" s="7" customFormat="1" ht="14.25" customHeight="1" x14ac:dyDescent="0.2">
      <c r="A28" s="47"/>
      <c r="B28" s="46"/>
      <c r="C28" s="46"/>
      <c r="D28" s="96"/>
      <c r="E28" s="46"/>
      <c r="F28" s="330"/>
      <c r="G28" s="331"/>
      <c r="H28" s="332"/>
      <c r="I28" s="333"/>
      <c r="J28" s="334"/>
      <c r="K28" s="6"/>
      <c r="L28" s="6"/>
      <c r="M28" s="6"/>
      <c r="N28" s="6"/>
      <c r="O28" s="6"/>
      <c r="P28" s="6"/>
    </row>
    <row r="29" spans="1:16" s="7" customFormat="1" ht="14.25" customHeight="1" x14ac:dyDescent="0.2">
      <c r="A29" s="47"/>
      <c r="B29" s="46"/>
      <c r="C29" s="46"/>
      <c r="D29" s="96"/>
      <c r="E29" s="46"/>
      <c r="F29" s="330"/>
      <c r="G29" s="331"/>
      <c r="H29" s="332"/>
      <c r="I29" s="333"/>
      <c r="J29" s="334"/>
      <c r="K29" s="6"/>
      <c r="L29" s="6"/>
      <c r="M29" s="6"/>
      <c r="N29" s="6"/>
      <c r="O29" s="6"/>
      <c r="P29" s="6"/>
    </row>
    <row r="30" spans="1:16" s="7" customFormat="1" ht="14.25" customHeight="1" x14ac:dyDescent="0.2">
      <c r="A30" s="47"/>
      <c r="B30" s="46"/>
      <c r="C30" s="46"/>
      <c r="D30" s="48" t="s">
        <v>804</v>
      </c>
      <c r="E30" s="46"/>
      <c r="F30" s="330"/>
      <c r="G30" s="331"/>
      <c r="H30" s="332"/>
      <c r="I30" s="333"/>
      <c r="J30" s="334"/>
      <c r="K30" s="6"/>
      <c r="L30" s="6"/>
      <c r="M30" s="6"/>
      <c r="N30" s="6"/>
      <c r="O30" s="6"/>
      <c r="P30" s="6"/>
    </row>
    <row r="31" spans="1:16" s="7" customFormat="1" ht="14.25" customHeight="1" x14ac:dyDescent="0.2">
      <c r="A31" s="47"/>
      <c r="B31" s="46"/>
      <c r="C31" s="46"/>
      <c r="D31" s="48" t="s">
        <v>670</v>
      </c>
      <c r="E31" s="46"/>
      <c r="F31" s="330"/>
      <c r="G31" s="331"/>
      <c r="H31" s="332"/>
      <c r="I31" s="333"/>
      <c r="J31" s="334"/>
      <c r="K31" s="6"/>
      <c r="L31" s="6"/>
      <c r="M31" s="6"/>
      <c r="N31" s="6"/>
      <c r="O31" s="6"/>
      <c r="P31" s="6"/>
    </row>
    <row r="32" spans="1:16" s="7" customFormat="1" ht="14.25" customHeight="1" x14ac:dyDescent="0.2">
      <c r="A32" s="47"/>
      <c r="B32" s="46"/>
      <c r="C32" s="46"/>
      <c r="D32" s="96"/>
      <c r="E32" s="46"/>
      <c r="F32" s="330"/>
      <c r="G32" s="331"/>
      <c r="H32" s="332"/>
      <c r="I32" s="333"/>
      <c r="J32" s="334"/>
      <c r="K32" s="6"/>
      <c r="L32" s="6"/>
      <c r="M32" s="6"/>
      <c r="N32" s="6"/>
      <c r="O32" s="6"/>
      <c r="P32" s="6"/>
    </row>
    <row r="33" spans="1:16" s="7" customFormat="1" ht="14.25" customHeight="1" x14ac:dyDescent="0.2">
      <c r="A33" s="47"/>
      <c r="B33" s="46"/>
      <c r="C33" s="46"/>
      <c r="D33" s="96"/>
      <c r="E33" s="46"/>
      <c r="F33" s="330"/>
      <c r="G33" s="331"/>
      <c r="H33" s="332"/>
      <c r="I33" s="333"/>
      <c r="J33" s="334"/>
      <c r="K33" s="6"/>
      <c r="L33" s="6"/>
      <c r="M33" s="6"/>
      <c r="N33" s="6"/>
      <c r="O33" s="6"/>
      <c r="P33" s="6"/>
    </row>
    <row r="34" spans="1:16" s="7" customFormat="1" ht="14.25" customHeight="1" x14ac:dyDescent="0.2">
      <c r="A34" s="47"/>
      <c r="B34" s="46"/>
      <c r="C34" s="46"/>
      <c r="D34" s="96"/>
      <c r="E34" s="46"/>
      <c r="F34" s="330"/>
      <c r="G34" s="331"/>
      <c r="H34" s="332"/>
      <c r="I34" s="333"/>
      <c r="J34" s="334"/>
      <c r="K34" s="6"/>
      <c r="L34" s="6"/>
      <c r="M34" s="6"/>
      <c r="N34" s="6"/>
      <c r="O34" s="6"/>
      <c r="P34" s="6"/>
    </row>
    <row r="35" spans="1:16" s="7" customFormat="1" ht="14.25" customHeight="1" x14ac:dyDescent="0.2">
      <c r="A35" s="47"/>
      <c r="B35" s="46"/>
      <c r="C35" s="46"/>
      <c r="D35" s="96"/>
      <c r="E35" s="46"/>
      <c r="F35" s="330"/>
      <c r="G35" s="331"/>
      <c r="H35" s="332"/>
      <c r="I35" s="333"/>
      <c r="J35" s="334"/>
      <c r="K35" s="6"/>
      <c r="L35" s="6"/>
      <c r="M35" s="6"/>
      <c r="N35" s="6"/>
      <c r="O35" s="6"/>
      <c r="P35" s="6"/>
    </row>
    <row r="36" spans="1:16" s="7" customFormat="1" ht="14.25" customHeight="1" x14ac:dyDescent="0.2">
      <c r="A36" s="47"/>
      <c r="B36" s="46"/>
      <c r="C36" s="46"/>
      <c r="D36" s="96"/>
      <c r="E36" s="46"/>
      <c r="F36" s="330"/>
      <c r="G36" s="331"/>
      <c r="H36" s="332"/>
      <c r="I36" s="333"/>
      <c r="J36" s="334"/>
      <c r="K36" s="6"/>
      <c r="L36" s="6"/>
      <c r="M36" s="6"/>
      <c r="N36" s="6"/>
      <c r="O36" s="6"/>
      <c r="P36" s="6"/>
    </row>
    <row r="37" spans="1:16" s="7" customFormat="1" ht="14.25" customHeight="1" x14ac:dyDescent="0.2">
      <c r="A37" s="47"/>
      <c r="B37" s="46"/>
      <c r="C37" s="46"/>
      <c r="D37" s="96"/>
      <c r="E37" s="46"/>
      <c r="F37" s="330"/>
      <c r="G37" s="331"/>
      <c r="H37" s="332"/>
      <c r="I37" s="333"/>
      <c r="J37" s="334"/>
      <c r="K37" s="6"/>
      <c r="L37" s="6"/>
      <c r="M37" s="6"/>
      <c r="N37" s="6"/>
      <c r="O37" s="6"/>
      <c r="P37" s="6"/>
    </row>
    <row r="38" spans="1:16" s="7" customFormat="1" ht="14.25" customHeight="1" x14ac:dyDescent="0.2">
      <c r="A38" s="47"/>
      <c r="B38" s="46"/>
      <c r="C38" s="46"/>
      <c r="D38" s="96"/>
      <c r="E38" s="46"/>
      <c r="F38" s="330"/>
      <c r="G38" s="331"/>
      <c r="H38" s="332"/>
      <c r="I38" s="333"/>
      <c r="J38" s="334"/>
      <c r="K38" s="6"/>
      <c r="L38" s="6"/>
      <c r="M38" s="6"/>
      <c r="N38" s="6"/>
      <c r="O38" s="6"/>
      <c r="P38" s="6"/>
    </row>
    <row r="39" spans="1:16" s="7" customFormat="1" ht="14.25" customHeight="1" x14ac:dyDescent="0.2">
      <c r="A39" s="47"/>
      <c r="B39" s="46"/>
      <c r="C39" s="46"/>
      <c r="D39" s="96"/>
      <c r="E39" s="46"/>
      <c r="F39" s="330"/>
      <c r="G39" s="331"/>
      <c r="H39" s="332"/>
      <c r="I39" s="333"/>
      <c r="J39" s="334"/>
      <c r="K39" s="6"/>
      <c r="L39" s="6"/>
      <c r="M39" s="6"/>
      <c r="N39" s="6"/>
      <c r="O39" s="6"/>
      <c r="P39" s="6"/>
    </row>
    <row r="40" spans="1:16" s="7" customFormat="1" ht="14.25" customHeight="1" x14ac:dyDescent="0.2">
      <c r="A40" s="47"/>
      <c r="B40" s="46"/>
      <c r="C40" s="46"/>
      <c r="D40" s="96"/>
      <c r="E40" s="46"/>
      <c r="F40" s="330"/>
      <c r="G40" s="331"/>
      <c r="H40" s="332"/>
      <c r="I40" s="333"/>
      <c r="J40" s="334"/>
      <c r="K40" s="6"/>
      <c r="L40" s="6"/>
      <c r="M40" s="6"/>
      <c r="N40" s="6"/>
      <c r="O40" s="6"/>
      <c r="P40" s="6"/>
    </row>
    <row r="41" spans="1:16" s="7" customFormat="1" ht="14.25" customHeight="1" x14ac:dyDescent="0.2">
      <c r="A41" s="47"/>
      <c r="B41" s="46"/>
      <c r="C41" s="46"/>
      <c r="D41" s="96"/>
      <c r="E41" s="46"/>
      <c r="F41" s="330"/>
      <c r="G41" s="331"/>
      <c r="H41" s="332"/>
      <c r="I41" s="333"/>
      <c r="J41" s="334"/>
      <c r="K41" s="6"/>
      <c r="L41" s="6"/>
      <c r="M41" s="6"/>
      <c r="N41" s="6"/>
      <c r="O41" s="6"/>
      <c r="P41" s="6"/>
    </row>
    <row r="42" spans="1:16" s="7" customFormat="1" ht="14.25" customHeight="1" x14ac:dyDescent="0.2">
      <c r="A42" s="47"/>
      <c r="B42" s="46"/>
      <c r="C42" s="46"/>
      <c r="D42" s="96"/>
      <c r="E42" s="46"/>
      <c r="F42" s="330"/>
      <c r="G42" s="331"/>
      <c r="H42" s="332"/>
      <c r="I42" s="333"/>
      <c r="J42" s="334"/>
      <c r="K42" s="6"/>
      <c r="L42" s="6"/>
      <c r="M42" s="6"/>
      <c r="N42" s="6"/>
      <c r="O42" s="6"/>
      <c r="P42" s="6"/>
    </row>
    <row r="43" spans="1:16" s="7" customFormat="1" ht="14.25" customHeight="1" x14ac:dyDescent="0.2">
      <c r="A43" s="47"/>
      <c r="B43" s="46"/>
      <c r="C43" s="46"/>
      <c r="D43" s="96"/>
      <c r="E43" s="46"/>
      <c r="F43" s="330"/>
      <c r="G43" s="331"/>
      <c r="H43" s="332"/>
      <c r="I43" s="333"/>
      <c r="J43" s="334"/>
      <c r="K43" s="6"/>
      <c r="L43" s="6"/>
      <c r="M43" s="6"/>
      <c r="N43" s="6"/>
      <c r="O43" s="6"/>
      <c r="P43" s="6"/>
    </row>
    <row r="44" spans="1:16" s="7" customFormat="1" ht="14.25" customHeight="1" x14ac:dyDescent="0.2">
      <c r="A44" s="47"/>
      <c r="B44" s="46"/>
      <c r="C44" s="46"/>
      <c r="D44" s="96"/>
      <c r="E44" s="46"/>
      <c r="F44" s="330"/>
      <c r="G44" s="331"/>
      <c r="H44" s="332"/>
      <c r="I44" s="333"/>
      <c r="J44" s="334"/>
      <c r="K44" s="6"/>
      <c r="L44" s="6"/>
      <c r="M44" s="6"/>
      <c r="N44" s="6"/>
      <c r="O44" s="6"/>
      <c r="P44" s="6"/>
    </row>
    <row r="45" spans="1:16" s="7" customFormat="1" ht="14.25" customHeight="1" x14ac:dyDescent="0.2">
      <c r="A45" s="47"/>
      <c r="B45" s="46"/>
      <c r="C45" s="46"/>
      <c r="D45" s="96"/>
      <c r="E45" s="46"/>
      <c r="F45" s="330"/>
      <c r="G45" s="331"/>
      <c r="H45" s="332"/>
      <c r="I45" s="333"/>
      <c r="J45" s="334"/>
      <c r="K45" s="6"/>
      <c r="L45" s="6"/>
      <c r="M45" s="6"/>
      <c r="N45" s="6"/>
      <c r="O45" s="6"/>
      <c r="P45" s="6"/>
    </row>
    <row r="46" spans="1:16" s="7" customFormat="1" ht="14.25" customHeight="1" x14ac:dyDescent="0.2">
      <c r="A46" s="47"/>
      <c r="B46" s="46"/>
      <c r="C46" s="46"/>
      <c r="D46" s="96"/>
      <c r="E46" s="46"/>
      <c r="F46" s="330"/>
      <c r="G46" s="331"/>
      <c r="H46" s="332"/>
      <c r="I46" s="333"/>
      <c r="J46" s="334"/>
      <c r="K46" s="6"/>
      <c r="L46" s="6"/>
      <c r="M46" s="6"/>
      <c r="N46" s="6"/>
      <c r="O46" s="6"/>
      <c r="P46" s="6"/>
    </row>
    <row r="47" spans="1:16" s="7" customFormat="1" ht="14.25" customHeight="1" x14ac:dyDescent="0.2">
      <c r="A47" s="47"/>
      <c r="B47" s="46"/>
      <c r="C47" s="46"/>
      <c r="D47" s="96"/>
      <c r="E47" s="46"/>
      <c r="F47" s="330"/>
      <c r="G47" s="331"/>
      <c r="H47" s="332"/>
      <c r="I47" s="333"/>
      <c r="J47" s="334"/>
      <c r="K47" s="6"/>
      <c r="L47" s="6"/>
      <c r="M47" s="6"/>
      <c r="N47" s="6"/>
      <c r="O47" s="6"/>
      <c r="P47" s="6"/>
    </row>
    <row r="48" spans="1:16" s="7" customFormat="1" ht="14.25" customHeight="1" thickBot="1" x14ac:dyDescent="0.25">
      <c r="A48" s="338"/>
      <c r="B48" s="339"/>
      <c r="C48" s="339"/>
      <c r="D48" s="340"/>
      <c r="E48" s="339"/>
      <c r="F48" s="341"/>
      <c r="G48" s="342"/>
      <c r="H48" s="343"/>
      <c r="I48" s="344"/>
      <c r="J48" s="334"/>
      <c r="K48" s="6"/>
      <c r="L48" s="6"/>
      <c r="M48" s="6"/>
      <c r="N48" s="6"/>
      <c r="O48" s="6"/>
      <c r="P48" s="6"/>
    </row>
    <row r="49" spans="1:16" s="7" customFormat="1" ht="15" x14ac:dyDescent="0.2">
      <c r="A49" s="345" t="s">
        <v>468</v>
      </c>
      <c r="B49" s="122"/>
      <c r="C49" s="122"/>
      <c r="D49" s="346" t="s">
        <v>671</v>
      </c>
      <c r="E49" s="122"/>
      <c r="F49" s="347"/>
      <c r="G49" s="348"/>
      <c r="H49" s="349"/>
      <c r="I49" s="350">
        <f>I50+I58</f>
        <v>7942.36</v>
      </c>
      <c r="J49" s="334"/>
      <c r="K49" s="6"/>
      <c r="L49" s="6"/>
      <c r="M49" s="6"/>
      <c r="N49" s="6"/>
      <c r="O49" s="6"/>
      <c r="P49" s="6"/>
    </row>
    <row r="50" spans="1:16" s="7" customFormat="1" ht="15" x14ac:dyDescent="0.2">
      <c r="A50" s="47" t="s">
        <v>197</v>
      </c>
      <c r="B50" s="46"/>
      <c r="C50" s="46"/>
      <c r="D50" s="96" t="s">
        <v>672</v>
      </c>
      <c r="E50" s="46"/>
      <c r="F50" s="330"/>
      <c r="G50" s="331"/>
      <c r="H50" s="332"/>
      <c r="I50" s="333">
        <f>SUM(I51:I56)</f>
        <v>4560.3599999999997</v>
      </c>
      <c r="J50" s="334"/>
      <c r="K50" s="6"/>
      <c r="L50" s="6"/>
      <c r="M50" s="6"/>
      <c r="N50" s="6"/>
      <c r="O50" s="6"/>
      <c r="P50" s="6"/>
    </row>
    <row r="51" spans="1:16" s="7" customFormat="1" ht="14.25" customHeight="1" x14ac:dyDescent="0.2">
      <c r="A51" s="45" t="s">
        <v>38</v>
      </c>
      <c r="B51" s="639" t="s">
        <v>7</v>
      </c>
      <c r="C51" s="640"/>
      <c r="D51" s="97" t="s">
        <v>673</v>
      </c>
      <c r="E51" s="46" t="s">
        <v>8</v>
      </c>
      <c r="F51" s="330">
        <v>50</v>
      </c>
      <c r="G51" s="351">
        <v>12.93</v>
      </c>
      <c r="H51" s="332">
        <f>ROUND(G51*(1+L$3),2)</f>
        <v>12.93</v>
      </c>
      <c r="I51" s="352">
        <f>ROUND(F51*H51,2)</f>
        <v>646.5</v>
      </c>
      <c r="J51" s="334"/>
      <c r="K51" s="6"/>
      <c r="L51" s="6"/>
      <c r="M51" s="6"/>
      <c r="N51" s="6"/>
      <c r="O51" s="6"/>
      <c r="P51" s="6"/>
    </row>
    <row r="52" spans="1:16" s="7" customFormat="1" ht="14.25" customHeight="1" x14ac:dyDescent="0.2">
      <c r="A52" s="45" t="s">
        <v>674</v>
      </c>
      <c r="B52" s="639" t="s">
        <v>7</v>
      </c>
      <c r="C52" s="640"/>
      <c r="D52" s="97" t="s">
        <v>675</v>
      </c>
      <c r="E52" s="46" t="s">
        <v>90</v>
      </c>
      <c r="F52" s="330">
        <v>150</v>
      </c>
      <c r="G52" s="351">
        <v>5.71</v>
      </c>
      <c r="H52" s="332">
        <f t="shared" ref="H52:H129" si="0">ROUND(G52*(1+L$3),2)</f>
        <v>5.71</v>
      </c>
      <c r="I52" s="352">
        <f t="shared" ref="I52:I133" si="1">ROUND(F52*H52,2)</f>
        <v>856.5</v>
      </c>
      <c r="J52" s="334"/>
      <c r="K52" s="6"/>
      <c r="L52" s="6"/>
      <c r="M52" s="6"/>
      <c r="N52" s="6"/>
      <c r="O52" s="6"/>
      <c r="P52" s="6"/>
    </row>
    <row r="53" spans="1:16" s="7" customFormat="1" x14ac:dyDescent="0.2">
      <c r="A53" s="45" t="s">
        <v>156</v>
      </c>
      <c r="B53" s="639" t="s">
        <v>7</v>
      </c>
      <c r="C53" s="640"/>
      <c r="D53" s="97" t="s">
        <v>676</v>
      </c>
      <c r="E53" s="46" t="s">
        <v>90</v>
      </c>
      <c r="F53" s="330">
        <v>150</v>
      </c>
      <c r="G53" s="351">
        <v>1.52</v>
      </c>
      <c r="H53" s="332">
        <f t="shared" si="0"/>
        <v>1.52</v>
      </c>
      <c r="I53" s="352">
        <f t="shared" si="1"/>
        <v>228</v>
      </c>
      <c r="J53" s="334"/>
      <c r="K53" s="6"/>
      <c r="L53" s="6"/>
      <c r="M53" s="6"/>
      <c r="N53" s="6"/>
      <c r="O53" s="6"/>
      <c r="P53" s="6"/>
    </row>
    <row r="54" spans="1:16" s="7" customFormat="1" x14ac:dyDescent="0.2">
      <c r="A54" s="45" t="s">
        <v>39</v>
      </c>
      <c r="B54" s="639" t="s">
        <v>7</v>
      </c>
      <c r="C54" s="640"/>
      <c r="D54" s="97" t="s">
        <v>677</v>
      </c>
      <c r="E54" s="46" t="s">
        <v>8</v>
      </c>
      <c r="F54" s="330">
        <v>12</v>
      </c>
      <c r="G54" s="351">
        <v>28.83</v>
      </c>
      <c r="H54" s="332">
        <f t="shared" si="0"/>
        <v>28.83</v>
      </c>
      <c r="I54" s="352">
        <f t="shared" si="1"/>
        <v>345.96</v>
      </c>
      <c r="J54" s="334"/>
      <c r="K54" s="6"/>
      <c r="L54" s="6"/>
      <c r="M54" s="6"/>
      <c r="N54" s="6"/>
      <c r="O54" s="6"/>
      <c r="P54" s="6"/>
    </row>
    <row r="55" spans="1:16" s="7" customFormat="1" x14ac:dyDescent="0.2">
      <c r="A55" s="45" t="s">
        <v>40</v>
      </c>
      <c r="B55" s="639" t="s">
        <v>7</v>
      </c>
      <c r="C55" s="640"/>
      <c r="D55" s="97" t="s">
        <v>678</v>
      </c>
      <c r="E55" s="46" t="s">
        <v>8</v>
      </c>
      <c r="F55" s="330">
        <v>12</v>
      </c>
      <c r="G55" s="353">
        <v>204.96</v>
      </c>
      <c r="H55" s="332">
        <f t="shared" si="0"/>
        <v>204.96</v>
      </c>
      <c r="I55" s="352">
        <f t="shared" si="1"/>
        <v>2459.52</v>
      </c>
      <c r="J55" s="334"/>
      <c r="K55" s="6"/>
      <c r="L55" s="6"/>
      <c r="M55" s="6"/>
      <c r="N55" s="6"/>
      <c r="O55" s="6"/>
      <c r="P55" s="6"/>
    </row>
    <row r="56" spans="1:16" s="7" customFormat="1" x14ac:dyDescent="0.2">
      <c r="A56" s="45" t="s">
        <v>201</v>
      </c>
      <c r="B56" s="639" t="s">
        <v>7</v>
      </c>
      <c r="C56" s="640"/>
      <c r="D56" s="97" t="s">
        <v>679</v>
      </c>
      <c r="E56" s="46" t="s">
        <v>8</v>
      </c>
      <c r="F56" s="330">
        <v>12</v>
      </c>
      <c r="G56" s="353">
        <v>1.99</v>
      </c>
      <c r="H56" s="332">
        <f t="shared" si="0"/>
        <v>1.99</v>
      </c>
      <c r="I56" s="352">
        <f t="shared" si="1"/>
        <v>23.88</v>
      </c>
      <c r="J56" s="334"/>
      <c r="K56" s="6"/>
      <c r="L56" s="6"/>
      <c r="M56" s="6"/>
      <c r="N56" s="6"/>
      <c r="O56" s="6"/>
      <c r="P56" s="6"/>
    </row>
    <row r="57" spans="1:16" s="7" customFormat="1" x14ac:dyDescent="0.2">
      <c r="A57" s="45"/>
      <c r="B57" s="46"/>
      <c r="C57" s="46"/>
      <c r="D57" s="97"/>
      <c r="E57" s="46"/>
      <c r="F57" s="330"/>
      <c r="G57" s="353"/>
      <c r="H57" s="332"/>
      <c r="I57" s="352"/>
      <c r="J57" s="334"/>
      <c r="K57" s="6"/>
      <c r="L57" s="6"/>
      <c r="M57" s="6"/>
      <c r="N57" s="6"/>
      <c r="O57" s="6"/>
      <c r="P57" s="6"/>
    </row>
    <row r="58" spans="1:16" s="7" customFormat="1" ht="15" x14ac:dyDescent="0.2">
      <c r="A58" s="47" t="s">
        <v>206</v>
      </c>
      <c r="B58" s="46"/>
      <c r="C58" s="46"/>
      <c r="D58" s="96" t="s">
        <v>680</v>
      </c>
      <c r="E58" s="46"/>
      <c r="F58" s="330"/>
      <c r="G58" s="353"/>
      <c r="H58" s="332"/>
      <c r="I58" s="333">
        <f>SUM(I59:I61)</f>
        <v>3382</v>
      </c>
      <c r="J58" s="334"/>
      <c r="K58" s="6"/>
      <c r="L58" s="6"/>
      <c r="M58" s="6"/>
      <c r="N58" s="6"/>
      <c r="O58" s="6"/>
      <c r="P58" s="6"/>
    </row>
    <row r="59" spans="1:16" s="7" customFormat="1" x14ac:dyDescent="0.2">
      <c r="A59" s="45" t="s">
        <v>208</v>
      </c>
      <c r="B59" s="46" t="s">
        <v>80</v>
      </c>
      <c r="C59" s="46">
        <v>2436</v>
      </c>
      <c r="D59" s="97" t="s">
        <v>681</v>
      </c>
      <c r="E59" s="46" t="s">
        <v>79</v>
      </c>
      <c r="F59" s="330">
        <v>150</v>
      </c>
      <c r="G59" s="353">
        <v>10.48</v>
      </c>
      <c r="H59" s="332">
        <f>G59</f>
        <v>10.48</v>
      </c>
      <c r="I59" s="352">
        <f t="shared" si="1"/>
        <v>1572</v>
      </c>
      <c r="J59" s="334"/>
      <c r="K59" s="6"/>
      <c r="L59" s="6"/>
      <c r="M59" s="6"/>
      <c r="N59" s="6"/>
      <c r="O59" s="6"/>
      <c r="P59" s="6"/>
    </row>
    <row r="60" spans="1:16" s="7" customFormat="1" x14ac:dyDescent="0.2">
      <c r="A60" s="45" t="s">
        <v>210</v>
      </c>
      <c r="B60" s="46" t="s">
        <v>80</v>
      </c>
      <c r="C60" s="46">
        <v>6113</v>
      </c>
      <c r="D60" s="97" t="s">
        <v>682</v>
      </c>
      <c r="E60" s="46" t="s">
        <v>79</v>
      </c>
      <c r="F60" s="330">
        <v>150</v>
      </c>
      <c r="G60" s="353">
        <v>7.5</v>
      </c>
      <c r="H60" s="332">
        <f t="shared" ref="H60:H61" si="2">G60</f>
        <v>7.5</v>
      </c>
      <c r="I60" s="352">
        <f t="shared" si="1"/>
        <v>1125</v>
      </c>
      <c r="J60" s="334"/>
      <c r="K60" s="6"/>
      <c r="L60" s="6"/>
      <c r="M60" s="6"/>
      <c r="N60" s="6"/>
      <c r="O60" s="6"/>
      <c r="P60" s="6"/>
    </row>
    <row r="61" spans="1:16" s="7" customFormat="1" x14ac:dyDescent="0.2">
      <c r="A61" s="45" t="s">
        <v>212</v>
      </c>
      <c r="B61" s="46" t="s">
        <v>80</v>
      </c>
      <c r="C61" s="46">
        <v>6111</v>
      </c>
      <c r="D61" s="97" t="s">
        <v>683</v>
      </c>
      <c r="E61" s="46" t="s">
        <v>79</v>
      </c>
      <c r="F61" s="330">
        <v>100</v>
      </c>
      <c r="G61" s="353">
        <v>6.85</v>
      </c>
      <c r="H61" s="332">
        <f t="shared" si="2"/>
        <v>6.85</v>
      </c>
      <c r="I61" s="352">
        <f t="shared" si="1"/>
        <v>685</v>
      </c>
      <c r="J61" s="334"/>
      <c r="K61" s="6"/>
      <c r="L61" s="6"/>
      <c r="M61" s="6"/>
      <c r="N61" s="6"/>
      <c r="O61" s="6"/>
      <c r="P61" s="6"/>
    </row>
    <row r="62" spans="1:16" s="7" customFormat="1" ht="15" x14ac:dyDescent="0.2">
      <c r="A62" s="47"/>
      <c r="B62" s="46"/>
      <c r="C62" s="46"/>
      <c r="D62" s="96"/>
      <c r="E62" s="46"/>
      <c r="F62" s="330"/>
      <c r="G62" s="353"/>
      <c r="H62" s="332"/>
      <c r="I62" s="352"/>
      <c r="J62" s="334"/>
      <c r="K62" s="6"/>
      <c r="L62" s="6"/>
      <c r="M62" s="6"/>
      <c r="N62" s="6"/>
      <c r="O62" s="6"/>
      <c r="P62" s="6"/>
    </row>
    <row r="63" spans="1:16" s="7" customFormat="1" ht="14.25" customHeight="1" x14ac:dyDescent="0.2">
      <c r="A63" s="95" t="s">
        <v>466</v>
      </c>
      <c r="B63" s="52"/>
      <c r="C63" s="52"/>
      <c r="D63" s="150" t="s">
        <v>805</v>
      </c>
      <c r="E63" s="52"/>
      <c r="F63" s="354"/>
      <c r="G63" s="353"/>
      <c r="H63" s="332"/>
      <c r="I63" s="333">
        <f>I64+I94</f>
        <v>2126.0600000000004</v>
      </c>
      <c r="J63" s="334"/>
      <c r="K63" s="6"/>
      <c r="L63" s="6"/>
      <c r="M63" s="6"/>
      <c r="N63" s="6"/>
      <c r="O63" s="6"/>
      <c r="P63" s="6"/>
    </row>
    <row r="64" spans="1:16" s="7" customFormat="1" ht="14.25" customHeight="1" x14ac:dyDescent="0.2">
      <c r="A64" s="47" t="s">
        <v>89</v>
      </c>
      <c r="B64" s="46"/>
      <c r="C64" s="46"/>
      <c r="D64" s="96" t="s">
        <v>672</v>
      </c>
      <c r="E64" s="46"/>
      <c r="F64" s="330"/>
      <c r="G64" s="353"/>
      <c r="H64" s="332"/>
      <c r="I64" s="333">
        <f>SUM(I65:I92)</f>
        <v>1227.0600000000002</v>
      </c>
      <c r="J64" s="334"/>
      <c r="K64" s="6"/>
      <c r="L64" s="6"/>
      <c r="M64" s="6"/>
      <c r="N64" s="6"/>
      <c r="O64" s="6"/>
      <c r="P64" s="6"/>
    </row>
    <row r="65" spans="1:16" s="7" customFormat="1" x14ac:dyDescent="0.2">
      <c r="A65" s="45" t="s">
        <v>57</v>
      </c>
      <c r="B65" s="639" t="s">
        <v>7</v>
      </c>
      <c r="C65" s="640"/>
      <c r="D65" s="97" t="s">
        <v>684</v>
      </c>
      <c r="E65" s="46" t="s">
        <v>90</v>
      </c>
      <c r="F65" s="330">
        <v>25</v>
      </c>
      <c r="G65" s="353">
        <v>3.17</v>
      </c>
      <c r="H65" s="332">
        <f t="shared" si="0"/>
        <v>3.17</v>
      </c>
      <c r="I65" s="352">
        <f t="shared" si="1"/>
        <v>79.25</v>
      </c>
      <c r="J65" s="334"/>
      <c r="K65" s="6"/>
      <c r="L65" s="6"/>
      <c r="M65" s="6"/>
      <c r="N65" s="6"/>
      <c r="O65" s="6"/>
      <c r="P65" s="6"/>
    </row>
    <row r="66" spans="1:16" s="7" customFormat="1" x14ac:dyDescent="0.2">
      <c r="A66" s="45" t="s">
        <v>685</v>
      </c>
      <c r="B66" s="639" t="s">
        <v>7</v>
      </c>
      <c r="C66" s="640"/>
      <c r="D66" s="97" t="s">
        <v>686</v>
      </c>
      <c r="E66" s="46" t="s">
        <v>90</v>
      </c>
      <c r="F66" s="330">
        <v>300</v>
      </c>
      <c r="G66" s="353">
        <v>0.86</v>
      </c>
      <c r="H66" s="332">
        <f t="shared" si="0"/>
        <v>0.86</v>
      </c>
      <c r="I66" s="352">
        <f t="shared" si="1"/>
        <v>258</v>
      </c>
      <c r="J66" s="334"/>
      <c r="K66" s="6"/>
      <c r="L66" s="6"/>
      <c r="M66" s="6"/>
      <c r="N66" s="6"/>
      <c r="O66" s="6"/>
      <c r="P66" s="6"/>
    </row>
    <row r="67" spans="1:16" s="7" customFormat="1" x14ac:dyDescent="0.2">
      <c r="A67" s="45" t="s">
        <v>687</v>
      </c>
      <c r="B67" s="639" t="s">
        <v>7</v>
      </c>
      <c r="C67" s="640"/>
      <c r="D67" s="97" t="s">
        <v>688</v>
      </c>
      <c r="E67" s="46" t="s">
        <v>90</v>
      </c>
      <c r="F67" s="330">
        <v>50</v>
      </c>
      <c r="G67" s="353">
        <v>1.34</v>
      </c>
      <c r="H67" s="332">
        <f t="shared" si="0"/>
        <v>1.34</v>
      </c>
      <c r="I67" s="352">
        <f t="shared" si="1"/>
        <v>67</v>
      </c>
      <c r="J67" s="334"/>
      <c r="K67" s="6"/>
      <c r="L67" s="6"/>
      <c r="M67" s="6"/>
      <c r="N67" s="6"/>
      <c r="O67" s="6"/>
      <c r="P67" s="6"/>
    </row>
    <row r="68" spans="1:16" s="7" customFormat="1" x14ac:dyDescent="0.2">
      <c r="A68" s="45" t="s">
        <v>689</v>
      </c>
      <c r="B68" s="639" t="s">
        <v>7</v>
      </c>
      <c r="C68" s="640"/>
      <c r="D68" s="97" t="s">
        <v>690</v>
      </c>
      <c r="E68" s="46" t="s">
        <v>8</v>
      </c>
      <c r="F68" s="330">
        <v>2</v>
      </c>
      <c r="G68" s="353">
        <v>3.4</v>
      </c>
      <c r="H68" s="332">
        <f t="shared" si="0"/>
        <v>3.4</v>
      </c>
      <c r="I68" s="352">
        <f t="shared" si="1"/>
        <v>6.8</v>
      </c>
      <c r="J68" s="334"/>
      <c r="K68" s="6"/>
      <c r="L68" s="6"/>
      <c r="M68" s="6"/>
      <c r="N68" s="6"/>
      <c r="O68" s="6"/>
      <c r="P68" s="6"/>
    </row>
    <row r="69" spans="1:16" s="7" customFormat="1" x14ac:dyDescent="0.2">
      <c r="A69" s="45" t="s">
        <v>691</v>
      </c>
      <c r="B69" s="639" t="s">
        <v>7</v>
      </c>
      <c r="C69" s="640"/>
      <c r="D69" s="97" t="s">
        <v>692</v>
      </c>
      <c r="E69" s="46" t="s">
        <v>8</v>
      </c>
      <c r="F69" s="330">
        <v>2</v>
      </c>
      <c r="G69" s="353">
        <v>1.4</v>
      </c>
      <c r="H69" s="332">
        <f t="shared" si="0"/>
        <v>1.4</v>
      </c>
      <c r="I69" s="352">
        <f t="shared" si="1"/>
        <v>2.8</v>
      </c>
      <c r="J69" s="334"/>
      <c r="K69" s="6"/>
      <c r="L69" s="6"/>
      <c r="M69" s="6"/>
      <c r="N69" s="6"/>
      <c r="O69" s="6"/>
      <c r="P69" s="6"/>
    </row>
    <row r="70" spans="1:16" s="7" customFormat="1" x14ac:dyDescent="0.2">
      <c r="A70" s="45" t="s">
        <v>693</v>
      </c>
      <c r="B70" s="639" t="s">
        <v>7</v>
      </c>
      <c r="C70" s="640"/>
      <c r="D70" s="97" t="s">
        <v>694</v>
      </c>
      <c r="E70" s="46" t="s">
        <v>8</v>
      </c>
      <c r="F70" s="330">
        <v>2</v>
      </c>
      <c r="G70" s="353">
        <v>3.9</v>
      </c>
      <c r="H70" s="332">
        <f t="shared" si="0"/>
        <v>3.9</v>
      </c>
      <c r="I70" s="352">
        <f t="shared" si="1"/>
        <v>7.8</v>
      </c>
      <c r="J70" s="334"/>
      <c r="K70" s="6"/>
      <c r="L70" s="6"/>
      <c r="M70" s="6"/>
      <c r="N70" s="6"/>
      <c r="O70" s="6"/>
      <c r="P70" s="6"/>
    </row>
    <row r="71" spans="1:16" s="7" customFormat="1" x14ac:dyDescent="0.2">
      <c r="A71" s="45" t="s">
        <v>695</v>
      </c>
      <c r="B71" s="639" t="s">
        <v>7</v>
      </c>
      <c r="C71" s="640"/>
      <c r="D71" s="97" t="s">
        <v>690</v>
      </c>
      <c r="E71" s="46" t="s">
        <v>8</v>
      </c>
      <c r="F71" s="330">
        <v>3</v>
      </c>
      <c r="G71" s="353">
        <v>3.74</v>
      </c>
      <c r="H71" s="332">
        <f t="shared" si="0"/>
        <v>3.74</v>
      </c>
      <c r="I71" s="352">
        <f t="shared" si="1"/>
        <v>11.22</v>
      </c>
      <c r="J71" s="334"/>
      <c r="K71" s="6"/>
      <c r="L71" s="6"/>
      <c r="M71" s="6"/>
      <c r="N71" s="6"/>
      <c r="O71" s="6"/>
      <c r="P71" s="6"/>
    </row>
    <row r="72" spans="1:16" s="7" customFormat="1" x14ac:dyDescent="0.2">
      <c r="A72" s="45" t="s">
        <v>696</v>
      </c>
      <c r="B72" s="639" t="s">
        <v>7</v>
      </c>
      <c r="C72" s="640"/>
      <c r="D72" s="97" t="s">
        <v>697</v>
      </c>
      <c r="E72" s="46" t="s">
        <v>8</v>
      </c>
      <c r="F72" s="330">
        <v>3</v>
      </c>
      <c r="G72" s="353">
        <v>1.52</v>
      </c>
      <c r="H72" s="332">
        <f t="shared" si="0"/>
        <v>1.52</v>
      </c>
      <c r="I72" s="352">
        <f t="shared" si="1"/>
        <v>4.5599999999999996</v>
      </c>
      <c r="J72" s="334"/>
      <c r="K72" s="6"/>
      <c r="L72" s="6"/>
      <c r="M72" s="6"/>
      <c r="N72" s="6"/>
      <c r="O72" s="6"/>
      <c r="P72" s="6"/>
    </row>
    <row r="73" spans="1:16" s="7" customFormat="1" x14ac:dyDescent="0.2">
      <c r="A73" s="45" t="s">
        <v>698</v>
      </c>
      <c r="B73" s="639" t="s">
        <v>7</v>
      </c>
      <c r="C73" s="640"/>
      <c r="D73" s="97" t="s">
        <v>699</v>
      </c>
      <c r="E73" s="46" t="s">
        <v>8</v>
      </c>
      <c r="F73" s="330">
        <v>3</v>
      </c>
      <c r="G73" s="353">
        <v>6.56</v>
      </c>
      <c r="H73" s="332">
        <f t="shared" si="0"/>
        <v>6.56</v>
      </c>
      <c r="I73" s="352">
        <f t="shared" si="1"/>
        <v>19.68</v>
      </c>
      <c r="J73" s="334"/>
      <c r="K73" s="6"/>
      <c r="L73" s="6"/>
      <c r="M73" s="6"/>
      <c r="N73" s="6"/>
      <c r="O73" s="6"/>
      <c r="P73" s="6"/>
    </row>
    <row r="74" spans="1:16" s="7" customFormat="1" x14ac:dyDescent="0.2">
      <c r="A74" s="45" t="s">
        <v>700</v>
      </c>
      <c r="B74" s="639" t="s">
        <v>7</v>
      </c>
      <c r="C74" s="640"/>
      <c r="D74" s="97" t="s">
        <v>701</v>
      </c>
      <c r="E74" s="46" t="s">
        <v>8</v>
      </c>
      <c r="F74" s="330">
        <v>1</v>
      </c>
      <c r="G74" s="353">
        <v>183.06</v>
      </c>
      <c r="H74" s="332">
        <f t="shared" si="0"/>
        <v>183.06</v>
      </c>
      <c r="I74" s="352">
        <f t="shared" si="1"/>
        <v>183.06</v>
      </c>
      <c r="J74" s="334"/>
      <c r="K74" s="6"/>
      <c r="L74" s="6"/>
      <c r="M74" s="6"/>
      <c r="N74" s="6"/>
      <c r="O74" s="6"/>
      <c r="P74" s="6"/>
    </row>
    <row r="75" spans="1:16" s="7" customFormat="1" x14ac:dyDescent="0.2">
      <c r="A75" s="45" t="s">
        <v>702</v>
      </c>
      <c r="B75" s="639" t="s">
        <v>7</v>
      </c>
      <c r="C75" s="640"/>
      <c r="D75" s="97" t="s">
        <v>703</v>
      </c>
      <c r="E75" s="46" t="s">
        <v>8</v>
      </c>
      <c r="F75" s="330">
        <v>1</v>
      </c>
      <c r="G75" s="353">
        <v>5.95</v>
      </c>
      <c r="H75" s="332">
        <f t="shared" si="0"/>
        <v>5.95</v>
      </c>
      <c r="I75" s="352">
        <f t="shared" si="1"/>
        <v>5.95</v>
      </c>
      <c r="J75" s="334"/>
      <c r="K75" s="6"/>
      <c r="L75" s="6"/>
      <c r="M75" s="6"/>
      <c r="N75" s="6"/>
      <c r="O75" s="6"/>
      <c r="P75" s="6"/>
    </row>
    <row r="76" spans="1:16" s="7" customFormat="1" x14ac:dyDescent="0.2">
      <c r="A76" s="45" t="s">
        <v>704</v>
      </c>
      <c r="B76" s="639" t="s">
        <v>7</v>
      </c>
      <c r="C76" s="640"/>
      <c r="D76" s="97" t="s">
        <v>705</v>
      </c>
      <c r="E76" s="46" t="s">
        <v>8</v>
      </c>
      <c r="F76" s="330">
        <v>2</v>
      </c>
      <c r="G76" s="353">
        <v>28.83</v>
      </c>
      <c r="H76" s="332">
        <f t="shared" si="0"/>
        <v>28.83</v>
      </c>
      <c r="I76" s="352">
        <f t="shared" si="1"/>
        <v>57.66</v>
      </c>
      <c r="J76" s="334"/>
      <c r="K76" s="6"/>
      <c r="L76" s="6"/>
      <c r="M76" s="6"/>
      <c r="N76" s="6"/>
      <c r="O76" s="6"/>
      <c r="P76" s="6"/>
    </row>
    <row r="77" spans="1:16" s="7" customFormat="1" x14ac:dyDescent="0.2">
      <c r="A77" s="45" t="s">
        <v>706</v>
      </c>
      <c r="B77" s="639" t="s">
        <v>7</v>
      </c>
      <c r="C77" s="640"/>
      <c r="D77" s="97" t="s">
        <v>707</v>
      </c>
      <c r="E77" s="46" t="s">
        <v>8</v>
      </c>
      <c r="F77" s="330">
        <v>2</v>
      </c>
      <c r="G77" s="353">
        <v>28.83</v>
      </c>
      <c r="H77" s="332">
        <f t="shared" si="0"/>
        <v>28.83</v>
      </c>
      <c r="I77" s="352">
        <f t="shared" si="1"/>
        <v>57.66</v>
      </c>
      <c r="J77" s="334"/>
      <c r="K77" s="6"/>
      <c r="L77" s="6"/>
      <c r="M77" s="6"/>
      <c r="N77" s="6"/>
      <c r="O77" s="6"/>
      <c r="P77" s="6"/>
    </row>
    <row r="78" spans="1:16" s="7" customFormat="1" x14ac:dyDescent="0.2">
      <c r="A78" s="45" t="s">
        <v>708</v>
      </c>
      <c r="B78" s="639" t="s">
        <v>7</v>
      </c>
      <c r="C78" s="640"/>
      <c r="D78" s="97" t="s">
        <v>709</v>
      </c>
      <c r="E78" s="46" t="s">
        <v>8</v>
      </c>
      <c r="F78" s="330">
        <v>1</v>
      </c>
      <c r="G78" s="353">
        <v>27</v>
      </c>
      <c r="H78" s="332">
        <f t="shared" si="0"/>
        <v>27</v>
      </c>
      <c r="I78" s="352">
        <f t="shared" si="1"/>
        <v>27</v>
      </c>
      <c r="J78" s="334"/>
      <c r="K78" s="6"/>
      <c r="L78" s="6"/>
      <c r="M78" s="6"/>
      <c r="N78" s="6"/>
      <c r="O78" s="6"/>
      <c r="P78" s="6"/>
    </row>
    <row r="79" spans="1:16" s="7" customFormat="1" x14ac:dyDescent="0.2">
      <c r="A79" s="45" t="s">
        <v>710</v>
      </c>
      <c r="B79" s="639" t="s">
        <v>7</v>
      </c>
      <c r="C79" s="640"/>
      <c r="D79" s="97" t="s">
        <v>711</v>
      </c>
      <c r="E79" s="46" t="s">
        <v>8</v>
      </c>
      <c r="F79" s="330">
        <v>1</v>
      </c>
      <c r="G79" s="353">
        <v>59.42</v>
      </c>
      <c r="H79" s="332">
        <f t="shared" si="0"/>
        <v>59.42</v>
      </c>
      <c r="I79" s="352">
        <f t="shared" si="1"/>
        <v>59.42</v>
      </c>
      <c r="J79" s="334"/>
      <c r="K79" s="6"/>
      <c r="L79" s="6"/>
      <c r="M79" s="6"/>
      <c r="N79" s="6"/>
      <c r="O79" s="6"/>
      <c r="P79" s="6"/>
    </row>
    <row r="80" spans="1:16" s="7" customFormat="1" x14ac:dyDescent="0.2">
      <c r="A80" s="45" t="s">
        <v>712</v>
      </c>
      <c r="B80" s="639" t="s">
        <v>7</v>
      </c>
      <c r="C80" s="640"/>
      <c r="D80" s="97" t="s">
        <v>713</v>
      </c>
      <c r="E80" s="46" t="s">
        <v>8</v>
      </c>
      <c r="F80" s="330">
        <v>1</v>
      </c>
      <c r="G80" s="353">
        <v>44</v>
      </c>
      <c r="H80" s="332">
        <f t="shared" si="0"/>
        <v>44</v>
      </c>
      <c r="I80" s="352">
        <f t="shared" si="1"/>
        <v>44</v>
      </c>
      <c r="J80" s="334"/>
      <c r="K80" s="6"/>
      <c r="L80" s="6"/>
      <c r="M80" s="6"/>
      <c r="N80" s="6"/>
      <c r="O80" s="6"/>
      <c r="P80" s="6"/>
    </row>
    <row r="81" spans="1:16" s="7" customFormat="1" x14ac:dyDescent="0.2">
      <c r="A81" s="45" t="s">
        <v>714</v>
      </c>
      <c r="B81" s="639" t="s">
        <v>7</v>
      </c>
      <c r="C81" s="640"/>
      <c r="D81" s="98" t="s">
        <v>715</v>
      </c>
      <c r="E81" s="46" t="s">
        <v>8</v>
      </c>
      <c r="F81" s="330">
        <v>1</v>
      </c>
      <c r="G81" s="353">
        <v>81.510000000000005</v>
      </c>
      <c r="H81" s="332">
        <f t="shared" si="0"/>
        <v>81.510000000000005</v>
      </c>
      <c r="I81" s="352">
        <f t="shared" si="1"/>
        <v>81.510000000000005</v>
      </c>
      <c r="J81" s="334"/>
      <c r="K81" s="6"/>
      <c r="L81" s="6"/>
      <c r="M81" s="6"/>
      <c r="N81" s="6"/>
      <c r="O81" s="6"/>
      <c r="P81" s="6"/>
    </row>
    <row r="82" spans="1:16" s="7" customFormat="1" x14ac:dyDescent="0.2">
      <c r="A82" s="45" t="s">
        <v>716</v>
      </c>
      <c r="B82" s="639" t="s">
        <v>7</v>
      </c>
      <c r="C82" s="640"/>
      <c r="D82" s="98" t="s">
        <v>717</v>
      </c>
      <c r="E82" s="46" t="s">
        <v>8</v>
      </c>
      <c r="F82" s="330">
        <v>1</v>
      </c>
      <c r="G82" s="353">
        <v>15.11</v>
      </c>
      <c r="H82" s="332">
        <f t="shared" si="0"/>
        <v>15.11</v>
      </c>
      <c r="I82" s="352">
        <f t="shared" si="1"/>
        <v>15.11</v>
      </c>
      <c r="J82" s="334"/>
      <c r="K82" s="6"/>
      <c r="L82" s="6"/>
      <c r="M82" s="6"/>
      <c r="N82" s="6"/>
      <c r="O82" s="6"/>
      <c r="P82" s="6"/>
    </row>
    <row r="83" spans="1:16" s="7" customFormat="1" x14ac:dyDescent="0.2">
      <c r="A83" s="45" t="s">
        <v>718</v>
      </c>
      <c r="B83" s="639" t="s">
        <v>7</v>
      </c>
      <c r="C83" s="640"/>
      <c r="D83" s="98" t="s">
        <v>719</v>
      </c>
      <c r="E83" s="46" t="s">
        <v>8</v>
      </c>
      <c r="F83" s="330">
        <v>1</v>
      </c>
      <c r="G83" s="353">
        <v>9.99</v>
      </c>
      <c r="H83" s="332">
        <f t="shared" si="0"/>
        <v>9.99</v>
      </c>
      <c r="I83" s="352">
        <f t="shared" si="1"/>
        <v>9.99</v>
      </c>
      <c r="J83" s="334"/>
      <c r="K83" s="6"/>
      <c r="L83" s="6"/>
      <c r="M83" s="6"/>
      <c r="N83" s="6"/>
      <c r="O83" s="6"/>
      <c r="P83" s="6"/>
    </row>
    <row r="84" spans="1:16" s="7" customFormat="1" x14ac:dyDescent="0.2">
      <c r="A84" s="45" t="s">
        <v>720</v>
      </c>
      <c r="B84" s="639" t="s">
        <v>7</v>
      </c>
      <c r="C84" s="640"/>
      <c r="D84" s="98" t="s">
        <v>721</v>
      </c>
      <c r="E84" s="46" t="s">
        <v>8</v>
      </c>
      <c r="F84" s="330">
        <v>2</v>
      </c>
      <c r="G84" s="353">
        <v>4.99</v>
      </c>
      <c r="H84" s="332">
        <f t="shared" si="0"/>
        <v>4.99</v>
      </c>
      <c r="I84" s="352">
        <f t="shared" si="1"/>
        <v>9.98</v>
      </c>
      <c r="J84" s="334"/>
      <c r="K84" s="6"/>
      <c r="L84" s="6"/>
      <c r="M84" s="6"/>
      <c r="N84" s="6"/>
      <c r="O84" s="6"/>
      <c r="P84" s="6"/>
    </row>
    <row r="85" spans="1:16" s="7" customFormat="1" ht="15" thickBot="1" x14ac:dyDescent="0.25">
      <c r="A85" s="355" t="s">
        <v>722</v>
      </c>
      <c r="B85" s="635" t="s">
        <v>7</v>
      </c>
      <c r="C85" s="636"/>
      <c r="D85" s="356" t="s">
        <v>723</v>
      </c>
      <c r="E85" s="339" t="s">
        <v>8</v>
      </c>
      <c r="F85" s="341">
        <v>2</v>
      </c>
      <c r="G85" s="357">
        <v>4.37</v>
      </c>
      <c r="H85" s="343">
        <f t="shared" si="0"/>
        <v>4.37</v>
      </c>
      <c r="I85" s="358">
        <f t="shared" si="1"/>
        <v>8.74</v>
      </c>
      <c r="J85" s="334"/>
      <c r="K85" s="6"/>
      <c r="L85" s="6"/>
      <c r="M85" s="6"/>
      <c r="N85" s="6"/>
      <c r="O85" s="6"/>
      <c r="P85" s="6"/>
    </row>
    <row r="86" spans="1:16" s="7" customFormat="1" x14ac:dyDescent="0.2">
      <c r="A86" s="192" t="s">
        <v>724</v>
      </c>
      <c r="B86" s="637" t="s">
        <v>7</v>
      </c>
      <c r="C86" s="638"/>
      <c r="D86" s="359" t="s">
        <v>725</v>
      </c>
      <c r="E86" s="122" t="s">
        <v>8</v>
      </c>
      <c r="F86" s="347">
        <v>3</v>
      </c>
      <c r="G86" s="360">
        <v>4.26</v>
      </c>
      <c r="H86" s="349">
        <f t="shared" si="0"/>
        <v>4.26</v>
      </c>
      <c r="I86" s="361">
        <f t="shared" si="1"/>
        <v>12.78</v>
      </c>
      <c r="J86" s="334"/>
      <c r="K86" s="6"/>
      <c r="L86" s="6"/>
      <c r="M86" s="6"/>
      <c r="N86" s="6"/>
      <c r="O86" s="6"/>
      <c r="P86" s="6"/>
    </row>
    <row r="87" spans="1:16" s="7" customFormat="1" x14ac:dyDescent="0.2">
      <c r="A87" s="45" t="s">
        <v>726</v>
      </c>
      <c r="B87" s="639" t="s">
        <v>7</v>
      </c>
      <c r="C87" s="640"/>
      <c r="D87" s="97" t="s">
        <v>727</v>
      </c>
      <c r="E87" s="46" t="s">
        <v>8</v>
      </c>
      <c r="F87" s="330">
        <v>4</v>
      </c>
      <c r="G87" s="351">
        <v>4.7300000000000004</v>
      </c>
      <c r="H87" s="332">
        <f t="shared" si="0"/>
        <v>4.7300000000000004</v>
      </c>
      <c r="I87" s="352">
        <f t="shared" si="1"/>
        <v>18.920000000000002</v>
      </c>
      <c r="J87" s="334"/>
      <c r="K87" s="6"/>
      <c r="L87" s="6"/>
      <c r="M87" s="6"/>
      <c r="N87" s="6"/>
      <c r="O87" s="6"/>
      <c r="P87" s="6"/>
    </row>
    <row r="88" spans="1:16" s="7" customFormat="1" x14ac:dyDescent="0.2">
      <c r="A88" s="45" t="s">
        <v>728</v>
      </c>
      <c r="B88" s="639" t="s">
        <v>7</v>
      </c>
      <c r="C88" s="640"/>
      <c r="D88" s="97" t="s">
        <v>729</v>
      </c>
      <c r="E88" s="46" t="s">
        <v>8</v>
      </c>
      <c r="F88" s="330">
        <v>9</v>
      </c>
      <c r="G88" s="353">
        <v>5.13</v>
      </c>
      <c r="H88" s="332">
        <f t="shared" si="0"/>
        <v>5.13</v>
      </c>
      <c r="I88" s="352">
        <f t="shared" si="1"/>
        <v>46.17</v>
      </c>
      <c r="J88" s="334"/>
      <c r="K88" s="6"/>
      <c r="L88" s="6"/>
      <c r="M88" s="6"/>
      <c r="N88" s="6"/>
      <c r="O88" s="6"/>
      <c r="P88" s="6"/>
    </row>
    <row r="89" spans="1:16" s="7" customFormat="1" x14ac:dyDescent="0.2">
      <c r="A89" s="45" t="s">
        <v>730</v>
      </c>
      <c r="B89" s="639" t="s">
        <v>7</v>
      </c>
      <c r="C89" s="640"/>
      <c r="D89" s="97" t="s">
        <v>731</v>
      </c>
      <c r="E89" s="46" t="s">
        <v>8</v>
      </c>
      <c r="F89" s="330">
        <v>200</v>
      </c>
      <c r="G89" s="353">
        <v>0.32</v>
      </c>
      <c r="H89" s="332">
        <f t="shared" si="0"/>
        <v>0.32</v>
      </c>
      <c r="I89" s="352">
        <f t="shared" si="1"/>
        <v>64</v>
      </c>
      <c r="J89" s="334"/>
      <c r="K89" s="6"/>
      <c r="L89" s="6"/>
      <c r="M89" s="6"/>
      <c r="N89" s="6"/>
      <c r="O89" s="6"/>
      <c r="P89" s="6"/>
    </row>
    <row r="90" spans="1:16" s="7" customFormat="1" x14ac:dyDescent="0.2">
      <c r="A90" s="45" t="s">
        <v>732</v>
      </c>
      <c r="B90" s="639" t="s">
        <v>7</v>
      </c>
      <c r="C90" s="640"/>
      <c r="D90" s="97" t="s">
        <v>733</v>
      </c>
      <c r="E90" s="46" t="s">
        <v>8</v>
      </c>
      <c r="F90" s="330">
        <v>200</v>
      </c>
      <c r="G90" s="353">
        <v>0.15</v>
      </c>
      <c r="H90" s="332">
        <f t="shared" si="0"/>
        <v>0.15</v>
      </c>
      <c r="I90" s="352">
        <f t="shared" si="1"/>
        <v>30</v>
      </c>
      <c r="J90" s="334"/>
      <c r="K90" s="6"/>
      <c r="L90" s="6"/>
      <c r="M90" s="6"/>
      <c r="N90" s="6"/>
      <c r="O90" s="6"/>
      <c r="P90" s="6"/>
    </row>
    <row r="91" spans="1:16" s="7" customFormat="1" x14ac:dyDescent="0.2">
      <c r="A91" s="45" t="s">
        <v>734</v>
      </c>
      <c r="B91" s="639" t="s">
        <v>7</v>
      </c>
      <c r="C91" s="640"/>
      <c r="D91" s="97" t="s">
        <v>735</v>
      </c>
      <c r="E91" s="46" t="s">
        <v>8</v>
      </c>
      <c r="F91" s="330">
        <v>200</v>
      </c>
      <c r="G91" s="353">
        <v>0.08</v>
      </c>
      <c r="H91" s="332">
        <f t="shared" si="0"/>
        <v>0.08</v>
      </c>
      <c r="I91" s="352">
        <f t="shared" si="1"/>
        <v>16</v>
      </c>
      <c r="J91" s="334"/>
      <c r="K91" s="6"/>
      <c r="L91" s="6"/>
      <c r="M91" s="6"/>
      <c r="N91" s="6"/>
      <c r="O91" s="6"/>
      <c r="P91" s="6"/>
    </row>
    <row r="92" spans="1:16" s="7" customFormat="1" x14ac:dyDescent="0.2">
      <c r="A92" s="45" t="s">
        <v>736</v>
      </c>
      <c r="B92" s="639" t="s">
        <v>7</v>
      </c>
      <c r="C92" s="640"/>
      <c r="D92" s="98" t="s">
        <v>737</v>
      </c>
      <c r="E92" s="46" t="s">
        <v>8</v>
      </c>
      <c r="F92" s="330">
        <v>200</v>
      </c>
      <c r="G92" s="362">
        <v>0.11</v>
      </c>
      <c r="H92" s="332">
        <f t="shared" si="0"/>
        <v>0.11</v>
      </c>
      <c r="I92" s="352">
        <f t="shared" si="1"/>
        <v>22</v>
      </c>
      <c r="J92" s="334"/>
      <c r="K92" s="6"/>
      <c r="L92" s="6"/>
      <c r="M92" s="6"/>
      <c r="N92" s="6"/>
      <c r="O92" s="6"/>
      <c r="P92" s="6"/>
    </row>
    <row r="93" spans="1:16" s="7" customFormat="1" x14ac:dyDescent="0.2">
      <c r="A93" s="45"/>
      <c r="B93" s="46"/>
      <c r="C93" s="46"/>
      <c r="D93" s="98"/>
      <c r="E93" s="46"/>
      <c r="F93" s="330"/>
      <c r="G93" s="362"/>
      <c r="H93" s="332"/>
      <c r="I93" s="352"/>
      <c r="J93" s="334"/>
      <c r="K93" s="6"/>
      <c r="L93" s="6"/>
      <c r="M93" s="6"/>
      <c r="N93" s="6"/>
      <c r="O93" s="6"/>
      <c r="P93" s="6"/>
    </row>
    <row r="94" spans="1:16" s="7" customFormat="1" ht="15" x14ac:dyDescent="0.2">
      <c r="A94" s="47" t="s">
        <v>738</v>
      </c>
      <c r="B94" s="46"/>
      <c r="C94" s="46"/>
      <c r="D94" s="96" t="s">
        <v>680</v>
      </c>
      <c r="E94" s="46"/>
      <c r="F94" s="330"/>
      <c r="G94" s="351"/>
      <c r="H94" s="332"/>
      <c r="I94" s="333">
        <f>SUM(I95:I96)</f>
        <v>899</v>
      </c>
      <c r="J94" s="334"/>
      <c r="K94" s="6"/>
      <c r="L94" s="6"/>
      <c r="M94" s="6"/>
      <c r="N94" s="6"/>
      <c r="O94" s="6"/>
      <c r="P94" s="6"/>
    </row>
    <row r="95" spans="1:16" s="7" customFormat="1" x14ac:dyDescent="0.2">
      <c r="A95" s="45" t="s">
        <v>739</v>
      </c>
      <c r="B95" s="46" t="s">
        <v>80</v>
      </c>
      <c r="C95" s="46">
        <v>2436</v>
      </c>
      <c r="D95" s="97" t="s">
        <v>681</v>
      </c>
      <c r="E95" s="46" t="s">
        <v>740</v>
      </c>
      <c r="F95" s="330">
        <v>50</v>
      </c>
      <c r="G95" s="351">
        <v>10.48</v>
      </c>
      <c r="H95" s="332">
        <f>G95</f>
        <v>10.48</v>
      </c>
      <c r="I95" s="352">
        <f t="shared" si="1"/>
        <v>524</v>
      </c>
      <c r="J95" s="334"/>
      <c r="K95" s="6"/>
      <c r="L95" s="6"/>
      <c r="M95" s="6"/>
      <c r="N95" s="6"/>
      <c r="O95" s="6"/>
      <c r="P95" s="6"/>
    </row>
    <row r="96" spans="1:16" s="7" customFormat="1" x14ac:dyDescent="0.2">
      <c r="A96" s="45" t="s">
        <v>741</v>
      </c>
      <c r="B96" s="46" t="s">
        <v>80</v>
      </c>
      <c r="C96" s="46">
        <v>6113</v>
      </c>
      <c r="D96" s="97" t="s">
        <v>682</v>
      </c>
      <c r="E96" s="46" t="s">
        <v>740</v>
      </c>
      <c r="F96" s="330">
        <v>50</v>
      </c>
      <c r="G96" s="351">
        <v>7.5</v>
      </c>
      <c r="H96" s="332">
        <f>G96</f>
        <v>7.5</v>
      </c>
      <c r="I96" s="352">
        <f t="shared" si="1"/>
        <v>375</v>
      </c>
      <c r="J96" s="334"/>
      <c r="K96" s="6"/>
      <c r="L96" s="6"/>
      <c r="M96" s="6"/>
      <c r="N96" s="6"/>
      <c r="O96" s="6"/>
      <c r="P96" s="6"/>
    </row>
    <row r="97" spans="1:16" s="7" customFormat="1" ht="14.25" customHeight="1" x14ac:dyDescent="0.2">
      <c r="A97" s="45"/>
      <c r="B97" s="46"/>
      <c r="C97" s="46"/>
      <c r="D97" s="97"/>
      <c r="E97" s="46"/>
      <c r="F97" s="330"/>
      <c r="G97" s="351"/>
      <c r="H97" s="332"/>
      <c r="I97" s="352"/>
      <c r="J97" s="334"/>
      <c r="K97" s="6"/>
      <c r="L97" s="6"/>
      <c r="M97" s="6"/>
      <c r="N97" s="6"/>
      <c r="O97" s="6"/>
      <c r="P97" s="6"/>
    </row>
    <row r="98" spans="1:16" s="7" customFormat="1" ht="15" x14ac:dyDescent="0.2">
      <c r="A98" s="47" t="s">
        <v>465</v>
      </c>
      <c r="B98" s="46"/>
      <c r="C98" s="46"/>
      <c r="D98" s="96" t="s">
        <v>742</v>
      </c>
      <c r="E98" s="46"/>
      <c r="F98" s="330"/>
      <c r="G98" s="351"/>
      <c r="H98" s="332"/>
      <c r="I98" s="333">
        <f>I99+I115</f>
        <v>1533.1</v>
      </c>
      <c r="J98" s="334"/>
      <c r="K98" s="6"/>
      <c r="L98" s="6"/>
      <c r="M98" s="6"/>
      <c r="N98" s="6"/>
      <c r="O98" s="6"/>
      <c r="P98" s="6"/>
    </row>
    <row r="99" spans="1:16" s="7" customFormat="1" ht="15" x14ac:dyDescent="0.2">
      <c r="A99" s="47" t="s">
        <v>164</v>
      </c>
      <c r="B99" s="46"/>
      <c r="C99" s="46"/>
      <c r="D99" s="96" t="s">
        <v>672</v>
      </c>
      <c r="E99" s="46"/>
      <c r="F99" s="330"/>
      <c r="G99" s="351"/>
      <c r="H99" s="332"/>
      <c r="I99" s="333">
        <f>SUM(I100:I113)</f>
        <v>813.9</v>
      </c>
      <c r="J99" s="334"/>
      <c r="K99" s="6"/>
      <c r="L99" s="6"/>
      <c r="M99" s="6"/>
      <c r="N99" s="6"/>
      <c r="O99" s="6"/>
      <c r="P99" s="6"/>
    </row>
    <row r="100" spans="1:16" s="7" customFormat="1" x14ac:dyDescent="0.2">
      <c r="A100" s="45" t="s">
        <v>165</v>
      </c>
      <c r="B100" s="639" t="s">
        <v>7</v>
      </c>
      <c r="C100" s="640"/>
      <c r="D100" s="98" t="s">
        <v>743</v>
      </c>
      <c r="E100" s="46" t="s">
        <v>90</v>
      </c>
      <c r="F100" s="330">
        <v>100</v>
      </c>
      <c r="G100" s="362">
        <v>1.52</v>
      </c>
      <c r="H100" s="332">
        <f t="shared" si="0"/>
        <v>1.52</v>
      </c>
      <c r="I100" s="352">
        <f t="shared" si="1"/>
        <v>152</v>
      </c>
      <c r="J100" s="334"/>
      <c r="K100" s="6"/>
      <c r="L100" s="6"/>
      <c r="M100" s="6"/>
      <c r="N100" s="6"/>
      <c r="O100" s="6"/>
      <c r="P100" s="6"/>
    </row>
    <row r="101" spans="1:16" s="7" customFormat="1" x14ac:dyDescent="0.2">
      <c r="A101" s="45" t="s">
        <v>116</v>
      </c>
      <c r="B101" s="639" t="s">
        <v>7</v>
      </c>
      <c r="C101" s="640"/>
      <c r="D101" s="98" t="s">
        <v>744</v>
      </c>
      <c r="E101" s="46" t="s">
        <v>8</v>
      </c>
      <c r="F101" s="330">
        <v>80</v>
      </c>
      <c r="G101" s="362">
        <v>1.06</v>
      </c>
      <c r="H101" s="332">
        <f t="shared" si="0"/>
        <v>1.06</v>
      </c>
      <c r="I101" s="352">
        <f t="shared" si="1"/>
        <v>84.8</v>
      </c>
      <c r="J101" s="334"/>
      <c r="K101" s="6"/>
      <c r="L101" s="6"/>
      <c r="M101" s="6"/>
      <c r="N101" s="6"/>
      <c r="O101" s="6"/>
      <c r="P101" s="6"/>
    </row>
    <row r="102" spans="1:16" s="368" customFormat="1" ht="28.5" x14ac:dyDescent="0.2">
      <c r="A102" s="51" t="s">
        <v>157</v>
      </c>
      <c r="B102" s="639" t="s">
        <v>7</v>
      </c>
      <c r="C102" s="640"/>
      <c r="D102" s="98" t="s">
        <v>745</v>
      </c>
      <c r="E102" s="46" t="s">
        <v>8</v>
      </c>
      <c r="F102" s="354">
        <v>12</v>
      </c>
      <c r="G102" s="363">
        <v>7.5</v>
      </c>
      <c r="H102" s="364">
        <f t="shared" si="0"/>
        <v>7.5</v>
      </c>
      <c r="I102" s="365">
        <f t="shared" si="1"/>
        <v>90</v>
      </c>
      <c r="J102" s="366"/>
      <c r="K102" s="367"/>
      <c r="L102" s="367"/>
      <c r="M102" s="367"/>
      <c r="N102" s="367"/>
      <c r="O102" s="367"/>
      <c r="P102" s="367"/>
    </row>
    <row r="103" spans="1:16" s="7" customFormat="1" x14ac:dyDescent="0.2">
      <c r="A103" s="45" t="s">
        <v>158</v>
      </c>
      <c r="B103" s="639" t="s">
        <v>7</v>
      </c>
      <c r="C103" s="640"/>
      <c r="D103" s="98" t="s">
        <v>746</v>
      </c>
      <c r="E103" s="46" t="s">
        <v>8</v>
      </c>
      <c r="F103" s="330">
        <v>2</v>
      </c>
      <c r="G103" s="362">
        <v>16.53</v>
      </c>
      <c r="H103" s="332">
        <f t="shared" si="0"/>
        <v>16.53</v>
      </c>
      <c r="I103" s="352">
        <f t="shared" si="1"/>
        <v>33.06</v>
      </c>
      <c r="J103" s="334"/>
      <c r="K103" s="6"/>
      <c r="L103" s="6"/>
      <c r="M103" s="6"/>
      <c r="N103" s="6"/>
      <c r="O103" s="6"/>
      <c r="P103" s="6"/>
    </row>
    <row r="104" spans="1:16" s="7" customFormat="1" x14ac:dyDescent="0.2">
      <c r="A104" s="45" t="s">
        <v>159</v>
      </c>
      <c r="B104" s="639" t="s">
        <v>7</v>
      </c>
      <c r="C104" s="640"/>
      <c r="D104" s="98" t="s">
        <v>747</v>
      </c>
      <c r="E104" s="46" t="s">
        <v>8</v>
      </c>
      <c r="F104" s="330">
        <v>2</v>
      </c>
      <c r="G104" s="362">
        <v>13.04</v>
      </c>
      <c r="H104" s="332">
        <f t="shared" si="0"/>
        <v>13.04</v>
      </c>
      <c r="I104" s="352">
        <f t="shared" si="1"/>
        <v>26.08</v>
      </c>
      <c r="J104" s="334"/>
      <c r="K104" s="6"/>
      <c r="L104" s="6"/>
      <c r="M104" s="6"/>
      <c r="N104" s="6"/>
      <c r="O104" s="6"/>
      <c r="P104" s="6"/>
    </row>
    <row r="105" spans="1:16" s="7" customFormat="1" x14ac:dyDescent="0.2">
      <c r="A105" s="45" t="s">
        <v>160</v>
      </c>
      <c r="B105" s="639" t="s">
        <v>7</v>
      </c>
      <c r="C105" s="640"/>
      <c r="D105" s="98" t="s">
        <v>748</v>
      </c>
      <c r="E105" s="46" t="s">
        <v>8</v>
      </c>
      <c r="F105" s="330">
        <v>4</v>
      </c>
      <c r="G105" s="362">
        <v>30.94</v>
      </c>
      <c r="H105" s="332">
        <f t="shared" si="0"/>
        <v>30.94</v>
      </c>
      <c r="I105" s="352">
        <f t="shared" si="1"/>
        <v>123.76</v>
      </c>
      <c r="J105" s="334"/>
      <c r="K105" s="6"/>
      <c r="L105" s="6"/>
      <c r="M105" s="6"/>
      <c r="N105" s="6"/>
      <c r="O105" s="6"/>
      <c r="P105" s="6"/>
    </row>
    <row r="106" spans="1:16" s="7" customFormat="1" x14ac:dyDescent="0.2">
      <c r="A106" s="45" t="s">
        <v>161</v>
      </c>
      <c r="B106" s="639" t="s">
        <v>7</v>
      </c>
      <c r="C106" s="640"/>
      <c r="D106" s="98" t="s">
        <v>749</v>
      </c>
      <c r="E106" s="46" t="s">
        <v>8</v>
      </c>
      <c r="F106" s="330">
        <v>4</v>
      </c>
      <c r="G106" s="362">
        <v>1.68</v>
      </c>
      <c r="H106" s="332">
        <f t="shared" si="0"/>
        <v>1.68</v>
      </c>
      <c r="I106" s="352">
        <f t="shared" si="1"/>
        <v>6.72</v>
      </c>
      <c r="J106" s="334"/>
      <c r="K106" s="6"/>
      <c r="L106" s="6"/>
      <c r="M106" s="6"/>
      <c r="N106" s="6"/>
      <c r="O106" s="6"/>
      <c r="P106" s="6"/>
    </row>
    <row r="107" spans="1:16" s="7" customFormat="1" x14ac:dyDescent="0.2">
      <c r="A107" s="45" t="s">
        <v>162</v>
      </c>
      <c r="B107" s="639" t="s">
        <v>7</v>
      </c>
      <c r="C107" s="640"/>
      <c r="D107" s="98" t="s">
        <v>750</v>
      </c>
      <c r="E107" s="46" t="s">
        <v>8</v>
      </c>
      <c r="F107" s="330">
        <v>4</v>
      </c>
      <c r="G107" s="362">
        <v>1.49</v>
      </c>
      <c r="H107" s="332">
        <f t="shared" si="0"/>
        <v>1.49</v>
      </c>
      <c r="I107" s="352">
        <f t="shared" si="1"/>
        <v>5.96</v>
      </c>
      <c r="J107" s="334"/>
      <c r="K107" s="6"/>
      <c r="L107" s="6"/>
      <c r="M107" s="6"/>
      <c r="N107" s="6"/>
      <c r="O107" s="6"/>
      <c r="P107" s="6"/>
    </row>
    <row r="108" spans="1:16" s="7" customFormat="1" x14ac:dyDescent="0.2">
      <c r="A108" s="45" t="s">
        <v>163</v>
      </c>
      <c r="B108" s="639" t="s">
        <v>7</v>
      </c>
      <c r="C108" s="640"/>
      <c r="D108" s="98" t="s">
        <v>751</v>
      </c>
      <c r="E108" s="46" t="s">
        <v>8</v>
      </c>
      <c r="F108" s="330">
        <v>4</v>
      </c>
      <c r="G108" s="362">
        <v>15.92</v>
      </c>
      <c r="H108" s="332">
        <f t="shared" si="0"/>
        <v>15.92</v>
      </c>
      <c r="I108" s="352">
        <f t="shared" si="1"/>
        <v>63.68</v>
      </c>
      <c r="J108" s="334"/>
      <c r="K108" s="6"/>
      <c r="L108" s="6"/>
      <c r="M108" s="6"/>
      <c r="N108" s="6"/>
      <c r="O108" s="6"/>
      <c r="P108" s="6"/>
    </row>
    <row r="109" spans="1:16" s="7" customFormat="1" x14ac:dyDescent="0.2">
      <c r="A109" s="45" t="s">
        <v>752</v>
      </c>
      <c r="B109" s="639" t="s">
        <v>7</v>
      </c>
      <c r="C109" s="640"/>
      <c r="D109" s="98" t="s">
        <v>753</v>
      </c>
      <c r="E109" s="46" t="s">
        <v>8</v>
      </c>
      <c r="F109" s="330">
        <v>4</v>
      </c>
      <c r="G109" s="362">
        <v>23.96</v>
      </c>
      <c r="H109" s="332">
        <f t="shared" si="0"/>
        <v>23.96</v>
      </c>
      <c r="I109" s="352">
        <f t="shared" si="1"/>
        <v>95.84</v>
      </c>
      <c r="J109" s="334"/>
      <c r="K109" s="6"/>
      <c r="L109" s="6"/>
      <c r="M109" s="6"/>
      <c r="N109" s="6"/>
      <c r="O109" s="6"/>
      <c r="P109" s="6"/>
    </row>
    <row r="110" spans="1:16" s="7" customFormat="1" x14ac:dyDescent="0.2">
      <c r="A110" s="45" t="s">
        <v>754</v>
      </c>
      <c r="B110" s="639" t="s">
        <v>7</v>
      </c>
      <c r="C110" s="640"/>
      <c r="D110" s="97" t="s">
        <v>731</v>
      </c>
      <c r="E110" s="46" t="s">
        <v>8</v>
      </c>
      <c r="F110" s="330">
        <v>200</v>
      </c>
      <c r="G110" s="353">
        <v>0.32</v>
      </c>
      <c r="H110" s="332">
        <f t="shared" si="0"/>
        <v>0.32</v>
      </c>
      <c r="I110" s="352">
        <f t="shared" si="1"/>
        <v>64</v>
      </c>
      <c r="J110" s="334"/>
      <c r="K110" s="6"/>
      <c r="L110" s="6"/>
      <c r="M110" s="6"/>
      <c r="N110" s="6"/>
      <c r="O110" s="6"/>
      <c r="P110" s="6"/>
    </row>
    <row r="111" spans="1:16" s="7" customFormat="1" x14ac:dyDescent="0.2">
      <c r="A111" s="45" t="s">
        <v>755</v>
      </c>
      <c r="B111" s="639" t="s">
        <v>7</v>
      </c>
      <c r="C111" s="640"/>
      <c r="D111" s="97" t="s">
        <v>733</v>
      </c>
      <c r="E111" s="46" t="s">
        <v>8</v>
      </c>
      <c r="F111" s="330">
        <v>200</v>
      </c>
      <c r="G111" s="353">
        <v>0.15</v>
      </c>
      <c r="H111" s="332">
        <f t="shared" si="0"/>
        <v>0.15</v>
      </c>
      <c r="I111" s="352">
        <f t="shared" si="1"/>
        <v>30</v>
      </c>
      <c r="J111" s="334"/>
      <c r="K111" s="6"/>
      <c r="L111" s="6"/>
      <c r="M111" s="6"/>
      <c r="N111" s="6"/>
      <c r="O111" s="6"/>
      <c r="P111" s="6"/>
    </row>
    <row r="112" spans="1:16" s="7" customFormat="1" x14ac:dyDescent="0.2">
      <c r="A112" s="45" t="s">
        <v>756</v>
      </c>
      <c r="B112" s="639" t="s">
        <v>7</v>
      </c>
      <c r="C112" s="640"/>
      <c r="D112" s="98" t="s">
        <v>735</v>
      </c>
      <c r="E112" s="46" t="s">
        <v>8</v>
      </c>
      <c r="F112" s="330">
        <v>200</v>
      </c>
      <c r="G112" s="353">
        <v>0.08</v>
      </c>
      <c r="H112" s="332">
        <f t="shared" si="0"/>
        <v>0.08</v>
      </c>
      <c r="I112" s="352">
        <f t="shared" si="1"/>
        <v>16</v>
      </c>
      <c r="J112" s="334"/>
      <c r="K112" s="6"/>
      <c r="L112" s="6"/>
      <c r="M112" s="6"/>
      <c r="N112" s="6"/>
      <c r="O112" s="6"/>
      <c r="P112" s="6"/>
    </row>
    <row r="113" spans="1:16" s="7" customFormat="1" x14ac:dyDescent="0.2">
      <c r="A113" s="45" t="s">
        <v>757</v>
      </c>
      <c r="B113" s="639" t="s">
        <v>7</v>
      </c>
      <c r="C113" s="640"/>
      <c r="D113" s="98" t="s">
        <v>737</v>
      </c>
      <c r="E113" s="46" t="s">
        <v>8</v>
      </c>
      <c r="F113" s="330">
        <v>200</v>
      </c>
      <c r="G113" s="362">
        <v>0.11</v>
      </c>
      <c r="H113" s="332">
        <f t="shared" si="0"/>
        <v>0.11</v>
      </c>
      <c r="I113" s="352">
        <f t="shared" si="1"/>
        <v>22</v>
      </c>
      <c r="J113" s="334"/>
      <c r="K113" s="6"/>
      <c r="L113" s="6"/>
      <c r="M113" s="6"/>
      <c r="N113" s="6"/>
      <c r="O113" s="6"/>
      <c r="P113" s="6"/>
    </row>
    <row r="114" spans="1:16" s="7" customFormat="1" x14ac:dyDescent="0.2">
      <c r="A114" s="45"/>
      <c r="B114" s="369"/>
      <c r="C114" s="370"/>
      <c r="D114" s="98"/>
      <c r="E114" s="46"/>
      <c r="F114" s="330"/>
      <c r="G114" s="362"/>
      <c r="H114" s="332"/>
      <c r="I114" s="352"/>
      <c r="J114" s="334"/>
      <c r="K114" s="6"/>
      <c r="L114" s="6"/>
      <c r="M114" s="6"/>
      <c r="N114" s="6"/>
      <c r="O114" s="6"/>
      <c r="P114" s="6"/>
    </row>
    <row r="115" spans="1:16" s="7" customFormat="1" ht="15" x14ac:dyDescent="0.2">
      <c r="A115" s="47" t="s">
        <v>273</v>
      </c>
      <c r="B115" s="46"/>
      <c r="C115" s="46"/>
      <c r="D115" s="96" t="s">
        <v>680</v>
      </c>
      <c r="E115" s="46"/>
      <c r="F115" s="330"/>
      <c r="G115" s="351"/>
      <c r="H115" s="332"/>
      <c r="I115" s="333">
        <f>SUM(I116:I117)</f>
        <v>719.2</v>
      </c>
      <c r="J115" s="334"/>
      <c r="K115" s="6"/>
      <c r="L115" s="6"/>
      <c r="M115" s="6"/>
      <c r="N115" s="6"/>
      <c r="O115" s="6"/>
      <c r="P115" s="6"/>
    </row>
    <row r="116" spans="1:16" s="7" customFormat="1" x14ac:dyDescent="0.2">
      <c r="A116" s="45" t="s">
        <v>274</v>
      </c>
      <c r="B116" s="46" t="s">
        <v>80</v>
      </c>
      <c r="C116" s="46">
        <v>2436</v>
      </c>
      <c r="D116" s="97" t="s">
        <v>681</v>
      </c>
      <c r="E116" s="46" t="s">
        <v>740</v>
      </c>
      <c r="F116" s="330">
        <v>40</v>
      </c>
      <c r="G116" s="351">
        <v>10.48</v>
      </c>
      <c r="H116" s="332">
        <f>G116</f>
        <v>10.48</v>
      </c>
      <c r="I116" s="352">
        <f t="shared" si="1"/>
        <v>419.2</v>
      </c>
      <c r="J116" s="334"/>
      <c r="K116" s="6"/>
      <c r="L116" s="6"/>
      <c r="M116" s="6"/>
      <c r="N116" s="6"/>
      <c r="O116" s="6"/>
      <c r="P116" s="6"/>
    </row>
    <row r="117" spans="1:16" s="7" customFormat="1" x14ac:dyDescent="0.2">
      <c r="A117" s="45" t="s">
        <v>275</v>
      </c>
      <c r="B117" s="46" t="s">
        <v>80</v>
      </c>
      <c r="C117" s="46">
        <v>6113</v>
      </c>
      <c r="D117" s="97" t="s">
        <v>682</v>
      </c>
      <c r="E117" s="46" t="s">
        <v>740</v>
      </c>
      <c r="F117" s="330">
        <v>40</v>
      </c>
      <c r="G117" s="351">
        <v>7.5</v>
      </c>
      <c r="H117" s="332">
        <f>G117</f>
        <v>7.5</v>
      </c>
      <c r="I117" s="352">
        <f t="shared" si="1"/>
        <v>300</v>
      </c>
      <c r="J117" s="334"/>
      <c r="K117" s="6"/>
      <c r="L117" s="6"/>
      <c r="M117" s="6"/>
      <c r="N117" s="6"/>
      <c r="O117" s="6"/>
      <c r="P117" s="6"/>
    </row>
    <row r="118" spans="1:16" s="7" customFormat="1" ht="15" x14ac:dyDescent="0.2">
      <c r="A118" s="47"/>
      <c r="B118" s="46"/>
      <c r="C118" s="46"/>
      <c r="D118" s="96"/>
      <c r="E118" s="46"/>
      <c r="F118" s="330"/>
      <c r="G118" s="351"/>
      <c r="H118" s="332"/>
      <c r="I118" s="352"/>
      <c r="J118" s="334"/>
      <c r="K118" s="6"/>
      <c r="L118" s="6"/>
      <c r="M118" s="6"/>
      <c r="N118" s="6"/>
      <c r="O118" s="6"/>
      <c r="P118" s="6"/>
    </row>
    <row r="119" spans="1:16" s="7" customFormat="1" ht="15" x14ac:dyDescent="0.2">
      <c r="A119" s="47" t="s">
        <v>464</v>
      </c>
      <c r="B119" s="46"/>
      <c r="C119" s="46"/>
      <c r="D119" s="96" t="s">
        <v>758</v>
      </c>
      <c r="E119" s="46"/>
      <c r="F119" s="330"/>
      <c r="G119" s="351"/>
      <c r="H119" s="332"/>
      <c r="I119" s="333">
        <f>I120+I131</f>
        <v>11407.45</v>
      </c>
      <c r="J119" s="334"/>
      <c r="K119" s="6"/>
      <c r="L119" s="6"/>
      <c r="M119" s="6"/>
      <c r="N119" s="6"/>
      <c r="O119" s="6"/>
      <c r="P119" s="6"/>
    </row>
    <row r="120" spans="1:16" s="7" customFormat="1" ht="15" x14ac:dyDescent="0.2">
      <c r="A120" s="47" t="s">
        <v>137</v>
      </c>
      <c r="B120" s="46"/>
      <c r="C120" s="46"/>
      <c r="D120" s="96" t="s">
        <v>672</v>
      </c>
      <c r="E120" s="46"/>
      <c r="F120" s="330"/>
      <c r="G120" s="351"/>
      <c r="H120" s="332"/>
      <c r="I120" s="333">
        <f>SUM(I121:I129)</f>
        <v>8710.4500000000007</v>
      </c>
      <c r="J120" s="334"/>
      <c r="K120" s="6"/>
      <c r="L120" s="6"/>
      <c r="M120" s="6"/>
      <c r="N120" s="6"/>
      <c r="O120" s="6"/>
      <c r="P120" s="6"/>
    </row>
    <row r="121" spans="1:16" s="7" customFormat="1" ht="15" thickBot="1" x14ac:dyDescent="0.25">
      <c r="A121" s="355" t="s">
        <v>166</v>
      </c>
      <c r="B121" s="635" t="s">
        <v>7</v>
      </c>
      <c r="C121" s="636"/>
      <c r="D121" s="356" t="s">
        <v>759</v>
      </c>
      <c r="E121" s="339" t="s">
        <v>90</v>
      </c>
      <c r="F121" s="341">
        <v>100</v>
      </c>
      <c r="G121" s="371">
        <v>16.02</v>
      </c>
      <c r="H121" s="343">
        <f t="shared" si="0"/>
        <v>16.02</v>
      </c>
      <c r="I121" s="358">
        <f t="shared" si="1"/>
        <v>1602</v>
      </c>
      <c r="J121" s="334"/>
      <c r="K121" s="6"/>
      <c r="L121" s="6"/>
      <c r="M121" s="6"/>
      <c r="N121" s="6"/>
      <c r="O121" s="6"/>
      <c r="P121" s="6"/>
    </row>
    <row r="122" spans="1:16" s="7" customFormat="1" x14ac:dyDescent="0.2">
      <c r="A122" s="192" t="s">
        <v>167</v>
      </c>
      <c r="B122" s="637" t="s">
        <v>7</v>
      </c>
      <c r="C122" s="638"/>
      <c r="D122" s="359" t="s">
        <v>760</v>
      </c>
      <c r="E122" s="122" t="s">
        <v>90</v>
      </c>
      <c r="F122" s="347">
        <v>120</v>
      </c>
      <c r="G122" s="372">
        <v>8.6199999999999992</v>
      </c>
      <c r="H122" s="349">
        <f t="shared" si="0"/>
        <v>8.6199999999999992</v>
      </c>
      <c r="I122" s="361">
        <f t="shared" si="1"/>
        <v>1034.4000000000001</v>
      </c>
      <c r="J122" s="334"/>
      <c r="K122" s="6"/>
      <c r="L122" s="6"/>
      <c r="M122" s="6"/>
      <c r="N122" s="6"/>
      <c r="O122" s="6"/>
      <c r="P122" s="6"/>
    </row>
    <row r="123" spans="1:16" s="7" customFormat="1" x14ac:dyDescent="0.2">
      <c r="A123" s="45" t="s">
        <v>168</v>
      </c>
      <c r="B123" s="639" t="s">
        <v>7</v>
      </c>
      <c r="C123" s="640"/>
      <c r="D123" s="97" t="s">
        <v>761</v>
      </c>
      <c r="E123" s="46" t="s">
        <v>90</v>
      </c>
      <c r="F123" s="330">
        <v>230</v>
      </c>
      <c r="G123" s="351">
        <v>4.78</v>
      </c>
      <c r="H123" s="332">
        <f t="shared" si="0"/>
        <v>4.78</v>
      </c>
      <c r="I123" s="352">
        <f t="shared" si="1"/>
        <v>1099.4000000000001</v>
      </c>
      <c r="J123" s="334"/>
      <c r="K123" s="6"/>
      <c r="L123" s="6"/>
      <c r="M123" s="6"/>
      <c r="N123" s="6"/>
      <c r="O123" s="6"/>
      <c r="P123" s="6"/>
    </row>
    <row r="124" spans="1:16" s="7" customFormat="1" x14ac:dyDescent="0.2">
      <c r="A124" s="45" t="s">
        <v>169</v>
      </c>
      <c r="B124" s="639" t="s">
        <v>7</v>
      </c>
      <c r="C124" s="640"/>
      <c r="D124" s="97" t="s">
        <v>762</v>
      </c>
      <c r="E124" s="46" t="s">
        <v>90</v>
      </c>
      <c r="F124" s="330">
        <v>250</v>
      </c>
      <c r="G124" s="351">
        <v>2.92</v>
      </c>
      <c r="H124" s="332">
        <f t="shared" si="0"/>
        <v>2.92</v>
      </c>
      <c r="I124" s="352">
        <f t="shared" si="1"/>
        <v>730</v>
      </c>
      <c r="J124" s="334"/>
      <c r="K124" s="6"/>
      <c r="L124" s="6"/>
      <c r="M124" s="6"/>
      <c r="N124" s="6"/>
      <c r="O124" s="6"/>
      <c r="P124" s="6"/>
    </row>
    <row r="125" spans="1:16" s="7" customFormat="1" x14ac:dyDescent="0.2">
      <c r="A125" s="45" t="s">
        <v>170</v>
      </c>
      <c r="B125" s="639" t="s">
        <v>7</v>
      </c>
      <c r="C125" s="640"/>
      <c r="D125" s="97" t="s">
        <v>763</v>
      </c>
      <c r="E125" s="46" t="s">
        <v>90</v>
      </c>
      <c r="F125" s="330">
        <v>20</v>
      </c>
      <c r="G125" s="351">
        <v>2.0299999999999998</v>
      </c>
      <c r="H125" s="332">
        <f t="shared" si="0"/>
        <v>2.0299999999999998</v>
      </c>
      <c r="I125" s="352">
        <f t="shared" si="1"/>
        <v>40.6</v>
      </c>
      <c r="J125" s="334"/>
      <c r="K125" s="6"/>
      <c r="L125" s="6"/>
      <c r="M125" s="6"/>
      <c r="N125" s="6"/>
      <c r="O125" s="6"/>
      <c r="P125" s="6"/>
    </row>
    <row r="126" spans="1:16" s="7" customFormat="1" x14ac:dyDescent="0.2">
      <c r="A126" s="45" t="s">
        <v>171</v>
      </c>
      <c r="B126" s="639" t="s">
        <v>7</v>
      </c>
      <c r="C126" s="640"/>
      <c r="D126" s="97" t="s">
        <v>764</v>
      </c>
      <c r="E126" s="46" t="s">
        <v>90</v>
      </c>
      <c r="F126" s="330">
        <v>160</v>
      </c>
      <c r="G126" s="351">
        <v>3.28</v>
      </c>
      <c r="H126" s="332">
        <f t="shared" si="0"/>
        <v>3.28</v>
      </c>
      <c r="I126" s="352">
        <f t="shared" si="1"/>
        <v>524.79999999999995</v>
      </c>
      <c r="J126" s="334"/>
      <c r="K126" s="6"/>
      <c r="L126" s="6"/>
      <c r="M126" s="6"/>
      <c r="N126" s="6"/>
      <c r="O126" s="6"/>
      <c r="P126" s="6"/>
    </row>
    <row r="127" spans="1:16" s="7" customFormat="1" x14ac:dyDescent="0.2">
      <c r="A127" s="45" t="s">
        <v>172</v>
      </c>
      <c r="B127" s="639" t="s">
        <v>7</v>
      </c>
      <c r="C127" s="640"/>
      <c r="D127" s="98" t="s">
        <v>765</v>
      </c>
      <c r="E127" s="46" t="s">
        <v>8</v>
      </c>
      <c r="F127" s="330">
        <v>2</v>
      </c>
      <c r="G127" s="362">
        <v>26.8</v>
      </c>
      <c r="H127" s="332">
        <f t="shared" si="0"/>
        <v>26.8</v>
      </c>
      <c r="I127" s="352">
        <f t="shared" si="1"/>
        <v>53.6</v>
      </c>
      <c r="J127" s="334"/>
      <c r="K127" s="6"/>
      <c r="L127" s="6"/>
      <c r="M127" s="6"/>
      <c r="N127" s="6"/>
      <c r="O127" s="6"/>
      <c r="P127" s="6"/>
    </row>
    <row r="128" spans="1:16" s="368" customFormat="1" x14ac:dyDescent="0.2">
      <c r="A128" s="51" t="s">
        <v>173</v>
      </c>
      <c r="B128" s="52" t="s">
        <v>93</v>
      </c>
      <c r="C128" s="52">
        <v>65000338</v>
      </c>
      <c r="D128" s="98" t="s">
        <v>766</v>
      </c>
      <c r="E128" s="46" t="s">
        <v>8</v>
      </c>
      <c r="F128" s="354">
        <v>15</v>
      </c>
      <c r="G128" s="362">
        <v>198.23</v>
      </c>
      <c r="H128" s="364">
        <f t="shared" si="0"/>
        <v>198.23</v>
      </c>
      <c r="I128" s="365">
        <f t="shared" si="1"/>
        <v>2973.45</v>
      </c>
      <c r="J128" s="366"/>
      <c r="K128" s="367"/>
      <c r="L128" s="367"/>
      <c r="M128" s="367"/>
      <c r="N128" s="367"/>
      <c r="O128" s="367"/>
      <c r="P128" s="367"/>
    </row>
    <row r="129" spans="1:16" s="368" customFormat="1" ht="14.25" customHeight="1" x14ac:dyDescent="0.2">
      <c r="A129" s="51" t="s">
        <v>174</v>
      </c>
      <c r="B129" s="52" t="s">
        <v>80</v>
      </c>
      <c r="C129" s="52" t="s">
        <v>767</v>
      </c>
      <c r="D129" s="98" t="s">
        <v>768</v>
      </c>
      <c r="E129" s="46" t="s">
        <v>8</v>
      </c>
      <c r="F129" s="354">
        <v>12</v>
      </c>
      <c r="G129" s="363">
        <v>54.35</v>
      </c>
      <c r="H129" s="364">
        <f t="shared" si="0"/>
        <v>54.35</v>
      </c>
      <c r="I129" s="365">
        <f t="shared" si="1"/>
        <v>652.20000000000005</v>
      </c>
      <c r="J129" s="366"/>
      <c r="K129" s="367"/>
      <c r="L129" s="367"/>
      <c r="M129" s="367"/>
      <c r="N129" s="367"/>
      <c r="O129" s="367"/>
      <c r="P129" s="367"/>
    </row>
    <row r="130" spans="1:16" s="368" customFormat="1" x14ac:dyDescent="0.2">
      <c r="A130" s="51"/>
      <c r="B130" s="52"/>
      <c r="C130" s="52"/>
      <c r="D130" s="98"/>
      <c r="E130" s="52"/>
      <c r="F130" s="354"/>
      <c r="G130" s="362"/>
      <c r="H130" s="364"/>
      <c r="I130" s="365"/>
      <c r="J130" s="366"/>
      <c r="K130" s="367"/>
      <c r="L130" s="367"/>
      <c r="M130" s="367"/>
      <c r="N130" s="367"/>
      <c r="O130" s="367"/>
      <c r="P130" s="367"/>
    </row>
    <row r="131" spans="1:16" s="7" customFormat="1" ht="15" x14ac:dyDescent="0.2">
      <c r="A131" s="47" t="s">
        <v>276</v>
      </c>
      <c r="B131" s="46"/>
      <c r="C131" s="46"/>
      <c r="D131" s="96" t="s">
        <v>680</v>
      </c>
      <c r="E131" s="46"/>
      <c r="F131" s="330"/>
      <c r="G131" s="351"/>
      <c r="H131" s="332"/>
      <c r="I131" s="333">
        <f>SUM(I132:I133)</f>
        <v>2697</v>
      </c>
      <c r="J131" s="334"/>
      <c r="K131" s="6"/>
      <c r="L131" s="6"/>
      <c r="M131" s="6"/>
      <c r="N131" s="6"/>
      <c r="O131" s="6"/>
      <c r="P131" s="6"/>
    </row>
    <row r="132" spans="1:16" s="7" customFormat="1" x14ac:dyDescent="0.2">
      <c r="A132" s="45" t="s">
        <v>492</v>
      </c>
      <c r="B132" s="46" t="s">
        <v>80</v>
      </c>
      <c r="C132" s="46">
        <v>2436</v>
      </c>
      <c r="D132" s="97" t="s">
        <v>681</v>
      </c>
      <c r="E132" s="46" t="s">
        <v>740</v>
      </c>
      <c r="F132" s="330">
        <v>150</v>
      </c>
      <c r="G132" s="351">
        <v>10.48</v>
      </c>
      <c r="H132" s="332">
        <f>G132</f>
        <v>10.48</v>
      </c>
      <c r="I132" s="352">
        <f t="shared" si="1"/>
        <v>1572</v>
      </c>
      <c r="J132" s="334"/>
      <c r="K132" s="6"/>
      <c r="L132" s="6"/>
      <c r="M132" s="6"/>
      <c r="N132" s="6"/>
      <c r="O132" s="6"/>
      <c r="P132" s="6"/>
    </row>
    <row r="133" spans="1:16" s="7" customFormat="1" x14ac:dyDescent="0.2">
      <c r="A133" s="45" t="s">
        <v>493</v>
      </c>
      <c r="B133" s="46" t="s">
        <v>80</v>
      </c>
      <c r="C133" s="46">
        <v>6113</v>
      </c>
      <c r="D133" s="97" t="s">
        <v>682</v>
      </c>
      <c r="E133" s="46" t="s">
        <v>740</v>
      </c>
      <c r="F133" s="330">
        <v>150</v>
      </c>
      <c r="G133" s="351">
        <v>7.5</v>
      </c>
      <c r="H133" s="332">
        <f>G133</f>
        <v>7.5</v>
      </c>
      <c r="I133" s="352">
        <f t="shared" si="1"/>
        <v>1125</v>
      </c>
      <c r="J133" s="334"/>
      <c r="K133" s="6"/>
      <c r="L133" s="6"/>
      <c r="M133" s="6"/>
      <c r="N133" s="6"/>
      <c r="O133" s="6"/>
      <c r="P133" s="6"/>
    </row>
    <row r="134" spans="1:16" s="7" customFormat="1" ht="15" x14ac:dyDescent="0.25">
      <c r="A134" s="47"/>
      <c r="B134" s="48"/>
      <c r="C134" s="48"/>
      <c r="D134" s="96"/>
      <c r="E134" s="48"/>
      <c r="F134" s="335"/>
      <c r="G134" s="373"/>
      <c r="H134" s="332"/>
      <c r="I134" s="352"/>
      <c r="J134" s="334"/>
      <c r="K134" s="6"/>
      <c r="L134" s="6"/>
      <c r="M134" s="6"/>
      <c r="N134" s="6"/>
      <c r="O134" s="6"/>
      <c r="P134" s="6"/>
    </row>
    <row r="135" spans="1:16" ht="15.95" customHeight="1" x14ac:dyDescent="0.2">
      <c r="A135" s="47" t="s">
        <v>463</v>
      </c>
      <c r="B135" s="48"/>
      <c r="C135" s="48"/>
      <c r="D135" s="96" t="s">
        <v>769</v>
      </c>
      <c r="E135" s="46"/>
      <c r="F135" s="330"/>
      <c r="G135" s="331"/>
      <c r="H135" s="332"/>
      <c r="I135" s="333">
        <f>I136</f>
        <v>3000</v>
      </c>
      <c r="J135" s="3"/>
      <c r="K135" s="4"/>
      <c r="L135" s="4"/>
      <c r="M135" s="4"/>
      <c r="N135" s="4"/>
      <c r="O135" s="4"/>
      <c r="P135" s="4"/>
    </row>
    <row r="136" spans="1:16" s="368" customFormat="1" ht="28.5" x14ac:dyDescent="0.2">
      <c r="A136" s="51" t="s">
        <v>770</v>
      </c>
      <c r="B136" s="633" t="s">
        <v>7</v>
      </c>
      <c r="C136" s="634"/>
      <c r="D136" s="98" t="s">
        <v>771</v>
      </c>
      <c r="E136" s="52" t="s">
        <v>8</v>
      </c>
      <c r="F136" s="354">
        <v>1</v>
      </c>
      <c r="G136" s="331">
        <v>3000</v>
      </c>
      <c r="H136" s="364">
        <f t="shared" ref="H136:H160" si="3">ROUND(G136*(1+L$3),2)</f>
        <v>3000</v>
      </c>
      <c r="I136" s="365">
        <f t="shared" ref="I136:I165" si="4">ROUND(F136*H136,2)</f>
        <v>3000</v>
      </c>
      <c r="J136" s="366"/>
      <c r="K136" s="367"/>
      <c r="L136" s="367"/>
      <c r="M136" s="367"/>
      <c r="N136" s="367"/>
      <c r="O136" s="367"/>
      <c r="P136" s="367"/>
    </row>
    <row r="137" spans="1:16" s="7" customFormat="1" ht="15" x14ac:dyDescent="0.2">
      <c r="A137" s="45"/>
      <c r="B137" s="48"/>
      <c r="C137" s="48"/>
      <c r="D137" s="97"/>
      <c r="E137" s="46"/>
      <c r="F137" s="330"/>
      <c r="G137" s="331"/>
      <c r="H137" s="332"/>
      <c r="I137" s="352"/>
      <c r="J137" s="334"/>
      <c r="K137" s="6"/>
      <c r="L137" s="6"/>
      <c r="M137" s="6"/>
      <c r="N137" s="6"/>
      <c r="O137" s="6"/>
      <c r="P137" s="6"/>
    </row>
    <row r="138" spans="1:16" s="7" customFormat="1" ht="15.95" customHeight="1" x14ac:dyDescent="0.2">
      <c r="A138" s="47" t="s">
        <v>475</v>
      </c>
      <c r="B138" s="48"/>
      <c r="C138" s="48"/>
      <c r="D138" s="96" t="s">
        <v>772</v>
      </c>
      <c r="E138" s="46"/>
      <c r="F138" s="330"/>
      <c r="G138" s="331"/>
      <c r="H138" s="332"/>
      <c r="I138" s="333">
        <f>I139+I162</f>
        <v>1092.5700000000002</v>
      </c>
      <c r="J138" s="334"/>
      <c r="K138" s="6"/>
      <c r="L138" s="6"/>
      <c r="M138" s="6"/>
      <c r="N138" s="6"/>
      <c r="O138" s="6"/>
      <c r="P138" s="6"/>
    </row>
    <row r="139" spans="1:16" s="7" customFormat="1" ht="15" x14ac:dyDescent="0.2">
      <c r="A139" s="45" t="s">
        <v>138</v>
      </c>
      <c r="B139" s="46"/>
      <c r="C139" s="46"/>
      <c r="D139" s="96" t="s">
        <v>672</v>
      </c>
      <c r="E139" s="46"/>
      <c r="F139" s="330"/>
      <c r="G139" s="331"/>
      <c r="H139" s="332"/>
      <c r="I139" s="333">
        <f>SUM(I140:I160)</f>
        <v>822.97000000000014</v>
      </c>
      <c r="J139" s="334"/>
      <c r="K139" s="6"/>
      <c r="L139" s="6"/>
      <c r="M139" s="6"/>
      <c r="N139" s="6"/>
      <c r="O139" s="6"/>
      <c r="P139" s="6"/>
    </row>
    <row r="140" spans="1:16" s="7" customFormat="1" ht="15.95" customHeight="1" x14ac:dyDescent="0.2">
      <c r="A140" s="45" t="s">
        <v>178</v>
      </c>
      <c r="B140" s="633" t="s">
        <v>7</v>
      </c>
      <c r="C140" s="634"/>
      <c r="D140" s="97" t="s">
        <v>773</v>
      </c>
      <c r="E140" s="46" t="s">
        <v>90</v>
      </c>
      <c r="F140" s="330">
        <v>30</v>
      </c>
      <c r="G140" s="353">
        <v>3.92</v>
      </c>
      <c r="H140" s="332">
        <f t="shared" si="3"/>
        <v>3.92</v>
      </c>
      <c r="I140" s="352">
        <f t="shared" si="4"/>
        <v>117.6</v>
      </c>
      <c r="J140" s="334"/>
      <c r="K140" s="6"/>
      <c r="L140" s="6"/>
      <c r="M140" s="6"/>
      <c r="N140" s="6"/>
      <c r="O140" s="6"/>
      <c r="P140" s="6"/>
    </row>
    <row r="141" spans="1:16" s="7" customFormat="1" x14ac:dyDescent="0.2">
      <c r="A141" s="45" t="s">
        <v>179</v>
      </c>
      <c r="B141" s="633" t="s">
        <v>7</v>
      </c>
      <c r="C141" s="634"/>
      <c r="D141" s="97" t="s">
        <v>774</v>
      </c>
      <c r="E141" s="46" t="s">
        <v>277</v>
      </c>
      <c r="F141" s="330">
        <v>6</v>
      </c>
      <c r="G141" s="353">
        <v>3.17</v>
      </c>
      <c r="H141" s="332">
        <f t="shared" si="3"/>
        <v>3.17</v>
      </c>
      <c r="I141" s="352">
        <f t="shared" si="4"/>
        <v>19.02</v>
      </c>
      <c r="J141" s="334"/>
      <c r="K141" s="6"/>
      <c r="L141" s="6"/>
      <c r="M141" s="6"/>
      <c r="N141" s="6"/>
      <c r="O141" s="6"/>
      <c r="P141" s="6"/>
    </row>
    <row r="142" spans="1:16" s="7" customFormat="1" ht="15.95" customHeight="1" x14ac:dyDescent="0.2">
      <c r="A142" s="45" t="s">
        <v>589</v>
      </c>
      <c r="B142" s="633" t="s">
        <v>7</v>
      </c>
      <c r="C142" s="634"/>
      <c r="D142" s="98" t="s">
        <v>775</v>
      </c>
      <c r="E142" s="46" t="s">
        <v>8</v>
      </c>
      <c r="F142" s="330">
        <v>1</v>
      </c>
      <c r="G142" s="353">
        <v>1.9</v>
      </c>
      <c r="H142" s="332">
        <f t="shared" si="3"/>
        <v>1.9</v>
      </c>
      <c r="I142" s="352">
        <f t="shared" si="4"/>
        <v>1.9</v>
      </c>
      <c r="J142" s="334"/>
      <c r="K142" s="6"/>
      <c r="L142" s="6"/>
      <c r="M142" s="6"/>
      <c r="N142" s="6"/>
      <c r="O142" s="6"/>
      <c r="P142" s="6"/>
    </row>
    <row r="143" spans="1:16" s="7" customFormat="1" ht="15.95" customHeight="1" x14ac:dyDescent="0.2">
      <c r="A143" s="45" t="s">
        <v>180</v>
      </c>
      <c r="B143" s="633" t="s">
        <v>7</v>
      </c>
      <c r="C143" s="634"/>
      <c r="D143" s="98" t="s">
        <v>776</v>
      </c>
      <c r="E143" s="46" t="s">
        <v>8</v>
      </c>
      <c r="F143" s="330">
        <v>1</v>
      </c>
      <c r="G143" s="362">
        <v>8.56</v>
      </c>
      <c r="H143" s="332">
        <f t="shared" si="3"/>
        <v>8.56</v>
      </c>
      <c r="I143" s="352">
        <f t="shared" si="4"/>
        <v>8.56</v>
      </c>
      <c r="J143" s="334"/>
      <c r="K143" s="6"/>
      <c r="L143" s="6"/>
      <c r="M143" s="6"/>
      <c r="N143" s="6"/>
      <c r="O143" s="6"/>
      <c r="P143" s="6"/>
    </row>
    <row r="144" spans="1:16" s="7" customFormat="1" ht="15.95" customHeight="1" x14ac:dyDescent="0.2">
      <c r="A144" s="45" t="s">
        <v>181</v>
      </c>
      <c r="B144" s="633" t="s">
        <v>7</v>
      </c>
      <c r="C144" s="634"/>
      <c r="D144" s="98" t="s">
        <v>777</v>
      </c>
      <c r="E144" s="46" t="s">
        <v>2</v>
      </c>
      <c r="F144" s="330">
        <v>1</v>
      </c>
      <c r="G144" s="353">
        <v>10.039999999999999</v>
      </c>
      <c r="H144" s="332">
        <f t="shared" si="3"/>
        <v>10.039999999999999</v>
      </c>
      <c r="I144" s="352">
        <f t="shared" si="4"/>
        <v>10.039999999999999</v>
      </c>
      <c r="J144" s="334"/>
      <c r="K144" s="6"/>
      <c r="L144" s="6"/>
      <c r="M144" s="6"/>
      <c r="N144" s="6"/>
      <c r="O144" s="6"/>
      <c r="P144" s="6"/>
    </row>
    <row r="145" spans="1:16" s="7" customFormat="1" x14ac:dyDescent="0.2">
      <c r="A145" s="45" t="s">
        <v>182</v>
      </c>
      <c r="B145" s="633" t="s">
        <v>7</v>
      </c>
      <c r="C145" s="634"/>
      <c r="D145" s="98" t="s">
        <v>778</v>
      </c>
      <c r="E145" s="46" t="s">
        <v>8</v>
      </c>
      <c r="F145" s="330">
        <v>1</v>
      </c>
      <c r="G145" s="362">
        <v>5.5</v>
      </c>
      <c r="H145" s="332">
        <f t="shared" si="3"/>
        <v>5.5</v>
      </c>
      <c r="I145" s="352">
        <f t="shared" si="4"/>
        <v>5.5</v>
      </c>
      <c r="J145" s="334"/>
      <c r="K145" s="6"/>
      <c r="L145" s="6"/>
      <c r="M145" s="6"/>
      <c r="N145" s="6"/>
      <c r="O145" s="6"/>
      <c r="P145" s="6"/>
    </row>
    <row r="146" spans="1:16" s="7" customFormat="1" ht="15.95" customHeight="1" x14ac:dyDescent="0.2">
      <c r="A146" s="45" t="s">
        <v>183</v>
      </c>
      <c r="B146" s="633" t="s">
        <v>7</v>
      </c>
      <c r="C146" s="634"/>
      <c r="D146" s="98" t="s">
        <v>679</v>
      </c>
      <c r="E146" s="46" t="s">
        <v>8</v>
      </c>
      <c r="F146" s="330">
        <v>1</v>
      </c>
      <c r="G146" s="362">
        <v>1.99</v>
      </c>
      <c r="H146" s="332">
        <f t="shared" si="3"/>
        <v>1.99</v>
      </c>
      <c r="I146" s="352">
        <f t="shared" si="4"/>
        <v>1.99</v>
      </c>
      <c r="J146" s="334"/>
      <c r="K146" s="6"/>
      <c r="L146" s="6"/>
      <c r="M146" s="6"/>
      <c r="N146" s="6"/>
      <c r="O146" s="6"/>
      <c r="P146" s="6"/>
    </row>
    <row r="147" spans="1:16" s="7" customFormat="1" ht="15.95" customHeight="1" x14ac:dyDescent="0.2">
      <c r="A147" s="45" t="s">
        <v>184</v>
      </c>
      <c r="B147" s="633" t="s">
        <v>7</v>
      </c>
      <c r="C147" s="634"/>
      <c r="D147" s="98" t="s">
        <v>779</v>
      </c>
      <c r="E147" s="46" t="s">
        <v>8</v>
      </c>
      <c r="F147" s="330">
        <v>1</v>
      </c>
      <c r="G147" s="362">
        <v>204.96</v>
      </c>
      <c r="H147" s="332">
        <f t="shared" si="3"/>
        <v>204.96</v>
      </c>
      <c r="I147" s="352">
        <f t="shared" si="4"/>
        <v>204.96</v>
      </c>
      <c r="J147" s="334"/>
      <c r="K147" s="6"/>
      <c r="L147" s="6"/>
      <c r="M147" s="6"/>
      <c r="N147" s="6"/>
      <c r="O147" s="6"/>
      <c r="P147" s="6"/>
    </row>
    <row r="148" spans="1:16" s="7" customFormat="1" x14ac:dyDescent="0.2">
      <c r="A148" s="45" t="s">
        <v>185</v>
      </c>
      <c r="B148" s="633" t="s">
        <v>7</v>
      </c>
      <c r="C148" s="634"/>
      <c r="D148" s="98" t="s">
        <v>780</v>
      </c>
      <c r="E148" s="46" t="s">
        <v>8</v>
      </c>
      <c r="F148" s="330">
        <v>1</v>
      </c>
      <c r="G148" s="353">
        <v>1.1100000000000001</v>
      </c>
      <c r="H148" s="332">
        <f t="shared" si="3"/>
        <v>1.1100000000000001</v>
      </c>
      <c r="I148" s="352">
        <f t="shared" si="4"/>
        <v>1.1100000000000001</v>
      </c>
      <c r="J148" s="334"/>
      <c r="K148" s="6"/>
      <c r="L148" s="6"/>
      <c r="M148" s="6"/>
      <c r="N148" s="6"/>
      <c r="O148" s="6"/>
      <c r="P148" s="6"/>
    </row>
    <row r="149" spans="1:16" s="7" customFormat="1" x14ac:dyDescent="0.2">
      <c r="A149" s="45" t="s">
        <v>186</v>
      </c>
      <c r="B149" s="633" t="s">
        <v>7</v>
      </c>
      <c r="C149" s="634"/>
      <c r="D149" s="98" t="s">
        <v>781</v>
      </c>
      <c r="E149" s="46" t="s">
        <v>8</v>
      </c>
      <c r="F149" s="347">
        <v>1</v>
      </c>
      <c r="G149" s="362">
        <v>159.54</v>
      </c>
      <c r="H149" s="332">
        <f t="shared" si="3"/>
        <v>159.54</v>
      </c>
      <c r="I149" s="352">
        <f t="shared" si="4"/>
        <v>159.54</v>
      </c>
      <c r="J149" s="334"/>
      <c r="K149" s="6"/>
      <c r="L149" s="6"/>
      <c r="M149" s="6"/>
      <c r="N149" s="6"/>
      <c r="O149" s="6"/>
      <c r="P149" s="6"/>
    </row>
    <row r="150" spans="1:16" s="7" customFormat="1" x14ac:dyDescent="0.2">
      <c r="A150" s="45" t="s">
        <v>187</v>
      </c>
      <c r="B150" s="633" t="s">
        <v>7</v>
      </c>
      <c r="C150" s="634"/>
      <c r="D150" s="98" t="s">
        <v>782</v>
      </c>
      <c r="E150" s="46" t="s">
        <v>8</v>
      </c>
      <c r="F150" s="330">
        <v>1</v>
      </c>
      <c r="G150" s="353">
        <v>1.5</v>
      </c>
      <c r="H150" s="332">
        <f t="shared" si="3"/>
        <v>1.5</v>
      </c>
      <c r="I150" s="352">
        <f t="shared" si="4"/>
        <v>1.5</v>
      </c>
      <c r="J150" s="334"/>
      <c r="K150" s="6"/>
      <c r="L150" s="6"/>
      <c r="M150" s="6"/>
      <c r="N150" s="6"/>
      <c r="O150" s="6"/>
      <c r="P150" s="6"/>
    </row>
    <row r="151" spans="1:16" s="7" customFormat="1" x14ac:dyDescent="0.2">
      <c r="A151" s="45" t="s">
        <v>188</v>
      </c>
      <c r="B151" s="633" t="s">
        <v>7</v>
      </c>
      <c r="C151" s="634"/>
      <c r="D151" s="98" t="s">
        <v>783</v>
      </c>
      <c r="E151" s="46" t="s">
        <v>277</v>
      </c>
      <c r="F151" s="330">
        <v>6</v>
      </c>
      <c r="G151" s="362">
        <v>1.52</v>
      </c>
      <c r="H151" s="332">
        <f t="shared" si="3"/>
        <v>1.52</v>
      </c>
      <c r="I151" s="352">
        <f t="shared" si="4"/>
        <v>9.1199999999999992</v>
      </c>
      <c r="J151" s="334"/>
      <c r="K151" s="6"/>
      <c r="L151" s="6"/>
      <c r="M151" s="6"/>
      <c r="N151" s="6"/>
      <c r="O151" s="6"/>
      <c r="P151" s="6"/>
    </row>
    <row r="152" spans="1:16" s="7" customFormat="1" x14ac:dyDescent="0.2">
      <c r="A152" s="45" t="s">
        <v>784</v>
      </c>
      <c r="B152" s="633" t="s">
        <v>7</v>
      </c>
      <c r="C152" s="634"/>
      <c r="D152" s="359" t="s">
        <v>750</v>
      </c>
      <c r="E152" s="46" t="s">
        <v>8</v>
      </c>
      <c r="F152" s="330">
        <v>3</v>
      </c>
      <c r="G152" s="353">
        <v>1.49</v>
      </c>
      <c r="H152" s="332">
        <f t="shared" si="3"/>
        <v>1.49</v>
      </c>
      <c r="I152" s="352">
        <f t="shared" si="4"/>
        <v>4.47</v>
      </c>
      <c r="J152" s="334"/>
      <c r="K152" s="6"/>
      <c r="L152" s="6"/>
      <c r="M152" s="6"/>
      <c r="N152" s="6"/>
      <c r="O152" s="6"/>
      <c r="P152" s="6"/>
    </row>
    <row r="153" spans="1:16" s="7" customFormat="1" x14ac:dyDescent="0.2">
      <c r="A153" s="45" t="s">
        <v>785</v>
      </c>
      <c r="B153" s="633" t="s">
        <v>7</v>
      </c>
      <c r="C153" s="634"/>
      <c r="D153" s="98" t="s">
        <v>786</v>
      </c>
      <c r="E153" s="46" t="s">
        <v>8</v>
      </c>
      <c r="F153" s="330">
        <v>3</v>
      </c>
      <c r="G153" s="353">
        <v>30.94</v>
      </c>
      <c r="H153" s="332">
        <f t="shared" si="3"/>
        <v>30.94</v>
      </c>
      <c r="I153" s="352">
        <f t="shared" si="4"/>
        <v>92.82</v>
      </c>
      <c r="J153" s="334"/>
      <c r="K153" s="6"/>
      <c r="L153" s="6"/>
      <c r="M153" s="6"/>
      <c r="N153" s="6"/>
      <c r="O153" s="6"/>
      <c r="P153" s="6"/>
    </row>
    <row r="154" spans="1:16" s="7" customFormat="1" ht="15.95" customHeight="1" x14ac:dyDescent="0.2">
      <c r="A154" s="45" t="s">
        <v>787</v>
      </c>
      <c r="B154" s="633" t="s">
        <v>7</v>
      </c>
      <c r="C154" s="634"/>
      <c r="D154" s="98" t="s">
        <v>788</v>
      </c>
      <c r="E154" s="46" t="s">
        <v>8</v>
      </c>
      <c r="F154" s="330">
        <v>1</v>
      </c>
      <c r="G154" s="353">
        <v>43.85</v>
      </c>
      <c r="H154" s="332">
        <f t="shared" si="3"/>
        <v>43.85</v>
      </c>
      <c r="I154" s="352">
        <f t="shared" si="4"/>
        <v>43.85</v>
      </c>
      <c r="J154" s="334"/>
      <c r="K154" s="6"/>
      <c r="L154" s="6"/>
      <c r="M154" s="6"/>
      <c r="N154" s="6"/>
      <c r="O154" s="6"/>
      <c r="P154" s="6"/>
    </row>
    <row r="155" spans="1:16" s="7" customFormat="1" x14ac:dyDescent="0.2">
      <c r="A155" s="45" t="s">
        <v>789</v>
      </c>
      <c r="B155" s="633" t="s">
        <v>7</v>
      </c>
      <c r="C155" s="634"/>
      <c r="D155" s="98" t="s">
        <v>790</v>
      </c>
      <c r="E155" s="46" t="s">
        <v>8</v>
      </c>
      <c r="F155" s="330">
        <v>1</v>
      </c>
      <c r="G155" s="353">
        <v>6.03</v>
      </c>
      <c r="H155" s="332">
        <f t="shared" si="3"/>
        <v>6.03</v>
      </c>
      <c r="I155" s="352">
        <f t="shared" si="4"/>
        <v>6.03</v>
      </c>
      <c r="J155" s="334"/>
      <c r="K155" s="6"/>
      <c r="L155" s="6"/>
      <c r="M155" s="6"/>
      <c r="N155" s="6"/>
      <c r="O155" s="6"/>
      <c r="P155" s="6"/>
    </row>
    <row r="156" spans="1:16" s="7" customFormat="1" ht="15" thickBot="1" x14ac:dyDescent="0.25">
      <c r="A156" s="355" t="s">
        <v>791</v>
      </c>
      <c r="B156" s="629" t="s">
        <v>7</v>
      </c>
      <c r="C156" s="630"/>
      <c r="D156" s="374" t="s">
        <v>792</v>
      </c>
      <c r="E156" s="339" t="s">
        <v>8</v>
      </c>
      <c r="F156" s="341">
        <v>1</v>
      </c>
      <c r="G156" s="357">
        <v>2.96</v>
      </c>
      <c r="H156" s="343">
        <f t="shared" si="3"/>
        <v>2.96</v>
      </c>
      <c r="I156" s="358">
        <f t="shared" si="4"/>
        <v>2.96</v>
      </c>
      <c r="J156" s="334"/>
      <c r="K156" s="6"/>
      <c r="L156" s="6"/>
      <c r="M156" s="6"/>
      <c r="N156" s="6"/>
      <c r="O156" s="6"/>
      <c r="P156" s="6"/>
    </row>
    <row r="157" spans="1:16" s="7" customFormat="1" x14ac:dyDescent="0.2">
      <c r="A157" s="192" t="s">
        <v>793</v>
      </c>
      <c r="B157" s="631" t="s">
        <v>7</v>
      </c>
      <c r="C157" s="632"/>
      <c r="D157" s="375" t="s">
        <v>731</v>
      </c>
      <c r="E157" s="122" t="s">
        <v>8</v>
      </c>
      <c r="F157" s="347">
        <v>200</v>
      </c>
      <c r="G157" s="360">
        <v>0.32</v>
      </c>
      <c r="H157" s="349">
        <f t="shared" si="3"/>
        <v>0.32</v>
      </c>
      <c r="I157" s="361">
        <f t="shared" si="4"/>
        <v>64</v>
      </c>
      <c r="J157" s="334"/>
      <c r="K157" s="6"/>
      <c r="L157" s="6"/>
      <c r="M157" s="6"/>
      <c r="N157" s="6"/>
      <c r="O157" s="6"/>
      <c r="P157" s="6"/>
    </row>
    <row r="158" spans="1:16" s="7" customFormat="1" x14ac:dyDescent="0.2">
      <c r="A158" s="45" t="s">
        <v>794</v>
      </c>
      <c r="B158" s="633" t="s">
        <v>7</v>
      </c>
      <c r="C158" s="634"/>
      <c r="D158" s="98" t="s">
        <v>733</v>
      </c>
      <c r="E158" s="46" t="s">
        <v>8</v>
      </c>
      <c r="F158" s="330">
        <v>200</v>
      </c>
      <c r="G158" s="353">
        <v>0.15</v>
      </c>
      <c r="H158" s="332">
        <f t="shared" si="3"/>
        <v>0.15</v>
      </c>
      <c r="I158" s="352">
        <f t="shared" si="4"/>
        <v>30</v>
      </c>
      <c r="J158" s="334"/>
      <c r="K158" s="6"/>
      <c r="L158" s="6"/>
      <c r="M158" s="6"/>
      <c r="N158" s="6"/>
      <c r="O158" s="6"/>
      <c r="P158" s="6"/>
    </row>
    <row r="159" spans="1:16" s="7" customFormat="1" x14ac:dyDescent="0.2">
      <c r="A159" s="45" t="s">
        <v>795</v>
      </c>
      <c r="B159" s="633" t="s">
        <v>7</v>
      </c>
      <c r="C159" s="634"/>
      <c r="D159" s="98" t="s">
        <v>735</v>
      </c>
      <c r="E159" s="46" t="s">
        <v>8</v>
      </c>
      <c r="F159" s="330">
        <v>200</v>
      </c>
      <c r="G159" s="353">
        <v>0.08</v>
      </c>
      <c r="H159" s="332">
        <f t="shared" si="3"/>
        <v>0.08</v>
      </c>
      <c r="I159" s="352">
        <f t="shared" si="4"/>
        <v>16</v>
      </c>
      <c r="J159" s="334"/>
      <c r="K159" s="6"/>
      <c r="L159" s="6"/>
      <c r="M159" s="6"/>
      <c r="N159" s="6"/>
      <c r="O159" s="6"/>
      <c r="P159" s="6"/>
    </row>
    <row r="160" spans="1:16" s="7" customFormat="1" x14ac:dyDescent="0.2">
      <c r="A160" s="45" t="s">
        <v>796</v>
      </c>
      <c r="B160" s="633" t="s">
        <v>7</v>
      </c>
      <c r="C160" s="634"/>
      <c r="D160" s="98" t="s">
        <v>737</v>
      </c>
      <c r="E160" s="46" t="s">
        <v>8</v>
      </c>
      <c r="F160" s="330">
        <v>200</v>
      </c>
      <c r="G160" s="362">
        <v>0.11</v>
      </c>
      <c r="H160" s="332">
        <f t="shared" si="3"/>
        <v>0.11</v>
      </c>
      <c r="I160" s="352">
        <f t="shared" si="4"/>
        <v>22</v>
      </c>
      <c r="J160" s="334"/>
      <c r="K160" s="6"/>
      <c r="L160" s="6"/>
      <c r="M160" s="6"/>
      <c r="N160" s="6"/>
      <c r="O160" s="6"/>
      <c r="P160" s="6"/>
    </row>
    <row r="161" spans="1:16" s="7" customFormat="1" x14ac:dyDescent="0.2">
      <c r="A161" s="45"/>
      <c r="B161" s="46"/>
      <c r="C161" s="46"/>
      <c r="D161" s="98"/>
      <c r="E161" s="46"/>
      <c r="F161" s="330"/>
      <c r="G161" s="362"/>
      <c r="H161" s="332"/>
      <c r="I161" s="352"/>
      <c r="J161" s="334"/>
      <c r="K161" s="6"/>
      <c r="L161" s="6"/>
      <c r="M161" s="6"/>
      <c r="N161" s="6"/>
      <c r="O161" s="6"/>
      <c r="P161" s="6"/>
    </row>
    <row r="162" spans="1:16" s="7" customFormat="1" ht="15" x14ac:dyDescent="0.2">
      <c r="A162" s="47" t="s">
        <v>797</v>
      </c>
      <c r="B162" s="46"/>
      <c r="C162" s="46"/>
      <c r="D162" s="96" t="s">
        <v>680</v>
      </c>
      <c r="E162" s="46"/>
      <c r="F162" s="330"/>
      <c r="G162" s="351"/>
      <c r="H162" s="332"/>
      <c r="I162" s="333">
        <f>SUM(I163:I165)</f>
        <v>269.60000000000002</v>
      </c>
      <c r="J162" s="334"/>
      <c r="K162" s="6"/>
      <c r="L162" s="6"/>
      <c r="M162" s="6"/>
      <c r="N162" s="6"/>
      <c r="O162" s="6"/>
      <c r="P162" s="6"/>
    </row>
    <row r="163" spans="1:16" s="7" customFormat="1" x14ac:dyDescent="0.2">
      <c r="A163" s="45" t="s">
        <v>798</v>
      </c>
      <c r="B163" s="46" t="s">
        <v>80</v>
      </c>
      <c r="C163" s="46">
        <v>2436</v>
      </c>
      <c r="D163" s="97" t="s">
        <v>681</v>
      </c>
      <c r="E163" s="46" t="s">
        <v>740</v>
      </c>
      <c r="F163" s="330">
        <v>8</v>
      </c>
      <c r="G163" s="353">
        <v>10.48</v>
      </c>
      <c r="H163" s="332">
        <f>G163</f>
        <v>10.48</v>
      </c>
      <c r="I163" s="352">
        <f t="shared" si="4"/>
        <v>83.84</v>
      </c>
      <c r="J163" s="334"/>
      <c r="K163" s="6"/>
      <c r="L163" s="6"/>
      <c r="M163" s="6"/>
      <c r="N163" s="6"/>
      <c r="O163" s="6"/>
      <c r="P163" s="6"/>
    </row>
    <row r="164" spans="1:16" s="7" customFormat="1" x14ac:dyDescent="0.2">
      <c r="A164" s="45" t="s">
        <v>799</v>
      </c>
      <c r="B164" s="46" t="s">
        <v>80</v>
      </c>
      <c r="C164" s="46">
        <v>6113</v>
      </c>
      <c r="D164" s="97" t="s">
        <v>682</v>
      </c>
      <c r="E164" s="46" t="s">
        <v>740</v>
      </c>
      <c r="F164" s="330">
        <v>8</v>
      </c>
      <c r="G164" s="353">
        <v>7.5</v>
      </c>
      <c r="H164" s="332">
        <f t="shared" ref="H164:H165" si="5">G164</f>
        <v>7.5</v>
      </c>
      <c r="I164" s="352">
        <f t="shared" si="4"/>
        <v>60</v>
      </c>
      <c r="J164" s="334"/>
      <c r="K164" s="6"/>
      <c r="L164" s="6"/>
      <c r="M164" s="6"/>
      <c r="N164" s="6"/>
      <c r="O164" s="6"/>
      <c r="P164" s="6"/>
    </row>
    <row r="165" spans="1:16" s="7" customFormat="1" x14ac:dyDescent="0.2">
      <c r="A165" s="45" t="s">
        <v>800</v>
      </c>
      <c r="B165" s="46" t="s">
        <v>80</v>
      </c>
      <c r="C165" s="46">
        <v>4750</v>
      </c>
      <c r="D165" s="97" t="s">
        <v>801</v>
      </c>
      <c r="E165" s="46" t="s">
        <v>740</v>
      </c>
      <c r="F165" s="330">
        <v>12</v>
      </c>
      <c r="G165" s="351">
        <v>10.48</v>
      </c>
      <c r="H165" s="332">
        <f t="shared" si="5"/>
        <v>10.48</v>
      </c>
      <c r="I165" s="352">
        <f t="shared" si="4"/>
        <v>125.76</v>
      </c>
      <c r="J165" s="334"/>
      <c r="K165" s="6"/>
      <c r="L165" s="6"/>
      <c r="M165" s="6"/>
      <c r="N165" s="6"/>
      <c r="O165" s="6"/>
      <c r="P165" s="6"/>
    </row>
    <row r="166" spans="1:16" s="7" customFormat="1" ht="15" x14ac:dyDescent="0.2">
      <c r="A166" s="376"/>
      <c r="B166" s="377"/>
      <c r="C166" s="377"/>
      <c r="D166" s="378"/>
      <c r="E166" s="377"/>
      <c r="F166" s="379"/>
      <c r="G166" s="380"/>
      <c r="H166" s="332"/>
      <c r="I166" s="352"/>
      <c r="J166" s="6"/>
      <c r="K166" s="6"/>
      <c r="L166" s="6"/>
      <c r="M166" s="6"/>
      <c r="N166" s="6"/>
      <c r="O166" s="6"/>
      <c r="P166" s="6"/>
    </row>
    <row r="167" spans="1:16" s="7" customFormat="1" ht="15" x14ac:dyDescent="0.2">
      <c r="A167" s="376"/>
      <c r="B167" s="377"/>
      <c r="C167" s="377"/>
      <c r="D167" s="96" t="s">
        <v>669</v>
      </c>
      <c r="E167" s="377"/>
      <c r="F167" s="379"/>
      <c r="G167" s="380"/>
      <c r="H167" s="332"/>
      <c r="I167" s="333">
        <f>I138+I135+I119+I98+I63+I49</f>
        <v>27101.54</v>
      </c>
      <c r="J167" s="6"/>
      <c r="K167" s="6"/>
      <c r="L167" s="6"/>
      <c r="M167" s="6"/>
      <c r="N167" s="6"/>
      <c r="O167" s="6"/>
      <c r="P167" s="6"/>
    </row>
    <row r="168" spans="1:16" s="7" customFormat="1" ht="15" x14ac:dyDescent="0.2">
      <c r="A168" s="376"/>
      <c r="B168" s="377"/>
      <c r="C168" s="377"/>
      <c r="D168" s="381"/>
      <c r="E168" s="377"/>
      <c r="F168" s="379"/>
      <c r="G168" s="380"/>
      <c r="H168" s="332"/>
      <c r="I168" s="333"/>
      <c r="J168" s="6"/>
      <c r="K168" s="6"/>
      <c r="L168" s="6"/>
      <c r="M168" s="6"/>
      <c r="N168" s="6"/>
      <c r="O168" s="6"/>
      <c r="P168" s="6"/>
    </row>
    <row r="169" spans="1:16" s="7" customFormat="1" ht="15" x14ac:dyDescent="0.2">
      <c r="A169" s="376"/>
      <c r="B169" s="377"/>
      <c r="C169" s="377"/>
      <c r="D169" s="381"/>
      <c r="E169" s="377"/>
      <c r="F169" s="379"/>
      <c r="G169" s="380"/>
      <c r="H169" s="332"/>
      <c r="I169" s="333"/>
      <c r="J169" s="6"/>
      <c r="K169" s="6"/>
      <c r="L169" s="6"/>
      <c r="M169" s="6"/>
      <c r="N169" s="6"/>
      <c r="O169" s="6"/>
      <c r="P169" s="6"/>
    </row>
    <row r="170" spans="1:16" s="7" customFormat="1" ht="15" x14ac:dyDescent="0.2">
      <c r="A170" s="376"/>
      <c r="B170" s="377"/>
      <c r="C170" s="377"/>
      <c r="D170" s="381"/>
      <c r="E170" s="377"/>
      <c r="F170" s="379"/>
      <c r="G170" s="380"/>
      <c r="H170" s="332"/>
      <c r="I170" s="333"/>
      <c r="J170" s="6"/>
      <c r="K170" s="6"/>
      <c r="L170" s="6"/>
      <c r="M170" s="6"/>
      <c r="N170" s="6"/>
      <c r="O170" s="6"/>
      <c r="P170" s="6"/>
    </row>
    <row r="171" spans="1:16" s="7" customFormat="1" ht="15" x14ac:dyDescent="0.2">
      <c r="A171" s="376"/>
      <c r="B171" s="377"/>
      <c r="C171" s="377"/>
      <c r="D171" s="381"/>
      <c r="E171" s="377"/>
      <c r="F171" s="379"/>
      <c r="G171" s="380"/>
      <c r="H171" s="332"/>
      <c r="I171" s="333"/>
      <c r="J171" s="6"/>
      <c r="K171" s="6"/>
      <c r="L171" s="6"/>
      <c r="M171" s="6"/>
      <c r="N171" s="6"/>
      <c r="O171" s="6"/>
      <c r="P171" s="6"/>
    </row>
    <row r="172" spans="1:16" s="7" customFormat="1" ht="15" x14ac:dyDescent="0.2">
      <c r="A172" s="376"/>
      <c r="B172" s="377"/>
      <c r="C172" s="377"/>
      <c r="D172" s="381"/>
      <c r="E172" s="377"/>
      <c r="F172" s="379"/>
      <c r="G172" s="380"/>
      <c r="H172" s="332"/>
      <c r="I172" s="333"/>
      <c r="J172" s="6"/>
      <c r="K172" s="6"/>
      <c r="L172" s="6"/>
      <c r="M172" s="6"/>
      <c r="N172" s="6"/>
      <c r="O172" s="6"/>
      <c r="P172" s="6"/>
    </row>
    <row r="173" spans="1:16" s="7" customFormat="1" ht="15" x14ac:dyDescent="0.2">
      <c r="A173" s="376"/>
      <c r="B173" s="377"/>
      <c r="C173" s="377"/>
      <c r="D173" s="381"/>
      <c r="E173" s="377"/>
      <c r="F173" s="379"/>
      <c r="G173" s="380"/>
      <c r="H173" s="332"/>
      <c r="I173" s="333"/>
      <c r="J173" s="6"/>
      <c r="K173" s="6"/>
      <c r="L173" s="6"/>
      <c r="M173" s="6"/>
      <c r="N173" s="6"/>
      <c r="O173" s="6"/>
      <c r="P173" s="6"/>
    </row>
    <row r="174" spans="1:16" s="7" customFormat="1" ht="15" x14ac:dyDescent="0.2">
      <c r="A174" s="376"/>
      <c r="B174" s="377"/>
      <c r="C174" s="377"/>
      <c r="D174" s="381"/>
      <c r="E174" s="377"/>
      <c r="F174" s="379"/>
      <c r="G174" s="380"/>
      <c r="H174" s="332"/>
      <c r="I174" s="333"/>
      <c r="J174" s="6"/>
      <c r="K174" s="6"/>
      <c r="L174" s="6"/>
      <c r="M174" s="6"/>
      <c r="N174" s="6"/>
      <c r="O174" s="6"/>
      <c r="P174" s="6"/>
    </row>
    <row r="175" spans="1:16" s="7" customFormat="1" ht="15" x14ac:dyDescent="0.2">
      <c r="A175" s="376"/>
      <c r="B175" s="377"/>
      <c r="C175" s="377"/>
      <c r="D175" s="381"/>
      <c r="E175" s="377"/>
      <c r="F175" s="379"/>
      <c r="G175" s="380"/>
      <c r="H175" s="332"/>
      <c r="I175" s="333"/>
      <c r="J175" s="6"/>
      <c r="K175" s="6"/>
      <c r="L175" s="6"/>
      <c r="M175" s="6"/>
      <c r="N175" s="6"/>
      <c r="O175" s="6"/>
      <c r="P175" s="6"/>
    </row>
    <row r="176" spans="1:16" s="7" customFormat="1" ht="15" x14ac:dyDescent="0.2">
      <c r="A176" s="376"/>
      <c r="B176" s="377"/>
      <c r="C176" s="377"/>
      <c r="D176" s="381"/>
      <c r="E176" s="377"/>
      <c r="F176" s="379"/>
      <c r="G176" s="380"/>
      <c r="H176" s="332"/>
      <c r="I176" s="333"/>
      <c r="J176" s="6"/>
      <c r="K176" s="6"/>
      <c r="L176" s="6"/>
      <c r="M176" s="6"/>
      <c r="N176" s="6"/>
      <c r="O176" s="6"/>
      <c r="P176" s="6"/>
    </row>
    <row r="177" spans="1:16" s="7" customFormat="1" ht="15" x14ac:dyDescent="0.2">
      <c r="A177" s="376"/>
      <c r="B177" s="377"/>
      <c r="C177" s="377"/>
      <c r="D177" s="381"/>
      <c r="E177" s="377"/>
      <c r="F177" s="379"/>
      <c r="G177" s="380"/>
      <c r="H177" s="332"/>
      <c r="I177" s="333"/>
      <c r="J177" s="6"/>
      <c r="K177" s="6"/>
      <c r="L177" s="6"/>
      <c r="M177" s="6"/>
      <c r="N177" s="6"/>
      <c r="O177" s="6"/>
      <c r="P177" s="6"/>
    </row>
    <row r="178" spans="1:16" s="7" customFormat="1" ht="15" x14ac:dyDescent="0.2">
      <c r="A178" s="376"/>
      <c r="B178" s="377"/>
      <c r="C178" s="377"/>
      <c r="D178" s="381"/>
      <c r="E178" s="377"/>
      <c r="F178" s="379"/>
      <c r="G178" s="380"/>
      <c r="H178" s="332"/>
      <c r="I178" s="333"/>
      <c r="J178" s="6"/>
      <c r="K178" s="6"/>
      <c r="L178" s="6"/>
      <c r="M178" s="6"/>
      <c r="N178" s="6"/>
      <c r="O178" s="6"/>
      <c r="P178" s="6"/>
    </row>
    <row r="179" spans="1:16" s="7" customFormat="1" ht="15" x14ac:dyDescent="0.2">
      <c r="A179" s="376"/>
      <c r="B179" s="377"/>
      <c r="C179" s="377"/>
      <c r="D179" s="381"/>
      <c r="E179" s="377"/>
      <c r="F179" s="379"/>
      <c r="G179" s="380"/>
      <c r="H179" s="332"/>
      <c r="I179" s="333"/>
      <c r="J179" s="6"/>
      <c r="K179" s="6"/>
      <c r="L179" s="6"/>
      <c r="M179" s="6"/>
      <c r="N179" s="6"/>
      <c r="O179" s="6"/>
      <c r="P179" s="6"/>
    </row>
    <row r="180" spans="1:16" s="7" customFormat="1" ht="15" x14ac:dyDescent="0.2">
      <c r="A180" s="376"/>
      <c r="B180" s="377"/>
      <c r="C180" s="377"/>
      <c r="D180" s="381"/>
      <c r="E180" s="377"/>
      <c r="F180" s="379"/>
      <c r="G180" s="380"/>
      <c r="H180" s="332"/>
      <c r="I180" s="333"/>
      <c r="J180" s="6"/>
      <c r="K180" s="6"/>
      <c r="L180" s="6"/>
      <c r="M180" s="6"/>
      <c r="N180" s="6"/>
      <c r="O180" s="6"/>
      <c r="P180" s="6"/>
    </row>
    <row r="181" spans="1:16" s="7" customFormat="1" ht="15" x14ac:dyDescent="0.2">
      <c r="A181" s="376"/>
      <c r="B181" s="377"/>
      <c r="C181" s="377"/>
      <c r="D181" s="381"/>
      <c r="E181" s="377"/>
      <c r="F181" s="379"/>
      <c r="G181" s="380"/>
      <c r="H181" s="332"/>
      <c r="I181" s="333"/>
      <c r="J181" s="6"/>
      <c r="K181" s="6"/>
      <c r="L181" s="6"/>
      <c r="M181" s="6"/>
      <c r="N181" s="6"/>
      <c r="O181" s="6"/>
      <c r="P181" s="6"/>
    </row>
    <row r="182" spans="1:16" s="7" customFormat="1" ht="15" x14ac:dyDescent="0.2">
      <c r="A182" s="376"/>
      <c r="B182" s="377"/>
      <c r="C182" s="377"/>
      <c r="D182" s="381"/>
      <c r="E182" s="377"/>
      <c r="F182" s="379"/>
      <c r="G182" s="380"/>
      <c r="H182" s="332"/>
      <c r="I182" s="333"/>
      <c r="J182" s="6"/>
      <c r="K182" s="6"/>
      <c r="L182" s="6"/>
      <c r="M182" s="6"/>
      <c r="N182" s="6"/>
      <c r="O182" s="6"/>
      <c r="P182" s="6"/>
    </row>
    <row r="183" spans="1:16" s="7" customFormat="1" ht="15" x14ac:dyDescent="0.2">
      <c r="A183" s="376"/>
      <c r="B183" s="377"/>
      <c r="C183" s="377"/>
      <c r="D183" s="381"/>
      <c r="E183" s="377"/>
      <c r="F183" s="379"/>
      <c r="G183" s="380"/>
      <c r="H183" s="332"/>
      <c r="I183" s="333"/>
      <c r="J183" s="6"/>
      <c r="K183" s="6"/>
      <c r="L183" s="6"/>
      <c r="M183" s="6"/>
      <c r="N183" s="6"/>
      <c r="O183" s="6"/>
      <c r="P183" s="6"/>
    </row>
    <row r="184" spans="1:16" s="7" customFormat="1" ht="15" x14ac:dyDescent="0.2">
      <c r="A184" s="376"/>
      <c r="B184" s="377"/>
      <c r="C184" s="377"/>
      <c r="D184" s="381"/>
      <c r="E184" s="377"/>
      <c r="F184" s="379"/>
      <c r="G184" s="380"/>
      <c r="H184" s="332"/>
      <c r="I184" s="333"/>
      <c r="J184" s="6"/>
      <c r="K184" s="6"/>
      <c r="L184" s="6"/>
      <c r="M184" s="6"/>
      <c r="N184" s="6"/>
      <c r="O184" s="6"/>
      <c r="P184" s="6"/>
    </row>
    <row r="185" spans="1:16" s="7" customFormat="1" ht="15" x14ac:dyDescent="0.2">
      <c r="A185" s="376"/>
      <c r="B185" s="377"/>
      <c r="C185" s="377"/>
      <c r="D185" s="381"/>
      <c r="E185" s="377"/>
      <c r="F185" s="379"/>
      <c r="G185" s="380"/>
      <c r="H185" s="332"/>
      <c r="I185" s="333"/>
      <c r="J185" s="6"/>
      <c r="K185" s="6"/>
      <c r="L185" s="6"/>
      <c r="M185" s="6"/>
      <c r="N185" s="6"/>
      <c r="O185" s="6"/>
      <c r="P185" s="6"/>
    </row>
    <row r="186" spans="1:16" s="7" customFormat="1" ht="15" x14ac:dyDescent="0.2">
      <c r="A186" s="376"/>
      <c r="B186" s="377"/>
      <c r="C186" s="377"/>
      <c r="D186" s="381"/>
      <c r="E186" s="377"/>
      <c r="F186" s="379"/>
      <c r="G186" s="380"/>
      <c r="H186" s="332"/>
      <c r="I186" s="333"/>
      <c r="J186" s="6"/>
      <c r="K186" s="6"/>
      <c r="L186" s="6"/>
      <c r="M186" s="6"/>
      <c r="N186" s="6"/>
      <c r="O186" s="6"/>
      <c r="P186" s="6"/>
    </row>
    <row r="187" spans="1:16" s="7" customFormat="1" ht="15" x14ac:dyDescent="0.2">
      <c r="A187" s="376"/>
      <c r="B187" s="377"/>
      <c r="C187" s="377"/>
      <c r="D187" s="381"/>
      <c r="E187" s="377"/>
      <c r="F187" s="379"/>
      <c r="G187" s="380"/>
      <c r="H187" s="332"/>
      <c r="I187" s="333"/>
      <c r="J187" s="6"/>
      <c r="K187" s="6"/>
      <c r="L187" s="6"/>
      <c r="M187" s="6"/>
      <c r="N187" s="6"/>
      <c r="O187" s="6"/>
      <c r="P187" s="6"/>
    </row>
    <row r="188" spans="1:16" s="7" customFormat="1" ht="15" x14ac:dyDescent="0.2">
      <c r="A188" s="376"/>
      <c r="B188" s="377"/>
      <c r="C188" s="377"/>
      <c r="D188" s="381"/>
      <c r="E188" s="377"/>
      <c r="F188" s="379"/>
      <c r="G188" s="380"/>
      <c r="H188" s="332"/>
      <c r="I188" s="333"/>
      <c r="J188" s="6"/>
      <c r="K188" s="6"/>
      <c r="L188" s="6"/>
      <c r="M188" s="6"/>
      <c r="N188" s="6"/>
      <c r="O188" s="6"/>
      <c r="P188" s="6"/>
    </row>
    <row r="189" spans="1:16" s="7" customFormat="1" ht="15" x14ac:dyDescent="0.2">
      <c r="A189" s="376"/>
      <c r="B189" s="377"/>
      <c r="C189" s="377"/>
      <c r="D189" s="381"/>
      <c r="E189" s="377"/>
      <c r="F189" s="379"/>
      <c r="G189" s="380"/>
      <c r="H189" s="332"/>
      <c r="I189" s="333"/>
      <c r="J189" s="6"/>
      <c r="K189" s="6"/>
      <c r="L189" s="6"/>
      <c r="M189" s="6"/>
      <c r="N189" s="6"/>
      <c r="O189" s="6"/>
      <c r="P189" s="6"/>
    </row>
    <row r="190" spans="1:16" s="7" customFormat="1" ht="15" x14ac:dyDescent="0.2">
      <c r="A190" s="376"/>
      <c r="B190" s="377"/>
      <c r="C190" s="377"/>
      <c r="D190" s="381"/>
      <c r="E190" s="377"/>
      <c r="F190" s="379"/>
      <c r="G190" s="380"/>
      <c r="H190" s="332"/>
      <c r="I190" s="333"/>
      <c r="J190" s="6"/>
      <c r="K190" s="6"/>
      <c r="L190" s="6"/>
      <c r="M190" s="6"/>
      <c r="N190" s="6"/>
      <c r="O190" s="6"/>
      <c r="P190" s="6"/>
    </row>
    <row r="191" spans="1:16" s="7" customFormat="1" ht="15.95" customHeight="1" thickBot="1" x14ac:dyDescent="0.25">
      <c r="A191" s="338"/>
      <c r="B191" s="382"/>
      <c r="C191" s="382"/>
      <c r="D191" s="340"/>
      <c r="E191" s="382"/>
      <c r="F191" s="383"/>
      <c r="G191" s="384"/>
      <c r="H191" s="343"/>
      <c r="I191" s="344"/>
      <c r="J191" s="8"/>
      <c r="K191" s="8"/>
      <c r="L191" s="8"/>
      <c r="M191" s="8"/>
      <c r="N191" s="8"/>
      <c r="O191" s="8"/>
      <c r="P191" s="8"/>
    </row>
    <row r="192" spans="1:16" s="7" customFormat="1" x14ac:dyDescent="0.2">
      <c r="G192" s="385"/>
      <c r="J192" s="8"/>
      <c r="K192" s="9"/>
      <c r="L192" s="8"/>
      <c r="M192" s="8"/>
      <c r="N192" s="8"/>
      <c r="O192" s="8"/>
      <c r="P192" s="8"/>
    </row>
    <row r="193" spans="1:16" ht="15.95" customHeight="1" x14ac:dyDescent="0.2">
      <c r="A193" s="1"/>
      <c r="B193" s="1"/>
      <c r="C193" s="1"/>
      <c r="D193" s="1"/>
      <c r="E193" s="1"/>
      <c r="F193" s="1"/>
      <c r="J193" s="5"/>
      <c r="K193" s="5"/>
      <c r="L193" s="5"/>
      <c r="M193" s="5"/>
      <c r="N193" s="5"/>
      <c r="O193" s="5"/>
      <c r="P193" s="5"/>
    </row>
    <row r="194" spans="1:16" ht="15.95" customHeight="1" x14ac:dyDescent="0.2">
      <c r="A194" s="1"/>
      <c r="B194" s="1"/>
      <c r="C194" s="1"/>
      <c r="D194" s="1"/>
      <c r="E194" s="1"/>
      <c r="F194" s="1"/>
      <c r="J194" s="5"/>
      <c r="K194" s="5"/>
      <c r="L194" s="5"/>
      <c r="M194" s="5"/>
      <c r="N194" s="5"/>
      <c r="O194" s="5"/>
      <c r="P194" s="5"/>
    </row>
    <row r="195" spans="1:16" ht="15.95" customHeight="1" x14ac:dyDescent="0.2">
      <c r="A195" s="1"/>
      <c r="B195" s="1"/>
      <c r="C195" s="1"/>
      <c r="D195" s="1"/>
      <c r="E195" s="1"/>
      <c r="F195" s="1"/>
      <c r="J195" s="5"/>
      <c r="K195" s="5"/>
      <c r="L195" s="5"/>
      <c r="M195" s="5"/>
      <c r="N195" s="5"/>
      <c r="O195" s="5"/>
      <c r="P195" s="5"/>
    </row>
    <row r="196" spans="1:16" ht="15.95" customHeight="1" x14ac:dyDescent="0.2">
      <c r="A196" s="1"/>
      <c r="B196" s="1"/>
      <c r="C196" s="1"/>
      <c r="D196" s="1"/>
      <c r="E196" s="1"/>
      <c r="F196" s="1"/>
      <c r="J196" s="5"/>
      <c r="K196" s="5"/>
      <c r="L196" s="5"/>
      <c r="M196" s="5"/>
      <c r="N196" s="5"/>
      <c r="O196" s="5"/>
      <c r="P196" s="5"/>
    </row>
    <row r="197" spans="1:16" ht="15.95" customHeight="1" x14ac:dyDescent="0.2">
      <c r="A197" s="1"/>
      <c r="B197" s="1"/>
      <c r="C197" s="1"/>
      <c r="D197" s="1"/>
      <c r="E197" s="1"/>
      <c r="F197" s="1"/>
      <c r="J197" s="5"/>
      <c r="K197" s="5"/>
      <c r="L197" s="5"/>
      <c r="M197" s="5"/>
      <c r="N197" s="5"/>
      <c r="O197" s="5"/>
      <c r="P197" s="5"/>
    </row>
    <row r="198" spans="1:16" ht="15.95" customHeight="1" x14ac:dyDescent="0.2">
      <c r="A198" s="1"/>
      <c r="B198" s="1"/>
      <c r="C198" s="1"/>
      <c r="D198" s="1"/>
      <c r="E198" s="1"/>
      <c r="F198" s="1"/>
      <c r="J198" s="5"/>
      <c r="K198" s="5"/>
      <c r="L198" s="5"/>
      <c r="M198" s="5"/>
      <c r="N198" s="5"/>
      <c r="O198" s="5"/>
      <c r="P198" s="5"/>
    </row>
    <row r="199" spans="1:16" ht="15.95" customHeight="1" x14ac:dyDescent="0.2">
      <c r="A199" s="1"/>
      <c r="B199" s="1"/>
      <c r="C199" s="1"/>
      <c r="D199" s="1"/>
      <c r="E199" s="1"/>
      <c r="F199" s="1"/>
      <c r="J199" s="5"/>
      <c r="K199" s="5"/>
      <c r="L199" s="5"/>
      <c r="M199" s="5"/>
      <c r="N199" s="5"/>
      <c r="O199" s="5"/>
      <c r="P199" s="5"/>
    </row>
    <row r="200" spans="1:16" ht="15.95" customHeight="1" x14ac:dyDescent="0.2">
      <c r="A200" s="1"/>
      <c r="B200" s="1"/>
      <c r="C200" s="1"/>
      <c r="D200" s="1"/>
      <c r="E200" s="1"/>
      <c r="F200" s="1"/>
      <c r="J200" s="5"/>
      <c r="K200" s="5"/>
      <c r="L200" s="5"/>
      <c r="M200" s="5"/>
      <c r="N200" s="5"/>
      <c r="O200" s="5"/>
      <c r="P200" s="5"/>
    </row>
    <row r="201" spans="1:16" ht="15.95" customHeight="1" x14ac:dyDescent="0.2">
      <c r="A201" s="1"/>
      <c r="B201" s="1"/>
      <c r="C201" s="1"/>
      <c r="D201" s="1"/>
      <c r="E201" s="1"/>
      <c r="F201" s="1"/>
      <c r="J201" s="5"/>
      <c r="K201" s="5"/>
      <c r="L201" s="5"/>
      <c r="M201" s="5"/>
      <c r="N201" s="5"/>
      <c r="O201" s="5"/>
      <c r="P201" s="5"/>
    </row>
    <row r="202" spans="1:16" ht="15.95" customHeight="1" x14ac:dyDescent="0.2">
      <c r="A202" s="1"/>
      <c r="B202" s="1"/>
      <c r="C202" s="1"/>
      <c r="D202" s="1"/>
      <c r="E202" s="1"/>
      <c r="F202" s="1"/>
      <c r="J202" s="5"/>
      <c r="K202" s="5"/>
      <c r="L202" s="5"/>
      <c r="M202" s="5"/>
      <c r="N202" s="5"/>
      <c r="O202" s="5"/>
      <c r="P202" s="5"/>
    </row>
    <row r="203" spans="1:16" ht="15.95" customHeight="1" x14ac:dyDescent="0.2">
      <c r="A203" s="1"/>
      <c r="B203" s="1"/>
      <c r="C203" s="1"/>
      <c r="D203" s="1"/>
      <c r="E203" s="1"/>
      <c r="F203" s="1"/>
      <c r="J203" s="5"/>
      <c r="K203" s="5"/>
      <c r="L203" s="5"/>
      <c r="M203" s="5"/>
      <c r="N203" s="5"/>
      <c r="O203" s="5"/>
      <c r="P203" s="5"/>
    </row>
    <row r="204" spans="1:16" ht="15.95" customHeight="1" x14ac:dyDescent="0.2">
      <c r="A204" s="1"/>
      <c r="B204" s="1"/>
      <c r="C204" s="1"/>
      <c r="D204" s="1"/>
      <c r="E204" s="1"/>
      <c r="F204" s="1"/>
      <c r="J204" s="5"/>
      <c r="K204" s="5"/>
      <c r="L204" s="5"/>
      <c r="M204" s="5"/>
      <c r="N204" s="5"/>
      <c r="O204" s="5"/>
      <c r="P204" s="5"/>
    </row>
    <row r="205" spans="1:16" ht="15.95" customHeight="1" x14ac:dyDescent="0.2">
      <c r="A205" s="1"/>
      <c r="B205" s="1"/>
      <c r="C205" s="1"/>
      <c r="D205" s="1"/>
      <c r="E205" s="1"/>
      <c r="F205" s="1"/>
      <c r="J205" s="5"/>
      <c r="K205" s="5"/>
      <c r="L205" s="5"/>
      <c r="M205" s="5"/>
      <c r="N205" s="5"/>
      <c r="O205" s="5"/>
      <c r="P205" s="5"/>
    </row>
    <row r="206" spans="1:16" ht="15.95" customHeight="1" x14ac:dyDescent="0.2">
      <c r="A206" s="1"/>
      <c r="B206" s="1"/>
      <c r="C206" s="1"/>
      <c r="D206" s="1"/>
      <c r="E206" s="1"/>
      <c r="F206" s="1"/>
      <c r="J206" s="5"/>
      <c r="K206" s="5"/>
      <c r="L206" s="5"/>
      <c r="M206" s="5"/>
      <c r="N206" s="5"/>
      <c r="O206" s="5"/>
      <c r="P206" s="5"/>
    </row>
    <row r="207" spans="1:16" ht="15.95" customHeight="1" x14ac:dyDescent="0.2">
      <c r="A207" s="1"/>
      <c r="B207" s="1"/>
      <c r="C207" s="1"/>
      <c r="D207" s="1"/>
      <c r="E207" s="1"/>
      <c r="F207" s="1"/>
      <c r="J207" s="5"/>
      <c r="K207" s="5"/>
      <c r="L207" s="5"/>
      <c r="M207" s="5"/>
      <c r="N207" s="5"/>
      <c r="O207" s="5"/>
      <c r="P207" s="5"/>
    </row>
    <row r="208" spans="1:16" ht="15.9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5"/>
      <c r="K208" s="5"/>
      <c r="L208" s="5"/>
      <c r="M208" s="5"/>
      <c r="N208" s="5"/>
      <c r="O208" s="5"/>
      <c r="P208" s="5"/>
    </row>
    <row r="209" spans="1:16" ht="15.9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5"/>
      <c r="K209" s="5"/>
      <c r="L209" s="5"/>
      <c r="M209" s="5"/>
      <c r="N209" s="5"/>
      <c r="O209" s="5"/>
      <c r="P209" s="5"/>
    </row>
    <row r="210" spans="1:16" ht="15.9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5"/>
      <c r="K210" s="5"/>
      <c r="L210" s="5"/>
      <c r="M210" s="5"/>
      <c r="N210" s="5"/>
      <c r="O210" s="5"/>
      <c r="P210" s="5"/>
    </row>
    <row r="211" spans="1:16" ht="15.9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5"/>
      <c r="K211" s="5"/>
      <c r="L211" s="5"/>
      <c r="M211" s="5"/>
      <c r="N211" s="5"/>
      <c r="O211" s="5"/>
      <c r="P211" s="5"/>
    </row>
    <row r="212" spans="1:16" ht="15.9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5"/>
      <c r="K212" s="5"/>
      <c r="L212" s="5"/>
      <c r="M212" s="5"/>
      <c r="N212" s="5"/>
      <c r="O212" s="5"/>
      <c r="P212" s="5"/>
    </row>
    <row r="213" spans="1:16" ht="15.9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5"/>
      <c r="K213" s="5"/>
      <c r="L213" s="5"/>
      <c r="M213" s="5"/>
      <c r="N213" s="5"/>
      <c r="O213" s="5"/>
      <c r="P213" s="5"/>
    </row>
    <row r="214" spans="1:16" ht="15.9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5"/>
      <c r="K214" s="5"/>
      <c r="L214" s="5"/>
      <c r="M214" s="5"/>
      <c r="N214" s="5"/>
      <c r="O214" s="5"/>
      <c r="P214" s="5"/>
    </row>
    <row r="215" spans="1:16" ht="15.9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5"/>
      <c r="K215" s="5"/>
      <c r="L215" s="5"/>
      <c r="M215" s="5"/>
      <c r="N215" s="5"/>
      <c r="O215" s="5"/>
      <c r="P215" s="5"/>
    </row>
    <row r="216" spans="1:16" ht="15.9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5"/>
      <c r="K216" s="5"/>
      <c r="L216" s="5"/>
      <c r="M216" s="5"/>
      <c r="N216" s="5"/>
      <c r="O216" s="5"/>
      <c r="P216" s="5"/>
    </row>
    <row r="217" spans="1:16" ht="15.9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5"/>
      <c r="K217" s="5"/>
      <c r="L217" s="5"/>
      <c r="M217" s="5"/>
      <c r="N217" s="5"/>
      <c r="O217" s="5"/>
      <c r="P217" s="5"/>
    </row>
    <row r="218" spans="1:16" ht="15.9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5"/>
      <c r="K218" s="5"/>
      <c r="L218" s="5"/>
      <c r="M218" s="5"/>
      <c r="N218" s="5"/>
      <c r="O218" s="5"/>
      <c r="P218" s="5"/>
    </row>
    <row r="219" spans="1:16" ht="15.9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5"/>
      <c r="K219" s="5"/>
      <c r="L219" s="5"/>
      <c r="M219" s="5"/>
      <c r="N219" s="5"/>
      <c r="O219" s="5"/>
      <c r="P219" s="5"/>
    </row>
    <row r="220" spans="1:16" ht="15.9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5"/>
      <c r="K220" s="5"/>
      <c r="L220" s="5"/>
      <c r="M220" s="5"/>
      <c r="N220" s="5"/>
      <c r="O220" s="5"/>
      <c r="P220" s="5"/>
    </row>
    <row r="221" spans="1:16" ht="15.9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5"/>
      <c r="K221" s="5"/>
      <c r="L221" s="5"/>
      <c r="M221" s="5"/>
      <c r="N221" s="5"/>
      <c r="O221" s="5"/>
      <c r="P221" s="5"/>
    </row>
    <row r="222" spans="1:16" ht="15.9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5"/>
      <c r="K222" s="5"/>
      <c r="L222" s="5"/>
      <c r="M222" s="5"/>
      <c r="N222" s="5"/>
      <c r="O222" s="5"/>
      <c r="P222" s="5"/>
    </row>
    <row r="223" spans="1:16" ht="15.9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5"/>
      <c r="K223" s="5"/>
      <c r="L223" s="5"/>
      <c r="M223" s="5"/>
      <c r="N223" s="5"/>
      <c r="O223" s="5"/>
      <c r="P223" s="5"/>
    </row>
    <row r="224" spans="1:16" ht="15.9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5"/>
      <c r="K224" s="5"/>
      <c r="L224" s="5"/>
      <c r="M224" s="5"/>
      <c r="N224" s="5"/>
      <c r="O224" s="5"/>
      <c r="P224" s="5"/>
    </row>
    <row r="225" spans="1:16" ht="15.9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5"/>
      <c r="K225" s="5"/>
      <c r="L225" s="5"/>
      <c r="M225" s="5"/>
      <c r="N225" s="5"/>
      <c r="O225" s="5"/>
      <c r="P225" s="5"/>
    </row>
    <row r="226" spans="1:16" ht="15.9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5"/>
      <c r="K226" s="5"/>
      <c r="L226" s="5"/>
      <c r="M226" s="5"/>
      <c r="N226" s="5"/>
      <c r="O226" s="5"/>
      <c r="P226" s="5"/>
    </row>
    <row r="227" spans="1:16" ht="15.9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5"/>
      <c r="K227" s="5"/>
      <c r="L227" s="5"/>
      <c r="M227" s="5"/>
      <c r="N227" s="5"/>
      <c r="O227" s="5"/>
      <c r="P227" s="5"/>
    </row>
    <row r="228" spans="1:16" ht="15.9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5"/>
      <c r="K228" s="5"/>
      <c r="L228" s="5"/>
      <c r="M228" s="5"/>
      <c r="N228" s="5"/>
      <c r="O228" s="5"/>
      <c r="P228" s="5"/>
    </row>
    <row r="229" spans="1:16" ht="15.9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5"/>
      <c r="K229" s="5"/>
      <c r="L229" s="5"/>
      <c r="M229" s="5"/>
      <c r="N229" s="5"/>
      <c r="O229" s="5"/>
      <c r="P229" s="5"/>
    </row>
    <row r="230" spans="1:16" ht="15.9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5"/>
      <c r="K230" s="5"/>
      <c r="L230" s="5"/>
      <c r="M230" s="5"/>
      <c r="N230" s="5"/>
      <c r="O230" s="5"/>
      <c r="P230" s="5"/>
    </row>
    <row r="231" spans="1:16" ht="15.9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5"/>
      <c r="K231" s="5"/>
      <c r="L231" s="5"/>
      <c r="M231" s="5"/>
      <c r="N231" s="5"/>
      <c r="O231" s="5"/>
      <c r="P231" s="5"/>
    </row>
    <row r="232" spans="1:16" ht="15.9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5"/>
      <c r="K232" s="5"/>
      <c r="L232" s="5"/>
      <c r="M232" s="5"/>
      <c r="N232" s="5"/>
      <c r="O232" s="5"/>
      <c r="P232" s="5"/>
    </row>
    <row r="233" spans="1:16" ht="15.9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5"/>
      <c r="K233" s="5"/>
      <c r="L233" s="5"/>
      <c r="M233" s="5"/>
      <c r="N233" s="5"/>
      <c r="O233" s="5"/>
      <c r="P233" s="5"/>
    </row>
    <row r="234" spans="1:16" ht="15.9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5"/>
      <c r="K234" s="5"/>
      <c r="L234" s="5"/>
      <c r="M234" s="5"/>
      <c r="N234" s="5"/>
      <c r="O234" s="5"/>
      <c r="P234" s="5"/>
    </row>
    <row r="235" spans="1:16" ht="15.9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5"/>
      <c r="K235" s="5"/>
      <c r="L235" s="5"/>
      <c r="M235" s="5"/>
      <c r="N235" s="5"/>
      <c r="O235" s="5"/>
      <c r="P235" s="5"/>
    </row>
    <row r="236" spans="1:16" ht="15.9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5"/>
      <c r="K236" s="5"/>
      <c r="L236" s="5"/>
      <c r="M236" s="5"/>
      <c r="N236" s="5"/>
      <c r="O236" s="5"/>
      <c r="P236" s="5"/>
    </row>
    <row r="237" spans="1:16" ht="15.9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5"/>
      <c r="K237" s="5"/>
      <c r="L237" s="5"/>
      <c r="M237" s="5"/>
      <c r="N237" s="5"/>
      <c r="O237" s="5"/>
      <c r="P237" s="5"/>
    </row>
    <row r="238" spans="1:16" ht="15.9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5"/>
      <c r="K238" s="5"/>
      <c r="L238" s="5"/>
      <c r="M238" s="5"/>
      <c r="N238" s="5"/>
      <c r="O238" s="5"/>
      <c r="P238" s="5"/>
    </row>
    <row r="239" spans="1:16" ht="15.9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5"/>
      <c r="K239" s="5"/>
      <c r="L239" s="5"/>
      <c r="M239" s="5"/>
      <c r="N239" s="5"/>
      <c r="O239" s="5"/>
      <c r="P239" s="5"/>
    </row>
    <row r="240" spans="1:16" ht="15.9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5"/>
      <c r="K240" s="5"/>
      <c r="L240" s="5"/>
      <c r="M240" s="5"/>
      <c r="N240" s="5"/>
      <c r="O240" s="5"/>
      <c r="P240" s="5"/>
    </row>
    <row r="241" spans="1:16" ht="15.9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5"/>
      <c r="K241" s="5"/>
      <c r="L241" s="5"/>
      <c r="M241" s="5"/>
      <c r="N241" s="5"/>
      <c r="O241" s="5"/>
      <c r="P241" s="5"/>
    </row>
    <row r="242" spans="1:16" ht="15.9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5"/>
      <c r="K242" s="5"/>
      <c r="L242" s="5"/>
      <c r="M242" s="5"/>
      <c r="N242" s="5"/>
      <c r="O242" s="5"/>
      <c r="P242" s="5"/>
    </row>
    <row r="243" spans="1:16" ht="15.9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5"/>
      <c r="K243" s="5"/>
      <c r="L243" s="5"/>
      <c r="M243" s="5"/>
      <c r="N243" s="5"/>
      <c r="O243" s="5"/>
      <c r="P243" s="5"/>
    </row>
    <row r="244" spans="1:16" ht="15.9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5"/>
      <c r="K244" s="5"/>
      <c r="L244" s="5"/>
      <c r="M244" s="5"/>
      <c r="N244" s="5"/>
      <c r="O244" s="5"/>
      <c r="P244" s="5"/>
    </row>
    <row r="245" spans="1:16" ht="15.9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5"/>
      <c r="K245" s="5"/>
      <c r="L245" s="5"/>
      <c r="M245" s="5"/>
      <c r="N245" s="5"/>
      <c r="O245" s="5"/>
      <c r="P245" s="5"/>
    </row>
    <row r="246" spans="1:16" ht="15.9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5"/>
      <c r="K246" s="5"/>
      <c r="L246" s="5"/>
      <c r="M246" s="5"/>
      <c r="N246" s="5"/>
      <c r="O246" s="5"/>
      <c r="P246" s="5"/>
    </row>
    <row r="247" spans="1:16" ht="15.9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5"/>
      <c r="K247" s="5"/>
      <c r="L247" s="5"/>
      <c r="M247" s="5"/>
      <c r="N247" s="5"/>
      <c r="O247" s="5"/>
      <c r="P247" s="5"/>
    </row>
    <row r="248" spans="1:16" ht="15.9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5"/>
      <c r="K248" s="5"/>
      <c r="L248" s="5"/>
      <c r="M248" s="5"/>
      <c r="N248" s="5"/>
      <c r="O248" s="5"/>
      <c r="P248" s="5"/>
    </row>
    <row r="249" spans="1:16" ht="15.9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5"/>
      <c r="K249" s="5"/>
      <c r="L249" s="5"/>
      <c r="M249" s="5"/>
      <c r="N249" s="5"/>
      <c r="O249" s="5"/>
      <c r="P249" s="5"/>
    </row>
    <row r="250" spans="1:16" ht="15.9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5"/>
      <c r="K250" s="5"/>
      <c r="L250" s="5"/>
      <c r="M250" s="5"/>
      <c r="N250" s="5"/>
      <c r="O250" s="5"/>
      <c r="P250" s="5"/>
    </row>
    <row r="251" spans="1:16" ht="15.9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5"/>
      <c r="K251" s="5"/>
      <c r="L251" s="5"/>
      <c r="M251" s="5"/>
      <c r="N251" s="5"/>
      <c r="O251" s="5"/>
      <c r="P251" s="5"/>
    </row>
    <row r="252" spans="1:16" ht="15.9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5"/>
      <c r="K252" s="5"/>
      <c r="L252" s="5"/>
      <c r="M252" s="5"/>
      <c r="N252" s="5"/>
      <c r="O252" s="5"/>
      <c r="P252" s="5"/>
    </row>
    <row r="253" spans="1:16" ht="15.9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5"/>
      <c r="K253" s="5"/>
      <c r="L253" s="5"/>
      <c r="M253" s="5"/>
      <c r="N253" s="5"/>
      <c r="O253" s="5"/>
      <c r="P253" s="5"/>
    </row>
    <row r="254" spans="1:16" ht="15.9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5"/>
      <c r="K254" s="5"/>
      <c r="L254" s="5"/>
      <c r="M254" s="5"/>
      <c r="N254" s="5"/>
      <c r="O254" s="5"/>
      <c r="P254" s="5"/>
    </row>
    <row r="255" spans="1:16" ht="15.9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5"/>
      <c r="K255" s="5"/>
      <c r="L255" s="5"/>
      <c r="M255" s="5"/>
      <c r="N255" s="5"/>
      <c r="O255" s="5"/>
      <c r="P255" s="5"/>
    </row>
    <row r="256" spans="1:16" ht="15.9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5"/>
      <c r="K256" s="5"/>
      <c r="L256" s="5"/>
      <c r="M256" s="5"/>
      <c r="N256" s="5"/>
      <c r="O256" s="5"/>
      <c r="P256" s="5"/>
    </row>
    <row r="257" spans="1:16" ht="15.9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5"/>
      <c r="K257" s="5"/>
      <c r="L257" s="5"/>
      <c r="M257" s="5"/>
      <c r="N257" s="5"/>
      <c r="O257" s="5"/>
      <c r="P257" s="5"/>
    </row>
    <row r="258" spans="1:16" ht="15.9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5"/>
      <c r="K258" s="5"/>
      <c r="L258" s="5"/>
      <c r="M258" s="5"/>
      <c r="N258" s="5"/>
      <c r="O258" s="5"/>
      <c r="P258" s="5"/>
    </row>
    <row r="259" spans="1:16" ht="15.9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5"/>
      <c r="K259" s="5"/>
      <c r="L259" s="5"/>
      <c r="M259" s="5"/>
      <c r="N259" s="5"/>
      <c r="O259" s="5"/>
      <c r="P259" s="5"/>
    </row>
    <row r="260" spans="1:16" ht="15.9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5"/>
      <c r="K260" s="5"/>
      <c r="L260" s="5"/>
      <c r="M260" s="5"/>
      <c r="N260" s="5"/>
      <c r="O260" s="5"/>
      <c r="P260" s="5"/>
    </row>
    <row r="261" spans="1:16" ht="15.9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5"/>
      <c r="K261" s="5"/>
      <c r="L261" s="5"/>
      <c r="M261" s="5"/>
      <c r="N261" s="5"/>
      <c r="O261" s="5"/>
      <c r="P261" s="5"/>
    </row>
    <row r="262" spans="1:16" ht="15.9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5"/>
      <c r="K262" s="5"/>
      <c r="L262" s="5"/>
      <c r="M262" s="5"/>
      <c r="N262" s="5"/>
      <c r="O262" s="5"/>
      <c r="P262" s="5"/>
    </row>
    <row r="263" spans="1:16" ht="15.9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5"/>
      <c r="K263" s="5"/>
      <c r="L263" s="5"/>
      <c r="M263" s="5"/>
      <c r="N263" s="5"/>
      <c r="O263" s="5"/>
      <c r="P263" s="5"/>
    </row>
    <row r="264" spans="1:16" ht="15.9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5"/>
      <c r="K264" s="5"/>
      <c r="L264" s="5"/>
      <c r="M264" s="5"/>
      <c r="N264" s="5"/>
      <c r="O264" s="5"/>
      <c r="P264" s="5"/>
    </row>
    <row r="265" spans="1:16" ht="15.9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5"/>
      <c r="K265" s="5"/>
      <c r="L265" s="5"/>
      <c r="M265" s="5"/>
      <c r="N265" s="5"/>
      <c r="O265" s="5"/>
      <c r="P265" s="5"/>
    </row>
    <row r="266" spans="1:16" ht="15.9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5"/>
      <c r="K266" s="5"/>
      <c r="L266" s="5"/>
      <c r="M266" s="5"/>
      <c r="N266" s="5"/>
      <c r="O266" s="5"/>
      <c r="P266" s="5"/>
    </row>
    <row r="267" spans="1:16" ht="15.9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5"/>
      <c r="K267" s="5"/>
      <c r="L267" s="5"/>
      <c r="M267" s="5"/>
      <c r="N267" s="5"/>
      <c r="O267" s="5"/>
      <c r="P267" s="5"/>
    </row>
    <row r="268" spans="1:16" ht="15.9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5"/>
      <c r="K268" s="5"/>
      <c r="L268" s="5"/>
      <c r="M268" s="5"/>
      <c r="N268" s="5"/>
      <c r="O268" s="5"/>
      <c r="P268" s="5"/>
    </row>
    <row r="269" spans="1:16" ht="15.9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5"/>
      <c r="K269" s="5"/>
      <c r="L269" s="5"/>
      <c r="M269" s="5"/>
      <c r="N269" s="5"/>
      <c r="O269" s="5"/>
      <c r="P269" s="5"/>
    </row>
    <row r="270" spans="1:16" ht="15.9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5"/>
      <c r="K270" s="5"/>
      <c r="L270" s="5"/>
      <c r="M270" s="5"/>
      <c r="N270" s="5"/>
      <c r="O270" s="5"/>
      <c r="P270" s="5"/>
    </row>
    <row r="271" spans="1:16" ht="15.9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5"/>
      <c r="K271" s="5"/>
      <c r="L271" s="5"/>
      <c r="M271" s="5"/>
      <c r="N271" s="5"/>
      <c r="O271" s="5"/>
      <c r="P271" s="5"/>
    </row>
    <row r="272" spans="1:16" ht="15.9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5"/>
      <c r="K272" s="5"/>
      <c r="L272" s="5"/>
      <c r="M272" s="5"/>
      <c r="N272" s="5"/>
      <c r="O272" s="5"/>
      <c r="P272" s="5"/>
    </row>
    <row r="273" spans="1:16" ht="15.9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5"/>
      <c r="K273" s="5"/>
      <c r="L273" s="5"/>
      <c r="M273" s="5"/>
      <c r="N273" s="5"/>
      <c r="O273" s="5"/>
      <c r="P273" s="5"/>
    </row>
    <row r="274" spans="1:16" ht="15.9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5"/>
      <c r="K274" s="5"/>
      <c r="L274" s="5"/>
      <c r="M274" s="5"/>
      <c r="N274" s="5"/>
      <c r="O274" s="5"/>
      <c r="P274" s="5"/>
    </row>
    <row r="275" spans="1:16" ht="15.9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5"/>
      <c r="K275" s="5"/>
      <c r="L275" s="5"/>
      <c r="M275" s="5"/>
      <c r="N275" s="5"/>
      <c r="O275" s="5"/>
      <c r="P275" s="5"/>
    </row>
    <row r="276" spans="1:16" ht="15.9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5"/>
      <c r="K276" s="5"/>
      <c r="L276" s="5"/>
      <c r="M276" s="5"/>
      <c r="N276" s="5"/>
      <c r="O276" s="5"/>
      <c r="P276" s="5"/>
    </row>
    <row r="277" spans="1:16" ht="15.9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5"/>
      <c r="K277" s="5"/>
      <c r="L277" s="5"/>
      <c r="M277" s="5"/>
      <c r="N277" s="5"/>
      <c r="O277" s="5"/>
      <c r="P277" s="5"/>
    </row>
    <row r="278" spans="1:16" ht="15.9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5"/>
      <c r="K278" s="5"/>
      <c r="L278" s="5"/>
      <c r="M278" s="5"/>
      <c r="N278" s="5"/>
      <c r="O278" s="5"/>
      <c r="P278" s="5"/>
    </row>
    <row r="279" spans="1:16" ht="15.9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5"/>
      <c r="K279" s="5"/>
      <c r="L279" s="5"/>
      <c r="M279" s="5"/>
      <c r="N279" s="5"/>
      <c r="O279" s="5"/>
      <c r="P279" s="5"/>
    </row>
    <row r="280" spans="1:16" ht="15.9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5"/>
      <c r="K280" s="5"/>
      <c r="L280" s="5"/>
      <c r="M280" s="5"/>
      <c r="N280" s="5"/>
      <c r="O280" s="5"/>
      <c r="P280" s="5"/>
    </row>
    <row r="281" spans="1:16" ht="15.9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5"/>
      <c r="K281" s="5"/>
      <c r="L281" s="5"/>
      <c r="M281" s="5"/>
      <c r="N281" s="5"/>
      <c r="O281" s="5"/>
      <c r="P281" s="5"/>
    </row>
    <row r="282" spans="1:16" ht="15.9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5"/>
      <c r="K282" s="5"/>
      <c r="L282" s="5"/>
      <c r="M282" s="5"/>
      <c r="N282" s="5"/>
      <c r="O282" s="5"/>
      <c r="P282" s="5"/>
    </row>
    <row r="283" spans="1:16" ht="15.9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5"/>
      <c r="K283" s="5"/>
      <c r="L283" s="5"/>
      <c r="M283" s="5"/>
      <c r="N283" s="5"/>
      <c r="O283" s="5"/>
      <c r="P283" s="5"/>
    </row>
    <row r="284" spans="1:16" ht="15.9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5"/>
      <c r="K284" s="5"/>
      <c r="L284" s="5"/>
      <c r="M284" s="5"/>
      <c r="N284" s="5"/>
      <c r="O284" s="5"/>
      <c r="P284" s="5"/>
    </row>
    <row r="285" spans="1:16" ht="15.9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5"/>
      <c r="K285" s="5"/>
      <c r="L285" s="5"/>
      <c r="M285" s="5"/>
      <c r="N285" s="5"/>
      <c r="O285" s="5"/>
      <c r="P285" s="5"/>
    </row>
    <row r="286" spans="1:16" ht="15.9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5"/>
      <c r="K286" s="5"/>
      <c r="L286" s="5"/>
      <c r="M286" s="5"/>
      <c r="N286" s="5"/>
      <c r="O286" s="5"/>
      <c r="P286" s="5"/>
    </row>
    <row r="287" spans="1:16" ht="15.9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5"/>
      <c r="K287" s="5"/>
      <c r="L287" s="5"/>
      <c r="M287" s="5"/>
      <c r="N287" s="5"/>
      <c r="O287" s="5"/>
      <c r="P287" s="5"/>
    </row>
    <row r="288" spans="1:16" ht="15.9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5"/>
      <c r="K288" s="5"/>
      <c r="L288" s="5"/>
      <c r="M288" s="5"/>
      <c r="N288" s="5"/>
      <c r="O288" s="5"/>
      <c r="P288" s="5"/>
    </row>
    <row r="289" spans="1:16" ht="15.9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5"/>
      <c r="K289" s="5"/>
      <c r="L289" s="5"/>
      <c r="M289" s="5"/>
      <c r="N289" s="5"/>
      <c r="O289" s="5"/>
      <c r="P289" s="5"/>
    </row>
    <row r="290" spans="1:16" ht="15.9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5"/>
      <c r="K290" s="5"/>
      <c r="L290" s="5"/>
      <c r="M290" s="5"/>
      <c r="N290" s="5"/>
      <c r="O290" s="5"/>
      <c r="P290" s="5"/>
    </row>
    <row r="291" spans="1:16" ht="15.9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5"/>
      <c r="K291" s="5"/>
      <c r="L291" s="5"/>
      <c r="M291" s="5"/>
      <c r="N291" s="5"/>
      <c r="O291" s="5"/>
      <c r="P291" s="5"/>
    </row>
    <row r="292" spans="1:16" ht="15.9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5"/>
      <c r="K292" s="5"/>
      <c r="L292" s="5"/>
      <c r="M292" s="5"/>
      <c r="N292" s="5"/>
      <c r="O292" s="5"/>
      <c r="P292" s="5"/>
    </row>
    <row r="293" spans="1:16" ht="15.9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5"/>
      <c r="K293" s="5"/>
      <c r="L293" s="5"/>
      <c r="M293" s="5"/>
      <c r="N293" s="5"/>
      <c r="O293" s="5"/>
      <c r="P293" s="5"/>
    </row>
    <row r="294" spans="1:16" ht="15.9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5"/>
      <c r="K294" s="5"/>
      <c r="L294" s="5"/>
      <c r="M294" s="5"/>
      <c r="N294" s="5"/>
      <c r="O294" s="5"/>
      <c r="P294" s="5"/>
    </row>
    <row r="295" spans="1:16" ht="15.9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5"/>
      <c r="K295" s="5"/>
      <c r="L295" s="5"/>
      <c r="M295" s="5"/>
      <c r="N295" s="5"/>
      <c r="O295" s="5"/>
      <c r="P295" s="5"/>
    </row>
    <row r="296" spans="1:16" ht="15.9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5"/>
      <c r="K296" s="5"/>
      <c r="L296" s="5"/>
      <c r="M296" s="5"/>
      <c r="N296" s="5"/>
      <c r="O296" s="5"/>
      <c r="P296" s="5"/>
    </row>
    <row r="297" spans="1:16" ht="15.9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5"/>
      <c r="K297" s="5"/>
      <c r="L297" s="5"/>
      <c r="M297" s="5"/>
      <c r="N297" s="5"/>
      <c r="O297" s="5"/>
      <c r="P297" s="5"/>
    </row>
    <row r="298" spans="1:16" ht="15.9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5"/>
      <c r="K298" s="5"/>
      <c r="L298" s="5"/>
      <c r="M298" s="5"/>
      <c r="N298" s="5"/>
      <c r="O298" s="5"/>
      <c r="P298" s="5"/>
    </row>
    <row r="299" spans="1:16" ht="15.9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5"/>
      <c r="K299" s="5"/>
      <c r="L299" s="5"/>
      <c r="M299" s="5"/>
      <c r="N299" s="5"/>
      <c r="O299" s="5"/>
      <c r="P299" s="5"/>
    </row>
    <row r="300" spans="1:16" ht="15.9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5"/>
      <c r="K300" s="5"/>
      <c r="L300" s="5"/>
      <c r="M300" s="5"/>
      <c r="N300" s="5"/>
      <c r="O300" s="5"/>
      <c r="P300" s="5"/>
    </row>
    <row r="301" spans="1:16" ht="15.9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5"/>
      <c r="K301" s="5"/>
      <c r="L301" s="5"/>
      <c r="M301" s="5"/>
      <c r="N301" s="5"/>
      <c r="O301" s="5"/>
      <c r="P301" s="5"/>
    </row>
    <row r="302" spans="1:16" ht="15.9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5"/>
      <c r="K302" s="5"/>
      <c r="L302" s="5"/>
      <c r="M302" s="5"/>
      <c r="N302" s="5"/>
      <c r="O302" s="5"/>
      <c r="P302" s="5"/>
    </row>
    <row r="303" spans="1:16" ht="15.9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5"/>
      <c r="K303" s="5"/>
      <c r="L303" s="5"/>
      <c r="M303" s="5"/>
      <c r="N303" s="5"/>
      <c r="O303" s="5"/>
      <c r="P303" s="5"/>
    </row>
    <row r="304" spans="1:16" ht="15.9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5"/>
      <c r="K304" s="5"/>
      <c r="L304" s="5"/>
      <c r="M304" s="5"/>
      <c r="N304" s="5"/>
      <c r="O304" s="5"/>
      <c r="P304" s="5"/>
    </row>
    <row r="305" spans="1:16" ht="15.9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5"/>
      <c r="K305" s="5"/>
      <c r="L305" s="5"/>
      <c r="M305" s="5"/>
      <c r="N305" s="5"/>
      <c r="O305" s="5"/>
      <c r="P305" s="5"/>
    </row>
    <row r="306" spans="1:16" ht="15.9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5"/>
      <c r="K306" s="5"/>
      <c r="L306" s="5"/>
      <c r="M306" s="5"/>
      <c r="N306" s="5"/>
      <c r="O306" s="5"/>
      <c r="P306" s="5"/>
    </row>
    <row r="307" spans="1:16" ht="15.9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5"/>
      <c r="K307" s="5"/>
      <c r="L307" s="5"/>
      <c r="M307" s="5"/>
      <c r="N307" s="5"/>
      <c r="O307" s="5"/>
      <c r="P307" s="5"/>
    </row>
    <row r="308" spans="1:16" ht="15.9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5"/>
      <c r="K308" s="5"/>
      <c r="L308" s="5"/>
      <c r="M308" s="5"/>
      <c r="N308" s="5"/>
      <c r="O308" s="5"/>
      <c r="P308" s="5"/>
    </row>
    <row r="309" spans="1:16" ht="15.9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5"/>
      <c r="K309" s="5"/>
      <c r="L309" s="5"/>
      <c r="M309" s="5"/>
      <c r="N309" s="5"/>
      <c r="O309" s="5"/>
      <c r="P309" s="5"/>
    </row>
    <row r="310" spans="1:16" ht="15.9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5"/>
      <c r="K310" s="5"/>
      <c r="L310" s="5"/>
      <c r="M310" s="5"/>
      <c r="N310" s="5"/>
      <c r="O310" s="5"/>
      <c r="P310" s="5"/>
    </row>
    <row r="311" spans="1:16" ht="15.9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5"/>
      <c r="K311" s="5"/>
      <c r="L311" s="5"/>
      <c r="M311" s="5"/>
      <c r="N311" s="5"/>
      <c r="O311" s="5"/>
      <c r="P311" s="5"/>
    </row>
    <row r="312" spans="1:16" ht="15.9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5"/>
      <c r="K312" s="5"/>
      <c r="L312" s="5"/>
      <c r="M312" s="5"/>
      <c r="N312" s="5"/>
      <c r="O312" s="5"/>
      <c r="P312" s="5"/>
    </row>
    <row r="313" spans="1:16" ht="15.9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5"/>
      <c r="K313" s="5"/>
      <c r="L313" s="5"/>
      <c r="M313" s="5"/>
      <c r="N313" s="5"/>
      <c r="O313" s="5"/>
      <c r="P313" s="5"/>
    </row>
    <row r="314" spans="1:16" ht="15.9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5"/>
      <c r="K314" s="5"/>
      <c r="L314" s="5"/>
      <c r="M314" s="5"/>
      <c r="N314" s="5"/>
      <c r="O314" s="5"/>
      <c r="P314" s="5"/>
    </row>
    <row r="315" spans="1:16" ht="15.9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5"/>
      <c r="K315" s="5"/>
      <c r="L315" s="5"/>
      <c r="M315" s="5"/>
      <c r="N315" s="5"/>
      <c r="O315" s="5"/>
      <c r="P315" s="5"/>
    </row>
    <row r="316" spans="1:16" ht="15.9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5"/>
      <c r="K316" s="5"/>
      <c r="L316" s="5"/>
      <c r="M316" s="5"/>
      <c r="N316" s="5"/>
      <c r="O316" s="5"/>
      <c r="P316" s="5"/>
    </row>
    <row r="317" spans="1:16" ht="15.9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5"/>
      <c r="K317" s="5"/>
      <c r="L317" s="5"/>
      <c r="M317" s="5"/>
      <c r="N317" s="5"/>
      <c r="O317" s="5"/>
      <c r="P317" s="5"/>
    </row>
    <row r="318" spans="1:16" ht="15.9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5"/>
      <c r="K318" s="5"/>
      <c r="L318" s="5"/>
      <c r="M318" s="5"/>
      <c r="N318" s="5"/>
      <c r="O318" s="5"/>
      <c r="P318" s="5"/>
    </row>
    <row r="319" spans="1:16" ht="15.9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5"/>
      <c r="K319" s="5"/>
      <c r="L319" s="5"/>
      <c r="M319" s="5"/>
      <c r="N319" s="5"/>
      <c r="O319" s="5"/>
      <c r="P319" s="5"/>
    </row>
    <row r="320" spans="1:16" ht="15.9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5"/>
      <c r="K320" s="5"/>
      <c r="L320" s="5"/>
      <c r="M320" s="5"/>
      <c r="N320" s="5"/>
      <c r="O320" s="5"/>
      <c r="P320" s="5"/>
    </row>
    <row r="321" spans="1:16" ht="15.9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5"/>
      <c r="K321" s="5"/>
      <c r="L321" s="5"/>
      <c r="M321" s="5"/>
      <c r="N321" s="5"/>
      <c r="O321" s="5"/>
      <c r="P321" s="5"/>
    </row>
    <row r="322" spans="1:16" ht="15.9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5"/>
      <c r="K322" s="5"/>
      <c r="L322" s="5"/>
      <c r="M322" s="5"/>
      <c r="N322" s="5"/>
      <c r="O322" s="5"/>
      <c r="P322" s="5"/>
    </row>
    <row r="323" spans="1:16" ht="15.9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5"/>
      <c r="K323" s="5"/>
      <c r="L323" s="5"/>
      <c r="M323" s="5"/>
      <c r="N323" s="5"/>
      <c r="O323" s="5"/>
      <c r="P323" s="5"/>
    </row>
    <row r="324" spans="1:16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5"/>
      <c r="K324" s="5"/>
      <c r="L324" s="5"/>
      <c r="M324" s="5"/>
      <c r="N324" s="5"/>
      <c r="O324" s="5"/>
      <c r="P324" s="5"/>
    </row>
    <row r="325" spans="1:16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5"/>
      <c r="K325" s="5"/>
      <c r="L325" s="5"/>
      <c r="M325" s="5"/>
      <c r="N325" s="5"/>
      <c r="O325" s="5"/>
      <c r="P325" s="5"/>
    </row>
    <row r="326" spans="1:16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5"/>
      <c r="K326" s="5"/>
      <c r="L326" s="5"/>
      <c r="M326" s="5"/>
      <c r="N326" s="5"/>
      <c r="O326" s="5"/>
      <c r="P326" s="5"/>
    </row>
    <row r="327" spans="1:16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5"/>
      <c r="K327" s="5"/>
      <c r="L327" s="5"/>
      <c r="M327" s="5"/>
      <c r="N327" s="5"/>
      <c r="O327" s="5"/>
      <c r="P327" s="5"/>
    </row>
    <row r="328" spans="1:16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5"/>
      <c r="K328" s="5"/>
      <c r="L328" s="5"/>
      <c r="M328" s="5"/>
      <c r="N328" s="5"/>
      <c r="O328" s="5"/>
      <c r="P328" s="5"/>
    </row>
    <row r="329" spans="1:16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5"/>
      <c r="K329" s="5"/>
      <c r="L329" s="5"/>
      <c r="M329" s="5"/>
      <c r="N329" s="5"/>
      <c r="O329" s="5"/>
      <c r="P329" s="5"/>
    </row>
    <row r="330" spans="1:16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5"/>
      <c r="K330" s="5"/>
      <c r="L330" s="5"/>
      <c r="M330" s="5"/>
      <c r="N330" s="5"/>
      <c r="O330" s="5"/>
      <c r="P330" s="5"/>
    </row>
    <row r="331" spans="1:16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5"/>
      <c r="K331" s="5"/>
      <c r="L331" s="5"/>
      <c r="M331" s="5"/>
      <c r="N331" s="5"/>
      <c r="O331" s="5"/>
      <c r="P331" s="5"/>
    </row>
    <row r="332" spans="1:16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5"/>
      <c r="K332" s="5"/>
      <c r="L332" s="5"/>
      <c r="M332" s="5"/>
      <c r="N332" s="5"/>
      <c r="O332" s="5"/>
      <c r="P332" s="5"/>
    </row>
    <row r="333" spans="1:16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5"/>
      <c r="K333" s="5"/>
      <c r="L333" s="5"/>
      <c r="M333" s="5"/>
      <c r="N333" s="5"/>
      <c r="O333" s="5"/>
      <c r="P333" s="5"/>
    </row>
    <row r="334" spans="1:16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5"/>
      <c r="K334" s="5"/>
      <c r="L334" s="5"/>
      <c r="M334" s="5"/>
      <c r="N334" s="5"/>
      <c r="O334" s="5"/>
      <c r="P334" s="5"/>
    </row>
    <row r="335" spans="1:16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5"/>
      <c r="K335" s="5"/>
      <c r="L335" s="5"/>
      <c r="M335" s="5"/>
      <c r="N335" s="5"/>
      <c r="O335" s="5"/>
      <c r="P335" s="5"/>
    </row>
    <row r="336" spans="1:16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5"/>
      <c r="K336" s="5"/>
      <c r="L336" s="5"/>
      <c r="M336" s="5"/>
      <c r="N336" s="5"/>
      <c r="O336" s="5"/>
      <c r="P336" s="5"/>
    </row>
    <row r="337" spans="1:16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5"/>
      <c r="K337" s="5"/>
      <c r="L337" s="5"/>
      <c r="M337" s="5"/>
      <c r="N337" s="5"/>
      <c r="O337" s="5"/>
      <c r="P337" s="5"/>
    </row>
    <row r="338" spans="1:16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5"/>
      <c r="K338" s="5"/>
      <c r="L338" s="5"/>
      <c r="M338" s="5"/>
      <c r="N338" s="5"/>
      <c r="O338" s="5"/>
      <c r="P338" s="5"/>
    </row>
    <row r="339" spans="1:16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5"/>
      <c r="K339" s="5"/>
      <c r="L339" s="5"/>
      <c r="M339" s="5"/>
      <c r="N339" s="5"/>
      <c r="O339" s="5"/>
      <c r="P339" s="5"/>
    </row>
    <row r="340" spans="1:16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5"/>
      <c r="K340" s="5"/>
      <c r="L340" s="5"/>
      <c r="M340" s="5"/>
      <c r="N340" s="5"/>
      <c r="O340" s="5"/>
      <c r="P340" s="5"/>
    </row>
    <row r="341" spans="1:16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5"/>
      <c r="K341" s="5"/>
      <c r="L341" s="5"/>
      <c r="M341" s="5"/>
      <c r="N341" s="5"/>
      <c r="O341" s="5"/>
      <c r="P341" s="5"/>
    </row>
    <row r="342" spans="1:16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5"/>
      <c r="K342" s="5"/>
      <c r="L342" s="5"/>
      <c r="M342" s="5"/>
      <c r="N342" s="5"/>
      <c r="O342" s="5"/>
      <c r="P342" s="5"/>
    </row>
    <row r="343" spans="1:16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5"/>
      <c r="K343" s="5"/>
      <c r="L343" s="5"/>
      <c r="M343" s="5"/>
      <c r="N343" s="5"/>
      <c r="O343" s="5"/>
      <c r="P343" s="5"/>
    </row>
    <row r="344" spans="1:16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5"/>
      <c r="K344" s="5"/>
      <c r="L344" s="5"/>
      <c r="M344" s="5"/>
      <c r="N344" s="5"/>
      <c r="O344" s="5"/>
      <c r="P344" s="5"/>
    </row>
    <row r="345" spans="1:16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5"/>
      <c r="K345" s="5"/>
      <c r="L345" s="5"/>
      <c r="M345" s="5"/>
      <c r="N345" s="5"/>
      <c r="O345" s="5"/>
      <c r="P345" s="5"/>
    </row>
    <row r="346" spans="1:16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5"/>
      <c r="K346" s="5"/>
      <c r="L346" s="5"/>
      <c r="M346" s="5"/>
      <c r="N346" s="5"/>
      <c r="O346" s="5"/>
      <c r="P346" s="5"/>
    </row>
    <row r="347" spans="1:16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5"/>
      <c r="K347" s="5"/>
      <c r="L347" s="5"/>
      <c r="M347" s="5"/>
      <c r="N347" s="5"/>
      <c r="O347" s="5"/>
      <c r="P347" s="5"/>
    </row>
    <row r="348" spans="1:16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5"/>
      <c r="K348" s="5"/>
      <c r="L348" s="5"/>
      <c r="M348" s="5"/>
      <c r="N348" s="5"/>
      <c r="O348" s="5"/>
      <c r="P348" s="5"/>
    </row>
    <row r="349" spans="1:16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5"/>
      <c r="K349" s="5"/>
      <c r="L349" s="5"/>
      <c r="M349" s="5"/>
      <c r="N349" s="5"/>
      <c r="O349" s="5"/>
      <c r="P349" s="5"/>
    </row>
    <row r="350" spans="1:16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5"/>
      <c r="K350" s="5"/>
      <c r="L350" s="5"/>
      <c r="M350" s="5"/>
      <c r="N350" s="5"/>
      <c r="O350" s="5"/>
      <c r="P350" s="5"/>
    </row>
    <row r="351" spans="1:16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5"/>
      <c r="K351" s="5"/>
      <c r="L351" s="5"/>
      <c r="M351" s="5"/>
      <c r="N351" s="5"/>
      <c r="O351" s="5"/>
      <c r="P351" s="5"/>
    </row>
    <row r="352" spans="1:16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5"/>
      <c r="K352" s="5"/>
      <c r="L352" s="5"/>
      <c r="M352" s="5"/>
      <c r="N352" s="5"/>
      <c r="O352" s="5"/>
      <c r="P352" s="5"/>
    </row>
    <row r="353" spans="1:16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5"/>
      <c r="K353" s="5"/>
      <c r="L353" s="5"/>
      <c r="M353" s="5"/>
      <c r="N353" s="5"/>
      <c r="O353" s="5"/>
      <c r="P353" s="5"/>
    </row>
    <row r="354" spans="1:16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5"/>
      <c r="K354" s="5"/>
      <c r="L354" s="5"/>
      <c r="M354" s="5"/>
      <c r="N354" s="5"/>
      <c r="O354" s="5"/>
      <c r="P354" s="5"/>
    </row>
    <row r="355" spans="1:16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5"/>
      <c r="K355" s="5"/>
      <c r="L355" s="5"/>
      <c r="M355" s="5"/>
      <c r="N355" s="5"/>
      <c r="O355" s="5"/>
      <c r="P355" s="5"/>
    </row>
    <row r="356" spans="1:16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5"/>
      <c r="K356" s="5"/>
      <c r="L356" s="5"/>
      <c r="M356" s="5"/>
      <c r="N356" s="5"/>
      <c r="O356" s="5"/>
      <c r="P356" s="5"/>
    </row>
    <row r="357" spans="1:16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5"/>
      <c r="K357" s="5"/>
      <c r="L357" s="5"/>
      <c r="M357" s="5"/>
      <c r="N357" s="5"/>
      <c r="O357" s="5"/>
      <c r="P357" s="5"/>
    </row>
    <row r="358" spans="1:16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5"/>
      <c r="K358" s="5"/>
      <c r="L358" s="5"/>
      <c r="M358" s="5"/>
      <c r="N358" s="5"/>
      <c r="O358" s="5"/>
      <c r="P358" s="5"/>
    </row>
    <row r="359" spans="1:16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5"/>
      <c r="K359" s="5"/>
      <c r="L359" s="5"/>
      <c r="M359" s="5"/>
      <c r="N359" s="5"/>
      <c r="O359" s="5"/>
      <c r="P359" s="5"/>
    </row>
    <row r="360" spans="1:16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5"/>
      <c r="K360" s="5"/>
      <c r="L360" s="5"/>
      <c r="M360" s="5"/>
      <c r="N360" s="5"/>
      <c r="O360" s="5"/>
      <c r="P360" s="5"/>
    </row>
    <row r="361" spans="1:16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5"/>
      <c r="K361" s="5"/>
      <c r="L361" s="5"/>
      <c r="M361" s="5"/>
      <c r="N361" s="5"/>
      <c r="O361" s="5"/>
      <c r="P361" s="5"/>
    </row>
    <row r="362" spans="1:16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5"/>
      <c r="K362" s="5"/>
      <c r="L362" s="5"/>
      <c r="M362" s="5"/>
      <c r="N362" s="5"/>
      <c r="O362" s="5"/>
      <c r="P362" s="5"/>
    </row>
    <row r="363" spans="1:16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5"/>
      <c r="K363" s="5"/>
      <c r="L363" s="5"/>
      <c r="M363" s="5"/>
      <c r="N363" s="5"/>
      <c r="O363" s="5"/>
      <c r="P363" s="5"/>
    </row>
    <row r="364" spans="1:16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5"/>
      <c r="K364" s="5"/>
      <c r="L364" s="5"/>
      <c r="M364" s="5"/>
      <c r="N364" s="5"/>
      <c r="O364" s="5"/>
      <c r="P364" s="5"/>
    </row>
    <row r="365" spans="1:16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5"/>
      <c r="K365" s="5"/>
      <c r="L365" s="5"/>
      <c r="M365" s="5"/>
      <c r="N365" s="5"/>
      <c r="O365" s="5"/>
      <c r="P365" s="5"/>
    </row>
    <row r="366" spans="1:16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5"/>
      <c r="K366" s="5"/>
      <c r="L366" s="5"/>
      <c r="M366" s="5"/>
      <c r="N366" s="5"/>
      <c r="O366" s="5"/>
      <c r="P366" s="5"/>
    </row>
    <row r="367" spans="1:16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5"/>
      <c r="K367" s="5"/>
      <c r="L367" s="5"/>
      <c r="M367" s="5"/>
      <c r="N367" s="5"/>
      <c r="O367" s="5"/>
      <c r="P367" s="5"/>
    </row>
    <row r="368" spans="1:16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5"/>
      <c r="K368" s="5"/>
      <c r="L368" s="5"/>
      <c r="M368" s="5"/>
      <c r="N368" s="5"/>
      <c r="O368" s="5"/>
      <c r="P368" s="5"/>
    </row>
    <row r="369" spans="1:16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5"/>
      <c r="K369" s="5"/>
      <c r="L369" s="5"/>
      <c r="M369" s="5"/>
      <c r="N369" s="5"/>
      <c r="O369" s="5"/>
      <c r="P369" s="5"/>
    </row>
    <row r="370" spans="1:16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5"/>
      <c r="K370" s="5"/>
      <c r="L370" s="5"/>
      <c r="M370" s="5"/>
      <c r="N370" s="5"/>
      <c r="O370" s="5"/>
      <c r="P370" s="5"/>
    </row>
    <row r="371" spans="1:16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5"/>
      <c r="K371" s="5"/>
      <c r="L371" s="5"/>
      <c r="M371" s="5"/>
      <c r="N371" s="5"/>
      <c r="O371" s="5"/>
      <c r="P371" s="5"/>
    </row>
    <row r="372" spans="1:16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5"/>
      <c r="K372" s="5"/>
      <c r="L372" s="5"/>
      <c r="M372" s="5"/>
      <c r="N372" s="5"/>
      <c r="O372" s="5"/>
      <c r="P372" s="5"/>
    </row>
    <row r="373" spans="1:16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5"/>
      <c r="K373" s="5"/>
      <c r="L373" s="5"/>
      <c r="M373" s="5"/>
      <c r="N373" s="5"/>
      <c r="O373" s="5"/>
      <c r="P373" s="5"/>
    </row>
    <row r="374" spans="1:16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5"/>
      <c r="K374" s="5"/>
      <c r="L374" s="5"/>
      <c r="M374" s="5"/>
      <c r="N374" s="5"/>
      <c r="O374" s="5"/>
      <c r="P374" s="5"/>
    </row>
    <row r="375" spans="1:16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5"/>
      <c r="K375" s="5"/>
      <c r="L375" s="5"/>
      <c r="M375" s="5"/>
      <c r="N375" s="5"/>
      <c r="O375" s="5"/>
      <c r="P375" s="5"/>
    </row>
    <row r="376" spans="1:16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5"/>
      <c r="K376" s="5"/>
      <c r="L376" s="5"/>
      <c r="M376" s="5"/>
      <c r="N376" s="5"/>
      <c r="O376" s="5"/>
      <c r="P376" s="5"/>
    </row>
    <row r="377" spans="1:16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5"/>
      <c r="K377" s="5"/>
      <c r="L377" s="5"/>
      <c r="M377" s="5"/>
      <c r="N377" s="5"/>
      <c r="O377" s="5"/>
      <c r="P377" s="5"/>
    </row>
    <row r="378" spans="1:16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5"/>
      <c r="K378" s="5"/>
      <c r="L378" s="5"/>
      <c r="M378" s="5"/>
      <c r="N378" s="5"/>
      <c r="O378" s="5"/>
      <c r="P378" s="5"/>
    </row>
    <row r="379" spans="1:16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5"/>
      <c r="K379" s="5"/>
      <c r="L379" s="5"/>
      <c r="M379" s="5"/>
      <c r="N379" s="5"/>
      <c r="O379" s="5"/>
      <c r="P379" s="5"/>
    </row>
    <row r="380" spans="1:16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5"/>
      <c r="K380" s="5"/>
      <c r="L380" s="5"/>
      <c r="M380" s="5"/>
      <c r="N380" s="5"/>
      <c r="O380" s="5"/>
      <c r="P380" s="5"/>
    </row>
    <row r="381" spans="1:16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5"/>
      <c r="K381" s="5"/>
      <c r="L381" s="5"/>
      <c r="M381" s="5"/>
      <c r="N381" s="5"/>
      <c r="O381" s="5"/>
      <c r="P381" s="5"/>
    </row>
    <row r="382" spans="1:16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5"/>
      <c r="K382" s="5"/>
      <c r="L382" s="5"/>
      <c r="M382" s="5"/>
      <c r="N382" s="5"/>
      <c r="O382" s="5"/>
      <c r="P382" s="5"/>
    </row>
    <row r="383" spans="1:16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5"/>
      <c r="K383" s="5"/>
      <c r="L383" s="5"/>
      <c r="M383" s="5"/>
      <c r="N383" s="5"/>
      <c r="O383" s="5"/>
      <c r="P383" s="5"/>
    </row>
    <row r="384" spans="1:16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5"/>
      <c r="K384" s="5"/>
      <c r="L384" s="5"/>
      <c r="M384" s="5"/>
      <c r="N384" s="5"/>
      <c r="O384" s="5"/>
      <c r="P384" s="5"/>
    </row>
    <row r="385" spans="1:16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5"/>
      <c r="K385" s="5"/>
      <c r="L385" s="5"/>
      <c r="M385" s="5"/>
      <c r="N385" s="5"/>
      <c r="O385" s="5"/>
      <c r="P385" s="5"/>
    </row>
    <row r="386" spans="1:16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5"/>
      <c r="K386" s="5"/>
      <c r="L386" s="5"/>
      <c r="M386" s="5"/>
      <c r="N386" s="5"/>
      <c r="O386" s="5"/>
      <c r="P386" s="5"/>
    </row>
    <row r="387" spans="1:16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5"/>
      <c r="K387" s="5"/>
      <c r="L387" s="5"/>
      <c r="M387" s="5"/>
      <c r="N387" s="5"/>
      <c r="O387" s="5"/>
      <c r="P387" s="5"/>
    </row>
    <row r="388" spans="1:16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5"/>
      <c r="K388" s="5"/>
      <c r="L388" s="5"/>
      <c r="M388" s="5"/>
      <c r="N388" s="5"/>
      <c r="O388" s="5"/>
      <c r="P388" s="5"/>
    </row>
    <row r="389" spans="1:16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5"/>
      <c r="K389" s="5"/>
      <c r="L389" s="5"/>
      <c r="M389" s="5"/>
      <c r="N389" s="5"/>
      <c r="O389" s="5"/>
      <c r="P389" s="5"/>
    </row>
    <row r="390" spans="1:16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5"/>
      <c r="K390" s="5"/>
      <c r="L390" s="5"/>
      <c r="M390" s="5"/>
      <c r="N390" s="5"/>
      <c r="O390" s="5"/>
      <c r="P390" s="5"/>
    </row>
    <row r="391" spans="1:16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5"/>
      <c r="K391" s="5"/>
      <c r="L391" s="5"/>
      <c r="M391" s="5"/>
      <c r="N391" s="5"/>
      <c r="O391" s="5"/>
      <c r="P391" s="5"/>
    </row>
    <row r="392" spans="1:16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5"/>
      <c r="K392" s="5"/>
      <c r="L392" s="5"/>
      <c r="M392" s="5"/>
      <c r="N392" s="5"/>
      <c r="O392" s="5"/>
      <c r="P392" s="5"/>
    </row>
    <row r="393" spans="1:16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5"/>
      <c r="K393" s="5"/>
      <c r="L393" s="5"/>
      <c r="M393" s="5"/>
      <c r="N393" s="5"/>
      <c r="O393" s="5"/>
      <c r="P393" s="5"/>
    </row>
    <row r="394" spans="1:16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5"/>
      <c r="K394" s="5"/>
      <c r="L394" s="5"/>
      <c r="M394" s="5"/>
      <c r="N394" s="5"/>
      <c r="O394" s="5"/>
      <c r="P394" s="5"/>
    </row>
    <row r="395" spans="1:16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5"/>
      <c r="K395" s="5"/>
      <c r="L395" s="5"/>
      <c r="M395" s="5"/>
      <c r="N395" s="5"/>
      <c r="O395" s="5"/>
      <c r="P395" s="5"/>
    </row>
    <row r="396" spans="1:16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5"/>
      <c r="K396" s="5"/>
      <c r="L396" s="5"/>
      <c r="M396" s="5"/>
      <c r="N396" s="5"/>
      <c r="O396" s="5"/>
      <c r="P396" s="5"/>
    </row>
    <row r="397" spans="1:16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5"/>
      <c r="K397" s="5"/>
      <c r="L397" s="5"/>
      <c r="M397" s="5"/>
      <c r="N397" s="5"/>
      <c r="O397" s="5"/>
      <c r="P397" s="5"/>
    </row>
    <row r="398" spans="1:16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5"/>
      <c r="K398" s="5"/>
      <c r="L398" s="5"/>
      <c r="M398" s="5"/>
      <c r="N398" s="5"/>
      <c r="O398" s="5"/>
      <c r="P398" s="5"/>
    </row>
    <row r="399" spans="1:16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5"/>
      <c r="K399" s="5"/>
      <c r="L399" s="5"/>
      <c r="M399" s="5"/>
      <c r="N399" s="5"/>
      <c r="O399" s="5"/>
      <c r="P399" s="5"/>
    </row>
    <row r="400" spans="1:16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5"/>
      <c r="K400" s="5"/>
      <c r="L400" s="5"/>
      <c r="M400" s="5"/>
      <c r="N400" s="5"/>
      <c r="O400" s="5"/>
      <c r="P400" s="5"/>
    </row>
    <row r="401" spans="1:16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5"/>
      <c r="K401" s="5"/>
      <c r="L401" s="5"/>
      <c r="M401" s="5"/>
      <c r="N401" s="5"/>
      <c r="O401" s="5"/>
      <c r="P401" s="5"/>
    </row>
    <row r="402" spans="1:16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5"/>
      <c r="K402" s="5"/>
      <c r="L402" s="5"/>
      <c r="M402" s="5"/>
      <c r="N402" s="5"/>
      <c r="O402" s="5"/>
      <c r="P402" s="5"/>
    </row>
    <row r="403" spans="1:16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5"/>
      <c r="K403" s="5"/>
      <c r="L403" s="5"/>
      <c r="M403" s="5"/>
      <c r="N403" s="5"/>
      <c r="O403" s="5"/>
      <c r="P403" s="5"/>
    </row>
    <row r="404" spans="1:16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5"/>
      <c r="K404" s="5"/>
      <c r="L404" s="5"/>
      <c r="M404" s="5"/>
      <c r="N404" s="5"/>
      <c r="O404" s="5"/>
      <c r="P404" s="5"/>
    </row>
    <row r="405" spans="1:16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5"/>
      <c r="K405" s="5"/>
      <c r="L405" s="5"/>
      <c r="M405" s="5"/>
      <c r="N405" s="5"/>
      <c r="O405" s="5"/>
      <c r="P405" s="5"/>
    </row>
  </sheetData>
  <mergeCells count="86">
    <mergeCell ref="A1:I1"/>
    <mergeCell ref="B3:D3"/>
    <mergeCell ref="B5:D5"/>
    <mergeCell ref="A9:A11"/>
    <mergeCell ref="B9:B11"/>
    <mergeCell ref="C9:C11"/>
    <mergeCell ref="D9:D11"/>
    <mergeCell ref="E9:E11"/>
    <mergeCell ref="F9:F11"/>
    <mergeCell ref="B70:C70"/>
    <mergeCell ref="B51:C51"/>
    <mergeCell ref="B52:C52"/>
    <mergeCell ref="B53:C53"/>
    <mergeCell ref="B54:C54"/>
    <mergeCell ref="B55:C55"/>
    <mergeCell ref="B56:C56"/>
    <mergeCell ref="B65:C65"/>
    <mergeCell ref="B66:C66"/>
    <mergeCell ref="B67:C67"/>
    <mergeCell ref="B68:C68"/>
    <mergeCell ref="B69:C69"/>
    <mergeCell ref="B82:C82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101:C101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100:C100"/>
    <mergeCell ref="B113:C113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43:C143"/>
    <mergeCell ref="B121:C121"/>
    <mergeCell ref="B122:C122"/>
    <mergeCell ref="B123:C123"/>
    <mergeCell ref="B124:C124"/>
    <mergeCell ref="B125:C125"/>
    <mergeCell ref="B126:C126"/>
    <mergeCell ref="B127:C127"/>
    <mergeCell ref="B136:C136"/>
    <mergeCell ref="B140:C140"/>
    <mergeCell ref="B141:C141"/>
    <mergeCell ref="B142:C142"/>
    <mergeCell ref="B155:C155"/>
    <mergeCell ref="B144:C144"/>
    <mergeCell ref="B145:C145"/>
    <mergeCell ref="B146:C146"/>
    <mergeCell ref="B147:C147"/>
    <mergeCell ref="B148:C148"/>
    <mergeCell ref="B149:C149"/>
    <mergeCell ref="B150:C150"/>
    <mergeCell ref="B151:C151"/>
    <mergeCell ref="B152:C152"/>
    <mergeCell ref="B153:C153"/>
    <mergeCell ref="B154:C154"/>
    <mergeCell ref="B156:C156"/>
    <mergeCell ref="B157:C157"/>
    <mergeCell ref="B158:C158"/>
    <mergeCell ref="B159:C159"/>
    <mergeCell ref="B160:C160"/>
  </mergeCells>
  <pageMargins left="0.51181102362204722" right="0.51181102362204722" top="0.78740157480314965" bottom="0.78740157480314965" header="0.31496062992125984" footer="0.31496062992125984"/>
  <pageSetup paperSize="9" scale="70" orientation="landscape" horizontalDpi="300" verticalDpi="300" r:id="rId1"/>
  <headerFooter>
    <oddHeader>&amp;L&amp;G&amp;R&amp;G</oddHeader>
    <oddFooter xml:space="preserve">&amp;C
Av. Tancredo Neves, 3557 sala 306 – Bairro Castelo CEP 31.330-430 – Belo Horizonte / Minas Gerais.
Endereço Eletrônico: ottawaeng@terra.com.br – Telefax (31) 3418-2175 – CNPJ: 04.472.311/0001-04
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53"/>
  <sheetViews>
    <sheetView zoomScaleNormal="100" zoomScaleSheetLayoutView="100" workbookViewId="0">
      <selection activeCell="C16" sqref="C16"/>
    </sheetView>
  </sheetViews>
  <sheetFormatPr defaultRowHeight="14.25" x14ac:dyDescent="0.2"/>
  <cols>
    <col min="1" max="1" width="12.85546875" style="2" customWidth="1"/>
    <col min="2" max="2" width="43.7109375" style="2" customWidth="1"/>
    <col min="3" max="3" width="15.140625" style="2" customWidth="1"/>
    <col min="4" max="4" width="20.42578125" style="44" customWidth="1"/>
    <col min="5" max="5" width="21" style="1" customWidth="1"/>
    <col min="6" max="6" width="5.85546875" style="1" customWidth="1"/>
    <col min="7" max="7" width="16.28515625" style="1" customWidth="1"/>
    <col min="8" max="16384" width="9.140625" style="1"/>
  </cols>
  <sheetData>
    <row r="2" spans="1:12" ht="15" thickBot="1" x14ac:dyDescent="0.25"/>
    <row r="3" spans="1:12" ht="32.25" customHeight="1" thickBot="1" x14ac:dyDescent="0.25">
      <c r="A3" s="657" t="s">
        <v>810</v>
      </c>
      <c r="B3" s="658"/>
      <c r="C3" s="658"/>
      <c r="D3" s="659"/>
      <c r="E3" s="4"/>
      <c r="F3" s="4"/>
      <c r="G3" s="4"/>
      <c r="H3" s="4"/>
      <c r="I3" s="4"/>
      <c r="J3" s="4"/>
      <c r="K3" s="4"/>
      <c r="L3" s="4"/>
    </row>
    <row r="4" spans="1:12" ht="4.5" customHeight="1" thickBot="1" x14ac:dyDescent="0.25">
      <c r="A4" s="424"/>
      <c r="B4" s="425"/>
      <c r="C4" s="425"/>
      <c r="D4" s="426"/>
      <c r="E4" s="4"/>
      <c r="F4" s="4"/>
      <c r="G4" s="4"/>
      <c r="H4" s="4"/>
      <c r="I4" s="4"/>
      <c r="J4" s="4"/>
      <c r="K4" s="4"/>
      <c r="L4" s="4"/>
    </row>
    <row r="5" spans="1:12" ht="20.100000000000001" customHeight="1" thickBot="1" x14ac:dyDescent="0.25">
      <c r="A5" s="606" t="s">
        <v>837</v>
      </c>
      <c r="B5" s="607"/>
      <c r="C5" s="607"/>
      <c r="D5" s="607"/>
      <c r="E5" s="607"/>
      <c r="F5" s="607"/>
      <c r="G5" s="607"/>
      <c r="H5" s="4"/>
      <c r="I5" s="4"/>
      <c r="J5" s="4"/>
      <c r="K5" s="4"/>
      <c r="L5" s="4"/>
    </row>
    <row r="6" spans="1:12" ht="4.5" customHeight="1" thickBot="1" x14ac:dyDescent="0.25">
      <c r="A6" s="427"/>
      <c r="B6" s="428"/>
      <c r="C6" s="428"/>
      <c r="D6" s="429"/>
      <c r="E6" s="4"/>
      <c r="F6" s="4"/>
      <c r="G6" s="4"/>
      <c r="H6" s="4"/>
      <c r="I6" s="4"/>
      <c r="J6" s="4"/>
      <c r="K6" s="4"/>
      <c r="L6" s="4"/>
    </row>
    <row r="7" spans="1:12" ht="20.100000000000001" customHeight="1" thickBot="1" x14ac:dyDescent="0.25">
      <c r="A7" s="660" t="s">
        <v>832</v>
      </c>
      <c r="B7" s="661"/>
      <c r="C7" s="661"/>
      <c r="D7" s="662"/>
      <c r="E7" s="4"/>
      <c r="F7" s="4"/>
      <c r="G7" s="4"/>
      <c r="H7" s="4"/>
      <c r="I7" s="4"/>
      <c r="J7" s="4"/>
      <c r="K7" s="4"/>
      <c r="L7" s="4"/>
    </row>
    <row r="8" spans="1:12" ht="4.5" customHeight="1" thickBot="1" x14ac:dyDescent="0.25">
      <c r="A8" s="427"/>
      <c r="B8" s="428"/>
      <c r="C8" s="428"/>
      <c r="D8" s="429"/>
      <c r="E8" s="4"/>
      <c r="F8" s="4"/>
      <c r="G8" s="4"/>
      <c r="H8" s="4"/>
      <c r="I8" s="4"/>
      <c r="J8" s="4"/>
      <c r="K8" s="4"/>
      <c r="L8" s="4"/>
    </row>
    <row r="9" spans="1:12" ht="20.100000000000001" customHeight="1" thickBot="1" x14ac:dyDescent="0.25">
      <c r="A9" s="663" t="s">
        <v>831</v>
      </c>
      <c r="B9" s="664"/>
      <c r="C9" s="627" t="s">
        <v>833</v>
      </c>
      <c r="D9" s="628"/>
      <c r="E9" s="10"/>
      <c r="F9" s="4"/>
      <c r="G9" s="4"/>
      <c r="H9" s="4"/>
      <c r="I9" s="4"/>
      <c r="J9" s="4"/>
      <c r="K9" s="4"/>
      <c r="L9" s="4"/>
    </row>
    <row r="10" spans="1:12" ht="4.5" customHeight="1" thickBot="1" x14ac:dyDescent="0.25">
      <c r="A10" s="424"/>
      <c r="B10" s="425"/>
      <c r="C10" s="425"/>
      <c r="D10" s="426"/>
      <c r="E10" s="4"/>
      <c r="F10" s="4"/>
      <c r="G10" s="4"/>
      <c r="H10" s="4"/>
      <c r="I10" s="4"/>
      <c r="J10" s="4"/>
      <c r="K10" s="4"/>
      <c r="L10" s="4"/>
    </row>
    <row r="11" spans="1:12" s="7" customFormat="1" ht="20.100000000000001" customHeight="1" thickBot="1" x14ac:dyDescent="0.25">
      <c r="A11" s="421" t="s">
        <v>71</v>
      </c>
      <c r="B11" s="422" t="s">
        <v>236</v>
      </c>
      <c r="C11" s="422" t="s">
        <v>237</v>
      </c>
      <c r="D11" s="423" t="s">
        <v>238</v>
      </c>
      <c r="E11" s="69"/>
      <c r="F11" s="8"/>
      <c r="G11" s="8"/>
      <c r="H11" s="8"/>
      <c r="I11" s="8"/>
      <c r="J11" s="8"/>
      <c r="K11" s="8"/>
      <c r="L11" s="8"/>
    </row>
    <row r="12" spans="1:12" s="7" customFormat="1" ht="20.100000000000001" customHeight="1" x14ac:dyDescent="0.2">
      <c r="A12" s="70"/>
      <c r="B12" s="71"/>
      <c r="C12" s="71"/>
      <c r="D12" s="72"/>
      <c r="E12" s="73"/>
      <c r="F12" s="8"/>
      <c r="G12" s="8"/>
      <c r="H12" s="8"/>
      <c r="I12" s="8"/>
      <c r="J12" s="8"/>
      <c r="K12" s="8"/>
      <c r="L12" s="8"/>
    </row>
    <row r="13" spans="1:12" s="7" customFormat="1" ht="20.100000000000001" customHeight="1" x14ac:dyDescent="0.25">
      <c r="A13" s="198" t="s">
        <v>239</v>
      </c>
      <c r="B13" s="199" t="s">
        <v>240</v>
      </c>
      <c r="C13" s="200"/>
      <c r="D13" s="201" t="e">
        <f>(D33-ORÇAMENTO!I321-ORÇAMENTO!I64)/(1+'BDI''S'!C35)+ORÇAMENTO!I63+ORÇAMENTO!I321</f>
        <v>#REF!</v>
      </c>
      <c r="E13" s="75"/>
      <c r="F13" s="8"/>
      <c r="G13" s="8"/>
      <c r="H13" s="8"/>
      <c r="I13" s="8"/>
      <c r="J13" s="8"/>
      <c r="K13" s="8"/>
      <c r="L13" s="8"/>
    </row>
    <row r="14" spans="1:12" s="7" customFormat="1" ht="20.100000000000001" customHeight="1" x14ac:dyDescent="0.2">
      <c r="A14" s="76"/>
      <c r="B14" s="77"/>
      <c r="C14" s="78"/>
      <c r="D14" s="79"/>
      <c r="E14"/>
      <c r="F14" s="8"/>
      <c r="G14" s="8"/>
      <c r="H14" s="8"/>
      <c r="I14" s="8"/>
      <c r="J14" s="8"/>
      <c r="K14" s="8"/>
      <c r="L14" s="8"/>
    </row>
    <row r="15" spans="1:12" s="7" customFormat="1" ht="20.100000000000001" customHeight="1" x14ac:dyDescent="0.25">
      <c r="A15" s="198" t="s">
        <v>241</v>
      </c>
      <c r="B15" s="199" t="s">
        <v>242</v>
      </c>
      <c r="C15" s="202">
        <f>SUM(C16:C19)</f>
        <v>7.9699999999999993E-2</v>
      </c>
      <c r="D15" s="203" t="e">
        <f>SUM(D16:D19)</f>
        <v>#REF!</v>
      </c>
      <c r="E15" s="80"/>
      <c r="F15" s="8"/>
      <c r="G15" s="8"/>
      <c r="H15" s="8"/>
      <c r="I15" s="8"/>
      <c r="J15" s="8"/>
      <c r="K15" s="8"/>
      <c r="L15" s="8"/>
    </row>
    <row r="16" spans="1:12" s="7" customFormat="1" ht="20.100000000000001" customHeight="1" x14ac:dyDescent="0.2">
      <c r="A16" s="76" t="s">
        <v>243</v>
      </c>
      <c r="B16" s="77" t="s">
        <v>244</v>
      </c>
      <c r="C16" s="81">
        <v>6.1499999999999999E-2</v>
      </c>
      <c r="D16" s="82" t="e">
        <f>C16*D$13</f>
        <v>#REF!</v>
      </c>
      <c r="E16" s="83"/>
      <c r="F16" s="8"/>
      <c r="G16" s="8"/>
      <c r="H16" s="8"/>
      <c r="I16" s="8"/>
      <c r="J16" s="8"/>
      <c r="K16" s="8"/>
      <c r="L16" s="8"/>
    </row>
    <row r="17" spans="1:12" s="7" customFormat="1" ht="20.100000000000001" customHeight="1" x14ac:dyDescent="0.2">
      <c r="A17" s="76" t="s">
        <v>245</v>
      </c>
      <c r="B17" s="77" t="s">
        <v>246</v>
      </c>
      <c r="C17" s="81">
        <v>2.5000000000000001E-3</v>
      </c>
      <c r="D17" s="82" t="e">
        <f>C17*D$13</f>
        <v>#REF!</v>
      </c>
      <c r="E17" s="83"/>
      <c r="F17" s="8"/>
      <c r="G17" s="8"/>
      <c r="H17" s="8"/>
      <c r="I17" s="8"/>
      <c r="J17" s="8"/>
      <c r="K17" s="8"/>
      <c r="L17" s="8"/>
    </row>
    <row r="18" spans="1:12" s="7" customFormat="1" ht="20.100000000000001" customHeight="1" x14ac:dyDescent="0.2">
      <c r="A18" s="76" t="s">
        <v>247</v>
      </c>
      <c r="B18" s="77" t="s">
        <v>248</v>
      </c>
      <c r="C18" s="81">
        <v>5.7000000000000002E-3</v>
      </c>
      <c r="D18" s="82" t="e">
        <f>C18*D$13</f>
        <v>#REF!</v>
      </c>
      <c r="E18" s="83"/>
      <c r="F18" s="8"/>
      <c r="G18" s="8"/>
      <c r="H18" s="8"/>
      <c r="I18" s="8"/>
      <c r="J18" s="8"/>
      <c r="K18" s="8"/>
      <c r="L18" s="8"/>
    </row>
    <row r="19" spans="1:12" s="7" customFormat="1" ht="20.100000000000001" customHeight="1" x14ac:dyDescent="0.2">
      <c r="A19" s="76" t="s">
        <v>249</v>
      </c>
      <c r="B19" s="77" t="s">
        <v>250</v>
      </c>
      <c r="C19" s="81">
        <v>0.01</v>
      </c>
      <c r="D19" s="82" t="e">
        <f>C19*D$13</f>
        <v>#REF!</v>
      </c>
      <c r="E19" s="83"/>
      <c r="F19" s="8"/>
      <c r="G19" s="8"/>
      <c r="H19" s="8"/>
      <c r="I19" s="8"/>
      <c r="J19" s="8"/>
      <c r="K19" s="8"/>
      <c r="L19" s="8"/>
    </row>
    <row r="20" spans="1:12" s="7" customFormat="1" ht="20.100000000000001" customHeight="1" x14ac:dyDescent="0.2">
      <c r="A20" s="654" t="s">
        <v>251</v>
      </c>
      <c r="B20" s="655"/>
      <c r="C20" s="655"/>
      <c r="D20" s="656"/>
      <c r="E20"/>
      <c r="F20" s="8"/>
      <c r="G20" s="8"/>
      <c r="H20" s="8"/>
      <c r="I20" s="8"/>
      <c r="J20" s="8"/>
      <c r="K20" s="8"/>
      <c r="L20" s="8"/>
    </row>
    <row r="21" spans="1:12" s="7" customFormat="1" ht="20.100000000000001" customHeight="1" x14ac:dyDescent="0.2">
      <c r="A21" s="84"/>
      <c r="B21" s="85"/>
      <c r="C21" s="85"/>
      <c r="D21" s="86"/>
      <c r="E21"/>
      <c r="F21" s="8"/>
      <c r="G21" s="8"/>
      <c r="H21" s="8"/>
      <c r="I21" s="8"/>
      <c r="J21" s="8"/>
      <c r="K21" s="8"/>
      <c r="L21" s="8"/>
    </row>
    <row r="22" spans="1:12" s="7" customFormat="1" ht="20.100000000000001" customHeight="1" x14ac:dyDescent="0.25">
      <c r="A22" s="198" t="s">
        <v>252</v>
      </c>
      <c r="B22" s="199" t="s">
        <v>253</v>
      </c>
      <c r="C22" s="200"/>
      <c r="D22" s="203" t="e">
        <f>D13+D15</f>
        <v>#REF!</v>
      </c>
      <c r="E22" s="80"/>
      <c r="F22" s="8"/>
      <c r="G22" s="8"/>
      <c r="H22" s="8"/>
      <c r="I22" s="8"/>
      <c r="J22" s="8"/>
      <c r="K22" s="8"/>
      <c r="L22" s="8"/>
    </row>
    <row r="23" spans="1:12" s="7" customFormat="1" ht="20.100000000000001" customHeight="1" x14ac:dyDescent="0.2">
      <c r="A23" s="76"/>
      <c r="B23" s="77"/>
      <c r="C23" s="78"/>
      <c r="D23" s="79"/>
      <c r="E23"/>
      <c r="F23" s="8"/>
      <c r="G23" s="8"/>
      <c r="H23" s="8"/>
      <c r="I23" s="8"/>
      <c r="J23" s="8"/>
      <c r="K23" s="8"/>
      <c r="L23" s="8"/>
    </row>
    <row r="24" spans="1:12" s="7" customFormat="1" ht="20.100000000000001" customHeight="1" x14ac:dyDescent="0.25">
      <c r="A24" s="198" t="s">
        <v>254</v>
      </c>
      <c r="B24" s="199" t="s">
        <v>255</v>
      </c>
      <c r="C24" s="202">
        <f>SUM(C25:C27)</f>
        <v>8.6499999999999994E-2</v>
      </c>
      <c r="D24" s="203">
        <f>ROUND(SUM(D25:D27),2)</f>
        <v>316426.3</v>
      </c>
      <c r="E24" s="80"/>
      <c r="F24" s="8"/>
      <c r="G24" s="8"/>
      <c r="H24" s="8"/>
      <c r="I24" s="8"/>
      <c r="J24" s="8"/>
      <c r="K24" s="8"/>
      <c r="L24" s="8"/>
    </row>
    <row r="25" spans="1:12" s="7" customFormat="1" ht="20.100000000000001" customHeight="1" x14ac:dyDescent="0.2">
      <c r="A25" s="76" t="s">
        <v>256</v>
      </c>
      <c r="B25" s="77" t="s">
        <v>257</v>
      </c>
      <c r="C25" s="81">
        <v>0.03</v>
      </c>
      <c r="D25" s="82">
        <f>C25*D$33</f>
        <v>109743.22379999999</v>
      </c>
      <c r="E25" s="80"/>
      <c r="F25" s="8"/>
      <c r="G25" s="8"/>
      <c r="H25" s="8"/>
      <c r="I25" s="8"/>
      <c r="J25" s="8"/>
      <c r="K25" s="8"/>
      <c r="L25" s="8"/>
    </row>
    <row r="26" spans="1:12" s="7" customFormat="1" ht="20.100000000000001" customHeight="1" x14ac:dyDescent="0.2">
      <c r="A26" s="76" t="s">
        <v>258</v>
      </c>
      <c r="B26" s="77" t="s">
        <v>259</v>
      </c>
      <c r="C26" s="81">
        <v>6.4999999999999997E-3</v>
      </c>
      <c r="D26" s="82">
        <f>C26*D$33</f>
        <v>23777.698489999999</v>
      </c>
      <c r="E26" s="80"/>
      <c r="F26" s="8"/>
      <c r="G26" s="8"/>
      <c r="H26" s="8"/>
      <c r="I26" s="8"/>
      <c r="J26" s="8"/>
      <c r="K26" s="8"/>
      <c r="L26" s="8"/>
    </row>
    <row r="27" spans="1:12" s="7" customFormat="1" ht="20.100000000000001" customHeight="1" x14ac:dyDescent="0.2">
      <c r="A27" s="76" t="s">
        <v>260</v>
      </c>
      <c r="B27" s="77" t="s">
        <v>261</v>
      </c>
      <c r="C27" s="81">
        <v>0.05</v>
      </c>
      <c r="D27" s="82">
        <f>C27*D$33</f>
        <v>182905.37300000002</v>
      </c>
      <c r="E27" s="80"/>
      <c r="F27" s="8"/>
      <c r="G27" s="8"/>
      <c r="H27" s="8"/>
      <c r="I27" s="8"/>
      <c r="J27" s="8"/>
      <c r="K27" s="8"/>
      <c r="L27" s="8"/>
    </row>
    <row r="28" spans="1:12" s="7" customFormat="1" ht="20.100000000000001" customHeight="1" x14ac:dyDescent="0.2">
      <c r="A28" s="654" t="s">
        <v>262</v>
      </c>
      <c r="B28" s="655"/>
      <c r="C28" s="655"/>
      <c r="D28" s="656"/>
      <c r="E28" s="80"/>
      <c r="F28" s="8"/>
      <c r="G28" s="8"/>
      <c r="H28" s="8"/>
      <c r="I28" s="8"/>
      <c r="J28" s="8"/>
      <c r="K28" s="8"/>
      <c r="L28" s="8"/>
    </row>
    <row r="29" spans="1:12" s="7" customFormat="1" ht="20.100000000000001" customHeight="1" x14ac:dyDescent="0.2">
      <c r="A29" s="84"/>
      <c r="B29" s="85"/>
      <c r="C29" s="85"/>
      <c r="D29" s="86"/>
      <c r="E29" s="80"/>
      <c r="F29" s="8"/>
      <c r="G29" s="8"/>
      <c r="H29" s="8"/>
      <c r="I29" s="8"/>
      <c r="J29" s="8"/>
      <c r="K29" s="8"/>
      <c r="L29" s="8"/>
    </row>
    <row r="30" spans="1:12" s="7" customFormat="1" ht="20.100000000000001" customHeight="1" x14ac:dyDescent="0.25">
      <c r="A30" s="198" t="s">
        <v>263</v>
      </c>
      <c r="B30" s="199" t="s">
        <v>264</v>
      </c>
      <c r="C30" s="202">
        <v>7.0000000000000007E-2</v>
      </c>
      <c r="D30" s="203">
        <f>C30*D$33</f>
        <v>256067.52220000004</v>
      </c>
      <c r="E30" s="80"/>
      <c r="F30" s="8"/>
      <c r="G30" s="8"/>
      <c r="H30" s="8"/>
      <c r="I30" s="8"/>
      <c r="J30" s="8"/>
      <c r="K30" s="8"/>
      <c r="L30" s="8"/>
    </row>
    <row r="31" spans="1:12" s="7" customFormat="1" ht="20.100000000000001" customHeight="1" x14ac:dyDescent="0.2">
      <c r="A31" s="654" t="s">
        <v>265</v>
      </c>
      <c r="B31" s="655"/>
      <c r="C31" s="655"/>
      <c r="D31" s="656"/>
      <c r="E31"/>
      <c r="F31" s="8"/>
      <c r="G31" s="8"/>
      <c r="H31" s="8"/>
      <c r="I31" s="8"/>
      <c r="J31" s="8"/>
      <c r="K31" s="8"/>
      <c r="L31" s="8"/>
    </row>
    <row r="32" spans="1:12" s="7" customFormat="1" ht="20.100000000000001" customHeight="1" x14ac:dyDescent="0.2">
      <c r="A32" s="84"/>
      <c r="B32" s="85"/>
      <c r="C32" s="85"/>
      <c r="D32" s="86"/>
      <c r="E32"/>
      <c r="F32" s="8"/>
      <c r="G32" s="8"/>
      <c r="H32" s="8"/>
      <c r="I32" s="8"/>
      <c r="J32" s="8"/>
      <c r="K32" s="8"/>
      <c r="L32" s="8"/>
    </row>
    <row r="33" spans="1:12" s="7" customFormat="1" ht="20.100000000000001" customHeight="1" x14ac:dyDescent="0.25">
      <c r="A33" s="74" t="s">
        <v>266</v>
      </c>
      <c r="B33" s="199" t="s">
        <v>267</v>
      </c>
      <c r="C33" s="204"/>
      <c r="D33" s="203">
        <f>ORÇAMENTO!I46</f>
        <v>3658107.46</v>
      </c>
      <c r="E33" s="80"/>
      <c r="F33" s="8"/>
      <c r="G33" s="64"/>
      <c r="H33" s="8"/>
      <c r="I33" s="8"/>
      <c r="J33" s="8"/>
      <c r="K33" s="8"/>
      <c r="L33" s="8"/>
    </row>
    <row r="34" spans="1:12" s="7" customFormat="1" ht="20.100000000000001" customHeight="1" x14ac:dyDescent="0.2">
      <c r="A34" s="76"/>
      <c r="B34" s="77"/>
      <c r="C34" s="78"/>
      <c r="D34" s="79"/>
      <c r="E34"/>
      <c r="F34" s="8"/>
      <c r="G34" s="8"/>
      <c r="H34" s="8"/>
      <c r="I34" s="8"/>
      <c r="J34" s="8"/>
      <c r="K34" s="8"/>
      <c r="L34" s="8"/>
    </row>
    <row r="35" spans="1:12" s="7" customFormat="1" ht="20.100000000000001" customHeight="1" x14ac:dyDescent="0.25">
      <c r="A35" s="198" t="s">
        <v>268</v>
      </c>
      <c r="B35" s="199" t="s">
        <v>269</v>
      </c>
      <c r="C35" s="202">
        <f>ROUND((1+C15)/(1-C24-C30)-1,5)</f>
        <v>0.28001999999999999</v>
      </c>
      <c r="D35" s="205"/>
      <c r="E35"/>
      <c r="F35" s="8"/>
      <c r="G35" s="8"/>
      <c r="H35" s="8"/>
      <c r="I35" s="8"/>
      <c r="J35" s="8"/>
      <c r="K35" s="8"/>
      <c r="L35" s="8"/>
    </row>
    <row r="36" spans="1:12" s="7" customFormat="1" ht="20.100000000000001" customHeight="1" x14ac:dyDescent="0.2">
      <c r="A36" s="87"/>
      <c r="B36" s="88"/>
      <c r="C36" s="88"/>
      <c r="D36" s="89"/>
      <c r="E36"/>
      <c r="F36" s="8"/>
      <c r="G36" s="8"/>
      <c r="H36" s="8"/>
      <c r="I36" s="8"/>
      <c r="J36" s="8"/>
      <c r="K36" s="8"/>
      <c r="L36" s="8"/>
    </row>
    <row r="37" spans="1:12" s="7" customFormat="1" ht="20.100000000000001" customHeight="1" x14ac:dyDescent="0.25">
      <c r="A37" s="90" t="s">
        <v>270</v>
      </c>
      <c r="B37" s="88"/>
      <c r="C37" s="88"/>
      <c r="D37" s="89"/>
      <c r="E37"/>
      <c r="F37" s="8"/>
      <c r="G37" s="8"/>
      <c r="H37" s="8"/>
      <c r="I37" s="8"/>
      <c r="J37" s="8"/>
      <c r="K37" s="8"/>
      <c r="L37" s="8"/>
    </row>
    <row r="38" spans="1:12" s="7" customFormat="1" ht="20.100000000000001" customHeight="1" x14ac:dyDescent="0.25">
      <c r="A38" s="90" t="s">
        <v>271</v>
      </c>
      <c r="B38" s="88"/>
      <c r="C38" s="88"/>
      <c r="D38" s="89"/>
      <c r="E38"/>
      <c r="F38" s="8"/>
      <c r="G38" s="8"/>
      <c r="H38" s="8"/>
      <c r="I38" s="8"/>
      <c r="J38" s="8"/>
      <c r="K38" s="8"/>
      <c r="L38" s="8"/>
    </row>
    <row r="39" spans="1:12" s="7" customFormat="1" ht="20.100000000000001" customHeight="1" thickBot="1" x14ac:dyDescent="0.25">
      <c r="A39" s="91"/>
      <c r="B39" s="92"/>
      <c r="C39" s="93"/>
      <c r="D39" s="94"/>
      <c r="E39" s="8"/>
      <c r="F39" s="8"/>
      <c r="G39" s="8"/>
      <c r="H39" s="8"/>
      <c r="I39" s="8"/>
      <c r="J39" s="8"/>
      <c r="K39" s="8"/>
      <c r="L39" s="8"/>
    </row>
    <row r="40" spans="1:12" s="7" customFormat="1" x14ac:dyDescent="0.2">
      <c r="E40" s="8"/>
      <c r="F40" s="9"/>
      <c r="G40" s="8"/>
      <c r="H40" s="8"/>
      <c r="I40" s="8"/>
      <c r="J40" s="8"/>
      <c r="K40" s="8"/>
      <c r="L40" s="8"/>
    </row>
    <row r="41" spans="1:12" ht="15.95" customHeight="1" x14ac:dyDescent="0.2">
      <c r="E41" s="5"/>
      <c r="F41" s="5"/>
      <c r="G41" s="5"/>
      <c r="H41" s="5"/>
      <c r="I41" s="5"/>
      <c r="J41" s="5"/>
      <c r="K41" s="5"/>
      <c r="L41" s="5"/>
    </row>
    <row r="42" spans="1:12" ht="15.95" customHeight="1" x14ac:dyDescent="0.2">
      <c r="E42" s="5"/>
      <c r="F42" s="5"/>
      <c r="G42" s="5"/>
      <c r="H42" s="5"/>
      <c r="I42" s="5"/>
      <c r="J42" s="5"/>
      <c r="K42" s="5"/>
      <c r="L42" s="5"/>
    </row>
    <row r="43" spans="1:12" ht="15.95" customHeight="1" x14ac:dyDescent="0.2">
      <c r="E43" s="5"/>
      <c r="F43" s="5"/>
      <c r="G43" s="5"/>
      <c r="H43" s="5"/>
      <c r="I43" s="5"/>
      <c r="J43" s="5"/>
      <c r="K43" s="5"/>
      <c r="L43" s="5"/>
    </row>
    <row r="44" spans="1:12" ht="15.95" customHeight="1" x14ac:dyDescent="0.2">
      <c r="E44" s="5"/>
      <c r="F44" s="5"/>
      <c r="G44" s="5"/>
      <c r="H44" s="5"/>
      <c r="I44" s="5"/>
      <c r="J44" s="5"/>
      <c r="K44" s="5"/>
      <c r="L44" s="5"/>
    </row>
    <row r="45" spans="1:12" ht="15.95" customHeight="1" x14ac:dyDescent="0.2">
      <c r="E45" s="5"/>
      <c r="F45" s="5"/>
      <c r="G45" s="5"/>
      <c r="H45" s="5"/>
      <c r="I45" s="5"/>
      <c r="J45" s="5"/>
      <c r="K45" s="5"/>
      <c r="L45" s="5"/>
    </row>
    <row r="46" spans="1:12" ht="15.95" customHeight="1" x14ac:dyDescent="0.2">
      <c r="E46" s="5"/>
      <c r="F46" s="5"/>
      <c r="G46" s="5"/>
      <c r="H46" s="5"/>
      <c r="I46" s="5"/>
      <c r="J46" s="5"/>
      <c r="K46" s="5"/>
      <c r="L46" s="5"/>
    </row>
    <row r="47" spans="1:12" ht="15.95" customHeight="1" x14ac:dyDescent="0.2">
      <c r="E47" s="5"/>
      <c r="F47" s="5"/>
      <c r="G47" s="5"/>
      <c r="H47" s="5"/>
      <c r="I47" s="5"/>
      <c r="J47" s="5"/>
      <c r="K47" s="5"/>
      <c r="L47" s="5"/>
    </row>
    <row r="48" spans="1:12" ht="15.95" customHeight="1" x14ac:dyDescent="0.2">
      <c r="A48" s="1"/>
      <c r="B48" s="1"/>
      <c r="C48" s="1"/>
      <c r="D48" s="1"/>
      <c r="E48" s="5"/>
      <c r="F48" s="5"/>
      <c r="G48" s="5"/>
      <c r="H48" s="5"/>
      <c r="I48" s="5"/>
      <c r="J48" s="5"/>
      <c r="K48" s="5"/>
      <c r="L48" s="5"/>
    </row>
    <row r="49" spans="1:12" ht="15.95" customHeight="1" x14ac:dyDescent="0.2">
      <c r="A49" s="1"/>
      <c r="B49" s="1"/>
      <c r="C49" s="1"/>
      <c r="D49" s="1"/>
      <c r="E49" s="5"/>
      <c r="F49" s="5"/>
      <c r="G49" s="5"/>
      <c r="H49" s="5"/>
      <c r="I49" s="5"/>
      <c r="J49" s="5"/>
      <c r="K49" s="5"/>
      <c r="L49" s="5"/>
    </row>
    <row r="50" spans="1:12" ht="15.95" customHeight="1" x14ac:dyDescent="0.2">
      <c r="A50" s="1"/>
      <c r="B50" s="1"/>
      <c r="C50" s="1"/>
      <c r="D50" s="1"/>
      <c r="E50" s="5"/>
      <c r="F50" s="5"/>
      <c r="G50" s="5"/>
      <c r="H50" s="5"/>
      <c r="I50" s="5"/>
      <c r="J50" s="5"/>
      <c r="K50" s="5"/>
      <c r="L50" s="5"/>
    </row>
    <row r="51" spans="1:12" ht="15.95" customHeight="1" x14ac:dyDescent="0.2">
      <c r="A51" s="1"/>
      <c r="B51" s="1"/>
      <c r="C51" s="1"/>
      <c r="D51" s="1"/>
      <c r="E51" s="5"/>
      <c r="F51" s="5"/>
      <c r="G51" s="5"/>
      <c r="H51" s="5"/>
      <c r="I51" s="5"/>
      <c r="J51" s="5"/>
      <c r="K51" s="5"/>
      <c r="L51" s="5"/>
    </row>
    <row r="52" spans="1:12" ht="15.95" customHeight="1" x14ac:dyDescent="0.2">
      <c r="A52" s="1"/>
      <c r="B52" s="1"/>
      <c r="C52" s="1"/>
      <c r="D52" s="1"/>
      <c r="E52" s="5"/>
      <c r="F52" s="5"/>
      <c r="G52" s="5"/>
      <c r="H52" s="5"/>
      <c r="I52" s="5"/>
      <c r="J52" s="5"/>
      <c r="K52" s="5"/>
      <c r="L52" s="5"/>
    </row>
    <row r="53" spans="1:12" ht="15.95" customHeight="1" x14ac:dyDescent="0.2">
      <c r="A53" s="1"/>
      <c r="B53" s="1"/>
      <c r="C53" s="1"/>
      <c r="D53" s="1"/>
      <c r="E53" s="5"/>
      <c r="F53" s="5"/>
      <c r="G53" s="5"/>
      <c r="H53" s="5"/>
      <c r="I53" s="5"/>
      <c r="J53" s="5"/>
      <c r="K53" s="5"/>
      <c r="L53" s="5"/>
    </row>
    <row r="54" spans="1:12" ht="15.95" customHeight="1" x14ac:dyDescent="0.2">
      <c r="A54" s="1"/>
      <c r="B54" s="1"/>
      <c r="C54" s="1"/>
      <c r="D54" s="1"/>
      <c r="E54" s="5"/>
      <c r="F54" s="5"/>
      <c r="G54" s="5"/>
      <c r="H54" s="5"/>
      <c r="I54" s="5"/>
      <c r="J54" s="5"/>
      <c r="K54" s="5"/>
      <c r="L54" s="5"/>
    </row>
    <row r="55" spans="1:12" ht="15.95" customHeight="1" x14ac:dyDescent="0.2">
      <c r="A55" s="1"/>
      <c r="B55" s="1"/>
      <c r="C55" s="1"/>
      <c r="D55" s="1"/>
      <c r="E55" s="5"/>
      <c r="F55" s="5"/>
      <c r="G55" s="5"/>
      <c r="H55" s="5"/>
      <c r="I55" s="5"/>
      <c r="J55" s="5"/>
      <c r="K55" s="5"/>
      <c r="L55" s="5"/>
    </row>
    <row r="56" spans="1:12" ht="15.95" customHeight="1" x14ac:dyDescent="0.2">
      <c r="A56" s="1"/>
      <c r="B56" s="1"/>
      <c r="C56" s="1"/>
      <c r="D56" s="1"/>
      <c r="E56" s="5"/>
      <c r="F56" s="5"/>
      <c r="G56" s="5"/>
      <c r="H56" s="5"/>
      <c r="I56" s="5"/>
      <c r="J56" s="5"/>
      <c r="K56" s="5"/>
      <c r="L56" s="5"/>
    </row>
    <row r="57" spans="1:12" ht="15.95" customHeight="1" x14ac:dyDescent="0.2">
      <c r="A57" s="1"/>
      <c r="B57" s="1"/>
      <c r="C57" s="1"/>
      <c r="D57" s="1"/>
      <c r="E57" s="5"/>
      <c r="F57" s="5"/>
      <c r="G57" s="5"/>
      <c r="H57" s="5"/>
      <c r="I57" s="5"/>
      <c r="J57" s="5"/>
      <c r="K57" s="5"/>
      <c r="L57" s="5"/>
    </row>
    <row r="58" spans="1:12" ht="15.95" customHeight="1" x14ac:dyDescent="0.2">
      <c r="A58" s="1"/>
      <c r="B58" s="1"/>
      <c r="C58" s="1"/>
      <c r="D58" s="1"/>
      <c r="E58" s="5"/>
      <c r="F58" s="5"/>
      <c r="G58" s="5"/>
      <c r="H58" s="5"/>
      <c r="I58" s="5"/>
      <c r="J58" s="5"/>
      <c r="K58" s="5"/>
      <c r="L58" s="5"/>
    </row>
    <row r="59" spans="1:12" ht="15.95" customHeight="1" x14ac:dyDescent="0.2">
      <c r="A59" s="1"/>
      <c r="B59" s="1"/>
      <c r="C59" s="1"/>
      <c r="D59" s="1"/>
      <c r="E59" s="5"/>
      <c r="F59" s="5"/>
      <c r="G59" s="5"/>
      <c r="H59" s="5"/>
      <c r="I59" s="5"/>
      <c r="J59" s="5"/>
      <c r="K59" s="5"/>
      <c r="L59" s="5"/>
    </row>
    <row r="60" spans="1:12" ht="15.95" customHeight="1" x14ac:dyDescent="0.2">
      <c r="A60" s="1"/>
      <c r="B60" s="1"/>
      <c r="C60" s="1"/>
      <c r="D60" s="1"/>
      <c r="E60" s="5"/>
      <c r="F60" s="5"/>
      <c r="G60" s="5"/>
      <c r="H60" s="5"/>
      <c r="I60" s="5"/>
      <c r="J60" s="5"/>
      <c r="K60" s="5"/>
      <c r="L60" s="5"/>
    </row>
    <row r="61" spans="1:12" ht="15.95" customHeight="1" x14ac:dyDescent="0.2">
      <c r="A61" s="1"/>
      <c r="B61" s="1"/>
      <c r="C61" s="1"/>
      <c r="D61" s="1"/>
      <c r="E61" s="5"/>
      <c r="F61" s="5"/>
      <c r="G61" s="5"/>
      <c r="H61" s="5"/>
      <c r="I61" s="5"/>
      <c r="J61" s="5"/>
      <c r="K61" s="5"/>
      <c r="L61" s="5"/>
    </row>
    <row r="62" spans="1:12" ht="15.95" customHeight="1" x14ac:dyDescent="0.2">
      <c r="A62" s="1"/>
      <c r="B62" s="1"/>
      <c r="C62" s="1"/>
      <c r="D62" s="1"/>
      <c r="E62" s="5"/>
      <c r="F62" s="5"/>
      <c r="G62" s="5"/>
      <c r="H62" s="5"/>
      <c r="I62" s="5"/>
      <c r="J62" s="5"/>
      <c r="K62" s="5"/>
      <c r="L62" s="5"/>
    </row>
    <row r="63" spans="1:12" ht="15.95" customHeight="1" x14ac:dyDescent="0.2">
      <c r="A63" s="1"/>
      <c r="B63" s="1"/>
      <c r="C63" s="1"/>
      <c r="D63" s="1"/>
      <c r="E63" s="5"/>
      <c r="F63" s="5"/>
      <c r="G63" s="5"/>
      <c r="H63" s="5"/>
      <c r="I63" s="5"/>
      <c r="J63" s="5"/>
      <c r="K63" s="5"/>
      <c r="L63" s="5"/>
    </row>
    <row r="64" spans="1:12" ht="15.95" customHeight="1" x14ac:dyDescent="0.2">
      <c r="A64" s="1"/>
      <c r="B64" s="1"/>
      <c r="C64" s="1"/>
      <c r="D64" s="1"/>
      <c r="E64" s="5"/>
      <c r="F64" s="5"/>
      <c r="G64" s="5"/>
      <c r="H64" s="5"/>
      <c r="I64" s="5"/>
      <c r="J64" s="5"/>
      <c r="K64" s="5"/>
      <c r="L64" s="5"/>
    </row>
    <row r="65" spans="1:12" ht="15.95" customHeight="1" x14ac:dyDescent="0.2">
      <c r="A65" s="1"/>
      <c r="B65" s="1"/>
      <c r="C65" s="1"/>
      <c r="D65" s="1"/>
      <c r="E65" s="5"/>
      <c r="F65" s="5"/>
      <c r="G65" s="5"/>
      <c r="H65" s="5"/>
      <c r="I65" s="5"/>
      <c r="J65" s="5"/>
      <c r="K65" s="5"/>
      <c r="L65" s="5"/>
    </row>
    <row r="66" spans="1:12" ht="15.95" customHeight="1" x14ac:dyDescent="0.2">
      <c r="A66" s="1"/>
      <c r="B66" s="1"/>
      <c r="C66" s="1"/>
      <c r="D66" s="1"/>
      <c r="E66" s="5"/>
      <c r="F66" s="5"/>
      <c r="G66" s="5"/>
      <c r="H66" s="5"/>
      <c r="I66" s="5"/>
      <c r="J66" s="5"/>
      <c r="K66" s="5"/>
      <c r="L66" s="5"/>
    </row>
    <row r="67" spans="1:12" ht="15.95" customHeight="1" x14ac:dyDescent="0.2">
      <c r="A67" s="1"/>
      <c r="B67" s="1"/>
      <c r="C67" s="1"/>
      <c r="D67" s="1"/>
      <c r="E67" s="5"/>
      <c r="F67" s="5"/>
      <c r="G67" s="5"/>
      <c r="H67" s="5"/>
      <c r="I67" s="5"/>
      <c r="J67" s="5"/>
      <c r="K67" s="5"/>
      <c r="L67" s="5"/>
    </row>
    <row r="68" spans="1:12" ht="15.95" customHeight="1" x14ac:dyDescent="0.2">
      <c r="A68" s="1"/>
      <c r="B68" s="1"/>
      <c r="C68" s="1"/>
      <c r="D68" s="1"/>
      <c r="E68" s="5"/>
      <c r="F68" s="5"/>
      <c r="G68" s="5"/>
      <c r="H68" s="5"/>
      <c r="I68" s="5"/>
      <c r="J68" s="5"/>
      <c r="K68" s="5"/>
      <c r="L68" s="5"/>
    </row>
    <row r="69" spans="1:12" ht="15.95" customHeight="1" x14ac:dyDescent="0.2">
      <c r="A69" s="1"/>
      <c r="B69" s="1"/>
      <c r="C69" s="1"/>
      <c r="D69" s="1"/>
      <c r="E69" s="5"/>
      <c r="F69" s="5"/>
      <c r="G69" s="5"/>
      <c r="H69" s="5"/>
      <c r="I69" s="5"/>
      <c r="J69" s="5"/>
      <c r="K69" s="5"/>
      <c r="L69" s="5"/>
    </row>
    <row r="70" spans="1:12" ht="15.95" customHeight="1" x14ac:dyDescent="0.2">
      <c r="A70" s="1"/>
      <c r="B70" s="1"/>
      <c r="C70" s="1"/>
      <c r="D70" s="1"/>
      <c r="E70" s="5"/>
      <c r="F70" s="5"/>
      <c r="G70" s="5"/>
      <c r="H70" s="5"/>
      <c r="I70" s="5"/>
      <c r="J70" s="5"/>
      <c r="K70" s="5"/>
      <c r="L70" s="5"/>
    </row>
    <row r="71" spans="1:12" ht="15.95" customHeight="1" x14ac:dyDescent="0.2">
      <c r="A71" s="1"/>
      <c r="B71" s="1"/>
      <c r="C71" s="1"/>
      <c r="D71" s="1"/>
      <c r="E71" s="5"/>
      <c r="F71" s="5"/>
      <c r="G71" s="5"/>
      <c r="H71" s="5"/>
      <c r="I71" s="5"/>
      <c r="J71" s="5"/>
      <c r="K71" s="5"/>
      <c r="L71" s="5"/>
    </row>
    <row r="72" spans="1:12" ht="15.95" customHeight="1" x14ac:dyDescent="0.2">
      <c r="A72" s="1"/>
      <c r="B72" s="1"/>
      <c r="C72" s="1"/>
      <c r="D72" s="1"/>
      <c r="E72" s="5"/>
      <c r="F72" s="5"/>
      <c r="G72" s="5"/>
      <c r="H72" s="5"/>
      <c r="I72" s="5"/>
      <c r="J72" s="5"/>
      <c r="K72" s="5"/>
      <c r="L72" s="5"/>
    </row>
    <row r="73" spans="1:12" ht="15.95" customHeight="1" x14ac:dyDescent="0.2">
      <c r="A73" s="1"/>
      <c r="B73" s="1"/>
      <c r="C73" s="1"/>
      <c r="D73" s="1"/>
      <c r="E73" s="5"/>
      <c r="F73" s="5"/>
      <c r="G73" s="5"/>
      <c r="H73" s="5"/>
      <c r="I73" s="5"/>
      <c r="J73" s="5"/>
      <c r="K73" s="5"/>
      <c r="L73" s="5"/>
    </row>
    <row r="74" spans="1:12" ht="15.95" customHeight="1" x14ac:dyDescent="0.2">
      <c r="A74" s="1"/>
      <c r="B74" s="1"/>
      <c r="C74" s="1"/>
      <c r="D74" s="1"/>
      <c r="E74" s="5"/>
      <c r="F74" s="5"/>
      <c r="G74" s="5"/>
      <c r="H74" s="5"/>
      <c r="I74" s="5"/>
      <c r="J74" s="5"/>
      <c r="K74" s="5"/>
      <c r="L74" s="5"/>
    </row>
    <row r="75" spans="1:12" ht="15.95" customHeight="1" x14ac:dyDescent="0.2">
      <c r="A75" s="1"/>
      <c r="B75" s="1"/>
      <c r="C75" s="1"/>
      <c r="D75" s="1"/>
      <c r="E75" s="5"/>
      <c r="F75" s="5"/>
      <c r="G75" s="5"/>
      <c r="H75" s="5"/>
      <c r="I75" s="5"/>
      <c r="J75" s="5"/>
      <c r="K75" s="5"/>
      <c r="L75" s="5"/>
    </row>
    <row r="76" spans="1:12" ht="15.95" customHeight="1" x14ac:dyDescent="0.2">
      <c r="A76" s="1"/>
      <c r="B76" s="1"/>
      <c r="C76" s="1"/>
      <c r="D76" s="1"/>
      <c r="E76" s="5"/>
      <c r="F76" s="5"/>
      <c r="G76" s="5"/>
      <c r="H76" s="5"/>
      <c r="I76" s="5"/>
      <c r="J76" s="5"/>
      <c r="K76" s="5"/>
      <c r="L76" s="5"/>
    </row>
    <row r="77" spans="1:12" ht="15.95" customHeight="1" x14ac:dyDescent="0.2">
      <c r="A77" s="1"/>
      <c r="B77" s="1"/>
      <c r="C77" s="1"/>
      <c r="D77" s="1"/>
      <c r="E77" s="5"/>
      <c r="F77" s="5"/>
      <c r="G77" s="5"/>
      <c r="H77" s="5"/>
      <c r="I77" s="5"/>
      <c r="J77" s="5"/>
      <c r="K77" s="5"/>
      <c r="L77" s="5"/>
    </row>
    <row r="78" spans="1:12" ht="15.95" customHeight="1" x14ac:dyDescent="0.2">
      <c r="A78" s="1"/>
      <c r="B78" s="1"/>
      <c r="C78" s="1"/>
      <c r="D78" s="1"/>
      <c r="E78" s="5"/>
      <c r="F78" s="5"/>
      <c r="G78" s="5"/>
      <c r="H78" s="5"/>
      <c r="I78" s="5"/>
      <c r="J78" s="5"/>
      <c r="K78" s="5"/>
      <c r="L78" s="5"/>
    </row>
    <row r="79" spans="1:12" ht="15.95" customHeight="1" x14ac:dyDescent="0.2">
      <c r="A79" s="1"/>
      <c r="B79" s="1"/>
      <c r="C79" s="1"/>
      <c r="D79" s="1"/>
      <c r="E79" s="5"/>
      <c r="F79" s="5"/>
      <c r="G79" s="5"/>
      <c r="H79" s="5"/>
      <c r="I79" s="5"/>
      <c r="J79" s="5"/>
      <c r="K79" s="5"/>
      <c r="L79" s="5"/>
    </row>
    <row r="80" spans="1:12" ht="15.95" customHeight="1" x14ac:dyDescent="0.2">
      <c r="A80" s="1"/>
      <c r="B80" s="1"/>
      <c r="C80" s="1"/>
      <c r="D80" s="1"/>
      <c r="E80" s="5"/>
      <c r="F80" s="5"/>
      <c r="G80" s="5"/>
      <c r="H80" s="5"/>
      <c r="I80" s="5"/>
      <c r="J80" s="5"/>
      <c r="K80" s="5"/>
      <c r="L80" s="5"/>
    </row>
    <row r="81" spans="1:12" ht="15.95" customHeight="1" x14ac:dyDescent="0.2">
      <c r="A81" s="1"/>
      <c r="B81" s="1"/>
      <c r="C81" s="1"/>
      <c r="D81" s="1"/>
      <c r="E81" s="5"/>
      <c r="F81" s="5"/>
      <c r="G81" s="5"/>
      <c r="H81" s="5"/>
      <c r="I81" s="5"/>
      <c r="J81" s="5"/>
      <c r="K81" s="5"/>
      <c r="L81" s="5"/>
    </row>
    <row r="82" spans="1:12" ht="15.95" customHeight="1" x14ac:dyDescent="0.2">
      <c r="A82" s="1"/>
      <c r="B82" s="1"/>
      <c r="C82" s="1"/>
      <c r="D82" s="1"/>
      <c r="E82" s="5"/>
      <c r="F82" s="5"/>
      <c r="G82" s="5"/>
      <c r="H82" s="5"/>
      <c r="I82" s="5"/>
      <c r="J82" s="5"/>
      <c r="K82" s="5"/>
      <c r="L82" s="5"/>
    </row>
    <row r="83" spans="1:12" ht="15.95" customHeight="1" x14ac:dyDescent="0.2">
      <c r="A83" s="1"/>
      <c r="B83" s="1"/>
      <c r="C83" s="1"/>
      <c r="D83" s="1"/>
      <c r="E83" s="5"/>
      <c r="F83" s="5"/>
      <c r="G83" s="5"/>
      <c r="H83" s="5"/>
      <c r="I83" s="5"/>
      <c r="J83" s="5"/>
      <c r="K83" s="5"/>
      <c r="L83" s="5"/>
    </row>
    <row r="84" spans="1:12" ht="15.95" customHeight="1" x14ac:dyDescent="0.2">
      <c r="A84" s="1"/>
      <c r="B84" s="1"/>
      <c r="C84" s="1"/>
      <c r="D84" s="1"/>
      <c r="E84" s="5"/>
      <c r="F84" s="5"/>
      <c r="G84" s="5"/>
      <c r="H84" s="5"/>
      <c r="I84" s="5"/>
      <c r="J84" s="5"/>
      <c r="K84" s="5"/>
      <c r="L84" s="5"/>
    </row>
    <row r="85" spans="1:12" ht="15.95" customHeight="1" x14ac:dyDescent="0.2">
      <c r="A85" s="1"/>
      <c r="B85" s="1"/>
      <c r="C85" s="1"/>
      <c r="D85" s="1"/>
      <c r="E85" s="5"/>
      <c r="F85" s="5"/>
      <c r="G85" s="5"/>
      <c r="H85" s="5"/>
      <c r="I85" s="5"/>
      <c r="J85" s="5"/>
      <c r="K85" s="5"/>
      <c r="L85" s="5"/>
    </row>
    <row r="86" spans="1:12" ht="15.95" customHeight="1" x14ac:dyDescent="0.2">
      <c r="A86" s="1"/>
      <c r="B86" s="1"/>
      <c r="C86" s="1"/>
      <c r="D86" s="1"/>
      <c r="E86" s="5"/>
      <c r="F86" s="5"/>
      <c r="G86" s="5"/>
      <c r="H86" s="5"/>
      <c r="I86" s="5"/>
      <c r="J86" s="5"/>
      <c r="K86" s="5"/>
      <c r="L86" s="5"/>
    </row>
    <row r="87" spans="1:12" ht="15.95" customHeight="1" x14ac:dyDescent="0.2">
      <c r="A87" s="1"/>
      <c r="B87" s="1"/>
      <c r="C87" s="1"/>
      <c r="D87" s="1"/>
      <c r="E87" s="5"/>
      <c r="F87" s="5"/>
      <c r="G87" s="5"/>
      <c r="H87" s="5"/>
      <c r="I87" s="5"/>
      <c r="J87" s="5"/>
      <c r="K87" s="5"/>
      <c r="L87" s="5"/>
    </row>
    <row r="88" spans="1:12" ht="15.95" customHeight="1" x14ac:dyDescent="0.2">
      <c r="A88" s="1"/>
      <c r="B88" s="1"/>
      <c r="C88" s="1"/>
      <c r="D88" s="1"/>
      <c r="E88" s="5"/>
      <c r="F88" s="5"/>
      <c r="G88" s="5"/>
      <c r="H88" s="5"/>
      <c r="I88" s="5"/>
      <c r="J88" s="5"/>
      <c r="K88" s="5"/>
      <c r="L88" s="5"/>
    </row>
    <row r="89" spans="1:12" ht="15.95" customHeight="1" x14ac:dyDescent="0.2">
      <c r="A89" s="1"/>
      <c r="B89" s="1"/>
      <c r="C89" s="1"/>
      <c r="D89" s="1"/>
      <c r="E89" s="5"/>
      <c r="F89" s="5"/>
      <c r="G89" s="5"/>
      <c r="H89" s="5"/>
      <c r="I89" s="5"/>
      <c r="J89" s="5"/>
      <c r="K89" s="5"/>
      <c r="L89" s="5"/>
    </row>
    <row r="90" spans="1:12" ht="15.95" customHeight="1" x14ac:dyDescent="0.2">
      <c r="A90" s="1"/>
      <c r="B90" s="1"/>
      <c r="C90" s="1"/>
      <c r="D90" s="1"/>
      <c r="E90" s="5"/>
      <c r="F90" s="5"/>
      <c r="G90" s="5"/>
      <c r="H90" s="5"/>
      <c r="I90" s="5"/>
      <c r="J90" s="5"/>
      <c r="K90" s="5"/>
      <c r="L90" s="5"/>
    </row>
    <row r="91" spans="1:12" ht="15.95" customHeight="1" x14ac:dyDescent="0.2">
      <c r="A91" s="1"/>
      <c r="B91" s="1"/>
      <c r="C91" s="1"/>
      <c r="D91" s="1"/>
      <c r="E91" s="5"/>
      <c r="F91" s="5"/>
      <c r="G91" s="5"/>
      <c r="H91" s="5"/>
      <c r="I91" s="5"/>
      <c r="J91" s="5"/>
      <c r="K91" s="5"/>
      <c r="L91" s="5"/>
    </row>
    <row r="92" spans="1:12" ht="15.95" customHeight="1" x14ac:dyDescent="0.2">
      <c r="A92" s="1"/>
      <c r="B92" s="1"/>
      <c r="C92" s="1"/>
      <c r="D92" s="1"/>
      <c r="E92" s="5"/>
      <c r="F92" s="5"/>
      <c r="G92" s="5"/>
      <c r="H92" s="5"/>
      <c r="I92" s="5"/>
      <c r="J92" s="5"/>
      <c r="K92" s="5"/>
      <c r="L92" s="5"/>
    </row>
    <row r="93" spans="1:12" ht="15.95" customHeight="1" x14ac:dyDescent="0.2">
      <c r="A93" s="1"/>
      <c r="B93" s="1"/>
      <c r="C93" s="1"/>
      <c r="D93" s="1"/>
      <c r="E93" s="5"/>
      <c r="F93" s="5"/>
      <c r="G93" s="5"/>
      <c r="H93" s="5"/>
      <c r="I93" s="5"/>
      <c r="J93" s="5"/>
      <c r="K93" s="5"/>
      <c r="L93" s="5"/>
    </row>
    <row r="94" spans="1:12" ht="15.95" customHeight="1" x14ac:dyDescent="0.2">
      <c r="A94" s="1"/>
      <c r="B94" s="1"/>
      <c r="C94" s="1"/>
      <c r="D94" s="1"/>
      <c r="E94" s="5"/>
      <c r="F94" s="5"/>
      <c r="G94" s="5"/>
      <c r="H94" s="5"/>
      <c r="I94" s="5"/>
      <c r="J94" s="5"/>
      <c r="K94" s="5"/>
      <c r="L94" s="5"/>
    </row>
    <row r="95" spans="1:12" ht="15.95" customHeight="1" x14ac:dyDescent="0.2">
      <c r="A95" s="1"/>
      <c r="B95" s="1"/>
      <c r="C95" s="1"/>
      <c r="D95" s="1"/>
      <c r="E95" s="5"/>
      <c r="F95" s="5"/>
      <c r="G95" s="5"/>
      <c r="H95" s="5"/>
      <c r="I95" s="5"/>
      <c r="J95" s="5"/>
      <c r="K95" s="5"/>
      <c r="L95" s="5"/>
    </row>
    <row r="96" spans="1:12" ht="15.95" customHeight="1" x14ac:dyDescent="0.2">
      <c r="A96" s="1"/>
      <c r="B96" s="1"/>
      <c r="C96" s="1"/>
      <c r="D96" s="1"/>
      <c r="E96" s="5"/>
      <c r="F96" s="5"/>
      <c r="G96" s="5"/>
      <c r="H96" s="5"/>
      <c r="I96" s="5"/>
      <c r="J96" s="5"/>
      <c r="K96" s="5"/>
      <c r="L96" s="5"/>
    </row>
    <row r="97" spans="1:12" ht="15.95" customHeight="1" x14ac:dyDescent="0.2">
      <c r="A97" s="1"/>
      <c r="B97" s="1"/>
      <c r="C97" s="1"/>
      <c r="D97" s="1"/>
      <c r="E97" s="5"/>
      <c r="F97" s="5"/>
      <c r="G97" s="5"/>
      <c r="H97" s="5"/>
      <c r="I97" s="5"/>
      <c r="J97" s="5"/>
      <c r="K97" s="5"/>
      <c r="L97" s="5"/>
    </row>
    <row r="98" spans="1:12" ht="15.95" customHeight="1" x14ac:dyDescent="0.2">
      <c r="A98" s="1"/>
      <c r="B98" s="1"/>
      <c r="C98" s="1"/>
      <c r="D98" s="1"/>
      <c r="E98" s="5"/>
      <c r="F98" s="5"/>
      <c r="G98" s="5"/>
      <c r="H98" s="5"/>
      <c r="I98" s="5"/>
      <c r="J98" s="5"/>
      <c r="K98" s="5"/>
      <c r="L98" s="5"/>
    </row>
    <row r="99" spans="1:12" ht="15.95" customHeight="1" x14ac:dyDescent="0.2">
      <c r="A99" s="1"/>
      <c r="B99" s="1"/>
      <c r="C99" s="1"/>
      <c r="D99" s="1"/>
      <c r="E99" s="5"/>
      <c r="F99" s="5"/>
      <c r="G99" s="5"/>
      <c r="H99" s="5"/>
      <c r="I99" s="5"/>
      <c r="J99" s="5"/>
      <c r="K99" s="5"/>
      <c r="L99" s="5"/>
    </row>
    <row r="100" spans="1:12" ht="15.95" customHeight="1" x14ac:dyDescent="0.2">
      <c r="A100" s="1"/>
      <c r="B100" s="1"/>
      <c r="C100" s="1"/>
      <c r="D100" s="1"/>
      <c r="E100" s="5"/>
      <c r="F100" s="5"/>
      <c r="G100" s="5"/>
      <c r="H100" s="5"/>
      <c r="I100" s="5"/>
      <c r="J100" s="5"/>
      <c r="K100" s="5"/>
      <c r="L100" s="5"/>
    </row>
    <row r="101" spans="1:12" ht="15.95" customHeight="1" x14ac:dyDescent="0.2">
      <c r="A101" s="1"/>
      <c r="B101" s="1"/>
      <c r="C101" s="1"/>
      <c r="D101" s="1"/>
      <c r="E101" s="5"/>
      <c r="F101" s="5"/>
      <c r="G101" s="5"/>
      <c r="H101" s="5"/>
      <c r="I101" s="5"/>
      <c r="J101" s="5"/>
      <c r="K101" s="5"/>
      <c r="L101" s="5"/>
    </row>
    <row r="102" spans="1:12" ht="15.95" customHeight="1" x14ac:dyDescent="0.2">
      <c r="A102" s="1"/>
      <c r="B102" s="1"/>
      <c r="C102" s="1"/>
      <c r="D102" s="1"/>
      <c r="E102" s="5"/>
      <c r="F102" s="5"/>
      <c r="G102" s="5"/>
      <c r="H102" s="5"/>
      <c r="I102" s="5"/>
      <c r="J102" s="5"/>
      <c r="K102" s="5"/>
      <c r="L102" s="5"/>
    </row>
    <row r="103" spans="1:12" ht="15.95" customHeight="1" x14ac:dyDescent="0.2">
      <c r="A103" s="1"/>
      <c r="B103" s="1"/>
      <c r="C103" s="1"/>
      <c r="D103" s="1"/>
      <c r="E103" s="5"/>
      <c r="F103" s="5"/>
      <c r="G103" s="5"/>
      <c r="H103" s="5"/>
      <c r="I103" s="5"/>
      <c r="J103" s="5"/>
      <c r="K103" s="5"/>
      <c r="L103" s="5"/>
    </row>
    <row r="104" spans="1:12" ht="15.95" customHeight="1" x14ac:dyDescent="0.2">
      <c r="A104" s="1"/>
      <c r="B104" s="1"/>
      <c r="C104" s="1"/>
      <c r="D104" s="1"/>
      <c r="E104" s="5"/>
      <c r="F104" s="5"/>
      <c r="G104" s="5"/>
      <c r="H104" s="5"/>
      <c r="I104" s="5"/>
      <c r="J104" s="5"/>
      <c r="K104" s="5"/>
      <c r="L104" s="5"/>
    </row>
    <row r="105" spans="1:12" ht="15.95" customHeight="1" x14ac:dyDescent="0.2">
      <c r="A105" s="1"/>
      <c r="B105" s="1"/>
      <c r="C105" s="1"/>
      <c r="D105" s="1"/>
      <c r="E105" s="5"/>
      <c r="F105" s="5"/>
      <c r="G105" s="5"/>
      <c r="H105" s="5"/>
      <c r="I105" s="5"/>
      <c r="J105" s="5"/>
      <c r="K105" s="5"/>
      <c r="L105" s="5"/>
    </row>
    <row r="106" spans="1:12" ht="15.95" customHeight="1" x14ac:dyDescent="0.2">
      <c r="A106" s="1"/>
      <c r="B106" s="1"/>
      <c r="C106" s="1"/>
      <c r="D106" s="1"/>
      <c r="E106" s="5"/>
      <c r="F106" s="5"/>
      <c r="G106" s="5"/>
      <c r="H106" s="5"/>
      <c r="I106" s="5"/>
      <c r="J106" s="5"/>
      <c r="K106" s="5"/>
      <c r="L106" s="5"/>
    </row>
    <row r="107" spans="1:12" ht="15.95" customHeight="1" x14ac:dyDescent="0.2">
      <c r="A107" s="1"/>
      <c r="B107" s="1"/>
      <c r="C107" s="1"/>
      <c r="D107" s="1"/>
      <c r="E107" s="5"/>
      <c r="F107" s="5"/>
      <c r="G107" s="5"/>
      <c r="H107" s="5"/>
      <c r="I107" s="5"/>
      <c r="J107" s="5"/>
      <c r="K107" s="5"/>
      <c r="L107" s="5"/>
    </row>
    <row r="108" spans="1:12" ht="15.95" customHeight="1" x14ac:dyDescent="0.2">
      <c r="A108" s="1"/>
      <c r="B108" s="1"/>
      <c r="C108" s="1"/>
      <c r="D108" s="1"/>
      <c r="E108" s="5"/>
      <c r="F108" s="5"/>
      <c r="G108" s="5"/>
      <c r="H108" s="5"/>
      <c r="I108" s="5"/>
      <c r="J108" s="5"/>
      <c r="K108" s="5"/>
      <c r="L108" s="5"/>
    </row>
    <row r="109" spans="1:12" ht="15.95" customHeight="1" x14ac:dyDescent="0.2">
      <c r="A109" s="1"/>
      <c r="B109" s="1"/>
      <c r="C109" s="1"/>
      <c r="D109" s="1"/>
      <c r="E109" s="5"/>
      <c r="F109" s="5"/>
      <c r="G109" s="5"/>
      <c r="H109" s="5"/>
      <c r="I109" s="5"/>
      <c r="J109" s="5"/>
      <c r="K109" s="5"/>
      <c r="L109" s="5"/>
    </row>
    <row r="110" spans="1:12" ht="15.95" customHeight="1" x14ac:dyDescent="0.2">
      <c r="A110" s="1"/>
      <c r="B110" s="1"/>
      <c r="C110" s="1"/>
      <c r="D110" s="1"/>
      <c r="E110" s="5"/>
      <c r="F110" s="5"/>
      <c r="G110" s="5"/>
      <c r="H110" s="5"/>
      <c r="I110" s="5"/>
      <c r="J110" s="5"/>
      <c r="K110" s="5"/>
      <c r="L110" s="5"/>
    </row>
    <row r="111" spans="1:12" ht="15.95" customHeight="1" x14ac:dyDescent="0.2">
      <c r="A111" s="1"/>
      <c r="B111" s="1"/>
      <c r="C111" s="1"/>
      <c r="D111" s="1"/>
      <c r="E111" s="5"/>
      <c r="F111" s="5"/>
      <c r="G111" s="5"/>
      <c r="H111" s="5"/>
      <c r="I111" s="5"/>
      <c r="J111" s="5"/>
      <c r="K111" s="5"/>
      <c r="L111" s="5"/>
    </row>
    <row r="112" spans="1:12" ht="15.95" customHeight="1" x14ac:dyDescent="0.2">
      <c r="A112" s="1"/>
      <c r="B112" s="1"/>
      <c r="C112" s="1"/>
      <c r="D112" s="1"/>
      <c r="E112" s="5"/>
      <c r="F112" s="5"/>
      <c r="G112" s="5"/>
      <c r="H112" s="5"/>
      <c r="I112" s="5"/>
      <c r="J112" s="5"/>
      <c r="K112" s="5"/>
      <c r="L112" s="5"/>
    </row>
    <row r="113" spans="1:12" ht="15.95" customHeight="1" x14ac:dyDescent="0.2">
      <c r="A113" s="1"/>
      <c r="B113" s="1"/>
      <c r="C113" s="1"/>
      <c r="D113" s="1"/>
      <c r="E113" s="5"/>
      <c r="F113" s="5"/>
      <c r="G113" s="5"/>
      <c r="H113" s="5"/>
      <c r="I113" s="5"/>
      <c r="J113" s="5"/>
      <c r="K113" s="5"/>
      <c r="L113" s="5"/>
    </row>
    <row r="114" spans="1:12" ht="15.95" customHeight="1" x14ac:dyDescent="0.2">
      <c r="A114" s="1"/>
      <c r="B114" s="1"/>
      <c r="C114" s="1"/>
      <c r="D114" s="1"/>
      <c r="E114" s="5"/>
      <c r="F114" s="5"/>
      <c r="G114" s="5"/>
      <c r="H114" s="5"/>
      <c r="I114" s="5"/>
      <c r="J114" s="5"/>
      <c r="K114" s="5"/>
      <c r="L114" s="5"/>
    </row>
    <row r="115" spans="1:12" ht="15.95" customHeight="1" x14ac:dyDescent="0.2">
      <c r="A115" s="1"/>
      <c r="B115" s="1"/>
      <c r="C115" s="1"/>
      <c r="D115" s="1"/>
      <c r="E115" s="5"/>
      <c r="F115" s="5"/>
      <c r="G115" s="5"/>
      <c r="H115" s="5"/>
      <c r="I115" s="5"/>
      <c r="J115" s="5"/>
      <c r="K115" s="5"/>
      <c r="L115" s="5"/>
    </row>
    <row r="116" spans="1:12" ht="15.95" customHeight="1" x14ac:dyDescent="0.2">
      <c r="A116" s="1"/>
      <c r="B116" s="1"/>
      <c r="C116" s="1"/>
      <c r="D116" s="1"/>
      <c r="E116" s="5"/>
      <c r="F116" s="5"/>
      <c r="G116" s="5"/>
      <c r="H116" s="5"/>
      <c r="I116" s="5"/>
      <c r="J116" s="5"/>
      <c r="K116" s="5"/>
      <c r="L116" s="5"/>
    </row>
    <row r="117" spans="1:12" ht="15.95" customHeight="1" x14ac:dyDescent="0.2">
      <c r="A117" s="1"/>
      <c r="B117" s="1"/>
      <c r="C117" s="1"/>
      <c r="D117" s="1"/>
      <c r="E117" s="5"/>
      <c r="F117" s="5"/>
      <c r="G117" s="5"/>
      <c r="H117" s="5"/>
      <c r="I117" s="5"/>
      <c r="J117" s="5"/>
      <c r="K117" s="5"/>
      <c r="L117" s="5"/>
    </row>
    <row r="118" spans="1:12" ht="15.95" customHeight="1" x14ac:dyDescent="0.2">
      <c r="A118" s="1"/>
      <c r="B118" s="1"/>
      <c r="C118" s="1"/>
      <c r="D118" s="1"/>
      <c r="E118" s="5"/>
      <c r="F118" s="5"/>
      <c r="G118" s="5"/>
      <c r="H118" s="5"/>
      <c r="I118" s="5"/>
      <c r="J118" s="5"/>
      <c r="K118" s="5"/>
      <c r="L118" s="5"/>
    </row>
    <row r="119" spans="1:12" ht="15.95" customHeight="1" x14ac:dyDescent="0.2">
      <c r="A119" s="1"/>
      <c r="B119" s="1"/>
      <c r="C119" s="1"/>
      <c r="D119" s="1"/>
      <c r="E119" s="5"/>
      <c r="F119" s="5"/>
      <c r="G119" s="5"/>
      <c r="H119" s="5"/>
      <c r="I119" s="5"/>
      <c r="J119" s="5"/>
      <c r="K119" s="5"/>
      <c r="L119" s="5"/>
    </row>
    <row r="120" spans="1:12" ht="15.95" customHeight="1" x14ac:dyDescent="0.2">
      <c r="A120" s="1"/>
      <c r="B120" s="1"/>
      <c r="C120" s="1"/>
      <c r="D120" s="1"/>
      <c r="E120" s="5"/>
      <c r="F120" s="5"/>
      <c r="G120" s="5"/>
      <c r="H120" s="5"/>
      <c r="I120" s="5"/>
      <c r="J120" s="5"/>
      <c r="K120" s="5"/>
      <c r="L120" s="5"/>
    </row>
    <row r="121" spans="1:12" ht="15.95" customHeight="1" x14ac:dyDescent="0.2">
      <c r="A121" s="1"/>
      <c r="B121" s="1"/>
      <c r="C121" s="1"/>
      <c r="D121" s="1"/>
      <c r="E121" s="5"/>
      <c r="F121" s="5"/>
      <c r="G121" s="5"/>
      <c r="H121" s="5"/>
      <c r="I121" s="5"/>
      <c r="J121" s="5"/>
      <c r="K121" s="5"/>
      <c r="L121" s="5"/>
    </row>
    <row r="122" spans="1:12" ht="15.95" customHeight="1" x14ac:dyDescent="0.2">
      <c r="A122" s="1"/>
      <c r="B122" s="1"/>
      <c r="C122" s="1"/>
      <c r="D122" s="1"/>
      <c r="E122" s="5"/>
      <c r="F122" s="5"/>
      <c r="G122" s="5"/>
      <c r="H122" s="5"/>
      <c r="I122" s="5"/>
      <c r="J122" s="5"/>
      <c r="K122" s="5"/>
      <c r="L122" s="5"/>
    </row>
    <row r="123" spans="1:12" ht="15.95" customHeight="1" x14ac:dyDescent="0.2">
      <c r="A123" s="1"/>
      <c r="B123" s="1"/>
      <c r="C123" s="1"/>
      <c r="D123" s="1"/>
      <c r="E123" s="5"/>
      <c r="F123" s="5"/>
      <c r="G123" s="5"/>
      <c r="H123" s="5"/>
      <c r="I123" s="5"/>
      <c r="J123" s="5"/>
      <c r="K123" s="5"/>
      <c r="L123" s="5"/>
    </row>
    <row r="124" spans="1:12" ht="15.95" customHeight="1" x14ac:dyDescent="0.2">
      <c r="A124" s="1"/>
      <c r="B124" s="1"/>
      <c r="C124" s="1"/>
      <c r="D124" s="1"/>
      <c r="E124" s="5"/>
      <c r="F124" s="5"/>
      <c r="G124" s="5"/>
      <c r="H124" s="5"/>
      <c r="I124" s="5"/>
      <c r="J124" s="5"/>
      <c r="K124" s="5"/>
      <c r="L124" s="5"/>
    </row>
    <row r="125" spans="1:12" ht="15.95" customHeight="1" x14ac:dyDescent="0.2">
      <c r="A125" s="1"/>
      <c r="B125" s="1"/>
      <c r="C125" s="1"/>
      <c r="D125" s="1"/>
      <c r="E125" s="5"/>
      <c r="F125" s="5"/>
      <c r="G125" s="5"/>
      <c r="H125" s="5"/>
      <c r="I125" s="5"/>
      <c r="J125" s="5"/>
      <c r="K125" s="5"/>
      <c r="L125" s="5"/>
    </row>
    <row r="126" spans="1:12" ht="15.95" customHeight="1" x14ac:dyDescent="0.2">
      <c r="A126" s="1"/>
      <c r="B126" s="1"/>
      <c r="C126" s="1"/>
      <c r="D126" s="1"/>
      <c r="E126" s="5"/>
      <c r="F126" s="5"/>
      <c r="G126" s="5"/>
      <c r="H126" s="5"/>
      <c r="I126" s="5"/>
      <c r="J126" s="5"/>
      <c r="K126" s="5"/>
      <c r="L126" s="5"/>
    </row>
    <row r="127" spans="1:12" ht="15.95" customHeight="1" x14ac:dyDescent="0.2">
      <c r="A127" s="1"/>
      <c r="B127" s="1"/>
      <c r="C127" s="1"/>
      <c r="D127" s="1"/>
      <c r="E127" s="5"/>
      <c r="F127" s="5"/>
      <c r="G127" s="5"/>
      <c r="H127" s="5"/>
      <c r="I127" s="5"/>
      <c r="J127" s="5"/>
      <c r="K127" s="5"/>
      <c r="L127" s="5"/>
    </row>
    <row r="128" spans="1:12" ht="15.95" customHeight="1" x14ac:dyDescent="0.2">
      <c r="A128" s="1"/>
      <c r="B128" s="1"/>
      <c r="C128" s="1"/>
      <c r="D128" s="1"/>
      <c r="E128" s="5"/>
      <c r="F128" s="5"/>
      <c r="G128" s="5"/>
      <c r="H128" s="5"/>
      <c r="I128" s="5"/>
      <c r="J128" s="5"/>
      <c r="K128" s="5"/>
      <c r="L128" s="5"/>
    </row>
    <row r="129" spans="1:12" ht="15.95" customHeight="1" x14ac:dyDescent="0.2">
      <c r="A129" s="1"/>
      <c r="B129" s="1"/>
      <c r="C129" s="1"/>
      <c r="D129" s="1"/>
      <c r="E129" s="5"/>
      <c r="F129" s="5"/>
      <c r="G129" s="5"/>
      <c r="H129" s="5"/>
      <c r="I129" s="5"/>
      <c r="J129" s="5"/>
      <c r="K129" s="5"/>
      <c r="L129" s="5"/>
    </row>
    <row r="130" spans="1:12" ht="15.95" customHeight="1" x14ac:dyDescent="0.2">
      <c r="A130" s="1"/>
      <c r="B130" s="1"/>
      <c r="C130" s="1"/>
      <c r="D130" s="1"/>
      <c r="E130" s="5"/>
      <c r="F130" s="5"/>
      <c r="G130" s="5"/>
      <c r="H130" s="5"/>
      <c r="I130" s="5"/>
      <c r="J130" s="5"/>
      <c r="K130" s="5"/>
      <c r="L130" s="5"/>
    </row>
    <row r="131" spans="1:12" ht="15.95" customHeight="1" x14ac:dyDescent="0.2">
      <c r="A131" s="1"/>
      <c r="B131" s="1"/>
      <c r="C131" s="1"/>
      <c r="D131" s="1"/>
      <c r="E131" s="5"/>
      <c r="F131" s="5"/>
      <c r="G131" s="5"/>
      <c r="H131" s="5"/>
      <c r="I131" s="5"/>
      <c r="J131" s="5"/>
      <c r="K131" s="5"/>
      <c r="L131" s="5"/>
    </row>
    <row r="132" spans="1:12" ht="15.95" customHeight="1" x14ac:dyDescent="0.2">
      <c r="A132" s="1"/>
      <c r="B132" s="1"/>
      <c r="C132" s="1"/>
      <c r="D132" s="1"/>
      <c r="E132" s="5"/>
      <c r="F132" s="5"/>
      <c r="G132" s="5"/>
      <c r="H132" s="5"/>
      <c r="I132" s="5"/>
      <c r="J132" s="5"/>
      <c r="K132" s="5"/>
      <c r="L132" s="5"/>
    </row>
    <row r="133" spans="1:12" ht="15.95" customHeight="1" x14ac:dyDescent="0.2">
      <c r="A133" s="1"/>
      <c r="B133" s="1"/>
      <c r="C133" s="1"/>
      <c r="D133" s="1"/>
      <c r="E133" s="5"/>
      <c r="F133" s="5"/>
      <c r="G133" s="5"/>
      <c r="H133" s="5"/>
      <c r="I133" s="5"/>
      <c r="J133" s="5"/>
      <c r="K133" s="5"/>
      <c r="L133" s="5"/>
    </row>
    <row r="134" spans="1:12" ht="15.95" customHeight="1" x14ac:dyDescent="0.2">
      <c r="A134" s="1"/>
      <c r="B134" s="1"/>
      <c r="C134" s="1"/>
      <c r="D134" s="1"/>
      <c r="E134" s="5"/>
      <c r="F134" s="5"/>
      <c r="G134" s="5"/>
      <c r="H134" s="5"/>
      <c r="I134" s="5"/>
      <c r="J134" s="5"/>
      <c r="K134" s="5"/>
      <c r="L134" s="5"/>
    </row>
    <row r="135" spans="1:12" ht="15.95" customHeight="1" x14ac:dyDescent="0.2">
      <c r="A135" s="1"/>
      <c r="B135" s="1"/>
      <c r="C135" s="1"/>
      <c r="D135" s="1"/>
      <c r="E135" s="5"/>
      <c r="F135" s="5"/>
      <c r="G135" s="5"/>
      <c r="H135" s="5"/>
      <c r="I135" s="5"/>
      <c r="J135" s="5"/>
      <c r="K135" s="5"/>
      <c r="L135" s="5"/>
    </row>
    <row r="136" spans="1:12" ht="15.95" customHeight="1" x14ac:dyDescent="0.2">
      <c r="A136" s="1"/>
      <c r="B136" s="1"/>
      <c r="C136" s="1"/>
      <c r="D136" s="1"/>
      <c r="E136" s="5"/>
      <c r="F136" s="5"/>
      <c r="G136" s="5"/>
      <c r="H136" s="5"/>
      <c r="I136" s="5"/>
      <c r="J136" s="5"/>
      <c r="K136" s="5"/>
      <c r="L136" s="5"/>
    </row>
    <row r="137" spans="1:12" ht="15.95" customHeight="1" x14ac:dyDescent="0.2">
      <c r="A137" s="1"/>
      <c r="B137" s="1"/>
      <c r="C137" s="1"/>
      <c r="D137" s="1"/>
      <c r="E137" s="5"/>
      <c r="F137" s="5"/>
      <c r="G137" s="5"/>
      <c r="H137" s="5"/>
      <c r="I137" s="5"/>
      <c r="J137" s="5"/>
      <c r="K137" s="5"/>
      <c r="L137" s="5"/>
    </row>
    <row r="138" spans="1:12" ht="15.95" customHeight="1" x14ac:dyDescent="0.2">
      <c r="A138" s="1"/>
      <c r="B138" s="1"/>
      <c r="C138" s="1"/>
      <c r="D138" s="1"/>
      <c r="E138" s="5"/>
      <c r="F138" s="5"/>
      <c r="G138" s="5"/>
      <c r="H138" s="5"/>
      <c r="I138" s="5"/>
      <c r="J138" s="5"/>
      <c r="K138" s="5"/>
      <c r="L138" s="5"/>
    </row>
    <row r="139" spans="1:12" ht="15.95" customHeight="1" x14ac:dyDescent="0.2">
      <c r="A139" s="1"/>
      <c r="B139" s="1"/>
      <c r="C139" s="1"/>
      <c r="D139" s="1"/>
      <c r="E139" s="5"/>
      <c r="F139" s="5"/>
      <c r="G139" s="5"/>
      <c r="H139" s="5"/>
      <c r="I139" s="5"/>
      <c r="J139" s="5"/>
      <c r="K139" s="5"/>
      <c r="L139" s="5"/>
    </row>
    <row r="140" spans="1:12" ht="15.95" customHeight="1" x14ac:dyDescent="0.2">
      <c r="A140" s="1"/>
      <c r="B140" s="1"/>
      <c r="C140" s="1"/>
      <c r="D140" s="1"/>
      <c r="E140" s="5"/>
      <c r="F140" s="5"/>
      <c r="G140" s="5"/>
      <c r="H140" s="5"/>
      <c r="I140" s="5"/>
      <c r="J140" s="5"/>
      <c r="K140" s="5"/>
      <c r="L140" s="5"/>
    </row>
    <row r="141" spans="1:12" ht="15.95" customHeight="1" x14ac:dyDescent="0.2">
      <c r="A141" s="1"/>
      <c r="B141" s="1"/>
      <c r="C141" s="1"/>
      <c r="D141" s="1"/>
      <c r="E141" s="5"/>
      <c r="F141" s="5"/>
      <c r="G141" s="5"/>
      <c r="H141" s="5"/>
      <c r="I141" s="5"/>
      <c r="J141" s="5"/>
      <c r="K141" s="5"/>
      <c r="L141" s="5"/>
    </row>
    <row r="142" spans="1:12" ht="15.95" customHeight="1" x14ac:dyDescent="0.2">
      <c r="A142" s="1"/>
      <c r="B142" s="1"/>
      <c r="C142" s="1"/>
      <c r="D142" s="1"/>
      <c r="E142" s="5"/>
      <c r="F142" s="5"/>
      <c r="G142" s="5"/>
      <c r="H142" s="5"/>
      <c r="I142" s="5"/>
      <c r="J142" s="5"/>
      <c r="K142" s="5"/>
      <c r="L142" s="5"/>
    </row>
    <row r="143" spans="1:12" ht="15.95" customHeight="1" x14ac:dyDescent="0.2">
      <c r="A143" s="1"/>
      <c r="B143" s="1"/>
      <c r="C143" s="1"/>
      <c r="D143" s="1"/>
      <c r="E143" s="5"/>
      <c r="F143" s="5"/>
      <c r="G143" s="5"/>
      <c r="H143" s="5"/>
      <c r="I143" s="5"/>
      <c r="J143" s="5"/>
      <c r="K143" s="5"/>
      <c r="L143" s="5"/>
    </row>
    <row r="144" spans="1:12" ht="15.95" customHeight="1" x14ac:dyDescent="0.2">
      <c r="A144" s="1"/>
      <c r="B144" s="1"/>
      <c r="C144" s="1"/>
      <c r="D144" s="1"/>
      <c r="E144" s="5"/>
      <c r="F144" s="5"/>
      <c r="G144" s="5"/>
      <c r="H144" s="5"/>
      <c r="I144" s="5"/>
      <c r="J144" s="5"/>
      <c r="K144" s="5"/>
      <c r="L144" s="5"/>
    </row>
    <row r="145" spans="1:12" ht="15.95" customHeight="1" x14ac:dyDescent="0.2">
      <c r="A145" s="1"/>
      <c r="B145" s="1"/>
      <c r="C145" s="1"/>
      <c r="D145" s="1"/>
      <c r="E145" s="5"/>
      <c r="F145" s="5"/>
      <c r="G145" s="5"/>
      <c r="H145" s="5"/>
      <c r="I145" s="5"/>
      <c r="J145" s="5"/>
      <c r="K145" s="5"/>
      <c r="L145" s="5"/>
    </row>
    <row r="146" spans="1:12" ht="15.95" customHeight="1" x14ac:dyDescent="0.2">
      <c r="A146" s="1"/>
      <c r="B146" s="1"/>
      <c r="C146" s="1"/>
      <c r="D146" s="1"/>
      <c r="E146" s="5"/>
      <c r="F146" s="5"/>
      <c r="G146" s="5"/>
      <c r="H146" s="5"/>
      <c r="I146" s="5"/>
      <c r="J146" s="5"/>
      <c r="K146" s="5"/>
      <c r="L146" s="5"/>
    </row>
    <row r="147" spans="1:12" ht="15.95" customHeight="1" x14ac:dyDescent="0.2">
      <c r="A147" s="1"/>
      <c r="B147" s="1"/>
      <c r="C147" s="1"/>
      <c r="D147" s="1"/>
      <c r="E147" s="5"/>
      <c r="F147" s="5"/>
      <c r="G147" s="5"/>
      <c r="H147" s="5"/>
      <c r="I147" s="5"/>
      <c r="J147" s="5"/>
      <c r="K147" s="5"/>
      <c r="L147" s="5"/>
    </row>
    <row r="148" spans="1:12" ht="15.95" customHeight="1" x14ac:dyDescent="0.2">
      <c r="A148" s="1"/>
      <c r="B148" s="1"/>
      <c r="C148" s="1"/>
      <c r="D148" s="1"/>
      <c r="E148" s="5"/>
      <c r="F148" s="5"/>
      <c r="G148" s="5"/>
      <c r="H148" s="5"/>
      <c r="I148" s="5"/>
      <c r="J148" s="5"/>
      <c r="K148" s="5"/>
      <c r="L148" s="5"/>
    </row>
    <row r="149" spans="1:12" ht="15.95" customHeight="1" x14ac:dyDescent="0.2">
      <c r="A149" s="1"/>
      <c r="B149" s="1"/>
      <c r="C149" s="1"/>
      <c r="D149" s="1"/>
      <c r="E149" s="5"/>
      <c r="F149" s="5"/>
      <c r="G149" s="5"/>
      <c r="H149" s="5"/>
      <c r="I149" s="5"/>
      <c r="J149" s="5"/>
      <c r="K149" s="5"/>
      <c r="L149" s="5"/>
    </row>
    <row r="150" spans="1:12" ht="15.95" customHeight="1" x14ac:dyDescent="0.2">
      <c r="A150" s="1"/>
      <c r="B150" s="1"/>
      <c r="C150" s="1"/>
      <c r="D150" s="1"/>
      <c r="E150" s="5"/>
      <c r="F150" s="5"/>
      <c r="G150" s="5"/>
      <c r="H150" s="5"/>
      <c r="I150" s="5"/>
      <c r="J150" s="5"/>
      <c r="K150" s="5"/>
      <c r="L150" s="5"/>
    </row>
    <row r="151" spans="1:12" ht="15.95" customHeight="1" x14ac:dyDescent="0.2">
      <c r="A151" s="1"/>
      <c r="B151" s="1"/>
      <c r="C151" s="1"/>
      <c r="D151" s="1"/>
      <c r="E151" s="5"/>
      <c r="F151" s="5"/>
      <c r="G151" s="5"/>
      <c r="H151" s="5"/>
      <c r="I151" s="5"/>
      <c r="J151" s="5"/>
      <c r="K151" s="5"/>
      <c r="L151" s="5"/>
    </row>
    <row r="152" spans="1:12" ht="15.95" customHeight="1" x14ac:dyDescent="0.2">
      <c r="A152" s="1"/>
      <c r="B152" s="1"/>
      <c r="C152" s="1"/>
      <c r="D152" s="1"/>
      <c r="E152" s="5"/>
      <c r="F152" s="5"/>
      <c r="G152" s="5"/>
      <c r="H152" s="5"/>
      <c r="I152" s="5"/>
      <c r="J152" s="5"/>
      <c r="K152" s="5"/>
      <c r="L152" s="5"/>
    </row>
    <row r="153" spans="1:12" ht="15.95" customHeight="1" x14ac:dyDescent="0.2">
      <c r="A153" s="1"/>
      <c r="B153" s="1"/>
      <c r="C153" s="1"/>
      <c r="D153" s="1"/>
      <c r="E153" s="5"/>
      <c r="F153" s="5"/>
      <c r="G153" s="5"/>
      <c r="H153" s="5"/>
      <c r="I153" s="5"/>
      <c r="J153" s="5"/>
      <c r="K153" s="5"/>
      <c r="L153" s="5"/>
    </row>
    <row r="154" spans="1:12" ht="15.95" customHeight="1" x14ac:dyDescent="0.2">
      <c r="A154" s="1"/>
      <c r="B154" s="1"/>
      <c r="C154" s="1"/>
      <c r="D154" s="1"/>
      <c r="E154" s="5"/>
      <c r="F154" s="5"/>
      <c r="G154" s="5"/>
      <c r="H154" s="5"/>
      <c r="I154" s="5"/>
      <c r="J154" s="5"/>
      <c r="K154" s="5"/>
      <c r="L154" s="5"/>
    </row>
    <row r="155" spans="1:12" ht="15.95" customHeight="1" x14ac:dyDescent="0.2">
      <c r="A155" s="1"/>
      <c r="B155" s="1"/>
      <c r="C155" s="1"/>
      <c r="D155" s="1"/>
      <c r="E155" s="5"/>
      <c r="F155" s="5"/>
      <c r="G155" s="5"/>
      <c r="H155" s="5"/>
      <c r="I155" s="5"/>
      <c r="J155" s="5"/>
      <c r="K155" s="5"/>
      <c r="L155" s="5"/>
    </row>
    <row r="156" spans="1:12" ht="15.95" customHeight="1" x14ac:dyDescent="0.2">
      <c r="A156" s="1"/>
      <c r="B156" s="1"/>
      <c r="C156" s="1"/>
      <c r="D156" s="1"/>
      <c r="E156" s="5"/>
      <c r="F156" s="5"/>
      <c r="G156" s="5"/>
      <c r="H156" s="5"/>
      <c r="I156" s="5"/>
      <c r="J156" s="5"/>
      <c r="K156" s="5"/>
      <c r="L156" s="5"/>
    </row>
    <row r="157" spans="1:12" ht="15.95" customHeight="1" x14ac:dyDescent="0.2">
      <c r="A157" s="1"/>
      <c r="B157" s="1"/>
      <c r="C157" s="1"/>
      <c r="D157" s="1"/>
      <c r="E157" s="5"/>
      <c r="F157" s="5"/>
      <c r="G157" s="5"/>
      <c r="H157" s="5"/>
      <c r="I157" s="5"/>
      <c r="J157" s="5"/>
      <c r="K157" s="5"/>
      <c r="L157" s="5"/>
    </row>
    <row r="158" spans="1:12" ht="15.95" customHeight="1" x14ac:dyDescent="0.2">
      <c r="A158" s="1"/>
      <c r="B158" s="1"/>
      <c r="C158" s="1"/>
      <c r="D158" s="1"/>
      <c r="E158" s="5"/>
      <c r="F158" s="5"/>
      <c r="G158" s="5"/>
      <c r="H158" s="5"/>
      <c r="I158" s="5"/>
      <c r="J158" s="5"/>
      <c r="K158" s="5"/>
      <c r="L158" s="5"/>
    </row>
    <row r="159" spans="1:12" ht="15.95" customHeight="1" x14ac:dyDescent="0.2">
      <c r="A159" s="1"/>
      <c r="B159" s="1"/>
      <c r="C159" s="1"/>
      <c r="D159" s="1"/>
      <c r="E159" s="5"/>
      <c r="F159" s="5"/>
      <c r="G159" s="5"/>
      <c r="H159" s="5"/>
      <c r="I159" s="5"/>
      <c r="J159" s="5"/>
      <c r="K159" s="5"/>
      <c r="L159" s="5"/>
    </row>
    <row r="160" spans="1:12" ht="15.95" customHeight="1" x14ac:dyDescent="0.2">
      <c r="A160" s="1"/>
      <c r="B160" s="1"/>
      <c r="C160" s="1"/>
      <c r="D160" s="1"/>
      <c r="E160" s="5"/>
      <c r="F160" s="5"/>
      <c r="G160" s="5"/>
      <c r="H160" s="5"/>
      <c r="I160" s="5"/>
      <c r="J160" s="5"/>
      <c r="K160" s="5"/>
      <c r="L160" s="5"/>
    </row>
    <row r="161" spans="1:12" ht="15.95" customHeight="1" x14ac:dyDescent="0.2">
      <c r="A161" s="1"/>
      <c r="B161" s="1"/>
      <c r="C161" s="1"/>
      <c r="D161" s="1"/>
      <c r="E161" s="5"/>
      <c r="F161" s="5"/>
      <c r="G161" s="5"/>
      <c r="H161" s="5"/>
      <c r="I161" s="5"/>
      <c r="J161" s="5"/>
      <c r="K161" s="5"/>
      <c r="L161" s="5"/>
    </row>
    <row r="162" spans="1:12" ht="15.95" customHeight="1" x14ac:dyDescent="0.2">
      <c r="A162" s="1"/>
      <c r="B162" s="1"/>
      <c r="C162" s="1"/>
      <c r="D162" s="1"/>
      <c r="E162" s="5"/>
      <c r="F162" s="5"/>
      <c r="G162" s="5"/>
      <c r="H162" s="5"/>
      <c r="I162" s="5"/>
      <c r="J162" s="5"/>
      <c r="K162" s="5"/>
      <c r="L162" s="5"/>
    </row>
    <row r="163" spans="1:12" ht="15.95" customHeight="1" x14ac:dyDescent="0.2">
      <c r="A163" s="1"/>
      <c r="B163" s="1"/>
      <c r="C163" s="1"/>
      <c r="D163" s="1"/>
      <c r="E163" s="5"/>
      <c r="F163" s="5"/>
      <c r="G163" s="5"/>
      <c r="H163" s="5"/>
      <c r="I163" s="5"/>
      <c r="J163" s="5"/>
      <c r="K163" s="5"/>
      <c r="L163" s="5"/>
    </row>
    <row r="164" spans="1:12" ht="15.95" customHeight="1" x14ac:dyDescent="0.2">
      <c r="A164" s="1"/>
      <c r="B164" s="1"/>
      <c r="C164" s="1"/>
      <c r="D164" s="1"/>
      <c r="E164" s="5"/>
      <c r="F164" s="5"/>
      <c r="G164" s="5"/>
      <c r="H164" s="5"/>
      <c r="I164" s="5"/>
      <c r="J164" s="5"/>
      <c r="K164" s="5"/>
      <c r="L164" s="5"/>
    </row>
    <row r="165" spans="1:12" ht="15.95" customHeight="1" x14ac:dyDescent="0.2">
      <c r="A165" s="1"/>
      <c r="B165" s="1"/>
      <c r="C165" s="1"/>
      <c r="D165" s="1"/>
      <c r="E165" s="5"/>
      <c r="F165" s="5"/>
      <c r="G165" s="5"/>
      <c r="H165" s="5"/>
      <c r="I165" s="5"/>
      <c r="J165" s="5"/>
      <c r="K165" s="5"/>
      <c r="L165" s="5"/>
    </row>
    <row r="166" spans="1:12" ht="15.95" customHeight="1" x14ac:dyDescent="0.2">
      <c r="A166" s="1"/>
      <c r="B166" s="1"/>
      <c r="C166" s="1"/>
      <c r="D166" s="1"/>
      <c r="E166" s="5"/>
      <c r="F166" s="5"/>
      <c r="G166" s="5"/>
      <c r="H166" s="5"/>
      <c r="I166" s="5"/>
      <c r="J166" s="5"/>
      <c r="K166" s="5"/>
      <c r="L166" s="5"/>
    </row>
    <row r="167" spans="1:12" ht="15.95" customHeight="1" x14ac:dyDescent="0.2">
      <c r="A167" s="1"/>
      <c r="B167" s="1"/>
      <c r="C167" s="1"/>
      <c r="D167" s="1"/>
      <c r="E167" s="5"/>
      <c r="F167" s="5"/>
      <c r="G167" s="5"/>
      <c r="H167" s="5"/>
      <c r="I167" s="5"/>
      <c r="J167" s="5"/>
      <c r="K167" s="5"/>
      <c r="L167" s="5"/>
    </row>
    <row r="168" spans="1:12" ht="15.95" customHeight="1" x14ac:dyDescent="0.2">
      <c r="A168" s="1"/>
      <c r="B168" s="1"/>
      <c r="C168" s="1"/>
      <c r="D168" s="1"/>
      <c r="E168" s="5"/>
      <c r="F168" s="5"/>
      <c r="G168" s="5"/>
      <c r="H168" s="5"/>
      <c r="I168" s="5"/>
      <c r="J168" s="5"/>
      <c r="K168" s="5"/>
      <c r="L168" s="5"/>
    </row>
    <row r="169" spans="1:12" ht="15.95" customHeight="1" x14ac:dyDescent="0.2">
      <c r="A169" s="1"/>
      <c r="B169" s="1"/>
      <c r="C169" s="1"/>
      <c r="D169" s="1"/>
      <c r="E169" s="5"/>
      <c r="F169" s="5"/>
      <c r="G169" s="5"/>
      <c r="H169" s="5"/>
      <c r="I169" s="5"/>
      <c r="J169" s="5"/>
      <c r="K169" s="5"/>
      <c r="L169" s="5"/>
    </row>
    <row r="170" spans="1:12" ht="15.95" customHeight="1" x14ac:dyDescent="0.2">
      <c r="A170" s="1"/>
      <c r="B170" s="1"/>
      <c r="C170" s="1"/>
      <c r="D170" s="1"/>
      <c r="E170" s="5"/>
      <c r="F170" s="5"/>
      <c r="G170" s="5"/>
      <c r="H170" s="5"/>
      <c r="I170" s="5"/>
      <c r="J170" s="5"/>
      <c r="K170" s="5"/>
      <c r="L170" s="5"/>
    </row>
    <row r="171" spans="1:12" ht="15.95" customHeight="1" x14ac:dyDescent="0.2">
      <c r="A171" s="1"/>
      <c r="B171" s="1"/>
      <c r="C171" s="1"/>
      <c r="D171" s="1"/>
      <c r="E171" s="5"/>
      <c r="F171" s="5"/>
      <c r="G171" s="5"/>
      <c r="H171" s="5"/>
      <c r="I171" s="5"/>
      <c r="J171" s="5"/>
      <c r="K171" s="5"/>
      <c r="L171" s="5"/>
    </row>
    <row r="172" spans="1:12" x14ac:dyDescent="0.2">
      <c r="A172" s="1"/>
      <c r="B172" s="1"/>
      <c r="C172" s="1"/>
      <c r="D172" s="1"/>
      <c r="E172" s="5"/>
      <c r="F172" s="5"/>
      <c r="G172" s="5"/>
      <c r="H172" s="5"/>
      <c r="I172" s="5"/>
      <c r="J172" s="5"/>
      <c r="K172" s="5"/>
      <c r="L172" s="5"/>
    </row>
    <row r="173" spans="1:12" x14ac:dyDescent="0.2">
      <c r="A173" s="1"/>
      <c r="B173" s="1"/>
      <c r="C173" s="1"/>
      <c r="D173" s="1"/>
      <c r="E173" s="5"/>
      <c r="F173" s="5"/>
      <c r="G173" s="5"/>
      <c r="H173" s="5"/>
      <c r="I173" s="5"/>
      <c r="J173" s="5"/>
      <c r="K173" s="5"/>
      <c r="L173" s="5"/>
    </row>
    <row r="174" spans="1:12" x14ac:dyDescent="0.2">
      <c r="A174" s="1"/>
      <c r="B174" s="1"/>
      <c r="C174" s="1"/>
      <c r="D174" s="1"/>
      <c r="E174" s="5"/>
      <c r="F174" s="5"/>
      <c r="G174" s="5"/>
      <c r="H174" s="5"/>
      <c r="I174" s="5"/>
      <c r="J174" s="5"/>
      <c r="K174" s="5"/>
      <c r="L174" s="5"/>
    </row>
    <row r="175" spans="1:12" x14ac:dyDescent="0.2">
      <c r="A175" s="1"/>
      <c r="B175" s="1"/>
      <c r="C175" s="1"/>
      <c r="D175" s="1"/>
      <c r="E175" s="5"/>
      <c r="F175" s="5"/>
      <c r="G175" s="5"/>
      <c r="H175" s="5"/>
      <c r="I175" s="5"/>
      <c r="J175" s="5"/>
      <c r="K175" s="5"/>
      <c r="L175" s="5"/>
    </row>
    <row r="176" spans="1:12" x14ac:dyDescent="0.2">
      <c r="A176" s="1"/>
      <c r="B176" s="1"/>
      <c r="C176" s="1"/>
      <c r="D176" s="1"/>
      <c r="E176" s="5"/>
      <c r="F176" s="5"/>
      <c r="G176" s="5"/>
      <c r="H176" s="5"/>
      <c r="I176" s="5"/>
      <c r="J176" s="5"/>
      <c r="K176" s="5"/>
      <c r="L176" s="5"/>
    </row>
    <row r="177" spans="1:12" x14ac:dyDescent="0.2">
      <c r="A177" s="1"/>
      <c r="B177" s="1"/>
      <c r="C177" s="1"/>
      <c r="D177" s="1"/>
      <c r="E177" s="5"/>
      <c r="F177" s="5"/>
      <c r="G177" s="5"/>
      <c r="H177" s="5"/>
      <c r="I177" s="5"/>
      <c r="J177" s="5"/>
      <c r="K177" s="5"/>
      <c r="L177" s="5"/>
    </row>
    <row r="178" spans="1:12" x14ac:dyDescent="0.2">
      <c r="A178" s="1"/>
      <c r="B178" s="1"/>
      <c r="C178" s="1"/>
      <c r="D178" s="1"/>
      <c r="E178" s="5"/>
      <c r="F178" s="5"/>
      <c r="G178" s="5"/>
      <c r="H178" s="5"/>
      <c r="I178" s="5"/>
      <c r="J178" s="5"/>
      <c r="K178" s="5"/>
      <c r="L178" s="5"/>
    </row>
    <row r="179" spans="1:12" x14ac:dyDescent="0.2">
      <c r="A179" s="1"/>
      <c r="B179" s="1"/>
      <c r="C179" s="1"/>
      <c r="D179" s="1"/>
      <c r="E179" s="5"/>
      <c r="F179" s="5"/>
      <c r="G179" s="5"/>
      <c r="H179" s="5"/>
      <c r="I179" s="5"/>
      <c r="J179" s="5"/>
      <c r="K179" s="5"/>
      <c r="L179" s="5"/>
    </row>
    <row r="180" spans="1:12" x14ac:dyDescent="0.2">
      <c r="A180" s="1"/>
      <c r="B180" s="1"/>
      <c r="C180" s="1"/>
      <c r="D180" s="1"/>
      <c r="E180" s="5"/>
      <c r="F180" s="5"/>
      <c r="G180" s="5"/>
      <c r="H180" s="5"/>
      <c r="I180" s="5"/>
      <c r="J180" s="5"/>
      <c r="K180" s="5"/>
      <c r="L180" s="5"/>
    </row>
    <row r="181" spans="1:12" x14ac:dyDescent="0.2">
      <c r="A181" s="1"/>
      <c r="B181" s="1"/>
      <c r="C181" s="1"/>
      <c r="D181" s="1"/>
      <c r="E181" s="5"/>
      <c r="F181" s="5"/>
      <c r="G181" s="5"/>
      <c r="H181" s="5"/>
      <c r="I181" s="5"/>
      <c r="J181" s="5"/>
      <c r="K181" s="5"/>
      <c r="L181" s="5"/>
    </row>
    <row r="182" spans="1:12" x14ac:dyDescent="0.2">
      <c r="A182" s="1"/>
      <c r="B182" s="1"/>
      <c r="C182" s="1"/>
      <c r="D182" s="1"/>
      <c r="E182" s="5"/>
      <c r="F182" s="5"/>
      <c r="G182" s="5"/>
      <c r="H182" s="5"/>
      <c r="I182" s="5"/>
      <c r="J182" s="5"/>
      <c r="K182" s="5"/>
      <c r="L182" s="5"/>
    </row>
    <row r="183" spans="1:12" x14ac:dyDescent="0.2">
      <c r="A183" s="1"/>
      <c r="B183" s="1"/>
      <c r="C183" s="1"/>
      <c r="D183" s="1"/>
      <c r="E183" s="5"/>
      <c r="F183" s="5"/>
      <c r="G183" s="5"/>
      <c r="H183" s="5"/>
      <c r="I183" s="5"/>
      <c r="J183" s="5"/>
      <c r="K183" s="5"/>
      <c r="L183" s="5"/>
    </row>
    <row r="184" spans="1:12" x14ac:dyDescent="0.2">
      <c r="A184" s="1"/>
      <c r="B184" s="1"/>
      <c r="C184" s="1"/>
      <c r="D184" s="1"/>
      <c r="E184" s="5"/>
      <c r="F184" s="5"/>
      <c r="G184" s="5"/>
      <c r="H184" s="5"/>
      <c r="I184" s="5"/>
      <c r="J184" s="5"/>
      <c r="K184" s="5"/>
      <c r="L184" s="5"/>
    </row>
    <row r="185" spans="1:12" x14ac:dyDescent="0.2">
      <c r="A185" s="1"/>
      <c r="B185" s="1"/>
      <c r="C185" s="1"/>
      <c r="D185" s="1"/>
      <c r="E185" s="5"/>
      <c r="F185" s="5"/>
      <c r="G185" s="5"/>
      <c r="H185" s="5"/>
      <c r="I185" s="5"/>
      <c r="J185" s="5"/>
      <c r="K185" s="5"/>
      <c r="L185" s="5"/>
    </row>
    <row r="186" spans="1:12" x14ac:dyDescent="0.2">
      <c r="A186" s="1"/>
      <c r="B186" s="1"/>
      <c r="C186" s="1"/>
      <c r="D186" s="1"/>
      <c r="E186" s="5"/>
      <c r="F186" s="5"/>
      <c r="G186" s="5"/>
      <c r="H186" s="5"/>
      <c r="I186" s="5"/>
      <c r="J186" s="5"/>
      <c r="K186" s="5"/>
      <c r="L186" s="5"/>
    </row>
    <row r="187" spans="1:12" x14ac:dyDescent="0.2">
      <c r="A187" s="1"/>
      <c r="B187" s="1"/>
      <c r="C187" s="1"/>
      <c r="D187" s="1"/>
      <c r="E187" s="5"/>
      <c r="F187" s="5"/>
      <c r="G187" s="5"/>
      <c r="H187" s="5"/>
      <c r="I187" s="5"/>
      <c r="J187" s="5"/>
      <c r="K187" s="5"/>
      <c r="L187" s="5"/>
    </row>
    <row r="188" spans="1:12" x14ac:dyDescent="0.2">
      <c r="A188" s="1"/>
      <c r="B188" s="1"/>
      <c r="C188" s="1"/>
      <c r="D188" s="1"/>
      <c r="E188" s="5"/>
      <c r="F188" s="5"/>
      <c r="G188" s="5"/>
      <c r="H188" s="5"/>
      <c r="I188" s="5"/>
      <c r="J188" s="5"/>
      <c r="K188" s="5"/>
      <c r="L188" s="5"/>
    </row>
    <row r="189" spans="1:12" x14ac:dyDescent="0.2">
      <c r="A189" s="1"/>
      <c r="B189" s="1"/>
      <c r="C189" s="1"/>
      <c r="D189" s="1"/>
      <c r="E189" s="5"/>
      <c r="F189" s="5"/>
      <c r="G189" s="5"/>
      <c r="H189" s="5"/>
      <c r="I189" s="5"/>
      <c r="J189" s="5"/>
      <c r="K189" s="5"/>
      <c r="L189" s="5"/>
    </row>
    <row r="190" spans="1:12" x14ac:dyDescent="0.2">
      <c r="A190" s="1"/>
      <c r="B190" s="1"/>
      <c r="C190" s="1"/>
      <c r="D190" s="1"/>
      <c r="E190" s="5"/>
      <c r="F190" s="5"/>
      <c r="G190" s="5"/>
      <c r="H190" s="5"/>
      <c r="I190" s="5"/>
      <c r="J190" s="5"/>
      <c r="K190" s="5"/>
      <c r="L190" s="5"/>
    </row>
    <row r="191" spans="1:12" x14ac:dyDescent="0.2">
      <c r="A191" s="1"/>
      <c r="B191" s="1"/>
      <c r="C191" s="1"/>
      <c r="D191" s="1"/>
      <c r="E191" s="5"/>
      <c r="F191" s="5"/>
      <c r="G191" s="5"/>
      <c r="H191" s="5"/>
      <c r="I191" s="5"/>
      <c r="J191" s="5"/>
      <c r="K191" s="5"/>
      <c r="L191" s="5"/>
    </row>
    <row r="192" spans="1:12" x14ac:dyDescent="0.2">
      <c r="A192" s="1"/>
      <c r="B192" s="1"/>
      <c r="C192" s="1"/>
      <c r="D192" s="1"/>
      <c r="E192" s="5"/>
      <c r="F192" s="5"/>
      <c r="G192" s="5"/>
      <c r="H192" s="5"/>
      <c r="I192" s="5"/>
      <c r="J192" s="5"/>
      <c r="K192" s="5"/>
      <c r="L192" s="5"/>
    </row>
    <row r="193" spans="1:12" x14ac:dyDescent="0.2">
      <c r="A193" s="1"/>
      <c r="B193" s="1"/>
      <c r="C193" s="1"/>
      <c r="D193" s="1"/>
      <c r="E193" s="5"/>
      <c r="F193" s="5"/>
      <c r="G193" s="5"/>
      <c r="H193" s="5"/>
      <c r="I193" s="5"/>
      <c r="J193" s="5"/>
      <c r="K193" s="5"/>
      <c r="L193" s="5"/>
    </row>
    <row r="194" spans="1:12" x14ac:dyDescent="0.2">
      <c r="A194" s="1"/>
      <c r="B194" s="1"/>
      <c r="C194" s="1"/>
      <c r="D194" s="1"/>
      <c r="E194" s="5"/>
      <c r="F194" s="5"/>
      <c r="G194" s="5"/>
      <c r="H194" s="5"/>
      <c r="I194" s="5"/>
      <c r="J194" s="5"/>
      <c r="K194" s="5"/>
      <c r="L194" s="5"/>
    </row>
    <row r="195" spans="1:12" x14ac:dyDescent="0.2">
      <c r="A195" s="1"/>
      <c r="B195" s="1"/>
      <c r="C195" s="1"/>
      <c r="D195" s="1"/>
      <c r="E195" s="5"/>
      <c r="F195" s="5"/>
      <c r="G195" s="5"/>
      <c r="H195" s="5"/>
      <c r="I195" s="5"/>
      <c r="J195" s="5"/>
      <c r="K195" s="5"/>
      <c r="L195" s="5"/>
    </row>
    <row r="196" spans="1:12" x14ac:dyDescent="0.2">
      <c r="A196" s="1"/>
      <c r="B196" s="1"/>
      <c r="C196" s="1"/>
      <c r="D196" s="1"/>
      <c r="E196" s="5"/>
      <c r="F196" s="5"/>
      <c r="G196" s="5"/>
      <c r="H196" s="5"/>
      <c r="I196" s="5"/>
      <c r="J196" s="5"/>
      <c r="K196" s="5"/>
      <c r="L196" s="5"/>
    </row>
    <row r="197" spans="1:12" x14ac:dyDescent="0.2">
      <c r="A197" s="1"/>
      <c r="B197" s="1"/>
      <c r="C197" s="1"/>
      <c r="D197" s="1"/>
      <c r="E197" s="5"/>
      <c r="F197" s="5"/>
      <c r="G197" s="5"/>
      <c r="H197" s="5"/>
      <c r="I197" s="5"/>
      <c r="J197" s="5"/>
      <c r="K197" s="5"/>
      <c r="L197" s="5"/>
    </row>
    <row r="198" spans="1:12" x14ac:dyDescent="0.2">
      <c r="A198" s="1"/>
      <c r="B198" s="1"/>
      <c r="C198" s="1"/>
      <c r="D198" s="1"/>
      <c r="E198" s="5"/>
      <c r="F198" s="5"/>
      <c r="G198" s="5"/>
      <c r="H198" s="5"/>
      <c r="I198" s="5"/>
      <c r="J198" s="5"/>
      <c r="K198" s="5"/>
      <c r="L198" s="5"/>
    </row>
    <row r="199" spans="1:12" x14ac:dyDescent="0.2">
      <c r="A199" s="1"/>
      <c r="B199" s="1"/>
      <c r="C199" s="1"/>
      <c r="D199" s="1"/>
      <c r="E199" s="5"/>
      <c r="F199" s="5"/>
      <c r="G199" s="5"/>
      <c r="H199" s="5"/>
      <c r="I199" s="5"/>
      <c r="J199" s="5"/>
      <c r="K199" s="5"/>
      <c r="L199" s="5"/>
    </row>
    <row r="200" spans="1:12" x14ac:dyDescent="0.2">
      <c r="A200" s="1"/>
      <c r="B200" s="1"/>
      <c r="C200" s="1"/>
      <c r="D200" s="1"/>
      <c r="E200" s="5"/>
      <c r="F200" s="5"/>
      <c r="G200" s="5"/>
      <c r="H200" s="5"/>
      <c r="I200" s="5"/>
      <c r="J200" s="5"/>
      <c r="K200" s="5"/>
      <c r="L200" s="5"/>
    </row>
    <row r="201" spans="1:12" x14ac:dyDescent="0.2">
      <c r="A201" s="1"/>
      <c r="B201" s="1"/>
      <c r="C201" s="1"/>
      <c r="D201" s="1"/>
      <c r="E201" s="5"/>
      <c r="F201" s="5"/>
      <c r="G201" s="5"/>
      <c r="H201" s="5"/>
      <c r="I201" s="5"/>
      <c r="J201" s="5"/>
      <c r="K201" s="5"/>
      <c r="L201" s="5"/>
    </row>
    <row r="202" spans="1:12" x14ac:dyDescent="0.2">
      <c r="A202" s="1"/>
      <c r="B202" s="1"/>
      <c r="C202" s="1"/>
      <c r="D202" s="1"/>
      <c r="E202" s="5"/>
      <c r="F202" s="5"/>
      <c r="G202" s="5"/>
      <c r="H202" s="5"/>
      <c r="I202" s="5"/>
      <c r="J202" s="5"/>
      <c r="K202" s="5"/>
      <c r="L202" s="5"/>
    </row>
    <row r="203" spans="1:12" x14ac:dyDescent="0.2">
      <c r="A203" s="1"/>
      <c r="B203" s="1"/>
      <c r="C203" s="1"/>
      <c r="D203" s="1"/>
      <c r="E203" s="5"/>
      <c r="F203" s="5"/>
      <c r="G203" s="5"/>
      <c r="H203" s="5"/>
      <c r="I203" s="5"/>
      <c r="J203" s="5"/>
      <c r="K203" s="5"/>
      <c r="L203" s="5"/>
    </row>
    <row r="204" spans="1:12" x14ac:dyDescent="0.2">
      <c r="A204" s="1"/>
      <c r="B204" s="1"/>
      <c r="C204" s="1"/>
      <c r="D204" s="1"/>
      <c r="E204" s="5"/>
      <c r="F204" s="5"/>
      <c r="G204" s="5"/>
      <c r="H204" s="5"/>
      <c r="I204" s="5"/>
      <c r="J204" s="5"/>
      <c r="K204" s="5"/>
      <c r="L204" s="5"/>
    </row>
    <row r="205" spans="1:12" x14ac:dyDescent="0.2">
      <c r="A205" s="1"/>
      <c r="B205" s="1"/>
      <c r="C205" s="1"/>
      <c r="D205" s="1"/>
      <c r="E205" s="5"/>
      <c r="F205" s="5"/>
      <c r="G205" s="5"/>
      <c r="H205" s="5"/>
      <c r="I205" s="5"/>
      <c r="J205" s="5"/>
      <c r="K205" s="5"/>
      <c r="L205" s="5"/>
    </row>
    <row r="206" spans="1:12" x14ac:dyDescent="0.2">
      <c r="A206" s="1"/>
      <c r="B206" s="1"/>
      <c r="C206" s="1"/>
      <c r="D206" s="1"/>
      <c r="E206" s="5"/>
      <c r="F206" s="5"/>
      <c r="G206" s="5"/>
      <c r="H206" s="5"/>
      <c r="I206" s="5"/>
      <c r="J206" s="5"/>
      <c r="K206" s="5"/>
      <c r="L206" s="5"/>
    </row>
    <row r="207" spans="1:12" x14ac:dyDescent="0.2">
      <c r="A207" s="1"/>
      <c r="B207" s="1"/>
      <c r="C207" s="1"/>
      <c r="D207" s="1"/>
      <c r="E207" s="5"/>
      <c r="F207" s="5"/>
      <c r="G207" s="5"/>
      <c r="H207" s="5"/>
      <c r="I207" s="5"/>
      <c r="J207" s="5"/>
      <c r="K207" s="5"/>
      <c r="L207" s="5"/>
    </row>
    <row r="208" spans="1:12" x14ac:dyDescent="0.2">
      <c r="A208" s="1"/>
      <c r="B208" s="1"/>
      <c r="C208" s="1"/>
      <c r="D208" s="1"/>
      <c r="E208" s="5"/>
      <c r="F208" s="5"/>
      <c r="G208" s="5"/>
      <c r="H208" s="5"/>
      <c r="I208" s="5"/>
      <c r="J208" s="5"/>
      <c r="K208" s="5"/>
      <c r="L208" s="5"/>
    </row>
    <row r="209" spans="1:12" x14ac:dyDescent="0.2">
      <c r="A209" s="1"/>
      <c r="B209" s="1"/>
      <c r="C209" s="1"/>
      <c r="D209" s="1"/>
      <c r="E209" s="5"/>
      <c r="F209" s="5"/>
      <c r="G209" s="5"/>
      <c r="H209" s="5"/>
      <c r="I209" s="5"/>
      <c r="J209" s="5"/>
      <c r="K209" s="5"/>
      <c r="L209" s="5"/>
    </row>
    <row r="210" spans="1:12" x14ac:dyDescent="0.2">
      <c r="A210" s="1"/>
      <c r="B210" s="1"/>
      <c r="C210" s="1"/>
      <c r="D210" s="1"/>
      <c r="E210" s="5"/>
      <c r="F210" s="5"/>
      <c r="G210" s="5"/>
      <c r="H210" s="5"/>
      <c r="I210" s="5"/>
      <c r="J210" s="5"/>
      <c r="K210" s="5"/>
      <c r="L210" s="5"/>
    </row>
    <row r="211" spans="1:12" x14ac:dyDescent="0.2">
      <c r="A211" s="1"/>
      <c r="B211" s="1"/>
      <c r="C211" s="1"/>
      <c r="D211" s="1"/>
      <c r="E211" s="5"/>
      <c r="F211" s="5"/>
      <c r="G211" s="5"/>
      <c r="H211" s="5"/>
      <c r="I211" s="5"/>
      <c r="J211" s="5"/>
      <c r="K211" s="5"/>
      <c r="L211" s="5"/>
    </row>
    <row r="212" spans="1:12" x14ac:dyDescent="0.2">
      <c r="A212" s="1"/>
      <c r="B212" s="1"/>
      <c r="C212" s="1"/>
      <c r="D212" s="1"/>
      <c r="E212" s="5"/>
      <c r="F212" s="5"/>
      <c r="G212" s="5"/>
      <c r="H212" s="5"/>
      <c r="I212" s="5"/>
      <c r="J212" s="5"/>
      <c r="K212" s="5"/>
      <c r="L212" s="5"/>
    </row>
    <row r="213" spans="1:12" x14ac:dyDescent="0.2">
      <c r="A213" s="1"/>
      <c r="B213" s="1"/>
      <c r="C213" s="1"/>
      <c r="D213" s="1"/>
      <c r="E213" s="5"/>
      <c r="F213" s="5"/>
      <c r="G213" s="5"/>
      <c r="H213" s="5"/>
      <c r="I213" s="5"/>
      <c r="J213" s="5"/>
      <c r="K213" s="5"/>
      <c r="L213" s="5"/>
    </row>
    <row r="214" spans="1:12" x14ac:dyDescent="0.2">
      <c r="A214" s="1"/>
      <c r="B214" s="1"/>
      <c r="C214" s="1"/>
      <c r="D214" s="1"/>
      <c r="E214" s="5"/>
      <c r="F214" s="5"/>
      <c r="G214" s="5"/>
      <c r="H214" s="5"/>
      <c r="I214" s="5"/>
      <c r="J214" s="5"/>
      <c r="K214" s="5"/>
      <c r="L214" s="5"/>
    </row>
    <row r="215" spans="1:12" x14ac:dyDescent="0.2">
      <c r="A215" s="1"/>
      <c r="B215" s="1"/>
      <c r="C215" s="1"/>
      <c r="D215" s="1"/>
      <c r="E215" s="5"/>
      <c r="F215" s="5"/>
      <c r="G215" s="5"/>
      <c r="H215" s="5"/>
      <c r="I215" s="5"/>
      <c r="J215" s="5"/>
      <c r="K215" s="5"/>
      <c r="L215" s="5"/>
    </row>
    <row r="216" spans="1:12" x14ac:dyDescent="0.2">
      <c r="A216" s="1"/>
      <c r="B216" s="1"/>
      <c r="C216" s="1"/>
      <c r="D216" s="1"/>
      <c r="E216" s="5"/>
      <c r="F216" s="5"/>
      <c r="G216" s="5"/>
      <c r="H216" s="5"/>
      <c r="I216" s="5"/>
      <c r="J216" s="5"/>
      <c r="K216" s="5"/>
      <c r="L216" s="5"/>
    </row>
    <row r="217" spans="1:12" x14ac:dyDescent="0.2">
      <c r="A217" s="1"/>
      <c r="B217" s="1"/>
      <c r="C217" s="1"/>
      <c r="D217" s="1"/>
      <c r="E217" s="5"/>
      <c r="F217" s="5"/>
      <c r="G217" s="5"/>
      <c r="H217" s="5"/>
      <c r="I217" s="5"/>
      <c r="J217" s="5"/>
      <c r="K217" s="5"/>
      <c r="L217" s="5"/>
    </row>
    <row r="218" spans="1:12" x14ac:dyDescent="0.2">
      <c r="A218" s="1"/>
      <c r="B218" s="1"/>
      <c r="C218" s="1"/>
      <c r="D218" s="1"/>
      <c r="E218" s="5"/>
      <c r="F218" s="5"/>
      <c r="G218" s="5"/>
      <c r="H218" s="5"/>
      <c r="I218" s="5"/>
      <c r="J218" s="5"/>
      <c r="K218" s="5"/>
      <c r="L218" s="5"/>
    </row>
    <row r="219" spans="1:12" x14ac:dyDescent="0.2">
      <c r="A219" s="1"/>
      <c r="B219" s="1"/>
      <c r="C219" s="1"/>
      <c r="D219" s="1"/>
      <c r="E219" s="5"/>
      <c r="F219" s="5"/>
      <c r="G219" s="5"/>
      <c r="H219" s="5"/>
      <c r="I219" s="5"/>
      <c r="J219" s="5"/>
      <c r="K219" s="5"/>
      <c r="L219" s="5"/>
    </row>
    <row r="220" spans="1:12" x14ac:dyDescent="0.2">
      <c r="A220" s="1"/>
      <c r="B220" s="1"/>
      <c r="C220" s="1"/>
      <c r="D220" s="1"/>
      <c r="E220" s="5"/>
      <c r="F220" s="5"/>
      <c r="G220" s="5"/>
      <c r="H220" s="5"/>
      <c r="I220" s="5"/>
      <c r="J220" s="5"/>
      <c r="K220" s="5"/>
      <c r="L220" s="5"/>
    </row>
    <row r="221" spans="1:12" x14ac:dyDescent="0.2">
      <c r="A221" s="1"/>
      <c r="B221" s="1"/>
      <c r="C221" s="1"/>
      <c r="D221" s="1"/>
      <c r="E221" s="5"/>
      <c r="F221" s="5"/>
      <c r="G221" s="5"/>
      <c r="H221" s="5"/>
      <c r="I221" s="5"/>
      <c r="J221" s="5"/>
      <c r="K221" s="5"/>
      <c r="L221" s="5"/>
    </row>
    <row r="222" spans="1:12" x14ac:dyDescent="0.2">
      <c r="A222" s="1"/>
      <c r="B222" s="1"/>
      <c r="C222" s="1"/>
      <c r="D222" s="1"/>
      <c r="E222" s="5"/>
      <c r="F222" s="5"/>
      <c r="G222" s="5"/>
      <c r="H222" s="5"/>
      <c r="I222" s="5"/>
      <c r="J222" s="5"/>
      <c r="K222" s="5"/>
      <c r="L222" s="5"/>
    </row>
    <row r="223" spans="1:12" x14ac:dyDescent="0.2">
      <c r="A223" s="1"/>
      <c r="B223" s="1"/>
      <c r="C223" s="1"/>
      <c r="D223" s="1"/>
      <c r="E223" s="5"/>
      <c r="F223" s="5"/>
      <c r="G223" s="5"/>
      <c r="H223" s="5"/>
      <c r="I223" s="5"/>
      <c r="J223" s="5"/>
      <c r="K223" s="5"/>
      <c r="L223" s="5"/>
    </row>
    <row r="224" spans="1:12" x14ac:dyDescent="0.2">
      <c r="A224" s="1"/>
      <c r="B224" s="1"/>
      <c r="C224" s="1"/>
      <c r="D224" s="1"/>
      <c r="E224" s="5"/>
      <c r="F224" s="5"/>
      <c r="G224" s="5"/>
      <c r="H224" s="5"/>
      <c r="I224" s="5"/>
      <c r="J224" s="5"/>
      <c r="K224" s="5"/>
      <c r="L224" s="5"/>
    </row>
    <row r="225" spans="1:12" x14ac:dyDescent="0.2">
      <c r="A225" s="1"/>
      <c r="B225" s="1"/>
      <c r="C225" s="1"/>
      <c r="D225" s="1"/>
      <c r="E225" s="5"/>
      <c r="F225" s="5"/>
      <c r="G225" s="5"/>
      <c r="H225" s="5"/>
      <c r="I225" s="5"/>
      <c r="J225" s="5"/>
      <c r="K225" s="5"/>
      <c r="L225" s="5"/>
    </row>
    <row r="226" spans="1:12" x14ac:dyDescent="0.2">
      <c r="A226" s="1"/>
      <c r="B226" s="1"/>
      <c r="C226" s="1"/>
      <c r="D226" s="1"/>
      <c r="E226" s="5"/>
      <c r="F226" s="5"/>
      <c r="G226" s="5"/>
      <c r="H226" s="5"/>
      <c r="I226" s="5"/>
      <c r="J226" s="5"/>
      <c r="K226" s="5"/>
      <c r="L226" s="5"/>
    </row>
    <row r="227" spans="1:12" x14ac:dyDescent="0.2">
      <c r="A227" s="1"/>
      <c r="B227" s="1"/>
      <c r="C227" s="1"/>
      <c r="D227" s="1"/>
      <c r="E227" s="5"/>
      <c r="F227" s="5"/>
      <c r="G227" s="5"/>
      <c r="H227" s="5"/>
      <c r="I227" s="5"/>
      <c r="J227" s="5"/>
      <c r="K227" s="5"/>
      <c r="L227" s="5"/>
    </row>
    <row r="228" spans="1:12" x14ac:dyDescent="0.2">
      <c r="A228" s="1"/>
      <c r="B228" s="1"/>
      <c r="C228" s="1"/>
      <c r="D228" s="1"/>
      <c r="E228" s="5"/>
      <c r="F228" s="5"/>
      <c r="G228" s="5"/>
      <c r="H228" s="5"/>
      <c r="I228" s="5"/>
      <c r="J228" s="5"/>
      <c r="K228" s="5"/>
      <c r="L228" s="5"/>
    </row>
    <row r="229" spans="1:12" x14ac:dyDescent="0.2">
      <c r="A229" s="1"/>
      <c r="B229" s="1"/>
      <c r="C229" s="1"/>
      <c r="D229" s="1"/>
      <c r="E229" s="5"/>
      <c r="F229" s="5"/>
      <c r="G229" s="5"/>
      <c r="H229" s="5"/>
      <c r="I229" s="5"/>
      <c r="J229" s="5"/>
      <c r="K229" s="5"/>
      <c r="L229" s="5"/>
    </row>
    <row r="230" spans="1:12" x14ac:dyDescent="0.2">
      <c r="A230" s="1"/>
      <c r="B230" s="1"/>
      <c r="C230" s="1"/>
      <c r="D230" s="1"/>
      <c r="E230" s="5"/>
      <c r="F230" s="5"/>
      <c r="G230" s="5"/>
      <c r="H230" s="5"/>
      <c r="I230" s="5"/>
      <c r="J230" s="5"/>
      <c r="K230" s="5"/>
      <c r="L230" s="5"/>
    </row>
    <row r="231" spans="1:12" x14ac:dyDescent="0.2">
      <c r="A231" s="1"/>
      <c r="B231" s="1"/>
      <c r="C231" s="1"/>
      <c r="D231" s="1"/>
      <c r="E231" s="5"/>
      <c r="F231" s="5"/>
      <c r="G231" s="5"/>
      <c r="H231" s="5"/>
      <c r="I231" s="5"/>
      <c r="J231" s="5"/>
      <c r="K231" s="5"/>
      <c r="L231" s="5"/>
    </row>
    <row r="232" spans="1:12" x14ac:dyDescent="0.2">
      <c r="A232" s="1"/>
      <c r="B232" s="1"/>
      <c r="C232" s="1"/>
      <c r="D232" s="1"/>
      <c r="E232" s="5"/>
      <c r="F232" s="5"/>
      <c r="G232" s="5"/>
      <c r="H232" s="5"/>
      <c r="I232" s="5"/>
      <c r="J232" s="5"/>
      <c r="K232" s="5"/>
      <c r="L232" s="5"/>
    </row>
    <row r="233" spans="1:12" x14ac:dyDescent="0.2">
      <c r="A233" s="1"/>
      <c r="B233" s="1"/>
      <c r="C233" s="1"/>
      <c r="D233" s="1"/>
      <c r="E233" s="5"/>
      <c r="F233" s="5"/>
      <c r="G233" s="5"/>
      <c r="H233" s="5"/>
      <c r="I233" s="5"/>
      <c r="J233" s="5"/>
      <c r="K233" s="5"/>
      <c r="L233" s="5"/>
    </row>
    <row r="234" spans="1:12" x14ac:dyDescent="0.2">
      <c r="A234" s="1"/>
      <c r="B234" s="1"/>
      <c r="C234" s="1"/>
      <c r="D234" s="1"/>
      <c r="E234" s="5"/>
      <c r="F234" s="5"/>
      <c r="G234" s="5"/>
      <c r="H234" s="5"/>
      <c r="I234" s="5"/>
      <c r="J234" s="5"/>
      <c r="K234" s="5"/>
      <c r="L234" s="5"/>
    </row>
    <row r="235" spans="1:12" x14ac:dyDescent="0.2">
      <c r="A235" s="1"/>
      <c r="B235" s="1"/>
      <c r="C235" s="1"/>
      <c r="D235" s="1"/>
      <c r="E235" s="5"/>
      <c r="F235" s="5"/>
      <c r="G235" s="5"/>
      <c r="H235" s="5"/>
      <c r="I235" s="5"/>
      <c r="J235" s="5"/>
      <c r="K235" s="5"/>
      <c r="L235" s="5"/>
    </row>
    <row r="236" spans="1:12" x14ac:dyDescent="0.2">
      <c r="A236" s="1"/>
      <c r="B236" s="1"/>
      <c r="C236" s="1"/>
      <c r="D236" s="1"/>
      <c r="E236" s="5"/>
      <c r="F236" s="5"/>
      <c r="G236" s="5"/>
      <c r="H236" s="5"/>
      <c r="I236" s="5"/>
      <c r="J236" s="5"/>
      <c r="K236" s="5"/>
      <c r="L236" s="5"/>
    </row>
    <row r="237" spans="1:12" x14ac:dyDescent="0.2">
      <c r="A237" s="1"/>
      <c r="B237" s="1"/>
      <c r="C237" s="1"/>
      <c r="D237" s="1"/>
      <c r="E237" s="5"/>
      <c r="F237" s="5"/>
      <c r="G237" s="5"/>
      <c r="H237" s="5"/>
      <c r="I237" s="5"/>
      <c r="J237" s="5"/>
      <c r="K237" s="5"/>
      <c r="L237" s="5"/>
    </row>
    <row r="238" spans="1:12" x14ac:dyDescent="0.2">
      <c r="A238" s="1"/>
      <c r="B238" s="1"/>
      <c r="C238" s="1"/>
      <c r="D238" s="1"/>
      <c r="E238" s="5"/>
      <c r="F238" s="5"/>
      <c r="G238" s="5"/>
      <c r="H238" s="5"/>
      <c r="I238" s="5"/>
      <c r="J238" s="5"/>
      <c r="K238" s="5"/>
      <c r="L238" s="5"/>
    </row>
    <row r="239" spans="1:12" x14ac:dyDescent="0.2">
      <c r="A239" s="1"/>
      <c r="B239" s="1"/>
      <c r="C239" s="1"/>
      <c r="D239" s="1"/>
      <c r="E239" s="5"/>
      <c r="F239" s="5"/>
      <c r="G239" s="5"/>
      <c r="H239" s="5"/>
      <c r="I239" s="5"/>
      <c r="J239" s="5"/>
      <c r="K239" s="5"/>
      <c r="L239" s="5"/>
    </row>
    <row r="240" spans="1:12" x14ac:dyDescent="0.2">
      <c r="A240" s="1"/>
      <c r="B240" s="1"/>
      <c r="C240" s="1"/>
      <c r="D240" s="1"/>
      <c r="E240" s="5"/>
      <c r="F240" s="5"/>
      <c r="G240" s="5"/>
      <c r="H240" s="5"/>
      <c r="I240" s="5"/>
      <c r="J240" s="5"/>
      <c r="K240" s="5"/>
      <c r="L240" s="5"/>
    </row>
    <row r="241" spans="1:12" x14ac:dyDescent="0.2">
      <c r="A241" s="1"/>
      <c r="B241" s="1"/>
      <c r="C241" s="1"/>
      <c r="D241" s="1"/>
      <c r="E241" s="5"/>
      <c r="F241" s="5"/>
      <c r="G241" s="5"/>
      <c r="H241" s="5"/>
      <c r="I241" s="5"/>
      <c r="J241" s="5"/>
      <c r="K241" s="5"/>
      <c r="L241" s="5"/>
    </row>
    <row r="242" spans="1:12" x14ac:dyDescent="0.2">
      <c r="A242" s="1"/>
      <c r="B242" s="1"/>
      <c r="C242" s="1"/>
      <c r="D242" s="1"/>
      <c r="E242" s="5"/>
      <c r="F242" s="5"/>
      <c r="G242" s="5"/>
      <c r="H242" s="5"/>
      <c r="I242" s="5"/>
      <c r="J242" s="5"/>
      <c r="K242" s="5"/>
      <c r="L242" s="5"/>
    </row>
    <row r="243" spans="1:12" x14ac:dyDescent="0.2">
      <c r="A243" s="1"/>
      <c r="B243" s="1"/>
      <c r="C243" s="1"/>
      <c r="D243" s="1"/>
      <c r="E243" s="5"/>
      <c r="F243" s="5"/>
      <c r="G243" s="5"/>
      <c r="H243" s="5"/>
      <c r="I243" s="5"/>
      <c r="J243" s="5"/>
      <c r="K243" s="5"/>
      <c r="L243" s="5"/>
    </row>
    <row r="244" spans="1:12" x14ac:dyDescent="0.2">
      <c r="A244" s="1"/>
      <c r="B244" s="1"/>
      <c r="C244" s="1"/>
      <c r="D244" s="1"/>
      <c r="E244" s="5"/>
      <c r="F244" s="5"/>
      <c r="G244" s="5"/>
      <c r="H244" s="5"/>
      <c r="I244" s="5"/>
      <c r="J244" s="5"/>
      <c r="K244" s="5"/>
      <c r="L244" s="5"/>
    </row>
    <row r="245" spans="1:12" x14ac:dyDescent="0.2">
      <c r="A245" s="1"/>
      <c r="B245" s="1"/>
      <c r="C245" s="1"/>
      <c r="D245" s="1"/>
      <c r="E245" s="5"/>
      <c r="F245" s="5"/>
      <c r="G245" s="5"/>
      <c r="H245" s="5"/>
      <c r="I245" s="5"/>
      <c r="J245" s="5"/>
      <c r="K245" s="5"/>
      <c r="L245" s="5"/>
    </row>
    <row r="246" spans="1:12" x14ac:dyDescent="0.2">
      <c r="A246" s="1"/>
      <c r="B246" s="1"/>
      <c r="C246" s="1"/>
      <c r="D246" s="1"/>
      <c r="E246" s="5"/>
      <c r="F246" s="5"/>
      <c r="G246" s="5"/>
      <c r="H246" s="5"/>
      <c r="I246" s="5"/>
      <c r="J246" s="5"/>
      <c r="K246" s="5"/>
      <c r="L246" s="5"/>
    </row>
    <row r="247" spans="1:12" x14ac:dyDescent="0.2">
      <c r="A247" s="1"/>
      <c r="B247" s="1"/>
      <c r="C247" s="1"/>
      <c r="D247" s="1"/>
      <c r="E247" s="5"/>
      <c r="F247" s="5"/>
      <c r="G247" s="5"/>
      <c r="H247" s="5"/>
      <c r="I247" s="5"/>
      <c r="J247" s="5"/>
      <c r="K247" s="5"/>
      <c r="L247" s="5"/>
    </row>
    <row r="248" spans="1:12" x14ac:dyDescent="0.2">
      <c r="A248" s="1"/>
      <c r="B248" s="1"/>
      <c r="C248" s="1"/>
      <c r="D248" s="1"/>
      <c r="E248" s="5"/>
      <c r="F248" s="5"/>
      <c r="G248" s="5"/>
      <c r="H248" s="5"/>
      <c r="I248" s="5"/>
      <c r="J248" s="5"/>
      <c r="K248" s="5"/>
      <c r="L248" s="5"/>
    </row>
    <row r="249" spans="1:12" x14ac:dyDescent="0.2">
      <c r="A249" s="1"/>
      <c r="B249" s="1"/>
      <c r="C249" s="1"/>
      <c r="D249" s="1"/>
      <c r="E249" s="5"/>
      <c r="F249" s="5"/>
      <c r="G249" s="5"/>
      <c r="H249" s="5"/>
      <c r="I249" s="5"/>
      <c r="J249" s="5"/>
      <c r="K249" s="5"/>
      <c r="L249" s="5"/>
    </row>
    <row r="250" spans="1:12" x14ac:dyDescent="0.2">
      <c r="A250" s="1"/>
      <c r="B250" s="1"/>
      <c r="C250" s="1"/>
      <c r="D250" s="1"/>
      <c r="E250" s="5"/>
      <c r="F250" s="5"/>
      <c r="G250" s="5"/>
      <c r="H250" s="5"/>
      <c r="I250" s="5"/>
      <c r="J250" s="5"/>
      <c r="K250" s="5"/>
      <c r="L250" s="5"/>
    </row>
    <row r="251" spans="1:12" x14ac:dyDescent="0.2">
      <c r="A251" s="1"/>
      <c r="B251" s="1"/>
      <c r="C251" s="1"/>
      <c r="D251" s="1"/>
      <c r="E251" s="5"/>
      <c r="F251" s="5"/>
      <c r="G251" s="5"/>
      <c r="H251" s="5"/>
      <c r="I251" s="5"/>
      <c r="J251" s="5"/>
      <c r="K251" s="5"/>
      <c r="L251" s="5"/>
    </row>
    <row r="252" spans="1:12" x14ac:dyDescent="0.2">
      <c r="A252" s="1"/>
      <c r="B252" s="1"/>
      <c r="C252" s="1"/>
      <c r="D252" s="1"/>
      <c r="E252" s="5"/>
      <c r="F252" s="5"/>
      <c r="G252" s="5"/>
      <c r="H252" s="5"/>
      <c r="I252" s="5"/>
      <c r="J252" s="5"/>
      <c r="K252" s="5"/>
      <c r="L252" s="5"/>
    </row>
    <row r="253" spans="1:12" x14ac:dyDescent="0.2">
      <c r="A253" s="1"/>
      <c r="B253" s="1"/>
      <c r="C253" s="1"/>
      <c r="D253" s="1"/>
      <c r="E253" s="5"/>
      <c r="F253" s="5"/>
      <c r="G253" s="5"/>
      <c r="H253" s="5"/>
      <c r="I253" s="5"/>
      <c r="J253" s="5"/>
      <c r="K253" s="5"/>
      <c r="L253" s="5"/>
    </row>
  </sheetData>
  <mergeCells count="8">
    <mergeCell ref="A31:D31"/>
    <mergeCell ref="A3:D3"/>
    <mergeCell ref="A20:D20"/>
    <mergeCell ref="A28:D28"/>
    <mergeCell ref="A7:D7"/>
    <mergeCell ref="A5:G5"/>
    <mergeCell ref="A9:B9"/>
    <mergeCell ref="C9:D9"/>
  </mergeCells>
  <printOptions horizontalCentered="1"/>
  <pageMargins left="0.51181102362204722" right="0.51181102362204722" top="0.9055118110236221" bottom="0.78740157480314965" header="0.31496062992125984" footer="0.31496062992125984"/>
  <pageSetup paperSize="9" orientation="portrait" r:id="rId1"/>
  <headerFooter>
    <oddHeader>&amp;L&amp;G&amp;R&amp;G</oddHeader>
    <oddFooter xml:space="preserve">&amp;CAv. Tancredo Neves, 3557 sala 306 – Bairro Castelo CEP 31.330-430 – Belo Horizonte / Minas Gerais.
Endereço Eletrônico: ottawaeng@terra.com.br – Telefax (31) 3418-2175 – CNPJ: 04.472.311/0001-04
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53"/>
  <sheetViews>
    <sheetView zoomScaleNormal="100" workbookViewId="0">
      <selection activeCell="C14" sqref="C14"/>
    </sheetView>
  </sheetViews>
  <sheetFormatPr defaultRowHeight="14.25" x14ac:dyDescent="0.2"/>
  <cols>
    <col min="1" max="1" width="12.85546875" style="2" customWidth="1"/>
    <col min="2" max="2" width="43.7109375" style="2" customWidth="1"/>
    <col min="3" max="3" width="15.140625" style="2" customWidth="1"/>
    <col min="4" max="4" width="20.42578125" style="44" customWidth="1"/>
    <col min="5" max="5" width="21" style="1" customWidth="1"/>
    <col min="6" max="6" width="5.85546875" style="1" customWidth="1"/>
    <col min="7" max="7" width="16.28515625" style="1" customWidth="1"/>
    <col min="8" max="16384" width="9.140625" style="1"/>
  </cols>
  <sheetData>
    <row r="2" spans="1:12" ht="15" thickBot="1" x14ac:dyDescent="0.25"/>
    <row r="3" spans="1:12" ht="32.25" customHeight="1" thickBot="1" x14ac:dyDescent="0.25">
      <c r="A3" s="657" t="s">
        <v>272</v>
      </c>
      <c r="B3" s="658"/>
      <c r="C3" s="658"/>
      <c r="D3" s="659"/>
      <c r="E3" s="4"/>
      <c r="F3" s="4"/>
      <c r="G3" s="4"/>
      <c r="H3" s="4"/>
      <c r="I3" s="4"/>
      <c r="J3" s="4"/>
      <c r="K3" s="4"/>
      <c r="L3" s="4"/>
    </row>
    <row r="4" spans="1:12" ht="4.5" customHeight="1" thickBot="1" x14ac:dyDescent="0.25">
      <c r="A4" s="424"/>
      <c r="B4" s="425"/>
      <c r="C4" s="425"/>
      <c r="D4" s="426"/>
      <c r="E4" s="4"/>
      <c r="F4" s="4"/>
      <c r="G4" s="4"/>
      <c r="H4" s="4"/>
      <c r="I4" s="4"/>
      <c r="J4" s="4"/>
      <c r="K4" s="4"/>
      <c r="L4" s="4"/>
    </row>
    <row r="5" spans="1:12" ht="20.100000000000001" customHeight="1" thickBot="1" x14ac:dyDescent="0.25">
      <c r="A5" s="606" t="s">
        <v>837</v>
      </c>
      <c r="B5" s="607"/>
      <c r="C5" s="607"/>
      <c r="D5" s="607"/>
      <c r="E5" s="607"/>
      <c r="F5" s="607"/>
      <c r="G5" s="607"/>
      <c r="H5" s="4"/>
      <c r="I5" s="4"/>
      <c r="J5" s="4"/>
      <c r="K5" s="4"/>
      <c r="L5" s="4"/>
    </row>
    <row r="6" spans="1:12" ht="4.5" customHeight="1" thickBot="1" x14ac:dyDescent="0.25">
      <c r="A6" s="427"/>
      <c r="B6" s="428"/>
      <c r="C6" s="428"/>
      <c r="D6" s="429"/>
      <c r="E6" s="4"/>
      <c r="F6" s="4"/>
      <c r="G6" s="4"/>
      <c r="H6" s="4"/>
      <c r="I6" s="4"/>
      <c r="J6" s="4"/>
      <c r="K6" s="4"/>
      <c r="L6" s="4"/>
    </row>
    <row r="7" spans="1:12" ht="20.100000000000001" customHeight="1" thickBot="1" x14ac:dyDescent="0.25">
      <c r="A7" s="660" t="s">
        <v>832</v>
      </c>
      <c r="B7" s="661"/>
      <c r="C7" s="661"/>
      <c r="D7" s="662"/>
      <c r="E7" s="4"/>
      <c r="F7" s="4"/>
      <c r="G7" s="4"/>
      <c r="H7" s="4"/>
      <c r="I7" s="4"/>
      <c r="J7" s="4"/>
      <c r="K7" s="4"/>
      <c r="L7" s="4"/>
    </row>
    <row r="8" spans="1:12" ht="4.5" customHeight="1" thickBot="1" x14ac:dyDescent="0.25">
      <c r="A8" s="427"/>
      <c r="B8" s="428"/>
      <c r="C8" s="428"/>
      <c r="D8" s="429"/>
      <c r="E8" s="4"/>
      <c r="F8" s="4"/>
      <c r="G8" s="4"/>
      <c r="H8" s="4"/>
      <c r="I8" s="4"/>
      <c r="J8" s="4"/>
      <c r="K8" s="4"/>
      <c r="L8" s="4"/>
    </row>
    <row r="9" spans="1:12" ht="20.100000000000001" customHeight="1" thickBot="1" x14ac:dyDescent="0.25">
      <c r="A9" s="663" t="s">
        <v>831</v>
      </c>
      <c r="B9" s="664"/>
      <c r="C9" s="627" t="s">
        <v>836</v>
      </c>
      <c r="D9" s="628"/>
      <c r="E9" s="10"/>
      <c r="F9" s="4"/>
      <c r="G9" s="4"/>
      <c r="H9" s="4"/>
      <c r="I9" s="4"/>
      <c r="J9" s="4"/>
      <c r="K9" s="4"/>
      <c r="L9" s="4"/>
    </row>
    <row r="10" spans="1:12" ht="4.5" customHeight="1" thickBot="1" x14ac:dyDescent="0.25">
      <c r="A10" s="424"/>
      <c r="B10" s="425"/>
      <c r="C10" s="425"/>
      <c r="D10" s="426"/>
      <c r="E10" s="4"/>
      <c r="F10" s="4"/>
      <c r="G10" s="4"/>
      <c r="H10" s="4"/>
      <c r="I10" s="4"/>
      <c r="J10" s="4"/>
      <c r="K10" s="4"/>
      <c r="L10" s="4"/>
    </row>
    <row r="11" spans="1:12" s="7" customFormat="1" ht="20.100000000000001" customHeight="1" thickBot="1" x14ac:dyDescent="0.25">
      <c r="A11" s="421" t="s">
        <v>71</v>
      </c>
      <c r="B11" s="422" t="s">
        <v>236</v>
      </c>
      <c r="C11" s="422" t="s">
        <v>237</v>
      </c>
      <c r="D11" s="423" t="s">
        <v>238</v>
      </c>
      <c r="E11" s="69"/>
      <c r="F11" s="8"/>
      <c r="G11" s="8"/>
      <c r="H11" s="8"/>
      <c r="I11" s="8"/>
      <c r="J11" s="8"/>
      <c r="K11" s="8"/>
      <c r="L11" s="8"/>
    </row>
    <row r="12" spans="1:12" s="7" customFormat="1" ht="20.100000000000001" customHeight="1" x14ac:dyDescent="0.2">
      <c r="A12" s="70"/>
      <c r="B12" s="71"/>
      <c r="C12" s="71"/>
      <c r="D12" s="72"/>
      <c r="E12" s="73"/>
      <c r="F12" s="8"/>
      <c r="G12" s="8"/>
      <c r="H12" s="8"/>
      <c r="I12" s="8"/>
      <c r="J12" s="8"/>
      <c r="K12" s="8"/>
      <c r="L12" s="8"/>
    </row>
    <row r="13" spans="1:12" s="7" customFormat="1" ht="20.100000000000001" customHeight="1" x14ac:dyDescent="0.25">
      <c r="A13" s="198" t="s">
        <v>239</v>
      </c>
      <c r="B13" s="199" t="s">
        <v>240</v>
      </c>
      <c r="C13" s="200"/>
      <c r="D13" s="201" t="e">
        <f>D33/(1+C35)</f>
        <v>#REF!</v>
      </c>
      <c r="E13" s="75"/>
      <c r="F13" s="8"/>
      <c r="G13" s="8"/>
      <c r="H13" s="8"/>
      <c r="I13" s="8"/>
      <c r="J13" s="8"/>
      <c r="K13" s="8"/>
      <c r="L13" s="8"/>
    </row>
    <row r="14" spans="1:12" s="7" customFormat="1" ht="20.100000000000001" customHeight="1" x14ac:dyDescent="0.2">
      <c r="A14" s="76"/>
      <c r="B14" s="77"/>
      <c r="C14" s="78"/>
      <c r="D14" s="79"/>
      <c r="E14"/>
      <c r="F14" s="8"/>
      <c r="G14" s="8"/>
      <c r="H14" s="8"/>
      <c r="I14" s="8"/>
      <c r="J14" s="8"/>
      <c r="K14" s="8"/>
      <c r="L14" s="8"/>
    </row>
    <row r="15" spans="1:12" s="7" customFormat="1" ht="20.100000000000001" customHeight="1" x14ac:dyDescent="0.25">
      <c r="A15" s="198" t="s">
        <v>241</v>
      </c>
      <c r="B15" s="199" t="s">
        <v>242</v>
      </c>
      <c r="C15" s="202">
        <f>SUM(C16:C19)</f>
        <v>5.5500000000000008E-2</v>
      </c>
      <c r="D15" s="203" t="e">
        <f>SUM(D16:D19)</f>
        <v>#REF!</v>
      </c>
      <c r="E15" s="80"/>
      <c r="F15" s="8"/>
      <c r="G15" s="8"/>
      <c r="H15" s="8"/>
      <c r="I15" s="8"/>
      <c r="J15" s="8"/>
      <c r="K15" s="8"/>
      <c r="L15" s="8"/>
    </row>
    <row r="16" spans="1:12" s="7" customFormat="1" ht="20.100000000000001" customHeight="1" x14ac:dyDescent="0.2">
      <c r="A16" s="76" t="s">
        <v>243</v>
      </c>
      <c r="B16" s="77" t="s">
        <v>244</v>
      </c>
      <c r="C16" s="81">
        <v>4.7300000000000002E-2</v>
      </c>
      <c r="D16" s="82" t="e">
        <f>C16*D$13</f>
        <v>#REF!</v>
      </c>
      <c r="E16" s="83"/>
      <c r="F16" s="8"/>
      <c r="G16" s="8"/>
      <c r="H16" s="8"/>
      <c r="I16" s="8"/>
      <c r="J16" s="8"/>
      <c r="K16" s="8"/>
      <c r="L16" s="8"/>
    </row>
    <row r="17" spans="1:12" s="7" customFormat="1" ht="20.100000000000001" customHeight="1" x14ac:dyDescent="0.2">
      <c r="A17" s="76" t="s">
        <v>245</v>
      </c>
      <c r="B17" s="77" t="s">
        <v>246</v>
      </c>
      <c r="C17" s="81">
        <v>2.5000000000000001E-3</v>
      </c>
      <c r="D17" s="82" t="e">
        <f>C17*D$13</f>
        <v>#REF!</v>
      </c>
      <c r="E17" s="83"/>
      <c r="F17" s="8"/>
      <c r="G17" s="8"/>
      <c r="H17" s="8"/>
      <c r="I17" s="8"/>
      <c r="J17" s="8"/>
      <c r="K17" s="8"/>
      <c r="L17" s="8"/>
    </row>
    <row r="18" spans="1:12" s="7" customFormat="1" ht="20.100000000000001" customHeight="1" x14ac:dyDescent="0.2">
      <c r="A18" s="76" t="s">
        <v>247</v>
      </c>
      <c r="B18" s="77" t="s">
        <v>248</v>
      </c>
      <c r="C18" s="81">
        <v>5.7000000000000002E-3</v>
      </c>
      <c r="D18" s="82" t="e">
        <f>C18*D$13</f>
        <v>#REF!</v>
      </c>
      <c r="E18" s="83"/>
      <c r="F18" s="8"/>
      <c r="G18" s="8"/>
      <c r="H18" s="8"/>
      <c r="I18" s="8"/>
      <c r="J18" s="8"/>
      <c r="K18" s="8"/>
      <c r="L18" s="8"/>
    </row>
    <row r="19" spans="1:12" s="7" customFormat="1" ht="20.100000000000001" customHeight="1" x14ac:dyDescent="0.2">
      <c r="A19" s="76" t="s">
        <v>249</v>
      </c>
      <c r="B19" s="77" t="s">
        <v>250</v>
      </c>
      <c r="C19" s="81"/>
      <c r="D19" s="82" t="e">
        <f>C19*D$13</f>
        <v>#REF!</v>
      </c>
      <c r="E19" s="83"/>
      <c r="F19" s="8"/>
      <c r="G19" s="8"/>
      <c r="H19" s="8"/>
      <c r="I19" s="8"/>
      <c r="J19" s="8"/>
      <c r="K19" s="8"/>
      <c r="L19" s="8"/>
    </row>
    <row r="20" spans="1:12" s="7" customFormat="1" ht="20.100000000000001" customHeight="1" x14ac:dyDescent="0.2">
      <c r="A20" s="654" t="s">
        <v>251</v>
      </c>
      <c r="B20" s="655"/>
      <c r="C20" s="655"/>
      <c r="D20" s="656"/>
      <c r="E20"/>
      <c r="F20" s="8"/>
      <c r="G20" s="8"/>
      <c r="H20" s="8"/>
      <c r="I20" s="8"/>
      <c r="J20" s="8"/>
      <c r="K20" s="8"/>
      <c r="L20" s="8"/>
    </row>
    <row r="21" spans="1:12" s="7" customFormat="1" ht="20.100000000000001" customHeight="1" x14ac:dyDescent="0.2">
      <c r="A21" s="84"/>
      <c r="B21" s="85"/>
      <c r="C21" s="85"/>
      <c r="D21" s="86"/>
      <c r="E21"/>
      <c r="F21" s="8"/>
      <c r="G21" s="8"/>
      <c r="H21" s="8"/>
      <c r="I21" s="8"/>
      <c r="J21" s="8"/>
      <c r="K21" s="8"/>
      <c r="L21" s="8"/>
    </row>
    <row r="22" spans="1:12" s="7" customFormat="1" ht="20.100000000000001" customHeight="1" x14ac:dyDescent="0.25">
      <c r="A22" s="198" t="s">
        <v>252</v>
      </c>
      <c r="B22" s="199" t="s">
        <v>253</v>
      </c>
      <c r="C22" s="200"/>
      <c r="D22" s="203" t="e">
        <f>D13+D15</f>
        <v>#REF!</v>
      </c>
      <c r="E22" s="80"/>
      <c r="F22" s="8"/>
      <c r="G22" s="8"/>
      <c r="H22" s="8"/>
      <c r="I22" s="8"/>
      <c r="J22" s="8"/>
      <c r="K22" s="8"/>
      <c r="L22" s="8"/>
    </row>
    <row r="23" spans="1:12" s="7" customFormat="1" ht="20.100000000000001" customHeight="1" x14ac:dyDescent="0.2">
      <c r="A23" s="76"/>
      <c r="B23" s="77"/>
      <c r="C23" s="78"/>
      <c r="D23" s="79"/>
      <c r="E23"/>
      <c r="F23" s="8"/>
      <c r="G23" s="8"/>
      <c r="H23" s="8"/>
      <c r="I23" s="8"/>
      <c r="J23" s="8"/>
      <c r="K23" s="8"/>
      <c r="L23" s="8"/>
    </row>
    <row r="24" spans="1:12" s="7" customFormat="1" ht="20.100000000000001" customHeight="1" x14ac:dyDescent="0.25">
      <c r="A24" s="198" t="s">
        <v>254</v>
      </c>
      <c r="B24" s="199" t="s">
        <v>255</v>
      </c>
      <c r="C24" s="202">
        <f>SUM(C25:C27)</f>
        <v>3.6499999999999998E-2</v>
      </c>
      <c r="D24" s="203" t="e">
        <f>ROUND(SUM(D25:D27),2)</f>
        <v>#REF!</v>
      </c>
      <c r="E24" s="80"/>
      <c r="F24" s="8"/>
      <c r="G24" s="8"/>
      <c r="H24" s="8"/>
      <c r="I24" s="8"/>
      <c r="J24" s="8"/>
      <c r="K24" s="8"/>
      <c r="L24" s="8"/>
    </row>
    <row r="25" spans="1:12" s="7" customFormat="1" ht="20.100000000000001" customHeight="1" x14ac:dyDescent="0.2">
      <c r="A25" s="76" t="s">
        <v>256</v>
      </c>
      <c r="B25" s="77" t="s">
        <v>257</v>
      </c>
      <c r="C25" s="81">
        <v>0.03</v>
      </c>
      <c r="D25" s="82" t="e">
        <f>C25*D$33</f>
        <v>#REF!</v>
      </c>
      <c r="E25" s="80"/>
      <c r="F25" s="8"/>
      <c r="G25" s="8"/>
      <c r="H25" s="8"/>
      <c r="I25" s="8"/>
      <c r="J25" s="8"/>
      <c r="K25" s="8"/>
      <c r="L25" s="8"/>
    </row>
    <row r="26" spans="1:12" s="7" customFormat="1" ht="20.100000000000001" customHeight="1" x14ac:dyDescent="0.2">
      <c r="A26" s="76" t="s">
        <v>258</v>
      </c>
      <c r="B26" s="77" t="s">
        <v>259</v>
      </c>
      <c r="C26" s="81">
        <v>6.4999999999999997E-3</v>
      </c>
      <c r="D26" s="82" t="e">
        <f>C26*D$33</f>
        <v>#REF!</v>
      </c>
      <c r="E26" s="80"/>
      <c r="F26" s="8"/>
      <c r="G26" s="8"/>
      <c r="H26" s="8"/>
      <c r="I26" s="8"/>
      <c r="J26" s="8"/>
      <c r="K26" s="8"/>
      <c r="L26" s="8"/>
    </row>
    <row r="27" spans="1:12" s="7" customFormat="1" ht="20.100000000000001" customHeight="1" x14ac:dyDescent="0.2">
      <c r="A27" s="76" t="s">
        <v>260</v>
      </c>
      <c r="B27" s="77" t="s">
        <v>261</v>
      </c>
      <c r="C27" s="81">
        <v>0</v>
      </c>
      <c r="D27" s="82" t="e">
        <f>C27*D$33</f>
        <v>#REF!</v>
      </c>
      <c r="E27" s="80"/>
      <c r="F27" s="8"/>
      <c r="G27" s="8"/>
      <c r="H27" s="8"/>
      <c r="I27" s="8"/>
      <c r="J27" s="8"/>
      <c r="K27" s="8"/>
      <c r="L27" s="8"/>
    </row>
    <row r="28" spans="1:12" s="7" customFormat="1" ht="20.100000000000001" customHeight="1" x14ac:dyDescent="0.2">
      <c r="A28" s="654" t="s">
        <v>262</v>
      </c>
      <c r="B28" s="655"/>
      <c r="C28" s="655"/>
      <c r="D28" s="656"/>
      <c r="E28" s="80"/>
      <c r="F28" s="8"/>
      <c r="G28" s="8"/>
      <c r="H28" s="8"/>
      <c r="I28" s="8"/>
      <c r="J28" s="8"/>
      <c r="K28" s="8"/>
      <c r="L28" s="8"/>
    </row>
    <row r="29" spans="1:12" s="7" customFormat="1" ht="20.100000000000001" customHeight="1" x14ac:dyDescent="0.2">
      <c r="A29" s="84"/>
      <c r="B29" s="85"/>
      <c r="C29" s="85"/>
      <c r="D29" s="86"/>
      <c r="E29" s="80"/>
      <c r="F29" s="8"/>
      <c r="G29" s="8"/>
      <c r="H29" s="8"/>
      <c r="I29" s="8"/>
      <c r="J29" s="8"/>
      <c r="K29" s="8"/>
      <c r="L29" s="8"/>
    </row>
    <row r="30" spans="1:12" s="7" customFormat="1" ht="20.100000000000001" customHeight="1" x14ac:dyDescent="0.25">
      <c r="A30" s="198" t="s">
        <v>263</v>
      </c>
      <c r="B30" s="199" t="s">
        <v>264</v>
      </c>
      <c r="C30" s="202">
        <v>6.9000000000000006E-2</v>
      </c>
      <c r="D30" s="203" t="e">
        <f>C30*D$33</f>
        <v>#REF!</v>
      </c>
      <c r="E30" s="80"/>
      <c r="F30" s="8"/>
      <c r="G30" s="8"/>
      <c r="H30" s="8"/>
      <c r="I30" s="8"/>
      <c r="J30" s="8"/>
      <c r="K30" s="8"/>
      <c r="L30" s="8"/>
    </row>
    <row r="31" spans="1:12" s="7" customFormat="1" ht="20.100000000000001" customHeight="1" x14ac:dyDescent="0.2">
      <c r="A31" s="654" t="s">
        <v>265</v>
      </c>
      <c r="B31" s="655"/>
      <c r="C31" s="655"/>
      <c r="D31" s="656"/>
      <c r="E31"/>
      <c r="F31" s="8"/>
      <c r="G31" s="8"/>
      <c r="H31" s="8"/>
      <c r="I31" s="8"/>
      <c r="J31" s="8"/>
      <c r="K31" s="8"/>
      <c r="L31" s="8"/>
    </row>
    <row r="32" spans="1:12" s="7" customFormat="1" ht="20.100000000000001" customHeight="1" x14ac:dyDescent="0.2">
      <c r="A32" s="84"/>
      <c r="B32" s="85"/>
      <c r="C32" s="85"/>
      <c r="D32" s="86"/>
      <c r="E32"/>
      <c r="F32" s="8"/>
      <c r="G32" s="8"/>
      <c r="H32" s="8"/>
      <c r="I32" s="8"/>
      <c r="J32" s="8"/>
      <c r="K32" s="8"/>
      <c r="L32" s="8"/>
    </row>
    <row r="33" spans="1:12" s="7" customFormat="1" ht="20.100000000000001" customHeight="1" x14ac:dyDescent="0.25">
      <c r="A33" s="198" t="s">
        <v>266</v>
      </c>
      <c r="B33" s="199" t="s">
        <v>267</v>
      </c>
      <c r="C33" s="204"/>
      <c r="D33" s="203" t="e">
        <f>ORÇAMENTO!I321</f>
        <v>#REF!</v>
      </c>
      <c r="E33" s="80"/>
      <c r="F33" s="8"/>
      <c r="G33" s="64"/>
      <c r="H33" s="8"/>
      <c r="I33" s="8"/>
      <c r="J33" s="8"/>
      <c r="K33" s="8"/>
      <c r="L33" s="8"/>
    </row>
    <row r="34" spans="1:12" s="7" customFormat="1" ht="20.100000000000001" customHeight="1" x14ac:dyDescent="0.2">
      <c r="A34" s="76"/>
      <c r="B34" s="77"/>
      <c r="C34" s="78"/>
      <c r="D34" s="79"/>
      <c r="E34"/>
      <c r="F34" s="8"/>
      <c r="G34" s="8"/>
      <c r="H34" s="8"/>
      <c r="I34" s="8"/>
      <c r="J34" s="8"/>
      <c r="K34" s="8"/>
      <c r="L34" s="8"/>
    </row>
    <row r="35" spans="1:12" s="7" customFormat="1" ht="20.100000000000001" customHeight="1" x14ac:dyDescent="0.25">
      <c r="A35" s="198" t="s">
        <v>268</v>
      </c>
      <c r="B35" s="199" t="s">
        <v>269</v>
      </c>
      <c r="C35" s="202">
        <f>ROUND((1+C15)/(1-C24-C30)-1,5)</f>
        <v>0.17999000000000001</v>
      </c>
      <c r="D35" s="205"/>
      <c r="E35"/>
      <c r="F35" s="8"/>
      <c r="G35" s="8"/>
      <c r="H35" s="8"/>
      <c r="I35" s="8"/>
      <c r="J35" s="8"/>
      <c r="K35" s="8"/>
      <c r="L35" s="8"/>
    </row>
    <row r="36" spans="1:12" s="7" customFormat="1" ht="20.100000000000001" customHeight="1" x14ac:dyDescent="0.2">
      <c r="A36" s="87"/>
      <c r="B36" s="88"/>
      <c r="C36" s="88"/>
      <c r="D36" s="89"/>
      <c r="E36"/>
      <c r="F36" s="8"/>
      <c r="G36" s="8"/>
      <c r="H36" s="8"/>
      <c r="I36" s="8"/>
      <c r="J36" s="8"/>
      <c r="K36" s="8"/>
      <c r="L36" s="8"/>
    </row>
    <row r="37" spans="1:12" s="7" customFormat="1" ht="20.100000000000001" customHeight="1" x14ac:dyDescent="0.25">
      <c r="A37" s="90" t="s">
        <v>270</v>
      </c>
      <c r="B37" s="88"/>
      <c r="C37" s="88"/>
      <c r="D37" s="89"/>
      <c r="E37"/>
      <c r="F37" s="8"/>
      <c r="G37" s="8"/>
      <c r="H37" s="8"/>
      <c r="I37" s="8"/>
      <c r="J37" s="8"/>
      <c r="K37" s="8"/>
      <c r="L37" s="8"/>
    </row>
    <row r="38" spans="1:12" s="7" customFormat="1" ht="20.100000000000001" customHeight="1" x14ac:dyDescent="0.25">
      <c r="A38" s="90" t="s">
        <v>271</v>
      </c>
      <c r="B38" s="88"/>
      <c r="C38" s="88"/>
      <c r="D38" s="89"/>
      <c r="E38"/>
      <c r="F38" s="8"/>
      <c r="G38" s="8"/>
      <c r="H38" s="8"/>
      <c r="I38" s="8"/>
      <c r="J38" s="8"/>
      <c r="K38" s="8"/>
      <c r="L38" s="8"/>
    </row>
    <row r="39" spans="1:12" s="7" customFormat="1" ht="20.100000000000001" customHeight="1" thickBot="1" x14ac:dyDescent="0.25">
      <c r="A39" s="91"/>
      <c r="B39" s="92"/>
      <c r="C39" s="93"/>
      <c r="D39" s="94"/>
      <c r="E39" s="8"/>
      <c r="F39" s="8"/>
      <c r="G39" s="8"/>
      <c r="H39" s="8"/>
      <c r="I39" s="8"/>
      <c r="J39" s="8"/>
      <c r="K39" s="8"/>
      <c r="L39" s="8"/>
    </row>
    <row r="40" spans="1:12" s="7" customFormat="1" x14ac:dyDescent="0.2">
      <c r="E40" s="8"/>
      <c r="F40" s="9"/>
      <c r="G40" s="8"/>
      <c r="H40" s="8"/>
      <c r="I40" s="8"/>
      <c r="J40" s="8"/>
      <c r="K40" s="8"/>
      <c r="L40" s="8"/>
    </row>
    <row r="41" spans="1:12" ht="15.95" customHeight="1" x14ac:dyDescent="0.2">
      <c r="E41" s="5"/>
      <c r="F41" s="5"/>
      <c r="G41" s="5"/>
      <c r="H41" s="5"/>
      <c r="I41" s="5"/>
      <c r="J41" s="5"/>
      <c r="K41" s="5"/>
      <c r="L41" s="5"/>
    </row>
    <row r="42" spans="1:12" ht="15.95" customHeight="1" x14ac:dyDescent="0.2">
      <c r="E42" s="5"/>
      <c r="F42" s="5"/>
      <c r="G42" s="5"/>
      <c r="H42" s="5"/>
      <c r="I42" s="5"/>
      <c r="J42" s="5"/>
      <c r="K42" s="5"/>
      <c r="L42" s="5"/>
    </row>
    <row r="43" spans="1:12" ht="15.95" customHeight="1" x14ac:dyDescent="0.2">
      <c r="E43" s="5"/>
      <c r="F43" s="5"/>
      <c r="G43" s="5"/>
      <c r="H43" s="5"/>
      <c r="I43" s="5"/>
      <c r="J43" s="5"/>
      <c r="K43" s="5"/>
      <c r="L43" s="5"/>
    </row>
    <row r="44" spans="1:12" ht="15.95" customHeight="1" x14ac:dyDescent="0.2">
      <c r="E44" s="5"/>
      <c r="F44" s="5"/>
      <c r="G44" s="5"/>
      <c r="H44" s="5"/>
      <c r="I44" s="5"/>
      <c r="J44" s="5"/>
      <c r="K44" s="5"/>
      <c r="L44" s="5"/>
    </row>
    <row r="45" spans="1:12" ht="15.95" customHeight="1" x14ac:dyDescent="0.2">
      <c r="E45" s="5"/>
      <c r="F45" s="5"/>
      <c r="G45" s="5"/>
      <c r="H45" s="5"/>
      <c r="I45" s="5"/>
      <c r="J45" s="5"/>
      <c r="K45" s="5"/>
      <c r="L45" s="5"/>
    </row>
    <row r="46" spans="1:12" ht="15.95" customHeight="1" x14ac:dyDescent="0.2">
      <c r="E46" s="5"/>
      <c r="F46" s="5"/>
      <c r="G46" s="5"/>
      <c r="H46" s="5"/>
      <c r="I46" s="5"/>
      <c r="J46" s="5"/>
      <c r="K46" s="5"/>
      <c r="L46" s="5"/>
    </row>
    <row r="47" spans="1:12" ht="15.95" customHeight="1" x14ac:dyDescent="0.2">
      <c r="E47" s="5"/>
      <c r="F47" s="5"/>
      <c r="G47" s="5"/>
      <c r="H47" s="5"/>
      <c r="I47" s="5"/>
      <c r="J47" s="5"/>
      <c r="K47" s="5"/>
      <c r="L47" s="5"/>
    </row>
    <row r="48" spans="1:12" ht="15.95" customHeight="1" x14ac:dyDescent="0.2">
      <c r="A48" s="1"/>
      <c r="B48" s="1"/>
      <c r="C48" s="1"/>
      <c r="D48" s="1"/>
      <c r="E48" s="5"/>
      <c r="F48" s="5"/>
      <c r="G48" s="5"/>
      <c r="H48" s="5"/>
      <c r="I48" s="5"/>
      <c r="J48" s="5"/>
      <c r="K48" s="5"/>
      <c r="L48" s="5"/>
    </row>
    <row r="49" spans="1:12" ht="15.95" customHeight="1" x14ac:dyDescent="0.2">
      <c r="A49" s="1"/>
      <c r="B49" s="1"/>
      <c r="C49" s="1"/>
      <c r="D49" s="1"/>
      <c r="E49" s="5"/>
      <c r="F49" s="5"/>
      <c r="G49" s="5"/>
      <c r="H49" s="5"/>
      <c r="I49" s="5"/>
      <c r="J49" s="5"/>
      <c r="K49" s="5"/>
      <c r="L49" s="5"/>
    </row>
    <row r="50" spans="1:12" ht="15.95" customHeight="1" x14ac:dyDescent="0.2">
      <c r="A50" s="1"/>
      <c r="B50" s="1"/>
      <c r="C50" s="1"/>
      <c r="D50" s="1"/>
      <c r="E50" s="5"/>
      <c r="F50" s="5"/>
      <c r="G50" s="5"/>
      <c r="H50" s="5"/>
      <c r="I50" s="5"/>
      <c r="J50" s="5"/>
      <c r="K50" s="5"/>
      <c r="L50" s="5"/>
    </row>
    <row r="51" spans="1:12" ht="15.95" customHeight="1" x14ac:dyDescent="0.2">
      <c r="A51" s="1"/>
      <c r="B51" s="1"/>
      <c r="C51" s="1"/>
      <c r="D51" s="1"/>
      <c r="E51" s="5"/>
      <c r="F51" s="5"/>
      <c r="G51" s="5"/>
      <c r="H51" s="5"/>
      <c r="I51" s="5"/>
      <c r="J51" s="5"/>
      <c r="K51" s="5"/>
      <c r="L51" s="5"/>
    </row>
    <row r="52" spans="1:12" ht="15.95" customHeight="1" x14ac:dyDescent="0.2">
      <c r="A52" s="1"/>
      <c r="B52" s="1"/>
      <c r="C52" s="1"/>
      <c r="D52" s="1"/>
      <c r="E52" s="5"/>
      <c r="F52" s="5"/>
      <c r="G52" s="5"/>
      <c r="H52" s="5"/>
      <c r="I52" s="5"/>
      <c r="J52" s="5"/>
      <c r="K52" s="5"/>
      <c r="L52" s="5"/>
    </row>
    <row r="53" spans="1:12" ht="15.95" customHeight="1" x14ac:dyDescent="0.2">
      <c r="A53" s="1"/>
      <c r="B53" s="1"/>
      <c r="C53" s="1"/>
      <c r="D53" s="1"/>
      <c r="E53" s="5"/>
      <c r="F53" s="5"/>
      <c r="G53" s="5"/>
      <c r="H53" s="5"/>
      <c r="I53" s="5"/>
      <c r="J53" s="5"/>
      <c r="K53" s="5"/>
      <c r="L53" s="5"/>
    </row>
    <row r="54" spans="1:12" ht="15.95" customHeight="1" x14ac:dyDescent="0.2">
      <c r="A54" s="1"/>
      <c r="B54" s="1"/>
      <c r="C54" s="1"/>
      <c r="D54" s="1"/>
      <c r="E54" s="5"/>
      <c r="F54" s="5"/>
      <c r="G54" s="5"/>
      <c r="H54" s="5"/>
      <c r="I54" s="5"/>
      <c r="J54" s="5"/>
      <c r="K54" s="5"/>
      <c r="L54" s="5"/>
    </row>
    <row r="55" spans="1:12" ht="15.95" customHeight="1" x14ac:dyDescent="0.2">
      <c r="A55" s="1"/>
      <c r="B55" s="1"/>
      <c r="C55" s="1"/>
      <c r="D55" s="1"/>
      <c r="E55" s="5"/>
      <c r="F55" s="5"/>
      <c r="G55" s="5"/>
      <c r="H55" s="5"/>
      <c r="I55" s="5"/>
      <c r="J55" s="5"/>
      <c r="K55" s="5"/>
      <c r="L55" s="5"/>
    </row>
    <row r="56" spans="1:12" ht="15.95" customHeight="1" x14ac:dyDescent="0.2">
      <c r="A56" s="1"/>
      <c r="B56" s="1"/>
      <c r="C56" s="1"/>
      <c r="D56" s="1"/>
      <c r="E56" s="5"/>
      <c r="F56" s="5"/>
      <c r="G56" s="5"/>
      <c r="H56" s="5"/>
      <c r="I56" s="5"/>
      <c r="J56" s="5"/>
      <c r="K56" s="5"/>
      <c r="L56" s="5"/>
    </row>
    <row r="57" spans="1:12" ht="15.95" customHeight="1" x14ac:dyDescent="0.2">
      <c r="A57" s="1"/>
      <c r="B57" s="1"/>
      <c r="C57" s="1"/>
      <c r="D57" s="1"/>
      <c r="E57" s="5"/>
      <c r="F57" s="5"/>
      <c r="G57" s="5"/>
      <c r="H57" s="5"/>
      <c r="I57" s="5"/>
      <c r="J57" s="5"/>
      <c r="K57" s="5"/>
      <c r="L57" s="5"/>
    </row>
    <row r="58" spans="1:12" ht="15.95" customHeight="1" x14ac:dyDescent="0.2">
      <c r="A58" s="1"/>
      <c r="B58" s="1"/>
      <c r="C58" s="1"/>
      <c r="D58" s="1"/>
      <c r="E58" s="5"/>
      <c r="F58" s="5"/>
      <c r="G58" s="5"/>
      <c r="H58" s="5"/>
      <c r="I58" s="5"/>
      <c r="J58" s="5"/>
      <c r="K58" s="5"/>
      <c r="L58" s="5"/>
    </row>
    <row r="59" spans="1:12" ht="15.95" customHeight="1" x14ac:dyDescent="0.2">
      <c r="A59" s="1"/>
      <c r="B59" s="1"/>
      <c r="C59" s="1"/>
      <c r="D59" s="1"/>
      <c r="E59" s="5"/>
      <c r="F59" s="5"/>
      <c r="G59" s="5"/>
      <c r="H59" s="5"/>
      <c r="I59" s="5"/>
      <c r="J59" s="5"/>
      <c r="K59" s="5"/>
      <c r="L59" s="5"/>
    </row>
    <row r="60" spans="1:12" ht="15.95" customHeight="1" x14ac:dyDescent="0.2">
      <c r="A60" s="1"/>
      <c r="B60" s="1"/>
      <c r="C60" s="1"/>
      <c r="D60" s="1"/>
      <c r="E60" s="5"/>
      <c r="F60" s="5"/>
      <c r="G60" s="5"/>
      <c r="H60" s="5"/>
      <c r="I60" s="5"/>
      <c r="J60" s="5"/>
      <c r="K60" s="5"/>
      <c r="L60" s="5"/>
    </row>
    <row r="61" spans="1:12" ht="15.95" customHeight="1" x14ac:dyDescent="0.2">
      <c r="A61" s="1"/>
      <c r="B61" s="1"/>
      <c r="C61" s="1"/>
      <c r="D61" s="1"/>
      <c r="E61" s="5"/>
      <c r="F61" s="5"/>
      <c r="G61" s="5"/>
      <c r="H61" s="5"/>
      <c r="I61" s="5"/>
      <c r="J61" s="5"/>
      <c r="K61" s="5"/>
      <c r="L61" s="5"/>
    </row>
    <row r="62" spans="1:12" ht="15.95" customHeight="1" x14ac:dyDescent="0.2">
      <c r="A62" s="1"/>
      <c r="B62" s="1"/>
      <c r="C62" s="1"/>
      <c r="D62" s="1"/>
      <c r="E62" s="5"/>
      <c r="F62" s="5"/>
      <c r="G62" s="5"/>
      <c r="H62" s="5"/>
      <c r="I62" s="5"/>
      <c r="J62" s="5"/>
      <c r="K62" s="5"/>
      <c r="L62" s="5"/>
    </row>
    <row r="63" spans="1:12" ht="15.95" customHeight="1" x14ac:dyDescent="0.2">
      <c r="A63" s="1"/>
      <c r="B63" s="1"/>
      <c r="C63" s="1"/>
      <c r="D63" s="1"/>
      <c r="E63" s="5"/>
      <c r="F63" s="5"/>
      <c r="G63" s="5"/>
      <c r="H63" s="5"/>
      <c r="I63" s="5"/>
      <c r="J63" s="5"/>
      <c r="K63" s="5"/>
      <c r="L63" s="5"/>
    </row>
    <row r="64" spans="1:12" ht="15.95" customHeight="1" x14ac:dyDescent="0.2">
      <c r="A64" s="1"/>
      <c r="B64" s="1"/>
      <c r="C64" s="1"/>
      <c r="D64" s="1"/>
      <c r="E64" s="5"/>
      <c r="F64" s="5"/>
      <c r="G64" s="5"/>
      <c r="H64" s="5"/>
      <c r="I64" s="5"/>
      <c r="J64" s="5"/>
      <c r="K64" s="5"/>
      <c r="L64" s="5"/>
    </row>
    <row r="65" spans="1:12" ht="15.95" customHeight="1" x14ac:dyDescent="0.2">
      <c r="A65" s="1"/>
      <c r="B65" s="1"/>
      <c r="C65" s="1"/>
      <c r="D65" s="1"/>
      <c r="E65" s="5"/>
      <c r="F65" s="5"/>
      <c r="G65" s="5"/>
      <c r="H65" s="5"/>
      <c r="I65" s="5"/>
      <c r="J65" s="5"/>
      <c r="K65" s="5"/>
      <c r="L65" s="5"/>
    </row>
    <row r="66" spans="1:12" ht="15.95" customHeight="1" x14ac:dyDescent="0.2">
      <c r="A66" s="1"/>
      <c r="B66" s="1"/>
      <c r="C66" s="1"/>
      <c r="D66" s="1"/>
      <c r="E66" s="5"/>
      <c r="F66" s="5"/>
      <c r="G66" s="5"/>
      <c r="H66" s="5"/>
      <c r="I66" s="5"/>
      <c r="J66" s="5"/>
      <c r="K66" s="5"/>
      <c r="L66" s="5"/>
    </row>
    <row r="67" spans="1:12" ht="15.95" customHeight="1" x14ac:dyDescent="0.2">
      <c r="A67" s="1"/>
      <c r="B67" s="1"/>
      <c r="C67" s="1"/>
      <c r="D67" s="1"/>
      <c r="E67" s="5"/>
      <c r="F67" s="5"/>
      <c r="G67" s="5"/>
      <c r="H67" s="5"/>
      <c r="I67" s="5"/>
      <c r="J67" s="5"/>
      <c r="K67" s="5"/>
      <c r="L67" s="5"/>
    </row>
    <row r="68" spans="1:12" ht="15.95" customHeight="1" x14ac:dyDescent="0.2">
      <c r="A68" s="1"/>
      <c r="B68" s="1"/>
      <c r="C68" s="1"/>
      <c r="D68" s="1"/>
      <c r="E68" s="5"/>
      <c r="F68" s="5"/>
      <c r="G68" s="5"/>
      <c r="H68" s="5"/>
      <c r="I68" s="5"/>
      <c r="J68" s="5"/>
      <c r="K68" s="5"/>
      <c r="L68" s="5"/>
    </row>
    <row r="69" spans="1:12" ht="15.95" customHeight="1" x14ac:dyDescent="0.2">
      <c r="A69" s="1"/>
      <c r="B69" s="1"/>
      <c r="C69" s="1"/>
      <c r="D69" s="1"/>
      <c r="E69" s="5"/>
      <c r="F69" s="5"/>
      <c r="G69" s="5"/>
      <c r="H69" s="5"/>
      <c r="I69" s="5"/>
      <c r="J69" s="5"/>
      <c r="K69" s="5"/>
      <c r="L69" s="5"/>
    </row>
    <row r="70" spans="1:12" ht="15.95" customHeight="1" x14ac:dyDescent="0.2">
      <c r="A70" s="1"/>
      <c r="B70" s="1"/>
      <c r="C70" s="1"/>
      <c r="D70" s="1"/>
      <c r="E70" s="5"/>
      <c r="F70" s="5"/>
      <c r="G70" s="5"/>
      <c r="H70" s="5"/>
      <c r="I70" s="5"/>
      <c r="J70" s="5"/>
      <c r="K70" s="5"/>
      <c r="L70" s="5"/>
    </row>
    <row r="71" spans="1:12" ht="15.95" customHeight="1" x14ac:dyDescent="0.2">
      <c r="A71" s="1"/>
      <c r="B71" s="1"/>
      <c r="C71" s="1"/>
      <c r="D71" s="1"/>
      <c r="E71" s="5"/>
      <c r="F71" s="5"/>
      <c r="G71" s="5"/>
      <c r="H71" s="5"/>
      <c r="I71" s="5"/>
      <c r="J71" s="5"/>
      <c r="K71" s="5"/>
      <c r="L71" s="5"/>
    </row>
    <row r="72" spans="1:12" ht="15.95" customHeight="1" x14ac:dyDescent="0.2">
      <c r="A72" s="1"/>
      <c r="B72" s="1"/>
      <c r="C72" s="1"/>
      <c r="D72" s="1"/>
      <c r="E72" s="5"/>
      <c r="F72" s="5"/>
      <c r="G72" s="5"/>
      <c r="H72" s="5"/>
      <c r="I72" s="5"/>
      <c r="J72" s="5"/>
      <c r="K72" s="5"/>
      <c r="L72" s="5"/>
    </row>
    <row r="73" spans="1:12" ht="15.95" customHeight="1" x14ac:dyDescent="0.2">
      <c r="A73" s="1"/>
      <c r="B73" s="1"/>
      <c r="C73" s="1"/>
      <c r="D73" s="1"/>
      <c r="E73" s="5"/>
      <c r="F73" s="5"/>
      <c r="G73" s="5"/>
      <c r="H73" s="5"/>
      <c r="I73" s="5"/>
      <c r="J73" s="5"/>
      <c r="K73" s="5"/>
      <c r="L73" s="5"/>
    </row>
    <row r="74" spans="1:12" ht="15.95" customHeight="1" x14ac:dyDescent="0.2">
      <c r="A74" s="1"/>
      <c r="B74" s="1"/>
      <c r="C74" s="1"/>
      <c r="D74" s="1"/>
      <c r="E74" s="5"/>
      <c r="F74" s="5"/>
      <c r="G74" s="5"/>
      <c r="H74" s="5"/>
      <c r="I74" s="5"/>
      <c r="J74" s="5"/>
      <c r="K74" s="5"/>
      <c r="L74" s="5"/>
    </row>
    <row r="75" spans="1:12" ht="15.95" customHeight="1" x14ac:dyDescent="0.2">
      <c r="A75" s="1"/>
      <c r="B75" s="1"/>
      <c r="C75" s="1"/>
      <c r="D75" s="1"/>
      <c r="E75" s="5"/>
      <c r="F75" s="5"/>
      <c r="G75" s="5"/>
      <c r="H75" s="5"/>
      <c r="I75" s="5"/>
      <c r="J75" s="5"/>
      <c r="K75" s="5"/>
      <c r="L75" s="5"/>
    </row>
    <row r="76" spans="1:12" ht="15.95" customHeight="1" x14ac:dyDescent="0.2">
      <c r="A76" s="1"/>
      <c r="B76" s="1"/>
      <c r="C76" s="1"/>
      <c r="D76" s="1"/>
      <c r="E76" s="5"/>
      <c r="F76" s="5"/>
      <c r="G76" s="5"/>
      <c r="H76" s="5"/>
      <c r="I76" s="5"/>
      <c r="J76" s="5"/>
      <c r="K76" s="5"/>
      <c r="L76" s="5"/>
    </row>
    <row r="77" spans="1:12" ht="15.95" customHeight="1" x14ac:dyDescent="0.2">
      <c r="A77" s="1"/>
      <c r="B77" s="1"/>
      <c r="C77" s="1"/>
      <c r="D77" s="1"/>
      <c r="E77" s="5"/>
      <c r="F77" s="5"/>
      <c r="G77" s="5"/>
      <c r="H77" s="5"/>
      <c r="I77" s="5"/>
      <c r="J77" s="5"/>
      <c r="K77" s="5"/>
      <c r="L77" s="5"/>
    </row>
    <row r="78" spans="1:12" ht="15.95" customHeight="1" x14ac:dyDescent="0.2">
      <c r="A78" s="1"/>
      <c r="B78" s="1"/>
      <c r="C78" s="1"/>
      <c r="D78" s="1"/>
      <c r="E78" s="5"/>
      <c r="F78" s="5"/>
      <c r="G78" s="5"/>
      <c r="H78" s="5"/>
      <c r="I78" s="5"/>
      <c r="J78" s="5"/>
      <c r="K78" s="5"/>
      <c r="L78" s="5"/>
    </row>
    <row r="79" spans="1:12" ht="15.95" customHeight="1" x14ac:dyDescent="0.2">
      <c r="A79" s="1"/>
      <c r="B79" s="1"/>
      <c r="C79" s="1"/>
      <c r="D79" s="1"/>
      <c r="E79" s="5"/>
      <c r="F79" s="5"/>
      <c r="G79" s="5"/>
      <c r="H79" s="5"/>
      <c r="I79" s="5"/>
      <c r="J79" s="5"/>
      <c r="K79" s="5"/>
      <c r="L79" s="5"/>
    </row>
    <row r="80" spans="1:12" ht="15.95" customHeight="1" x14ac:dyDescent="0.2">
      <c r="A80" s="1"/>
      <c r="B80" s="1"/>
      <c r="C80" s="1"/>
      <c r="D80" s="1"/>
      <c r="E80" s="5"/>
      <c r="F80" s="5"/>
      <c r="G80" s="5"/>
      <c r="H80" s="5"/>
      <c r="I80" s="5"/>
      <c r="J80" s="5"/>
      <c r="K80" s="5"/>
      <c r="L80" s="5"/>
    </row>
    <row r="81" spans="1:12" ht="15.95" customHeight="1" x14ac:dyDescent="0.2">
      <c r="A81" s="1"/>
      <c r="B81" s="1"/>
      <c r="C81" s="1"/>
      <c r="D81" s="1"/>
      <c r="E81" s="5"/>
      <c r="F81" s="5"/>
      <c r="G81" s="5"/>
      <c r="H81" s="5"/>
      <c r="I81" s="5"/>
      <c r="J81" s="5"/>
      <c r="K81" s="5"/>
      <c r="L81" s="5"/>
    </row>
    <row r="82" spans="1:12" ht="15.95" customHeight="1" x14ac:dyDescent="0.2">
      <c r="A82" s="1"/>
      <c r="B82" s="1"/>
      <c r="C82" s="1"/>
      <c r="D82" s="1"/>
      <c r="E82" s="5"/>
      <c r="F82" s="5"/>
      <c r="G82" s="5"/>
      <c r="H82" s="5"/>
      <c r="I82" s="5"/>
      <c r="J82" s="5"/>
      <c r="K82" s="5"/>
      <c r="L82" s="5"/>
    </row>
    <row r="83" spans="1:12" ht="15.95" customHeight="1" x14ac:dyDescent="0.2">
      <c r="A83" s="1"/>
      <c r="B83" s="1"/>
      <c r="C83" s="1"/>
      <c r="D83" s="1"/>
      <c r="E83" s="5"/>
      <c r="F83" s="5"/>
      <c r="G83" s="5"/>
      <c r="H83" s="5"/>
      <c r="I83" s="5"/>
      <c r="J83" s="5"/>
      <c r="K83" s="5"/>
      <c r="L83" s="5"/>
    </row>
    <row r="84" spans="1:12" ht="15.95" customHeight="1" x14ac:dyDescent="0.2">
      <c r="A84" s="1"/>
      <c r="B84" s="1"/>
      <c r="C84" s="1"/>
      <c r="D84" s="1"/>
      <c r="E84" s="5"/>
      <c r="F84" s="5"/>
      <c r="G84" s="5"/>
      <c r="H84" s="5"/>
      <c r="I84" s="5"/>
      <c r="J84" s="5"/>
      <c r="K84" s="5"/>
      <c r="L84" s="5"/>
    </row>
    <row r="85" spans="1:12" ht="15.95" customHeight="1" x14ac:dyDescent="0.2">
      <c r="A85" s="1"/>
      <c r="B85" s="1"/>
      <c r="C85" s="1"/>
      <c r="D85" s="1"/>
      <c r="E85" s="5"/>
      <c r="F85" s="5"/>
      <c r="G85" s="5"/>
      <c r="H85" s="5"/>
      <c r="I85" s="5"/>
      <c r="J85" s="5"/>
      <c r="K85" s="5"/>
      <c r="L85" s="5"/>
    </row>
    <row r="86" spans="1:12" ht="15.95" customHeight="1" x14ac:dyDescent="0.2">
      <c r="A86" s="1"/>
      <c r="B86" s="1"/>
      <c r="C86" s="1"/>
      <c r="D86" s="1"/>
      <c r="E86" s="5"/>
      <c r="F86" s="5"/>
      <c r="G86" s="5"/>
      <c r="H86" s="5"/>
      <c r="I86" s="5"/>
      <c r="J86" s="5"/>
      <c r="K86" s="5"/>
      <c r="L86" s="5"/>
    </row>
    <row r="87" spans="1:12" ht="15.95" customHeight="1" x14ac:dyDescent="0.2">
      <c r="A87" s="1"/>
      <c r="B87" s="1"/>
      <c r="C87" s="1"/>
      <c r="D87" s="1"/>
      <c r="E87" s="5"/>
      <c r="F87" s="5"/>
      <c r="G87" s="5"/>
      <c r="H87" s="5"/>
      <c r="I87" s="5"/>
      <c r="J87" s="5"/>
      <c r="K87" s="5"/>
      <c r="L87" s="5"/>
    </row>
    <row r="88" spans="1:12" ht="15.95" customHeight="1" x14ac:dyDescent="0.2">
      <c r="A88" s="1"/>
      <c r="B88" s="1"/>
      <c r="C88" s="1"/>
      <c r="D88" s="1"/>
      <c r="E88" s="5"/>
      <c r="F88" s="5"/>
      <c r="G88" s="5"/>
      <c r="H88" s="5"/>
      <c r="I88" s="5"/>
      <c r="J88" s="5"/>
      <c r="K88" s="5"/>
      <c r="L88" s="5"/>
    </row>
    <row r="89" spans="1:12" ht="15.95" customHeight="1" x14ac:dyDescent="0.2">
      <c r="A89" s="1"/>
      <c r="B89" s="1"/>
      <c r="C89" s="1"/>
      <c r="D89" s="1"/>
      <c r="E89" s="5"/>
      <c r="F89" s="5"/>
      <c r="G89" s="5"/>
      <c r="H89" s="5"/>
      <c r="I89" s="5"/>
      <c r="J89" s="5"/>
      <c r="K89" s="5"/>
      <c r="L89" s="5"/>
    </row>
    <row r="90" spans="1:12" ht="15.95" customHeight="1" x14ac:dyDescent="0.2">
      <c r="A90" s="1"/>
      <c r="B90" s="1"/>
      <c r="C90" s="1"/>
      <c r="D90" s="1"/>
      <c r="E90" s="5"/>
      <c r="F90" s="5"/>
      <c r="G90" s="5"/>
      <c r="H90" s="5"/>
      <c r="I90" s="5"/>
      <c r="J90" s="5"/>
      <c r="K90" s="5"/>
      <c r="L90" s="5"/>
    </row>
    <row r="91" spans="1:12" ht="15.95" customHeight="1" x14ac:dyDescent="0.2">
      <c r="A91" s="1"/>
      <c r="B91" s="1"/>
      <c r="C91" s="1"/>
      <c r="D91" s="1"/>
      <c r="E91" s="5"/>
      <c r="F91" s="5"/>
      <c r="G91" s="5"/>
      <c r="H91" s="5"/>
      <c r="I91" s="5"/>
      <c r="J91" s="5"/>
      <c r="K91" s="5"/>
      <c r="L91" s="5"/>
    </row>
    <row r="92" spans="1:12" ht="15.95" customHeight="1" x14ac:dyDescent="0.2">
      <c r="A92" s="1"/>
      <c r="B92" s="1"/>
      <c r="C92" s="1"/>
      <c r="D92" s="1"/>
      <c r="E92" s="5"/>
      <c r="F92" s="5"/>
      <c r="G92" s="5"/>
      <c r="H92" s="5"/>
      <c r="I92" s="5"/>
      <c r="J92" s="5"/>
      <c r="K92" s="5"/>
      <c r="L92" s="5"/>
    </row>
    <row r="93" spans="1:12" ht="15.95" customHeight="1" x14ac:dyDescent="0.2">
      <c r="A93" s="1"/>
      <c r="B93" s="1"/>
      <c r="C93" s="1"/>
      <c r="D93" s="1"/>
      <c r="E93" s="5"/>
      <c r="F93" s="5"/>
      <c r="G93" s="5"/>
      <c r="H93" s="5"/>
      <c r="I93" s="5"/>
      <c r="J93" s="5"/>
      <c r="K93" s="5"/>
      <c r="L93" s="5"/>
    </row>
    <row r="94" spans="1:12" ht="15.95" customHeight="1" x14ac:dyDescent="0.2">
      <c r="A94" s="1"/>
      <c r="B94" s="1"/>
      <c r="C94" s="1"/>
      <c r="D94" s="1"/>
      <c r="E94" s="5"/>
      <c r="F94" s="5"/>
      <c r="G94" s="5"/>
      <c r="H94" s="5"/>
      <c r="I94" s="5"/>
      <c r="J94" s="5"/>
      <c r="K94" s="5"/>
      <c r="L94" s="5"/>
    </row>
    <row r="95" spans="1:12" ht="15.95" customHeight="1" x14ac:dyDescent="0.2">
      <c r="A95" s="1"/>
      <c r="B95" s="1"/>
      <c r="C95" s="1"/>
      <c r="D95" s="1"/>
      <c r="E95" s="5"/>
      <c r="F95" s="5"/>
      <c r="G95" s="5"/>
      <c r="H95" s="5"/>
      <c r="I95" s="5"/>
      <c r="J95" s="5"/>
      <c r="K95" s="5"/>
      <c r="L95" s="5"/>
    </row>
    <row r="96" spans="1:12" ht="15.95" customHeight="1" x14ac:dyDescent="0.2">
      <c r="A96" s="1"/>
      <c r="B96" s="1"/>
      <c r="C96" s="1"/>
      <c r="D96" s="1"/>
      <c r="E96" s="5"/>
      <c r="F96" s="5"/>
      <c r="G96" s="5"/>
      <c r="H96" s="5"/>
      <c r="I96" s="5"/>
      <c r="J96" s="5"/>
      <c r="K96" s="5"/>
      <c r="L96" s="5"/>
    </row>
    <row r="97" spans="1:12" ht="15.95" customHeight="1" x14ac:dyDescent="0.2">
      <c r="A97" s="1"/>
      <c r="B97" s="1"/>
      <c r="C97" s="1"/>
      <c r="D97" s="1"/>
      <c r="E97" s="5"/>
      <c r="F97" s="5"/>
      <c r="G97" s="5"/>
      <c r="H97" s="5"/>
      <c r="I97" s="5"/>
      <c r="J97" s="5"/>
      <c r="K97" s="5"/>
      <c r="L97" s="5"/>
    </row>
    <row r="98" spans="1:12" ht="15.95" customHeight="1" x14ac:dyDescent="0.2">
      <c r="A98" s="1"/>
      <c r="B98" s="1"/>
      <c r="C98" s="1"/>
      <c r="D98" s="1"/>
      <c r="E98" s="5"/>
      <c r="F98" s="5"/>
      <c r="G98" s="5"/>
      <c r="H98" s="5"/>
      <c r="I98" s="5"/>
      <c r="J98" s="5"/>
      <c r="K98" s="5"/>
      <c r="L98" s="5"/>
    </row>
    <row r="99" spans="1:12" ht="15.95" customHeight="1" x14ac:dyDescent="0.2">
      <c r="A99" s="1"/>
      <c r="B99" s="1"/>
      <c r="C99" s="1"/>
      <c r="D99" s="1"/>
      <c r="E99" s="5"/>
      <c r="F99" s="5"/>
      <c r="G99" s="5"/>
      <c r="H99" s="5"/>
      <c r="I99" s="5"/>
      <c r="J99" s="5"/>
      <c r="K99" s="5"/>
      <c r="L99" s="5"/>
    </row>
    <row r="100" spans="1:12" ht="15.95" customHeight="1" x14ac:dyDescent="0.2">
      <c r="A100" s="1"/>
      <c r="B100" s="1"/>
      <c r="C100" s="1"/>
      <c r="D100" s="1"/>
      <c r="E100" s="5"/>
      <c r="F100" s="5"/>
      <c r="G100" s="5"/>
      <c r="H100" s="5"/>
      <c r="I100" s="5"/>
      <c r="J100" s="5"/>
      <c r="K100" s="5"/>
      <c r="L100" s="5"/>
    </row>
    <row r="101" spans="1:12" ht="15.95" customHeight="1" x14ac:dyDescent="0.2">
      <c r="A101" s="1"/>
      <c r="B101" s="1"/>
      <c r="C101" s="1"/>
      <c r="D101" s="1"/>
      <c r="E101" s="5"/>
      <c r="F101" s="5"/>
      <c r="G101" s="5"/>
      <c r="H101" s="5"/>
      <c r="I101" s="5"/>
      <c r="J101" s="5"/>
      <c r="K101" s="5"/>
      <c r="L101" s="5"/>
    </row>
    <row r="102" spans="1:12" ht="15.95" customHeight="1" x14ac:dyDescent="0.2">
      <c r="A102" s="1"/>
      <c r="B102" s="1"/>
      <c r="C102" s="1"/>
      <c r="D102" s="1"/>
      <c r="E102" s="5"/>
      <c r="F102" s="5"/>
      <c r="G102" s="5"/>
      <c r="H102" s="5"/>
      <c r="I102" s="5"/>
      <c r="J102" s="5"/>
      <c r="K102" s="5"/>
      <c r="L102" s="5"/>
    </row>
    <row r="103" spans="1:12" ht="15.95" customHeight="1" x14ac:dyDescent="0.2">
      <c r="A103" s="1"/>
      <c r="B103" s="1"/>
      <c r="C103" s="1"/>
      <c r="D103" s="1"/>
      <c r="E103" s="5"/>
      <c r="F103" s="5"/>
      <c r="G103" s="5"/>
      <c r="H103" s="5"/>
      <c r="I103" s="5"/>
      <c r="J103" s="5"/>
      <c r="K103" s="5"/>
      <c r="L103" s="5"/>
    </row>
    <row r="104" spans="1:12" ht="15.95" customHeight="1" x14ac:dyDescent="0.2">
      <c r="A104" s="1"/>
      <c r="B104" s="1"/>
      <c r="C104" s="1"/>
      <c r="D104" s="1"/>
      <c r="E104" s="5"/>
      <c r="F104" s="5"/>
      <c r="G104" s="5"/>
      <c r="H104" s="5"/>
      <c r="I104" s="5"/>
      <c r="J104" s="5"/>
      <c r="K104" s="5"/>
      <c r="L104" s="5"/>
    </row>
    <row r="105" spans="1:12" ht="15.95" customHeight="1" x14ac:dyDescent="0.2">
      <c r="A105" s="1"/>
      <c r="B105" s="1"/>
      <c r="C105" s="1"/>
      <c r="D105" s="1"/>
      <c r="E105" s="5"/>
      <c r="F105" s="5"/>
      <c r="G105" s="5"/>
      <c r="H105" s="5"/>
      <c r="I105" s="5"/>
      <c r="J105" s="5"/>
      <c r="K105" s="5"/>
      <c r="L105" s="5"/>
    </row>
    <row r="106" spans="1:12" ht="15.95" customHeight="1" x14ac:dyDescent="0.2">
      <c r="A106" s="1"/>
      <c r="B106" s="1"/>
      <c r="C106" s="1"/>
      <c r="D106" s="1"/>
      <c r="E106" s="5"/>
      <c r="F106" s="5"/>
      <c r="G106" s="5"/>
      <c r="H106" s="5"/>
      <c r="I106" s="5"/>
      <c r="J106" s="5"/>
      <c r="K106" s="5"/>
      <c r="L106" s="5"/>
    </row>
    <row r="107" spans="1:12" ht="15.95" customHeight="1" x14ac:dyDescent="0.2">
      <c r="A107" s="1"/>
      <c r="B107" s="1"/>
      <c r="C107" s="1"/>
      <c r="D107" s="1"/>
      <c r="E107" s="5"/>
      <c r="F107" s="5"/>
      <c r="G107" s="5"/>
      <c r="H107" s="5"/>
      <c r="I107" s="5"/>
      <c r="J107" s="5"/>
      <c r="K107" s="5"/>
      <c r="L107" s="5"/>
    </row>
    <row r="108" spans="1:12" ht="15.95" customHeight="1" x14ac:dyDescent="0.2">
      <c r="A108" s="1"/>
      <c r="B108" s="1"/>
      <c r="C108" s="1"/>
      <c r="D108" s="1"/>
      <c r="E108" s="5"/>
      <c r="F108" s="5"/>
      <c r="G108" s="5"/>
      <c r="H108" s="5"/>
      <c r="I108" s="5"/>
      <c r="J108" s="5"/>
      <c r="K108" s="5"/>
      <c r="L108" s="5"/>
    </row>
    <row r="109" spans="1:12" ht="15.95" customHeight="1" x14ac:dyDescent="0.2">
      <c r="A109" s="1"/>
      <c r="B109" s="1"/>
      <c r="C109" s="1"/>
      <c r="D109" s="1"/>
      <c r="E109" s="5"/>
      <c r="F109" s="5"/>
      <c r="G109" s="5"/>
      <c r="H109" s="5"/>
      <c r="I109" s="5"/>
      <c r="J109" s="5"/>
      <c r="K109" s="5"/>
      <c r="L109" s="5"/>
    </row>
    <row r="110" spans="1:12" ht="15.95" customHeight="1" x14ac:dyDescent="0.2">
      <c r="A110" s="1"/>
      <c r="B110" s="1"/>
      <c r="C110" s="1"/>
      <c r="D110" s="1"/>
      <c r="E110" s="5"/>
      <c r="F110" s="5"/>
      <c r="G110" s="5"/>
      <c r="H110" s="5"/>
      <c r="I110" s="5"/>
      <c r="J110" s="5"/>
      <c r="K110" s="5"/>
      <c r="L110" s="5"/>
    </row>
    <row r="111" spans="1:12" ht="15.95" customHeight="1" x14ac:dyDescent="0.2">
      <c r="A111" s="1"/>
      <c r="B111" s="1"/>
      <c r="C111" s="1"/>
      <c r="D111" s="1"/>
      <c r="E111" s="5"/>
      <c r="F111" s="5"/>
      <c r="G111" s="5"/>
      <c r="H111" s="5"/>
      <c r="I111" s="5"/>
      <c r="J111" s="5"/>
      <c r="K111" s="5"/>
      <c r="L111" s="5"/>
    </row>
    <row r="112" spans="1:12" ht="15.95" customHeight="1" x14ac:dyDescent="0.2">
      <c r="A112" s="1"/>
      <c r="B112" s="1"/>
      <c r="C112" s="1"/>
      <c r="D112" s="1"/>
      <c r="E112" s="5"/>
      <c r="F112" s="5"/>
      <c r="G112" s="5"/>
      <c r="H112" s="5"/>
      <c r="I112" s="5"/>
      <c r="J112" s="5"/>
      <c r="K112" s="5"/>
      <c r="L112" s="5"/>
    </row>
    <row r="113" spans="1:12" ht="15.95" customHeight="1" x14ac:dyDescent="0.2">
      <c r="A113" s="1"/>
      <c r="B113" s="1"/>
      <c r="C113" s="1"/>
      <c r="D113" s="1"/>
      <c r="E113" s="5"/>
      <c r="F113" s="5"/>
      <c r="G113" s="5"/>
      <c r="H113" s="5"/>
      <c r="I113" s="5"/>
      <c r="J113" s="5"/>
      <c r="K113" s="5"/>
      <c r="L113" s="5"/>
    </row>
    <row r="114" spans="1:12" ht="15.95" customHeight="1" x14ac:dyDescent="0.2">
      <c r="A114" s="1"/>
      <c r="B114" s="1"/>
      <c r="C114" s="1"/>
      <c r="D114" s="1"/>
      <c r="E114" s="5"/>
      <c r="F114" s="5"/>
      <c r="G114" s="5"/>
      <c r="H114" s="5"/>
      <c r="I114" s="5"/>
      <c r="J114" s="5"/>
      <c r="K114" s="5"/>
      <c r="L114" s="5"/>
    </row>
    <row r="115" spans="1:12" ht="15.95" customHeight="1" x14ac:dyDescent="0.2">
      <c r="A115" s="1"/>
      <c r="B115" s="1"/>
      <c r="C115" s="1"/>
      <c r="D115" s="1"/>
      <c r="E115" s="5"/>
      <c r="F115" s="5"/>
      <c r="G115" s="5"/>
      <c r="H115" s="5"/>
      <c r="I115" s="5"/>
      <c r="J115" s="5"/>
      <c r="K115" s="5"/>
      <c r="L115" s="5"/>
    </row>
    <row r="116" spans="1:12" ht="15.95" customHeight="1" x14ac:dyDescent="0.2">
      <c r="A116" s="1"/>
      <c r="B116" s="1"/>
      <c r="C116" s="1"/>
      <c r="D116" s="1"/>
      <c r="E116" s="5"/>
      <c r="F116" s="5"/>
      <c r="G116" s="5"/>
      <c r="H116" s="5"/>
      <c r="I116" s="5"/>
      <c r="J116" s="5"/>
      <c r="K116" s="5"/>
      <c r="L116" s="5"/>
    </row>
    <row r="117" spans="1:12" ht="15.95" customHeight="1" x14ac:dyDescent="0.2">
      <c r="A117" s="1"/>
      <c r="B117" s="1"/>
      <c r="C117" s="1"/>
      <c r="D117" s="1"/>
      <c r="E117" s="5"/>
      <c r="F117" s="5"/>
      <c r="G117" s="5"/>
      <c r="H117" s="5"/>
      <c r="I117" s="5"/>
      <c r="J117" s="5"/>
      <c r="K117" s="5"/>
      <c r="L117" s="5"/>
    </row>
    <row r="118" spans="1:12" ht="15.95" customHeight="1" x14ac:dyDescent="0.2">
      <c r="A118" s="1"/>
      <c r="B118" s="1"/>
      <c r="C118" s="1"/>
      <c r="D118" s="1"/>
      <c r="E118" s="5"/>
      <c r="F118" s="5"/>
      <c r="G118" s="5"/>
      <c r="H118" s="5"/>
      <c r="I118" s="5"/>
      <c r="J118" s="5"/>
      <c r="K118" s="5"/>
      <c r="L118" s="5"/>
    </row>
    <row r="119" spans="1:12" ht="15.95" customHeight="1" x14ac:dyDescent="0.2">
      <c r="A119" s="1"/>
      <c r="B119" s="1"/>
      <c r="C119" s="1"/>
      <c r="D119" s="1"/>
      <c r="E119" s="5"/>
      <c r="F119" s="5"/>
      <c r="G119" s="5"/>
      <c r="H119" s="5"/>
      <c r="I119" s="5"/>
      <c r="J119" s="5"/>
      <c r="K119" s="5"/>
      <c r="L119" s="5"/>
    </row>
    <row r="120" spans="1:12" ht="15.95" customHeight="1" x14ac:dyDescent="0.2">
      <c r="A120" s="1"/>
      <c r="B120" s="1"/>
      <c r="C120" s="1"/>
      <c r="D120" s="1"/>
      <c r="E120" s="5"/>
      <c r="F120" s="5"/>
      <c r="G120" s="5"/>
      <c r="H120" s="5"/>
      <c r="I120" s="5"/>
      <c r="J120" s="5"/>
      <c r="K120" s="5"/>
      <c r="L120" s="5"/>
    </row>
    <row r="121" spans="1:12" ht="15.95" customHeight="1" x14ac:dyDescent="0.2">
      <c r="A121" s="1"/>
      <c r="B121" s="1"/>
      <c r="C121" s="1"/>
      <c r="D121" s="1"/>
      <c r="E121" s="5"/>
      <c r="F121" s="5"/>
      <c r="G121" s="5"/>
      <c r="H121" s="5"/>
      <c r="I121" s="5"/>
      <c r="J121" s="5"/>
      <c r="K121" s="5"/>
      <c r="L121" s="5"/>
    </row>
    <row r="122" spans="1:12" ht="15.95" customHeight="1" x14ac:dyDescent="0.2">
      <c r="A122" s="1"/>
      <c r="B122" s="1"/>
      <c r="C122" s="1"/>
      <c r="D122" s="1"/>
      <c r="E122" s="5"/>
      <c r="F122" s="5"/>
      <c r="G122" s="5"/>
      <c r="H122" s="5"/>
      <c r="I122" s="5"/>
      <c r="J122" s="5"/>
      <c r="K122" s="5"/>
      <c r="L122" s="5"/>
    </row>
    <row r="123" spans="1:12" ht="15.95" customHeight="1" x14ac:dyDescent="0.2">
      <c r="A123" s="1"/>
      <c r="B123" s="1"/>
      <c r="C123" s="1"/>
      <c r="D123" s="1"/>
      <c r="E123" s="5"/>
      <c r="F123" s="5"/>
      <c r="G123" s="5"/>
      <c r="H123" s="5"/>
      <c r="I123" s="5"/>
      <c r="J123" s="5"/>
      <c r="K123" s="5"/>
      <c r="L123" s="5"/>
    </row>
    <row r="124" spans="1:12" ht="15.95" customHeight="1" x14ac:dyDescent="0.2">
      <c r="A124" s="1"/>
      <c r="B124" s="1"/>
      <c r="C124" s="1"/>
      <c r="D124" s="1"/>
      <c r="E124" s="5"/>
      <c r="F124" s="5"/>
      <c r="G124" s="5"/>
      <c r="H124" s="5"/>
      <c r="I124" s="5"/>
      <c r="J124" s="5"/>
      <c r="K124" s="5"/>
      <c r="L124" s="5"/>
    </row>
    <row r="125" spans="1:12" ht="15.95" customHeight="1" x14ac:dyDescent="0.2">
      <c r="A125" s="1"/>
      <c r="B125" s="1"/>
      <c r="C125" s="1"/>
      <c r="D125" s="1"/>
      <c r="E125" s="5"/>
      <c r="F125" s="5"/>
      <c r="G125" s="5"/>
      <c r="H125" s="5"/>
      <c r="I125" s="5"/>
      <c r="J125" s="5"/>
      <c r="K125" s="5"/>
      <c r="L125" s="5"/>
    </row>
    <row r="126" spans="1:12" ht="15.95" customHeight="1" x14ac:dyDescent="0.2">
      <c r="A126" s="1"/>
      <c r="B126" s="1"/>
      <c r="C126" s="1"/>
      <c r="D126" s="1"/>
      <c r="E126" s="5"/>
      <c r="F126" s="5"/>
      <c r="G126" s="5"/>
      <c r="H126" s="5"/>
      <c r="I126" s="5"/>
      <c r="J126" s="5"/>
      <c r="K126" s="5"/>
      <c r="L126" s="5"/>
    </row>
    <row r="127" spans="1:12" ht="15.95" customHeight="1" x14ac:dyDescent="0.2">
      <c r="A127" s="1"/>
      <c r="B127" s="1"/>
      <c r="C127" s="1"/>
      <c r="D127" s="1"/>
      <c r="E127" s="5"/>
      <c r="F127" s="5"/>
      <c r="G127" s="5"/>
      <c r="H127" s="5"/>
      <c r="I127" s="5"/>
      <c r="J127" s="5"/>
      <c r="K127" s="5"/>
      <c r="L127" s="5"/>
    </row>
    <row r="128" spans="1:12" ht="15.95" customHeight="1" x14ac:dyDescent="0.2">
      <c r="A128" s="1"/>
      <c r="B128" s="1"/>
      <c r="C128" s="1"/>
      <c r="D128" s="1"/>
      <c r="E128" s="5"/>
      <c r="F128" s="5"/>
      <c r="G128" s="5"/>
      <c r="H128" s="5"/>
      <c r="I128" s="5"/>
      <c r="J128" s="5"/>
      <c r="K128" s="5"/>
      <c r="L128" s="5"/>
    </row>
    <row r="129" spans="1:12" ht="15.95" customHeight="1" x14ac:dyDescent="0.2">
      <c r="A129" s="1"/>
      <c r="B129" s="1"/>
      <c r="C129" s="1"/>
      <c r="D129" s="1"/>
      <c r="E129" s="5"/>
      <c r="F129" s="5"/>
      <c r="G129" s="5"/>
      <c r="H129" s="5"/>
      <c r="I129" s="5"/>
      <c r="J129" s="5"/>
      <c r="K129" s="5"/>
      <c r="L129" s="5"/>
    </row>
    <row r="130" spans="1:12" ht="15.95" customHeight="1" x14ac:dyDescent="0.2">
      <c r="A130" s="1"/>
      <c r="B130" s="1"/>
      <c r="C130" s="1"/>
      <c r="D130" s="1"/>
      <c r="E130" s="5"/>
      <c r="F130" s="5"/>
      <c r="G130" s="5"/>
      <c r="H130" s="5"/>
      <c r="I130" s="5"/>
      <c r="J130" s="5"/>
      <c r="K130" s="5"/>
      <c r="L130" s="5"/>
    </row>
    <row r="131" spans="1:12" ht="15.95" customHeight="1" x14ac:dyDescent="0.2">
      <c r="A131" s="1"/>
      <c r="B131" s="1"/>
      <c r="C131" s="1"/>
      <c r="D131" s="1"/>
      <c r="E131" s="5"/>
      <c r="F131" s="5"/>
      <c r="G131" s="5"/>
      <c r="H131" s="5"/>
      <c r="I131" s="5"/>
      <c r="J131" s="5"/>
      <c r="K131" s="5"/>
      <c r="L131" s="5"/>
    </row>
    <row r="132" spans="1:12" ht="15.95" customHeight="1" x14ac:dyDescent="0.2">
      <c r="A132" s="1"/>
      <c r="B132" s="1"/>
      <c r="C132" s="1"/>
      <c r="D132" s="1"/>
      <c r="E132" s="5"/>
      <c r="F132" s="5"/>
      <c r="G132" s="5"/>
      <c r="H132" s="5"/>
      <c r="I132" s="5"/>
      <c r="J132" s="5"/>
      <c r="K132" s="5"/>
      <c r="L132" s="5"/>
    </row>
    <row r="133" spans="1:12" ht="15.95" customHeight="1" x14ac:dyDescent="0.2">
      <c r="A133" s="1"/>
      <c r="B133" s="1"/>
      <c r="C133" s="1"/>
      <c r="D133" s="1"/>
      <c r="E133" s="5"/>
      <c r="F133" s="5"/>
      <c r="G133" s="5"/>
      <c r="H133" s="5"/>
      <c r="I133" s="5"/>
      <c r="J133" s="5"/>
      <c r="K133" s="5"/>
      <c r="L133" s="5"/>
    </row>
    <row r="134" spans="1:12" ht="15.95" customHeight="1" x14ac:dyDescent="0.2">
      <c r="A134" s="1"/>
      <c r="B134" s="1"/>
      <c r="C134" s="1"/>
      <c r="D134" s="1"/>
      <c r="E134" s="5"/>
      <c r="F134" s="5"/>
      <c r="G134" s="5"/>
      <c r="H134" s="5"/>
      <c r="I134" s="5"/>
      <c r="J134" s="5"/>
      <c r="K134" s="5"/>
      <c r="L134" s="5"/>
    </row>
    <row r="135" spans="1:12" ht="15.95" customHeight="1" x14ac:dyDescent="0.2">
      <c r="A135" s="1"/>
      <c r="B135" s="1"/>
      <c r="C135" s="1"/>
      <c r="D135" s="1"/>
      <c r="E135" s="5"/>
      <c r="F135" s="5"/>
      <c r="G135" s="5"/>
      <c r="H135" s="5"/>
      <c r="I135" s="5"/>
      <c r="J135" s="5"/>
      <c r="K135" s="5"/>
      <c r="L135" s="5"/>
    </row>
    <row r="136" spans="1:12" ht="15.95" customHeight="1" x14ac:dyDescent="0.2">
      <c r="A136" s="1"/>
      <c r="B136" s="1"/>
      <c r="C136" s="1"/>
      <c r="D136" s="1"/>
      <c r="E136" s="5"/>
      <c r="F136" s="5"/>
      <c r="G136" s="5"/>
      <c r="H136" s="5"/>
      <c r="I136" s="5"/>
      <c r="J136" s="5"/>
      <c r="K136" s="5"/>
      <c r="L136" s="5"/>
    </row>
    <row r="137" spans="1:12" ht="15.95" customHeight="1" x14ac:dyDescent="0.2">
      <c r="A137" s="1"/>
      <c r="B137" s="1"/>
      <c r="C137" s="1"/>
      <c r="D137" s="1"/>
      <c r="E137" s="5"/>
      <c r="F137" s="5"/>
      <c r="G137" s="5"/>
      <c r="H137" s="5"/>
      <c r="I137" s="5"/>
      <c r="J137" s="5"/>
      <c r="K137" s="5"/>
      <c r="L137" s="5"/>
    </row>
    <row r="138" spans="1:12" ht="15.95" customHeight="1" x14ac:dyDescent="0.2">
      <c r="A138" s="1"/>
      <c r="B138" s="1"/>
      <c r="C138" s="1"/>
      <c r="D138" s="1"/>
      <c r="E138" s="5"/>
      <c r="F138" s="5"/>
      <c r="G138" s="5"/>
      <c r="H138" s="5"/>
      <c r="I138" s="5"/>
      <c r="J138" s="5"/>
      <c r="K138" s="5"/>
      <c r="L138" s="5"/>
    </row>
    <row r="139" spans="1:12" ht="15.95" customHeight="1" x14ac:dyDescent="0.2">
      <c r="A139" s="1"/>
      <c r="B139" s="1"/>
      <c r="C139" s="1"/>
      <c r="D139" s="1"/>
      <c r="E139" s="5"/>
      <c r="F139" s="5"/>
      <c r="G139" s="5"/>
      <c r="H139" s="5"/>
      <c r="I139" s="5"/>
      <c r="J139" s="5"/>
      <c r="K139" s="5"/>
      <c r="L139" s="5"/>
    </row>
    <row r="140" spans="1:12" ht="15.95" customHeight="1" x14ac:dyDescent="0.2">
      <c r="A140" s="1"/>
      <c r="B140" s="1"/>
      <c r="C140" s="1"/>
      <c r="D140" s="1"/>
      <c r="E140" s="5"/>
      <c r="F140" s="5"/>
      <c r="G140" s="5"/>
      <c r="H140" s="5"/>
      <c r="I140" s="5"/>
      <c r="J140" s="5"/>
      <c r="K140" s="5"/>
      <c r="L140" s="5"/>
    </row>
    <row r="141" spans="1:12" ht="15.95" customHeight="1" x14ac:dyDescent="0.2">
      <c r="A141" s="1"/>
      <c r="B141" s="1"/>
      <c r="C141" s="1"/>
      <c r="D141" s="1"/>
      <c r="E141" s="5"/>
      <c r="F141" s="5"/>
      <c r="G141" s="5"/>
      <c r="H141" s="5"/>
      <c r="I141" s="5"/>
      <c r="J141" s="5"/>
      <c r="K141" s="5"/>
      <c r="L141" s="5"/>
    </row>
    <row r="142" spans="1:12" ht="15.95" customHeight="1" x14ac:dyDescent="0.2">
      <c r="A142" s="1"/>
      <c r="B142" s="1"/>
      <c r="C142" s="1"/>
      <c r="D142" s="1"/>
      <c r="E142" s="5"/>
      <c r="F142" s="5"/>
      <c r="G142" s="5"/>
      <c r="H142" s="5"/>
      <c r="I142" s="5"/>
      <c r="J142" s="5"/>
      <c r="K142" s="5"/>
      <c r="L142" s="5"/>
    </row>
    <row r="143" spans="1:12" ht="15.95" customHeight="1" x14ac:dyDescent="0.2">
      <c r="A143" s="1"/>
      <c r="B143" s="1"/>
      <c r="C143" s="1"/>
      <c r="D143" s="1"/>
      <c r="E143" s="5"/>
      <c r="F143" s="5"/>
      <c r="G143" s="5"/>
      <c r="H143" s="5"/>
      <c r="I143" s="5"/>
      <c r="J143" s="5"/>
      <c r="K143" s="5"/>
      <c r="L143" s="5"/>
    </row>
    <row r="144" spans="1:12" ht="15.95" customHeight="1" x14ac:dyDescent="0.2">
      <c r="A144" s="1"/>
      <c r="B144" s="1"/>
      <c r="C144" s="1"/>
      <c r="D144" s="1"/>
      <c r="E144" s="5"/>
      <c r="F144" s="5"/>
      <c r="G144" s="5"/>
      <c r="H144" s="5"/>
      <c r="I144" s="5"/>
      <c r="J144" s="5"/>
      <c r="K144" s="5"/>
      <c r="L144" s="5"/>
    </row>
    <row r="145" spans="1:12" ht="15.95" customHeight="1" x14ac:dyDescent="0.2">
      <c r="A145" s="1"/>
      <c r="B145" s="1"/>
      <c r="C145" s="1"/>
      <c r="D145" s="1"/>
      <c r="E145" s="5"/>
      <c r="F145" s="5"/>
      <c r="G145" s="5"/>
      <c r="H145" s="5"/>
      <c r="I145" s="5"/>
      <c r="J145" s="5"/>
      <c r="K145" s="5"/>
      <c r="L145" s="5"/>
    </row>
    <row r="146" spans="1:12" ht="15.95" customHeight="1" x14ac:dyDescent="0.2">
      <c r="A146" s="1"/>
      <c r="B146" s="1"/>
      <c r="C146" s="1"/>
      <c r="D146" s="1"/>
      <c r="E146" s="5"/>
      <c r="F146" s="5"/>
      <c r="G146" s="5"/>
      <c r="H146" s="5"/>
      <c r="I146" s="5"/>
      <c r="J146" s="5"/>
      <c r="K146" s="5"/>
      <c r="L146" s="5"/>
    </row>
    <row r="147" spans="1:12" ht="15.95" customHeight="1" x14ac:dyDescent="0.2">
      <c r="A147" s="1"/>
      <c r="B147" s="1"/>
      <c r="C147" s="1"/>
      <c r="D147" s="1"/>
      <c r="E147" s="5"/>
      <c r="F147" s="5"/>
      <c r="G147" s="5"/>
      <c r="H147" s="5"/>
      <c r="I147" s="5"/>
      <c r="J147" s="5"/>
      <c r="K147" s="5"/>
      <c r="L147" s="5"/>
    </row>
    <row r="148" spans="1:12" ht="15.95" customHeight="1" x14ac:dyDescent="0.2">
      <c r="A148" s="1"/>
      <c r="B148" s="1"/>
      <c r="C148" s="1"/>
      <c r="D148" s="1"/>
      <c r="E148" s="5"/>
      <c r="F148" s="5"/>
      <c r="G148" s="5"/>
      <c r="H148" s="5"/>
      <c r="I148" s="5"/>
      <c r="J148" s="5"/>
      <c r="K148" s="5"/>
      <c r="L148" s="5"/>
    </row>
    <row r="149" spans="1:12" ht="15.95" customHeight="1" x14ac:dyDescent="0.2">
      <c r="A149" s="1"/>
      <c r="B149" s="1"/>
      <c r="C149" s="1"/>
      <c r="D149" s="1"/>
      <c r="E149" s="5"/>
      <c r="F149" s="5"/>
      <c r="G149" s="5"/>
      <c r="H149" s="5"/>
      <c r="I149" s="5"/>
      <c r="J149" s="5"/>
      <c r="K149" s="5"/>
      <c r="L149" s="5"/>
    </row>
    <row r="150" spans="1:12" ht="15.95" customHeight="1" x14ac:dyDescent="0.2">
      <c r="A150" s="1"/>
      <c r="B150" s="1"/>
      <c r="C150" s="1"/>
      <c r="D150" s="1"/>
      <c r="E150" s="5"/>
      <c r="F150" s="5"/>
      <c r="G150" s="5"/>
      <c r="H150" s="5"/>
      <c r="I150" s="5"/>
      <c r="J150" s="5"/>
      <c r="K150" s="5"/>
      <c r="L150" s="5"/>
    </row>
    <row r="151" spans="1:12" ht="15.95" customHeight="1" x14ac:dyDescent="0.2">
      <c r="A151" s="1"/>
      <c r="B151" s="1"/>
      <c r="C151" s="1"/>
      <c r="D151" s="1"/>
      <c r="E151" s="5"/>
      <c r="F151" s="5"/>
      <c r="G151" s="5"/>
      <c r="H151" s="5"/>
      <c r="I151" s="5"/>
      <c r="J151" s="5"/>
      <c r="K151" s="5"/>
      <c r="L151" s="5"/>
    </row>
    <row r="152" spans="1:12" ht="15.95" customHeight="1" x14ac:dyDescent="0.2">
      <c r="A152" s="1"/>
      <c r="B152" s="1"/>
      <c r="C152" s="1"/>
      <c r="D152" s="1"/>
      <c r="E152" s="5"/>
      <c r="F152" s="5"/>
      <c r="G152" s="5"/>
      <c r="H152" s="5"/>
      <c r="I152" s="5"/>
      <c r="J152" s="5"/>
      <c r="K152" s="5"/>
      <c r="L152" s="5"/>
    </row>
    <row r="153" spans="1:12" ht="15.95" customHeight="1" x14ac:dyDescent="0.2">
      <c r="A153" s="1"/>
      <c r="B153" s="1"/>
      <c r="C153" s="1"/>
      <c r="D153" s="1"/>
      <c r="E153" s="5"/>
      <c r="F153" s="5"/>
      <c r="G153" s="5"/>
      <c r="H153" s="5"/>
      <c r="I153" s="5"/>
      <c r="J153" s="5"/>
      <c r="K153" s="5"/>
      <c r="L153" s="5"/>
    </row>
    <row r="154" spans="1:12" ht="15.95" customHeight="1" x14ac:dyDescent="0.2">
      <c r="A154" s="1"/>
      <c r="B154" s="1"/>
      <c r="C154" s="1"/>
      <c r="D154" s="1"/>
      <c r="E154" s="5"/>
      <c r="F154" s="5"/>
      <c r="G154" s="5"/>
      <c r="H154" s="5"/>
      <c r="I154" s="5"/>
      <c r="J154" s="5"/>
      <c r="K154" s="5"/>
      <c r="L154" s="5"/>
    </row>
    <row r="155" spans="1:12" ht="15.95" customHeight="1" x14ac:dyDescent="0.2">
      <c r="A155" s="1"/>
      <c r="B155" s="1"/>
      <c r="C155" s="1"/>
      <c r="D155" s="1"/>
      <c r="E155" s="5"/>
      <c r="F155" s="5"/>
      <c r="G155" s="5"/>
      <c r="H155" s="5"/>
      <c r="I155" s="5"/>
      <c r="J155" s="5"/>
      <c r="K155" s="5"/>
      <c r="L155" s="5"/>
    </row>
    <row r="156" spans="1:12" ht="15.95" customHeight="1" x14ac:dyDescent="0.2">
      <c r="A156" s="1"/>
      <c r="B156" s="1"/>
      <c r="C156" s="1"/>
      <c r="D156" s="1"/>
      <c r="E156" s="5"/>
      <c r="F156" s="5"/>
      <c r="G156" s="5"/>
      <c r="H156" s="5"/>
      <c r="I156" s="5"/>
      <c r="J156" s="5"/>
      <c r="K156" s="5"/>
      <c r="L156" s="5"/>
    </row>
    <row r="157" spans="1:12" ht="15.95" customHeight="1" x14ac:dyDescent="0.2">
      <c r="A157" s="1"/>
      <c r="B157" s="1"/>
      <c r="C157" s="1"/>
      <c r="D157" s="1"/>
      <c r="E157" s="5"/>
      <c r="F157" s="5"/>
      <c r="G157" s="5"/>
      <c r="H157" s="5"/>
      <c r="I157" s="5"/>
      <c r="J157" s="5"/>
      <c r="K157" s="5"/>
      <c r="L157" s="5"/>
    </row>
    <row r="158" spans="1:12" ht="15.95" customHeight="1" x14ac:dyDescent="0.2">
      <c r="A158" s="1"/>
      <c r="B158" s="1"/>
      <c r="C158" s="1"/>
      <c r="D158" s="1"/>
      <c r="E158" s="5"/>
      <c r="F158" s="5"/>
      <c r="G158" s="5"/>
      <c r="H158" s="5"/>
      <c r="I158" s="5"/>
      <c r="J158" s="5"/>
      <c r="K158" s="5"/>
      <c r="L158" s="5"/>
    </row>
    <row r="159" spans="1:12" ht="15.95" customHeight="1" x14ac:dyDescent="0.2">
      <c r="A159" s="1"/>
      <c r="B159" s="1"/>
      <c r="C159" s="1"/>
      <c r="D159" s="1"/>
      <c r="E159" s="5"/>
      <c r="F159" s="5"/>
      <c r="G159" s="5"/>
      <c r="H159" s="5"/>
      <c r="I159" s="5"/>
      <c r="J159" s="5"/>
      <c r="K159" s="5"/>
      <c r="L159" s="5"/>
    </row>
    <row r="160" spans="1:12" ht="15.95" customHeight="1" x14ac:dyDescent="0.2">
      <c r="A160" s="1"/>
      <c r="B160" s="1"/>
      <c r="C160" s="1"/>
      <c r="D160" s="1"/>
      <c r="E160" s="5"/>
      <c r="F160" s="5"/>
      <c r="G160" s="5"/>
      <c r="H160" s="5"/>
      <c r="I160" s="5"/>
      <c r="J160" s="5"/>
      <c r="K160" s="5"/>
      <c r="L160" s="5"/>
    </row>
    <row r="161" spans="1:12" ht="15.95" customHeight="1" x14ac:dyDescent="0.2">
      <c r="A161" s="1"/>
      <c r="B161" s="1"/>
      <c r="C161" s="1"/>
      <c r="D161" s="1"/>
      <c r="E161" s="5"/>
      <c r="F161" s="5"/>
      <c r="G161" s="5"/>
      <c r="H161" s="5"/>
      <c r="I161" s="5"/>
      <c r="J161" s="5"/>
      <c r="K161" s="5"/>
      <c r="L161" s="5"/>
    </row>
    <row r="162" spans="1:12" ht="15.95" customHeight="1" x14ac:dyDescent="0.2">
      <c r="A162" s="1"/>
      <c r="B162" s="1"/>
      <c r="C162" s="1"/>
      <c r="D162" s="1"/>
      <c r="E162" s="5"/>
      <c r="F162" s="5"/>
      <c r="G162" s="5"/>
      <c r="H162" s="5"/>
      <c r="I162" s="5"/>
      <c r="J162" s="5"/>
      <c r="K162" s="5"/>
      <c r="L162" s="5"/>
    </row>
    <row r="163" spans="1:12" ht="15.95" customHeight="1" x14ac:dyDescent="0.2">
      <c r="A163" s="1"/>
      <c r="B163" s="1"/>
      <c r="C163" s="1"/>
      <c r="D163" s="1"/>
      <c r="E163" s="5"/>
      <c r="F163" s="5"/>
      <c r="G163" s="5"/>
      <c r="H163" s="5"/>
      <c r="I163" s="5"/>
      <c r="J163" s="5"/>
      <c r="K163" s="5"/>
      <c r="L163" s="5"/>
    </row>
    <row r="164" spans="1:12" ht="15.95" customHeight="1" x14ac:dyDescent="0.2">
      <c r="A164" s="1"/>
      <c r="B164" s="1"/>
      <c r="C164" s="1"/>
      <c r="D164" s="1"/>
      <c r="E164" s="5"/>
      <c r="F164" s="5"/>
      <c r="G164" s="5"/>
      <c r="H164" s="5"/>
      <c r="I164" s="5"/>
      <c r="J164" s="5"/>
      <c r="K164" s="5"/>
      <c r="L164" s="5"/>
    </row>
    <row r="165" spans="1:12" ht="15.95" customHeight="1" x14ac:dyDescent="0.2">
      <c r="A165" s="1"/>
      <c r="B165" s="1"/>
      <c r="C165" s="1"/>
      <c r="D165" s="1"/>
      <c r="E165" s="5"/>
      <c r="F165" s="5"/>
      <c r="G165" s="5"/>
      <c r="H165" s="5"/>
      <c r="I165" s="5"/>
      <c r="J165" s="5"/>
      <c r="K165" s="5"/>
      <c r="L165" s="5"/>
    </row>
    <row r="166" spans="1:12" ht="15.95" customHeight="1" x14ac:dyDescent="0.2">
      <c r="A166" s="1"/>
      <c r="B166" s="1"/>
      <c r="C166" s="1"/>
      <c r="D166" s="1"/>
      <c r="E166" s="5"/>
      <c r="F166" s="5"/>
      <c r="G166" s="5"/>
      <c r="H166" s="5"/>
      <c r="I166" s="5"/>
      <c r="J166" s="5"/>
      <c r="K166" s="5"/>
      <c r="L166" s="5"/>
    </row>
    <row r="167" spans="1:12" ht="15.95" customHeight="1" x14ac:dyDescent="0.2">
      <c r="A167" s="1"/>
      <c r="B167" s="1"/>
      <c r="C167" s="1"/>
      <c r="D167" s="1"/>
      <c r="E167" s="5"/>
      <c r="F167" s="5"/>
      <c r="G167" s="5"/>
      <c r="H167" s="5"/>
      <c r="I167" s="5"/>
      <c r="J167" s="5"/>
      <c r="K167" s="5"/>
      <c r="L167" s="5"/>
    </row>
    <row r="168" spans="1:12" ht="15.95" customHeight="1" x14ac:dyDescent="0.2">
      <c r="A168" s="1"/>
      <c r="B168" s="1"/>
      <c r="C168" s="1"/>
      <c r="D168" s="1"/>
      <c r="E168" s="5"/>
      <c r="F168" s="5"/>
      <c r="G168" s="5"/>
      <c r="H168" s="5"/>
      <c r="I168" s="5"/>
      <c r="J168" s="5"/>
      <c r="K168" s="5"/>
      <c r="L168" s="5"/>
    </row>
    <row r="169" spans="1:12" ht="15.95" customHeight="1" x14ac:dyDescent="0.2">
      <c r="A169" s="1"/>
      <c r="B169" s="1"/>
      <c r="C169" s="1"/>
      <c r="D169" s="1"/>
      <c r="E169" s="5"/>
      <c r="F169" s="5"/>
      <c r="G169" s="5"/>
      <c r="H169" s="5"/>
      <c r="I169" s="5"/>
      <c r="J169" s="5"/>
      <c r="K169" s="5"/>
      <c r="L169" s="5"/>
    </row>
    <row r="170" spans="1:12" ht="15.95" customHeight="1" x14ac:dyDescent="0.2">
      <c r="A170" s="1"/>
      <c r="B170" s="1"/>
      <c r="C170" s="1"/>
      <c r="D170" s="1"/>
      <c r="E170" s="5"/>
      <c r="F170" s="5"/>
      <c r="G170" s="5"/>
      <c r="H170" s="5"/>
      <c r="I170" s="5"/>
      <c r="J170" s="5"/>
      <c r="K170" s="5"/>
      <c r="L170" s="5"/>
    </row>
    <row r="171" spans="1:12" ht="15.95" customHeight="1" x14ac:dyDescent="0.2">
      <c r="A171" s="1"/>
      <c r="B171" s="1"/>
      <c r="C171" s="1"/>
      <c r="D171" s="1"/>
      <c r="E171" s="5"/>
      <c r="F171" s="5"/>
      <c r="G171" s="5"/>
      <c r="H171" s="5"/>
      <c r="I171" s="5"/>
      <c r="J171" s="5"/>
      <c r="K171" s="5"/>
      <c r="L171" s="5"/>
    </row>
    <row r="172" spans="1:12" x14ac:dyDescent="0.2">
      <c r="A172" s="1"/>
      <c r="B172" s="1"/>
      <c r="C172" s="1"/>
      <c r="D172" s="1"/>
      <c r="E172" s="5"/>
      <c r="F172" s="5"/>
      <c r="G172" s="5"/>
      <c r="H172" s="5"/>
      <c r="I172" s="5"/>
      <c r="J172" s="5"/>
      <c r="K172" s="5"/>
      <c r="L172" s="5"/>
    </row>
    <row r="173" spans="1:12" x14ac:dyDescent="0.2">
      <c r="A173" s="1"/>
      <c r="B173" s="1"/>
      <c r="C173" s="1"/>
      <c r="D173" s="1"/>
      <c r="E173" s="5"/>
      <c r="F173" s="5"/>
      <c r="G173" s="5"/>
      <c r="H173" s="5"/>
      <c r="I173" s="5"/>
      <c r="J173" s="5"/>
      <c r="K173" s="5"/>
      <c r="L173" s="5"/>
    </row>
    <row r="174" spans="1:12" x14ac:dyDescent="0.2">
      <c r="A174" s="1"/>
      <c r="B174" s="1"/>
      <c r="C174" s="1"/>
      <c r="D174" s="1"/>
      <c r="E174" s="5"/>
      <c r="F174" s="5"/>
      <c r="G174" s="5"/>
      <c r="H174" s="5"/>
      <c r="I174" s="5"/>
      <c r="J174" s="5"/>
      <c r="K174" s="5"/>
      <c r="L174" s="5"/>
    </row>
    <row r="175" spans="1:12" x14ac:dyDescent="0.2">
      <c r="A175" s="1"/>
      <c r="B175" s="1"/>
      <c r="C175" s="1"/>
      <c r="D175" s="1"/>
      <c r="E175" s="5"/>
      <c r="F175" s="5"/>
      <c r="G175" s="5"/>
      <c r="H175" s="5"/>
      <c r="I175" s="5"/>
      <c r="J175" s="5"/>
      <c r="K175" s="5"/>
      <c r="L175" s="5"/>
    </row>
    <row r="176" spans="1:12" x14ac:dyDescent="0.2">
      <c r="A176" s="1"/>
      <c r="B176" s="1"/>
      <c r="C176" s="1"/>
      <c r="D176" s="1"/>
      <c r="E176" s="5"/>
      <c r="F176" s="5"/>
      <c r="G176" s="5"/>
      <c r="H176" s="5"/>
      <c r="I176" s="5"/>
      <c r="J176" s="5"/>
      <c r="K176" s="5"/>
      <c r="L176" s="5"/>
    </row>
    <row r="177" spans="1:12" x14ac:dyDescent="0.2">
      <c r="A177" s="1"/>
      <c r="B177" s="1"/>
      <c r="C177" s="1"/>
      <c r="D177" s="1"/>
      <c r="E177" s="5"/>
      <c r="F177" s="5"/>
      <c r="G177" s="5"/>
      <c r="H177" s="5"/>
      <c r="I177" s="5"/>
      <c r="J177" s="5"/>
      <c r="K177" s="5"/>
      <c r="L177" s="5"/>
    </row>
    <row r="178" spans="1:12" x14ac:dyDescent="0.2">
      <c r="A178" s="1"/>
      <c r="B178" s="1"/>
      <c r="C178" s="1"/>
      <c r="D178" s="1"/>
      <c r="E178" s="5"/>
      <c r="F178" s="5"/>
      <c r="G178" s="5"/>
      <c r="H178" s="5"/>
      <c r="I178" s="5"/>
      <c r="J178" s="5"/>
      <c r="K178" s="5"/>
      <c r="L178" s="5"/>
    </row>
    <row r="179" spans="1:12" x14ac:dyDescent="0.2">
      <c r="A179" s="1"/>
      <c r="B179" s="1"/>
      <c r="C179" s="1"/>
      <c r="D179" s="1"/>
      <c r="E179" s="5"/>
      <c r="F179" s="5"/>
      <c r="G179" s="5"/>
      <c r="H179" s="5"/>
      <c r="I179" s="5"/>
      <c r="J179" s="5"/>
      <c r="K179" s="5"/>
      <c r="L179" s="5"/>
    </row>
    <row r="180" spans="1:12" x14ac:dyDescent="0.2">
      <c r="A180" s="1"/>
      <c r="B180" s="1"/>
      <c r="C180" s="1"/>
      <c r="D180" s="1"/>
      <c r="E180" s="5"/>
      <c r="F180" s="5"/>
      <c r="G180" s="5"/>
      <c r="H180" s="5"/>
      <c r="I180" s="5"/>
      <c r="J180" s="5"/>
      <c r="K180" s="5"/>
      <c r="L180" s="5"/>
    </row>
    <row r="181" spans="1:12" x14ac:dyDescent="0.2">
      <c r="A181" s="1"/>
      <c r="B181" s="1"/>
      <c r="C181" s="1"/>
      <c r="D181" s="1"/>
      <c r="E181" s="5"/>
      <c r="F181" s="5"/>
      <c r="G181" s="5"/>
      <c r="H181" s="5"/>
      <c r="I181" s="5"/>
      <c r="J181" s="5"/>
      <c r="K181" s="5"/>
      <c r="L181" s="5"/>
    </row>
    <row r="182" spans="1:12" x14ac:dyDescent="0.2">
      <c r="A182" s="1"/>
      <c r="B182" s="1"/>
      <c r="C182" s="1"/>
      <c r="D182" s="1"/>
      <c r="E182" s="5"/>
      <c r="F182" s="5"/>
      <c r="G182" s="5"/>
      <c r="H182" s="5"/>
      <c r="I182" s="5"/>
      <c r="J182" s="5"/>
      <c r="K182" s="5"/>
      <c r="L182" s="5"/>
    </row>
    <row r="183" spans="1:12" x14ac:dyDescent="0.2">
      <c r="A183" s="1"/>
      <c r="B183" s="1"/>
      <c r="C183" s="1"/>
      <c r="D183" s="1"/>
      <c r="E183" s="5"/>
      <c r="F183" s="5"/>
      <c r="G183" s="5"/>
      <c r="H183" s="5"/>
      <c r="I183" s="5"/>
      <c r="J183" s="5"/>
      <c r="K183" s="5"/>
      <c r="L183" s="5"/>
    </row>
    <row r="184" spans="1:12" x14ac:dyDescent="0.2">
      <c r="A184" s="1"/>
      <c r="B184" s="1"/>
      <c r="C184" s="1"/>
      <c r="D184" s="1"/>
      <c r="E184" s="5"/>
      <c r="F184" s="5"/>
      <c r="G184" s="5"/>
      <c r="H184" s="5"/>
      <c r="I184" s="5"/>
      <c r="J184" s="5"/>
      <c r="K184" s="5"/>
      <c r="L184" s="5"/>
    </row>
    <row r="185" spans="1:12" x14ac:dyDescent="0.2">
      <c r="A185" s="1"/>
      <c r="B185" s="1"/>
      <c r="C185" s="1"/>
      <c r="D185" s="1"/>
      <c r="E185" s="5"/>
      <c r="F185" s="5"/>
      <c r="G185" s="5"/>
      <c r="H185" s="5"/>
      <c r="I185" s="5"/>
      <c r="J185" s="5"/>
      <c r="K185" s="5"/>
      <c r="L185" s="5"/>
    </row>
    <row r="186" spans="1:12" x14ac:dyDescent="0.2">
      <c r="A186" s="1"/>
      <c r="B186" s="1"/>
      <c r="C186" s="1"/>
      <c r="D186" s="1"/>
      <c r="E186" s="5"/>
      <c r="F186" s="5"/>
      <c r="G186" s="5"/>
      <c r="H186" s="5"/>
      <c r="I186" s="5"/>
      <c r="J186" s="5"/>
      <c r="K186" s="5"/>
      <c r="L186" s="5"/>
    </row>
    <row r="187" spans="1:12" x14ac:dyDescent="0.2">
      <c r="A187" s="1"/>
      <c r="B187" s="1"/>
      <c r="C187" s="1"/>
      <c r="D187" s="1"/>
      <c r="E187" s="5"/>
      <c r="F187" s="5"/>
      <c r="G187" s="5"/>
      <c r="H187" s="5"/>
      <c r="I187" s="5"/>
      <c r="J187" s="5"/>
      <c r="K187" s="5"/>
      <c r="L187" s="5"/>
    </row>
    <row r="188" spans="1:12" x14ac:dyDescent="0.2">
      <c r="A188" s="1"/>
      <c r="B188" s="1"/>
      <c r="C188" s="1"/>
      <c r="D188" s="1"/>
      <c r="E188" s="5"/>
      <c r="F188" s="5"/>
      <c r="G188" s="5"/>
      <c r="H188" s="5"/>
      <c r="I188" s="5"/>
      <c r="J188" s="5"/>
      <c r="K188" s="5"/>
      <c r="L188" s="5"/>
    </row>
    <row r="189" spans="1:12" x14ac:dyDescent="0.2">
      <c r="A189" s="1"/>
      <c r="B189" s="1"/>
      <c r="C189" s="1"/>
      <c r="D189" s="1"/>
      <c r="E189" s="5"/>
      <c r="F189" s="5"/>
      <c r="G189" s="5"/>
      <c r="H189" s="5"/>
      <c r="I189" s="5"/>
      <c r="J189" s="5"/>
      <c r="K189" s="5"/>
      <c r="L189" s="5"/>
    </row>
    <row r="190" spans="1:12" x14ac:dyDescent="0.2">
      <c r="A190" s="1"/>
      <c r="B190" s="1"/>
      <c r="C190" s="1"/>
      <c r="D190" s="1"/>
      <c r="E190" s="5"/>
      <c r="F190" s="5"/>
      <c r="G190" s="5"/>
      <c r="H190" s="5"/>
      <c r="I190" s="5"/>
      <c r="J190" s="5"/>
      <c r="K190" s="5"/>
      <c r="L190" s="5"/>
    </row>
    <row r="191" spans="1:12" x14ac:dyDescent="0.2">
      <c r="A191" s="1"/>
      <c r="B191" s="1"/>
      <c r="C191" s="1"/>
      <c r="D191" s="1"/>
      <c r="E191" s="5"/>
      <c r="F191" s="5"/>
      <c r="G191" s="5"/>
      <c r="H191" s="5"/>
      <c r="I191" s="5"/>
      <c r="J191" s="5"/>
      <c r="K191" s="5"/>
      <c r="L191" s="5"/>
    </row>
    <row r="192" spans="1:12" x14ac:dyDescent="0.2">
      <c r="A192" s="1"/>
      <c r="B192" s="1"/>
      <c r="C192" s="1"/>
      <c r="D192" s="1"/>
      <c r="E192" s="5"/>
      <c r="F192" s="5"/>
      <c r="G192" s="5"/>
      <c r="H192" s="5"/>
      <c r="I192" s="5"/>
      <c r="J192" s="5"/>
      <c r="K192" s="5"/>
      <c r="L192" s="5"/>
    </row>
    <row r="193" spans="1:12" x14ac:dyDescent="0.2">
      <c r="A193" s="1"/>
      <c r="B193" s="1"/>
      <c r="C193" s="1"/>
      <c r="D193" s="1"/>
      <c r="E193" s="5"/>
      <c r="F193" s="5"/>
      <c r="G193" s="5"/>
      <c r="H193" s="5"/>
      <c r="I193" s="5"/>
      <c r="J193" s="5"/>
      <c r="K193" s="5"/>
      <c r="L193" s="5"/>
    </row>
    <row r="194" spans="1:12" x14ac:dyDescent="0.2">
      <c r="A194" s="1"/>
      <c r="B194" s="1"/>
      <c r="C194" s="1"/>
      <c r="D194" s="1"/>
      <c r="E194" s="5"/>
      <c r="F194" s="5"/>
      <c r="G194" s="5"/>
      <c r="H194" s="5"/>
      <c r="I194" s="5"/>
      <c r="J194" s="5"/>
      <c r="K194" s="5"/>
      <c r="L194" s="5"/>
    </row>
    <row r="195" spans="1:12" x14ac:dyDescent="0.2">
      <c r="A195" s="1"/>
      <c r="B195" s="1"/>
      <c r="C195" s="1"/>
      <c r="D195" s="1"/>
      <c r="E195" s="5"/>
      <c r="F195" s="5"/>
      <c r="G195" s="5"/>
      <c r="H195" s="5"/>
      <c r="I195" s="5"/>
      <c r="J195" s="5"/>
      <c r="K195" s="5"/>
      <c r="L195" s="5"/>
    </row>
    <row r="196" spans="1:12" x14ac:dyDescent="0.2">
      <c r="A196" s="1"/>
      <c r="B196" s="1"/>
      <c r="C196" s="1"/>
      <c r="D196" s="1"/>
      <c r="E196" s="5"/>
      <c r="F196" s="5"/>
      <c r="G196" s="5"/>
      <c r="H196" s="5"/>
      <c r="I196" s="5"/>
      <c r="J196" s="5"/>
      <c r="K196" s="5"/>
      <c r="L196" s="5"/>
    </row>
    <row r="197" spans="1:12" x14ac:dyDescent="0.2">
      <c r="A197" s="1"/>
      <c r="B197" s="1"/>
      <c r="C197" s="1"/>
      <c r="D197" s="1"/>
      <c r="E197" s="5"/>
      <c r="F197" s="5"/>
      <c r="G197" s="5"/>
      <c r="H197" s="5"/>
      <c r="I197" s="5"/>
      <c r="J197" s="5"/>
      <c r="K197" s="5"/>
      <c r="L197" s="5"/>
    </row>
    <row r="198" spans="1:12" x14ac:dyDescent="0.2">
      <c r="A198" s="1"/>
      <c r="B198" s="1"/>
      <c r="C198" s="1"/>
      <c r="D198" s="1"/>
      <c r="E198" s="5"/>
      <c r="F198" s="5"/>
      <c r="G198" s="5"/>
      <c r="H198" s="5"/>
      <c r="I198" s="5"/>
      <c r="J198" s="5"/>
      <c r="K198" s="5"/>
      <c r="L198" s="5"/>
    </row>
    <row r="199" spans="1:12" x14ac:dyDescent="0.2">
      <c r="A199" s="1"/>
      <c r="B199" s="1"/>
      <c r="C199" s="1"/>
      <c r="D199" s="1"/>
      <c r="E199" s="5"/>
      <c r="F199" s="5"/>
      <c r="G199" s="5"/>
      <c r="H199" s="5"/>
      <c r="I199" s="5"/>
      <c r="J199" s="5"/>
      <c r="K199" s="5"/>
      <c r="L199" s="5"/>
    </row>
    <row r="200" spans="1:12" x14ac:dyDescent="0.2">
      <c r="A200" s="1"/>
      <c r="B200" s="1"/>
      <c r="C200" s="1"/>
      <c r="D200" s="1"/>
      <c r="E200" s="5"/>
      <c r="F200" s="5"/>
      <c r="G200" s="5"/>
      <c r="H200" s="5"/>
      <c r="I200" s="5"/>
      <c r="J200" s="5"/>
      <c r="K200" s="5"/>
      <c r="L200" s="5"/>
    </row>
    <row r="201" spans="1:12" x14ac:dyDescent="0.2">
      <c r="A201" s="1"/>
      <c r="B201" s="1"/>
      <c r="C201" s="1"/>
      <c r="D201" s="1"/>
      <c r="E201" s="5"/>
      <c r="F201" s="5"/>
      <c r="G201" s="5"/>
      <c r="H201" s="5"/>
      <c r="I201" s="5"/>
      <c r="J201" s="5"/>
      <c r="K201" s="5"/>
      <c r="L201" s="5"/>
    </row>
    <row r="202" spans="1:12" x14ac:dyDescent="0.2">
      <c r="A202" s="1"/>
      <c r="B202" s="1"/>
      <c r="C202" s="1"/>
      <c r="D202" s="1"/>
      <c r="E202" s="5"/>
      <c r="F202" s="5"/>
      <c r="G202" s="5"/>
      <c r="H202" s="5"/>
      <c r="I202" s="5"/>
      <c r="J202" s="5"/>
      <c r="K202" s="5"/>
      <c r="L202" s="5"/>
    </row>
    <row r="203" spans="1:12" x14ac:dyDescent="0.2">
      <c r="A203" s="1"/>
      <c r="B203" s="1"/>
      <c r="C203" s="1"/>
      <c r="D203" s="1"/>
      <c r="E203" s="5"/>
      <c r="F203" s="5"/>
      <c r="G203" s="5"/>
      <c r="H203" s="5"/>
      <c r="I203" s="5"/>
      <c r="J203" s="5"/>
      <c r="K203" s="5"/>
      <c r="L203" s="5"/>
    </row>
    <row r="204" spans="1:12" x14ac:dyDescent="0.2">
      <c r="A204" s="1"/>
      <c r="B204" s="1"/>
      <c r="C204" s="1"/>
      <c r="D204" s="1"/>
      <c r="E204" s="5"/>
      <c r="F204" s="5"/>
      <c r="G204" s="5"/>
      <c r="H204" s="5"/>
      <c r="I204" s="5"/>
      <c r="J204" s="5"/>
      <c r="K204" s="5"/>
      <c r="L204" s="5"/>
    </row>
    <row r="205" spans="1:12" x14ac:dyDescent="0.2">
      <c r="A205" s="1"/>
      <c r="B205" s="1"/>
      <c r="C205" s="1"/>
      <c r="D205" s="1"/>
      <c r="E205" s="5"/>
      <c r="F205" s="5"/>
      <c r="G205" s="5"/>
      <c r="H205" s="5"/>
      <c r="I205" s="5"/>
      <c r="J205" s="5"/>
      <c r="K205" s="5"/>
      <c r="L205" s="5"/>
    </row>
    <row r="206" spans="1:12" x14ac:dyDescent="0.2">
      <c r="A206" s="1"/>
      <c r="B206" s="1"/>
      <c r="C206" s="1"/>
      <c r="D206" s="1"/>
      <c r="E206" s="5"/>
      <c r="F206" s="5"/>
      <c r="G206" s="5"/>
      <c r="H206" s="5"/>
      <c r="I206" s="5"/>
      <c r="J206" s="5"/>
      <c r="K206" s="5"/>
      <c r="L206" s="5"/>
    </row>
    <row r="207" spans="1:12" x14ac:dyDescent="0.2">
      <c r="A207" s="1"/>
      <c r="B207" s="1"/>
      <c r="C207" s="1"/>
      <c r="D207" s="1"/>
      <c r="E207" s="5"/>
      <c r="F207" s="5"/>
      <c r="G207" s="5"/>
      <c r="H207" s="5"/>
      <c r="I207" s="5"/>
      <c r="J207" s="5"/>
      <c r="K207" s="5"/>
      <c r="L207" s="5"/>
    </row>
    <row r="208" spans="1:12" x14ac:dyDescent="0.2">
      <c r="A208" s="1"/>
      <c r="B208" s="1"/>
      <c r="C208" s="1"/>
      <c r="D208" s="1"/>
      <c r="E208" s="5"/>
      <c r="F208" s="5"/>
      <c r="G208" s="5"/>
      <c r="H208" s="5"/>
      <c r="I208" s="5"/>
      <c r="J208" s="5"/>
      <c r="K208" s="5"/>
      <c r="L208" s="5"/>
    </row>
    <row r="209" spans="1:12" x14ac:dyDescent="0.2">
      <c r="A209" s="1"/>
      <c r="B209" s="1"/>
      <c r="C209" s="1"/>
      <c r="D209" s="1"/>
      <c r="E209" s="5"/>
      <c r="F209" s="5"/>
      <c r="G209" s="5"/>
      <c r="H209" s="5"/>
      <c r="I209" s="5"/>
      <c r="J209" s="5"/>
      <c r="K209" s="5"/>
      <c r="L209" s="5"/>
    </row>
    <row r="210" spans="1:12" x14ac:dyDescent="0.2">
      <c r="A210" s="1"/>
      <c r="B210" s="1"/>
      <c r="C210" s="1"/>
      <c r="D210" s="1"/>
      <c r="E210" s="5"/>
      <c r="F210" s="5"/>
      <c r="G210" s="5"/>
      <c r="H210" s="5"/>
      <c r="I210" s="5"/>
      <c r="J210" s="5"/>
      <c r="K210" s="5"/>
      <c r="L210" s="5"/>
    </row>
    <row r="211" spans="1:12" x14ac:dyDescent="0.2">
      <c r="A211" s="1"/>
      <c r="B211" s="1"/>
      <c r="C211" s="1"/>
      <c r="D211" s="1"/>
      <c r="E211" s="5"/>
      <c r="F211" s="5"/>
      <c r="G211" s="5"/>
      <c r="H211" s="5"/>
      <c r="I211" s="5"/>
      <c r="J211" s="5"/>
      <c r="K211" s="5"/>
      <c r="L211" s="5"/>
    </row>
    <row r="212" spans="1:12" x14ac:dyDescent="0.2">
      <c r="A212" s="1"/>
      <c r="B212" s="1"/>
      <c r="C212" s="1"/>
      <c r="D212" s="1"/>
      <c r="E212" s="5"/>
      <c r="F212" s="5"/>
      <c r="G212" s="5"/>
      <c r="H212" s="5"/>
      <c r="I212" s="5"/>
      <c r="J212" s="5"/>
      <c r="K212" s="5"/>
      <c r="L212" s="5"/>
    </row>
    <row r="213" spans="1:12" x14ac:dyDescent="0.2">
      <c r="A213" s="1"/>
      <c r="B213" s="1"/>
      <c r="C213" s="1"/>
      <c r="D213" s="1"/>
      <c r="E213" s="5"/>
      <c r="F213" s="5"/>
      <c r="G213" s="5"/>
      <c r="H213" s="5"/>
      <c r="I213" s="5"/>
      <c r="J213" s="5"/>
      <c r="K213" s="5"/>
      <c r="L213" s="5"/>
    </row>
    <row r="214" spans="1:12" x14ac:dyDescent="0.2">
      <c r="A214" s="1"/>
      <c r="B214" s="1"/>
      <c r="C214" s="1"/>
      <c r="D214" s="1"/>
      <c r="E214" s="5"/>
      <c r="F214" s="5"/>
      <c r="G214" s="5"/>
      <c r="H214" s="5"/>
      <c r="I214" s="5"/>
      <c r="J214" s="5"/>
      <c r="K214" s="5"/>
      <c r="L214" s="5"/>
    </row>
    <row r="215" spans="1:12" x14ac:dyDescent="0.2">
      <c r="A215" s="1"/>
      <c r="B215" s="1"/>
      <c r="C215" s="1"/>
      <c r="D215" s="1"/>
      <c r="E215" s="5"/>
      <c r="F215" s="5"/>
      <c r="G215" s="5"/>
      <c r="H215" s="5"/>
      <c r="I215" s="5"/>
      <c r="J215" s="5"/>
      <c r="K215" s="5"/>
      <c r="L215" s="5"/>
    </row>
    <row r="216" spans="1:12" x14ac:dyDescent="0.2">
      <c r="A216" s="1"/>
      <c r="B216" s="1"/>
      <c r="C216" s="1"/>
      <c r="D216" s="1"/>
      <c r="E216" s="5"/>
      <c r="F216" s="5"/>
      <c r="G216" s="5"/>
      <c r="H216" s="5"/>
      <c r="I216" s="5"/>
      <c r="J216" s="5"/>
      <c r="K216" s="5"/>
      <c r="L216" s="5"/>
    </row>
    <row r="217" spans="1:12" x14ac:dyDescent="0.2">
      <c r="A217" s="1"/>
      <c r="B217" s="1"/>
      <c r="C217" s="1"/>
      <c r="D217" s="1"/>
      <c r="E217" s="5"/>
      <c r="F217" s="5"/>
      <c r="G217" s="5"/>
      <c r="H217" s="5"/>
      <c r="I217" s="5"/>
      <c r="J217" s="5"/>
      <c r="K217" s="5"/>
      <c r="L217" s="5"/>
    </row>
    <row r="218" spans="1:12" x14ac:dyDescent="0.2">
      <c r="A218" s="1"/>
      <c r="B218" s="1"/>
      <c r="C218" s="1"/>
      <c r="D218" s="1"/>
      <c r="E218" s="5"/>
      <c r="F218" s="5"/>
      <c r="G218" s="5"/>
      <c r="H218" s="5"/>
      <c r="I218" s="5"/>
      <c r="J218" s="5"/>
      <c r="K218" s="5"/>
      <c r="L218" s="5"/>
    </row>
    <row r="219" spans="1:12" x14ac:dyDescent="0.2">
      <c r="A219" s="1"/>
      <c r="B219" s="1"/>
      <c r="C219" s="1"/>
      <c r="D219" s="1"/>
      <c r="E219" s="5"/>
      <c r="F219" s="5"/>
      <c r="G219" s="5"/>
      <c r="H219" s="5"/>
      <c r="I219" s="5"/>
      <c r="J219" s="5"/>
      <c r="K219" s="5"/>
      <c r="L219" s="5"/>
    </row>
    <row r="220" spans="1:12" x14ac:dyDescent="0.2">
      <c r="A220" s="1"/>
      <c r="B220" s="1"/>
      <c r="C220" s="1"/>
      <c r="D220" s="1"/>
      <c r="E220" s="5"/>
      <c r="F220" s="5"/>
      <c r="G220" s="5"/>
      <c r="H220" s="5"/>
      <c r="I220" s="5"/>
      <c r="J220" s="5"/>
      <c r="K220" s="5"/>
      <c r="L220" s="5"/>
    </row>
    <row r="221" spans="1:12" x14ac:dyDescent="0.2">
      <c r="A221" s="1"/>
      <c r="B221" s="1"/>
      <c r="C221" s="1"/>
      <c r="D221" s="1"/>
      <c r="E221" s="5"/>
      <c r="F221" s="5"/>
      <c r="G221" s="5"/>
      <c r="H221" s="5"/>
      <c r="I221" s="5"/>
      <c r="J221" s="5"/>
      <c r="K221" s="5"/>
      <c r="L221" s="5"/>
    </row>
    <row r="222" spans="1:12" x14ac:dyDescent="0.2">
      <c r="A222" s="1"/>
      <c r="B222" s="1"/>
      <c r="C222" s="1"/>
      <c r="D222" s="1"/>
      <c r="E222" s="5"/>
      <c r="F222" s="5"/>
      <c r="G222" s="5"/>
      <c r="H222" s="5"/>
      <c r="I222" s="5"/>
      <c r="J222" s="5"/>
      <c r="K222" s="5"/>
      <c r="L222" s="5"/>
    </row>
    <row r="223" spans="1:12" x14ac:dyDescent="0.2">
      <c r="A223" s="1"/>
      <c r="B223" s="1"/>
      <c r="C223" s="1"/>
      <c r="D223" s="1"/>
      <c r="E223" s="5"/>
      <c r="F223" s="5"/>
      <c r="G223" s="5"/>
      <c r="H223" s="5"/>
      <c r="I223" s="5"/>
      <c r="J223" s="5"/>
      <c r="K223" s="5"/>
      <c r="L223" s="5"/>
    </row>
    <row r="224" spans="1:12" x14ac:dyDescent="0.2">
      <c r="A224" s="1"/>
      <c r="B224" s="1"/>
      <c r="C224" s="1"/>
      <c r="D224" s="1"/>
      <c r="E224" s="5"/>
      <c r="F224" s="5"/>
      <c r="G224" s="5"/>
      <c r="H224" s="5"/>
      <c r="I224" s="5"/>
      <c r="J224" s="5"/>
      <c r="K224" s="5"/>
      <c r="L224" s="5"/>
    </row>
    <row r="225" spans="1:12" x14ac:dyDescent="0.2">
      <c r="A225" s="1"/>
      <c r="B225" s="1"/>
      <c r="C225" s="1"/>
      <c r="D225" s="1"/>
      <c r="E225" s="5"/>
      <c r="F225" s="5"/>
      <c r="G225" s="5"/>
      <c r="H225" s="5"/>
      <c r="I225" s="5"/>
      <c r="J225" s="5"/>
      <c r="K225" s="5"/>
      <c r="L225" s="5"/>
    </row>
    <row r="226" spans="1:12" x14ac:dyDescent="0.2">
      <c r="A226" s="1"/>
      <c r="B226" s="1"/>
      <c r="C226" s="1"/>
      <c r="D226" s="1"/>
      <c r="E226" s="5"/>
      <c r="F226" s="5"/>
      <c r="G226" s="5"/>
      <c r="H226" s="5"/>
      <c r="I226" s="5"/>
      <c r="J226" s="5"/>
      <c r="K226" s="5"/>
      <c r="L226" s="5"/>
    </row>
    <row r="227" spans="1:12" x14ac:dyDescent="0.2">
      <c r="A227" s="1"/>
      <c r="B227" s="1"/>
      <c r="C227" s="1"/>
      <c r="D227" s="1"/>
      <c r="E227" s="5"/>
      <c r="F227" s="5"/>
      <c r="G227" s="5"/>
      <c r="H227" s="5"/>
      <c r="I227" s="5"/>
      <c r="J227" s="5"/>
      <c r="K227" s="5"/>
      <c r="L227" s="5"/>
    </row>
    <row r="228" spans="1:12" x14ac:dyDescent="0.2">
      <c r="A228" s="1"/>
      <c r="B228" s="1"/>
      <c r="C228" s="1"/>
      <c r="D228" s="1"/>
      <c r="E228" s="5"/>
      <c r="F228" s="5"/>
      <c r="G228" s="5"/>
      <c r="H228" s="5"/>
      <c r="I228" s="5"/>
      <c r="J228" s="5"/>
      <c r="K228" s="5"/>
      <c r="L228" s="5"/>
    </row>
    <row r="229" spans="1:12" x14ac:dyDescent="0.2">
      <c r="A229" s="1"/>
      <c r="B229" s="1"/>
      <c r="C229" s="1"/>
      <c r="D229" s="1"/>
      <c r="E229" s="5"/>
      <c r="F229" s="5"/>
      <c r="G229" s="5"/>
      <c r="H229" s="5"/>
      <c r="I229" s="5"/>
      <c r="J229" s="5"/>
      <c r="K229" s="5"/>
      <c r="L229" s="5"/>
    </row>
    <row r="230" spans="1:12" x14ac:dyDescent="0.2">
      <c r="A230" s="1"/>
      <c r="B230" s="1"/>
      <c r="C230" s="1"/>
      <c r="D230" s="1"/>
      <c r="E230" s="5"/>
      <c r="F230" s="5"/>
      <c r="G230" s="5"/>
      <c r="H230" s="5"/>
      <c r="I230" s="5"/>
      <c r="J230" s="5"/>
      <c r="K230" s="5"/>
      <c r="L230" s="5"/>
    </row>
    <row r="231" spans="1:12" x14ac:dyDescent="0.2">
      <c r="A231" s="1"/>
      <c r="B231" s="1"/>
      <c r="C231" s="1"/>
      <c r="D231" s="1"/>
      <c r="E231" s="5"/>
      <c r="F231" s="5"/>
      <c r="G231" s="5"/>
      <c r="H231" s="5"/>
      <c r="I231" s="5"/>
      <c r="J231" s="5"/>
      <c r="K231" s="5"/>
      <c r="L231" s="5"/>
    </row>
    <row r="232" spans="1:12" x14ac:dyDescent="0.2">
      <c r="A232" s="1"/>
      <c r="B232" s="1"/>
      <c r="C232" s="1"/>
      <c r="D232" s="1"/>
      <c r="E232" s="5"/>
      <c r="F232" s="5"/>
      <c r="G232" s="5"/>
      <c r="H232" s="5"/>
      <c r="I232" s="5"/>
      <c r="J232" s="5"/>
      <c r="K232" s="5"/>
      <c r="L232" s="5"/>
    </row>
    <row r="233" spans="1:12" x14ac:dyDescent="0.2">
      <c r="A233" s="1"/>
      <c r="B233" s="1"/>
      <c r="C233" s="1"/>
      <c r="D233" s="1"/>
      <c r="E233" s="5"/>
      <c r="F233" s="5"/>
      <c r="G233" s="5"/>
      <c r="H233" s="5"/>
      <c r="I233" s="5"/>
      <c r="J233" s="5"/>
      <c r="K233" s="5"/>
      <c r="L233" s="5"/>
    </row>
    <row r="234" spans="1:12" x14ac:dyDescent="0.2">
      <c r="A234" s="1"/>
      <c r="B234" s="1"/>
      <c r="C234" s="1"/>
      <c r="D234" s="1"/>
      <c r="E234" s="5"/>
      <c r="F234" s="5"/>
      <c r="G234" s="5"/>
      <c r="H234" s="5"/>
      <c r="I234" s="5"/>
      <c r="J234" s="5"/>
      <c r="K234" s="5"/>
      <c r="L234" s="5"/>
    </row>
    <row r="235" spans="1:12" x14ac:dyDescent="0.2">
      <c r="A235" s="1"/>
      <c r="B235" s="1"/>
      <c r="C235" s="1"/>
      <c r="D235" s="1"/>
      <c r="E235" s="5"/>
      <c r="F235" s="5"/>
      <c r="G235" s="5"/>
      <c r="H235" s="5"/>
      <c r="I235" s="5"/>
      <c r="J235" s="5"/>
      <c r="K235" s="5"/>
      <c r="L235" s="5"/>
    </row>
    <row r="236" spans="1:12" x14ac:dyDescent="0.2">
      <c r="A236" s="1"/>
      <c r="B236" s="1"/>
      <c r="C236" s="1"/>
      <c r="D236" s="1"/>
      <c r="E236" s="5"/>
      <c r="F236" s="5"/>
      <c r="G236" s="5"/>
      <c r="H236" s="5"/>
      <c r="I236" s="5"/>
      <c r="J236" s="5"/>
      <c r="K236" s="5"/>
      <c r="L236" s="5"/>
    </row>
    <row r="237" spans="1:12" x14ac:dyDescent="0.2">
      <c r="A237" s="1"/>
      <c r="B237" s="1"/>
      <c r="C237" s="1"/>
      <c r="D237" s="1"/>
      <c r="E237" s="5"/>
      <c r="F237" s="5"/>
      <c r="G237" s="5"/>
      <c r="H237" s="5"/>
      <c r="I237" s="5"/>
      <c r="J237" s="5"/>
      <c r="K237" s="5"/>
      <c r="L237" s="5"/>
    </row>
    <row r="238" spans="1:12" x14ac:dyDescent="0.2">
      <c r="A238" s="1"/>
      <c r="B238" s="1"/>
      <c r="C238" s="1"/>
      <c r="D238" s="1"/>
      <c r="E238" s="5"/>
      <c r="F238" s="5"/>
      <c r="G238" s="5"/>
      <c r="H238" s="5"/>
      <c r="I238" s="5"/>
      <c r="J238" s="5"/>
      <c r="K238" s="5"/>
      <c r="L238" s="5"/>
    </row>
    <row r="239" spans="1:12" x14ac:dyDescent="0.2">
      <c r="A239" s="1"/>
      <c r="B239" s="1"/>
      <c r="C239" s="1"/>
      <c r="D239" s="1"/>
      <c r="E239" s="5"/>
      <c r="F239" s="5"/>
      <c r="G239" s="5"/>
      <c r="H239" s="5"/>
      <c r="I239" s="5"/>
      <c r="J239" s="5"/>
      <c r="K239" s="5"/>
      <c r="L239" s="5"/>
    </row>
    <row r="240" spans="1:12" x14ac:dyDescent="0.2">
      <c r="A240" s="1"/>
      <c r="B240" s="1"/>
      <c r="C240" s="1"/>
      <c r="D240" s="1"/>
      <c r="E240" s="5"/>
      <c r="F240" s="5"/>
      <c r="G240" s="5"/>
      <c r="H240" s="5"/>
      <c r="I240" s="5"/>
      <c r="J240" s="5"/>
      <c r="K240" s="5"/>
      <c r="L240" s="5"/>
    </row>
    <row r="241" spans="1:12" x14ac:dyDescent="0.2">
      <c r="A241" s="1"/>
      <c r="B241" s="1"/>
      <c r="C241" s="1"/>
      <c r="D241" s="1"/>
      <c r="E241" s="5"/>
      <c r="F241" s="5"/>
      <c r="G241" s="5"/>
      <c r="H241" s="5"/>
      <c r="I241" s="5"/>
      <c r="J241" s="5"/>
      <c r="K241" s="5"/>
      <c r="L241" s="5"/>
    </row>
    <row r="242" spans="1:12" x14ac:dyDescent="0.2">
      <c r="A242" s="1"/>
      <c r="B242" s="1"/>
      <c r="C242" s="1"/>
      <c r="D242" s="1"/>
      <c r="E242" s="5"/>
      <c r="F242" s="5"/>
      <c r="G242" s="5"/>
      <c r="H242" s="5"/>
      <c r="I242" s="5"/>
      <c r="J242" s="5"/>
      <c r="K242" s="5"/>
      <c r="L242" s="5"/>
    </row>
    <row r="243" spans="1:12" x14ac:dyDescent="0.2">
      <c r="A243" s="1"/>
      <c r="B243" s="1"/>
      <c r="C243" s="1"/>
      <c r="D243" s="1"/>
      <c r="E243" s="5"/>
      <c r="F243" s="5"/>
      <c r="G243" s="5"/>
      <c r="H243" s="5"/>
      <c r="I243" s="5"/>
      <c r="J243" s="5"/>
      <c r="K243" s="5"/>
      <c r="L243" s="5"/>
    </row>
    <row r="244" spans="1:12" x14ac:dyDescent="0.2">
      <c r="A244" s="1"/>
      <c r="B244" s="1"/>
      <c r="C244" s="1"/>
      <c r="D244" s="1"/>
      <c r="E244" s="5"/>
      <c r="F244" s="5"/>
      <c r="G244" s="5"/>
      <c r="H244" s="5"/>
      <c r="I244" s="5"/>
      <c r="J244" s="5"/>
      <c r="K244" s="5"/>
      <c r="L244" s="5"/>
    </row>
    <row r="245" spans="1:12" x14ac:dyDescent="0.2">
      <c r="A245" s="1"/>
      <c r="B245" s="1"/>
      <c r="C245" s="1"/>
      <c r="D245" s="1"/>
      <c r="E245" s="5"/>
      <c r="F245" s="5"/>
      <c r="G245" s="5"/>
      <c r="H245" s="5"/>
      <c r="I245" s="5"/>
      <c r="J245" s="5"/>
      <c r="K245" s="5"/>
      <c r="L245" s="5"/>
    </row>
    <row r="246" spans="1:12" x14ac:dyDescent="0.2">
      <c r="A246" s="1"/>
      <c r="B246" s="1"/>
      <c r="C246" s="1"/>
      <c r="D246" s="1"/>
      <c r="E246" s="5"/>
      <c r="F246" s="5"/>
      <c r="G246" s="5"/>
      <c r="H246" s="5"/>
      <c r="I246" s="5"/>
      <c r="J246" s="5"/>
      <c r="K246" s="5"/>
      <c r="L246" s="5"/>
    </row>
    <row r="247" spans="1:12" x14ac:dyDescent="0.2">
      <c r="A247" s="1"/>
      <c r="B247" s="1"/>
      <c r="C247" s="1"/>
      <c r="D247" s="1"/>
      <c r="E247" s="5"/>
      <c r="F247" s="5"/>
      <c r="G247" s="5"/>
      <c r="H247" s="5"/>
      <c r="I247" s="5"/>
      <c r="J247" s="5"/>
      <c r="K247" s="5"/>
      <c r="L247" s="5"/>
    </row>
    <row r="248" spans="1:12" x14ac:dyDescent="0.2">
      <c r="A248" s="1"/>
      <c r="B248" s="1"/>
      <c r="C248" s="1"/>
      <c r="D248" s="1"/>
      <c r="E248" s="5"/>
      <c r="F248" s="5"/>
      <c r="G248" s="5"/>
      <c r="H248" s="5"/>
      <c r="I248" s="5"/>
      <c r="J248" s="5"/>
      <c r="K248" s="5"/>
      <c r="L248" s="5"/>
    </row>
    <row r="249" spans="1:12" x14ac:dyDescent="0.2">
      <c r="A249" s="1"/>
      <c r="B249" s="1"/>
      <c r="C249" s="1"/>
      <c r="D249" s="1"/>
      <c r="E249" s="5"/>
      <c r="F249" s="5"/>
      <c r="G249" s="5"/>
      <c r="H249" s="5"/>
      <c r="I249" s="5"/>
      <c r="J249" s="5"/>
      <c r="K249" s="5"/>
      <c r="L249" s="5"/>
    </row>
    <row r="250" spans="1:12" x14ac:dyDescent="0.2">
      <c r="A250" s="1"/>
      <c r="B250" s="1"/>
      <c r="C250" s="1"/>
      <c r="D250" s="1"/>
      <c r="E250" s="5"/>
      <c r="F250" s="5"/>
      <c r="G250" s="5"/>
      <c r="H250" s="5"/>
      <c r="I250" s="5"/>
      <c r="J250" s="5"/>
      <c r="K250" s="5"/>
      <c r="L250" s="5"/>
    </row>
    <row r="251" spans="1:12" x14ac:dyDescent="0.2">
      <c r="A251" s="1"/>
      <c r="B251" s="1"/>
      <c r="C251" s="1"/>
      <c r="D251" s="1"/>
      <c r="E251" s="5"/>
      <c r="F251" s="5"/>
      <c r="G251" s="5"/>
      <c r="H251" s="5"/>
      <c r="I251" s="5"/>
      <c r="J251" s="5"/>
      <c r="K251" s="5"/>
      <c r="L251" s="5"/>
    </row>
    <row r="252" spans="1:12" x14ac:dyDescent="0.2">
      <c r="A252" s="1"/>
      <c r="B252" s="1"/>
      <c r="C252" s="1"/>
      <c r="D252" s="1"/>
      <c r="E252" s="5"/>
      <c r="F252" s="5"/>
      <c r="G252" s="5"/>
      <c r="H252" s="5"/>
      <c r="I252" s="5"/>
      <c r="J252" s="5"/>
      <c r="K252" s="5"/>
      <c r="L252" s="5"/>
    </row>
    <row r="253" spans="1:12" x14ac:dyDescent="0.2">
      <c r="A253" s="1"/>
      <c r="B253" s="1"/>
      <c r="C253" s="1"/>
      <c r="D253" s="1"/>
      <c r="E253" s="5"/>
      <c r="F253" s="5"/>
      <c r="G253" s="5"/>
      <c r="H253" s="5"/>
      <c r="I253" s="5"/>
      <c r="J253" s="5"/>
      <c r="K253" s="5"/>
      <c r="L253" s="5"/>
    </row>
  </sheetData>
  <mergeCells count="8">
    <mergeCell ref="A31:D31"/>
    <mergeCell ref="A3:D3"/>
    <mergeCell ref="A20:D20"/>
    <mergeCell ref="A28:D28"/>
    <mergeCell ref="A7:D7"/>
    <mergeCell ref="A5:G5"/>
    <mergeCell ref="A9:B9"/>
    <mergeCell ref="C9:D9"/>
  </mergeCells>
  <printOptions horizontalCentered="1"/>
  <pageMargins left="0.51181102362204722" right="0.51181102362204722" top="1.0236220472440944" bottom="0.78740157480314965" header="0.31496062992125984" footer="0.31496062992125984"/>
  <pageSetup paperSize="9" orientation="portrait" r:id="rId1"/>
  <headerFooter>
    <oddHeader>&amp;L&amp;G
&amp;R&amp;G</oddHeader>
    <oddFooter xml:space="preserve">&amp;CAv. Tancredo Neves, 3557 sala 306 – Bairro Castelo CEP 31.330-430 – Belo Horizonte / Minas Gerais.
Endereço Eletrônico: ottawaeng@terra.com.br – Telefax (31) 3418-2175 – CNPJ: 04.472.311/0001-04
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9</vt:i4>
      </vt:variant>
    </vt:vector>
  </HeadingPairs>
  <TitlesOfParts>
    <vt:vector size="15" baseType="lpstr">
      <vt:lpstr>ORÇAMENTO</vt:lpstr>
      <vt:lpstr>CRONOGRAMA</vt:lpstr>
      <vt:lpstr>COMPOSIÇÕES DE CUSTO</vt:lpstr>
      <vt:lpstr>INSTALAÇÕES ELÉTRICAS</vt:lpstr>
      <vt:lpstr>BDI'S</vt:lpstr>
      <vt:lpstr>BDI'M</vt:lpstr>
      <vt:lpstr>'BDI''M'!Area_de_impressao</vt:lpstr>
      <vt:lpstr>'BDI''S'!Area_de_impressao</vt:lpstr>
      <vt:lpstr>'COMPOSIÇÕES DE CUSTO'!Area_de_impressao</vt:lpstr>
      <vt:lpstr>CRONOGRAMA!Area_de_impressao</vt:lpstr>
      <vt:lpstr>'INSTALAÇÕES ELÉTRICAS'!Area_de_impressao</vt:lpstr>
      <vt:lpstr>ORÇAMENTO!Area_de_impressao</vt:lpstr>
      <vt:lpstr>'COMPOSIÇÕES DE CUSTO'!Titulos_de_impressao</vt:lpstr>
      <vt:lpstr>'INSTALAÇÕES ELÉTRICAS'!Titulos_de_impressao</vt:lpstr>
      <vt:lpstr>ORÇAMENTO!Titulos_de_impressao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Judson</dc:creator>
  <cp:lastModifiedBy>Dacio</cp:lastModifiedBy>
  <cp:lastPrinted>2016-02-05T11:54:32Z</cp:lastPrinted>
  <dcterms:created xsi:type="dcterms:W3CDTF">2011-04-01T04:23:17Z</dcterms:created>
  <dcterms:modified xsi:type="dcterms:W3CDTF">2016-02-05T11:54:37Z</dcterms:modified>
</cp:coreProperties>
</file>