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65" yWindow="165" windowWidth="12975" windowHeight="9960"/>
  </bookViews>
  <sheets>
    <sheet name="ORÇAMENTO" sheetId="2" r:id="rId1"/>
    <sheet name="COMPOSIÇÕES DE CUSTO" sheetId="4" r:id="rId2"/>
    <sheet name="CRONOGRAMA" sheetId="3" r:id="rId3"/>
    <sheet name="INSTALAÇÕES ELÉTRICAS ELT-001" sheetId="7" r:id="rId4"/>
    <sheet name="INSTALAÇÕES ELÉTRICAS ELT-002" sheetId="10" r:id="rId5"/>
    <sheet name="INSTALAÇÕES ELÉTRICAS ELT-003" sheetId="9" r:id="rId6"/>
    <sheet name="BDI'S" sheetId="6" r:id="rId7"/>
    <sheet name="BDI'M" sheetId="5" r:id="rId8"/>
    <sheet name="QUANTITATIVOS DE REDE" sheetId="8" r:id="rId9"/>
  </sheets>
  <externalReferences>
    <externalReference r:id="rId10"/>
  </externalReferences>
  <definedNames>
    <definedName name="_xlnm._FilterDatabase" localSheetId="0" hidden="1">ORÇAMENTO!$B$12:$I$278</definedName>
    <definedName name="_xlnm.Print_Area" localSheetId="7">'BDI''M'!$A$3:$D$39</definedName>
    <definedName name="_xlnm.Print_Area" localSheetId="6">'BDI''S'!$A$3:$D$39</definedName>
    <definedName name="_xlnm.Print_Area" localSheetId="1">'COMPOSIÇÕES DE CUSTO'!$A$1:$I$451</definedName>
    <definedName name="_xlnm.Print_Area" localSheetId="2">CRONOGRAMA!$A$1:$N$32</definedName>
    <definedName name="_xlnm.Print_Area" localSheetId="3">'INSTALAÇÕES ELÉTRICAS ELT-001'!$A$1:$I$125</definedName>
    <definedName name="_xlnm.Print_Area" localSheetId="4">'INSTALAÇÕES ELÉTRICAS ELT-002'!$A$1:$I$135</definedName>
    <definedName name="_xlnm.Print_Area" localSheetId="5">'INSTALAÇÕES ELÉTRICAS ELT-003'!$A$1:$I$176</definedName>
    <definedName name="_xlnm.Print_Area" localSheetId="0">ORÇAMENTO!$A$1:$I$411</definedName>
    <definedName name="_xlnm.Print_Titles" localSheetId="1">'COMPOSIÇÕES DE CUSTO'!$1:$11</definedName>
    <definedName name="_xlnm.Print_Titles" localSheetId="3">'INSTALAÇÕES ELÉTRICAS ELT-001'!$1:$8</definedName>
    <definedName name="_xlnm.Print_Titles" localSheetId="0">ORÇAMENTO!$1:$11</definedName>
  </definedNames>
  <calcPr calcId="145621"/>
</workbook>
</file>

<file path=xl/calcChain.xml><?xml version="1.0" encoding="utf-8"?>
<calcChain xmlns="http://schemas.openxmlformats.org/spreadsheetml/2006/main">
  <c r="F167" i="2" l="1"/>
  <c r="F161" i="2"/>
  <c r="F159" i="2"/>
  <c r="F160" i="2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L149" i="2"/>
  <c r="L150" i="2"/>
  <c r="L151" i="2"/>
  <c r="L152" i="2"/>
  <c r="L153" i="2"/>
  <c r="L154" i="2"/>
  <c r="L155" i="2"/>
  <c r="D315" i="2" l="1"/>
  <c r="D314" i="2"/>
  <c r="D372" i="2"/>
  <c r="H397" i="4"/>
  <c r="I397" i="4" s="1"/>
  <c r="H396" i="4"/>
  <c r="I396" i="4" s="1"/>
  <c r="H395" i="4"/>
  <c r="I395" i="4" s="1"/>
  <c r="I394" i="4" l="1"/>
  <c r="G372" i="2" s="1"/>
  <c r="H372" i="2" s="1"/>
  <c r="I372" i="2" s="1"/>
  <c r="F209" i="4"/>
  <c r="F212" i="4"/>
  <c r="G373" i="2" l="1"/>
  <c r="H373" i="2" s="1"/>
  <c r="I373" i="2" s="1"/>
  <c r="D373" i="2"/>
  <c r="G374" i="2"/>
  <c r="H374" i="2" s="1"/>
  <c r="I374" i="2" s="1"/>
  <c r="G347" i="2"/>
  <c r="H347" i="2" s="1"/>
  <c r="I347" i="2" s="1"/>
  <c r="G346" i="2"/>
  <c r="H346" i="2" s="1"/>
  <c r="I346" i="2" s="1"/>
  <c r="G223" i="2"/>
  <c r="L142" i="2"/>
  <c r="D21" i="2" l="1"/>
  <c r="B12" i="3" s="1"/>
  <c r="A21" i="2"/>
  <c r="A12" i="3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67" i="4"/>
  <c r="F126" i="2"/>
  <c r="I67" i="4" l="1"/>
  <c r="K90" i="2"/>
  <c r="H151" i="2"/>
  <c r="H220" i="2"/>
  <c r="G154" i="2" l="1"/>
  <c r="H154" i="2" s="1"/>
  <c r="I154" i="2" s="1"/>
  <c r="H158" i="9"/>
  <c r="I158" i="9" s="1"/>
  <c r="H157" i="9"/>
  <c r="I157" i="9" s="1"/>
  <c r="H156" i="9"/>
  <c r="I156" i="9" s="1"/>
  <c r="H155" i="9"/>
  <c r="I155" i="9" s="1"/>
  <c r="H154" i="9"/>
  <c r="I154" i="9" s="1"/>
  <c r="H153" i="9"/>
  <c r="I153" i="9" s="1"/>
  <c r="H152" i="9"/>
  <c r="I152" i="9" s="1"/>
  <c r="H151" i="9"/>
  <c r="I151" i="9" s="1"/>
  <c r="H150" i="9"/>
  <c r="I150" i="9" s="1"/>
  <c r="H149" i="9"/>
  <c r="I149" i="9" s="1"/>
  <c r="H148" i="9"/>
  <c r="I148" i="9" s="1"/>
  <c r="H147" i="9"/>
  <c r="I147" i="9" s="1"/>
  <c r="H146" i="9"/>
  <c r="I146" i="9" s="1"/>
  <c r="H145" i="9"/>
  <c r="I145" i="9" s="1"/>
  <c r="H144" i="9"/>
  <c r="I144" i="9" s="1"/>
  <c r="H143" i="9"/>
  <c r="I143" i="9" s="1"/>
  <c r="H142" i="9"/>
  <c r="I142" i="9" s="1"/>
  <c r="H141" i="9"/>
  <c r="I141" i="9" s="1"/>
  <c r="H140" i="9"/>
  <c r="I140" i="9" s="1"/>
  <c r="H139" i="9"/>
  <c r="I139" i="9" s="1"/>
  <c r="H138" i="9"/>
  <c r="I138" i="9" s="1"/>
  <c r="H135" i="9"/>
  <c r="I135" i="9" s="1"/>
  <c r="I134" i="9" s="1"/>
  <c r="I22" i="9" s="1"/>
  <c r="H128" i="9"/>
  <c r="I128" i="9" s="1"/>
  <c r="H127" i="9"/>
  <c r="I127" i="9" s="1"/>
  <c r="H126" i="9"/>
  <c r="I126" i="9" s="1"/>
  <c r="H125" i="9"/>
  <c r="I125" i="9" s="1"/>
  <c r="H124" i="9"/>
  <c r="I124" i="9" s="1"/>
  <c r="H123" i="9"/>
  <c r="I123" i="9" s="1"/>
  <c r="H122" i="9"/>
  <c r="I122" i="9" s="1"/>
  <c r="H121" i="9"/>
  <c r="I121" i="9" s="1"/>
  <c r="H120" i="9"/>
  <c r="I120" i="9" s="1"/>
  <c r="H111" i="9"/>
  <c r="I111" i="9" s="1"/>
  <c r="H110" i="9"/>
  <c r="I110" i="9" s="1"/>
  <c r="H109" i="9"/>
  <c r="I109" i="9" s="1"/>
  <c r="H108" i="9"/>
  <c r="I108" i="9" s="1"/>
  <c r="H107" i="9"/>
  <c r="I107" i="9" s="1"/>
  <c r="H106" i="9"/>
  <c r="I106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89" i="9"/>
  <c r="I89" i="9" s="1"/>
  <c r="I88" i="9"/>
  <c r="I87" i="9"/>
  <c r="I86" i="9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I78" i="9"/>
  <c r="H78" i="9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D27" i="9"/>
  <c r="D24" i="9"/>
  <c r="A24" i="9"/>
  <c r="D22" i="9"/>
  <c r="A22" i="9"/>
  <c r="D20" i="9"/>
  <c r="A20" i="9"/>
  <c r="D18" i="9"/>
  <c r="A18" i="9"/>
  <c r="D16" i="9"/>
  <c r="A16" i="9"/>
  <c r="D14" i="9"/>
  <c r="A14" i="9"/>
  <c r="L7" i="9"/>
  <c r="H161" i="9" s="1"/>
  <c r="I161" i="9" s="1"/>
  <c r="H89" i="10"/>
  <c r="I89" i="10" s="1"/>
  <c r="H88" i="10"/>
  <c r="I88" i="10" s="1"/>
  <c r="H87" i="10"/>
  <c r="I87" i="10" s="1"/>
  <c r="H86" i="10"/>
  <c r="I86" i="10" s="1"/>
  <c r="H85" i="10"/>
  <c r="I85" i="10" s="1"/>
  <c r="H84" i="10"/>
  <c r="I84" i="10" s="1"/>
  <c r="H83" i="10"/>
  <c r="I83" i="10" s="1"/>
  <c r="H82" i="10"/>
  <c r="I82" i="10" s="1"/>
  <c r="H81" i="10"/>
  <c r="I81" i="10" s="1"/>
  <c r="H80" i="10"/>
  <c r="I80" i="10" s="1"/>
  <c r="H79" i="10"/>
  <c r="I79" i="10" s="1"/>
  <c r="H78" i="10"/>
  <c r="I78" i="10" s="1"/>
  <c r="H77" i="10"/>
  <c r="I77" i="10" s="1"/>
  <c r="H76" i="10"/>
  <c r="I76" i="10" s="1"/>
  <c r="H75" i="10"/>
  <c r="I75" i="10" s="1"/>
  <c r="H74" i="10"/>
  <c r="I74" i="10" s="1"/>
  <c r="H73" i="10"/>
  <c r="I73" i="10" s="1"/>
  <c r="H72" i="10"/>
  <c r="I72" i="10" s="1"/>
  <c r="H71" i="10"/>
  <c r="I71" i="10" s="1"/>
  <c r="H70" i="10"/>
  <c r="I70" i="10" s="1"/>
  <c r="H69" i="10"/>
  <c r="I69" i="10" s="1"/>
  <c r="H65" i="10"/>
  <c r="I65" i="10" s="1"/>
  <c r="I64" i="10" s="1"/>
  <c r="I17" i="10" s="1"/>
  <c r="H58" i="10"/>
  <c r="I58" i="10" s="1"/>
  <c r="H57" i="10"/>
  <c r="I57" i="10" s="1"/>
  <c r="H56" i="10"/>
  <c r="I56" i="10" s="1"/>
  <c r="H55" i="10"/>
  <c r="I55" i="10" s="1"/>
  <c r="H54" i="10"/>
  <c r="I54" i="10" s="1"/>
  <c r="H53" i="10"/>
  <c r="I53" i="10" s="1"/>
  <c r="H52" i="10"/>
  <c r="I52" i="10" s="1"/>
  <c r="H51" i="10"/>
  <c r="I51" i="10" s="1"/>
  <c r="H50" i="10"/>
  <c r="I50" i="10" s="1"/>
  <c r="D19" i="10"/>
  <c r="A19" i="10"/>
  <c r="D17" i="10"/>
  <c r="A17" i="10"/>
  <c r="D15" i="10"/>
  <c r="A15" i="10"/>
  <c r="L7" i="10"/>
  <c r="H94" i="10" s="1"/>
  <c r="I94" i="10" s="1"/>
  <c r="H95" i="7"/>
  <c r="I95" i="7" s="1"/>
  <c r="H94" i="7"/>
  <c r="I94" i="7" s="1"/>
  <c r="H93" i="7"/>
  <c r="I93" i="7" s="1"/>
  <c r="I92" i="7" s="1"/>
  <c r="H90" i="7"/>
  <c r="I90" i="7" s="1"/>
  <c r="H89" i="7"/>
  <c r="I89" i="7" s="1"/>
  <c r="H88" i="7"/>
  <c r="I88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9" i="7"/>
  <c r="I79" i="7" s="1"/>
  <c r="H78" i="7"/>
  <c r="I78" i="7" s="1"/>
  <c r="H77" i="7"/>
  <c r="I77" i="7" s="1"/>
  <c r="H76" i="7"/>
  <c r="I76" i="7" s="1"/>
  <c r="H75" i="7"/>
  <c r="I75" i="7" s="1"/>
  <c r="H74" i="7"/>
  <c r="I74" i="7" s="1"/>
  <c r="H73" i="7"/>
  <c r="I73" i="7" s="1"/>
  <c r="H72" i="7"/>
  <c r="I72" i="7" s="1"/>
  <c r="H71" i="7"/>
  <c r="I71" i="7" s="1"/>
  <c r="H70" i="7"/>
  <c r="I70" i="7" s="1"/>
  <c r="H66" i="7"/>
  <c r="I66" i="7" s="1"/>
  <c r="I65" i="7" s="1"/>
  <c r="I17" i="7" s="1"/>
  <c r="H63" i="7"/>
  <c r="I63" i="7" s="1"/>
  <c r="I62" i="7"/>
  <c r="H62" i="7"/>
  <c r="H59" i="7"/>
  <c r="I59" i="7" s="1"/>
  <c r="H58" i="7"/>
  <c r="I58" i="7" s="1"/>
  <c r="H57" i="7"/>
  <c r="I57" i="7" s="1"/>
  <c r="H56" i="7"/>
  <c r="I56" i="7" s="1"/>
  <c r="I55" i="7"/>
  <c r="H55" i="7"/>
  <c r="H54" i="7"/>
  <c r="I54" i="7" s="1"/>
  <c r="H53" i="7"/>
  <c r="I53" i="7" s="1"/>
  <c r="H52" i="7"/>
  <c r="I52" i="7" s="1"/>
  <c r="H51" i="7"/>
  <c r="I51" i="7" s="1"/>
  <c r="D19" i="7"/>
  <c r="A19" i="7"/>
  <c r="D17" i="7"/>
  <c r="A17" i="7"/>
  <c r="D15" i="7"/>
  <c r="A15" i="7"/>
  <c r="I61" i="7" l="1"/>
  <c r="H131" i="9"/>
  <c r="I131" i="9" s="1"/>
  <c r="H57" i="9"/>
  <c r="I57" i="9" s="1"/>
  <c r="H93" i="9"/>
  <c r="I93" i="9" s="1"/>
  <c r="H115" i="9"/>
  <c r="I115" i="9" s="1"/>
  <c r="H116" i="9"/>
  <c r="I116" i="9" s="1"/>
  <c r="I114" i="9" s="1"/>
  <c r="H162" i="9"/>
  <c r="I162" i="9" s="1"/>
  <c r="I68" i="10"/>
  <c r="I50" i="7"/>
  <c r="I49" i="7" s="1"/>
  <c r="I15" i="7" s="1"/>
  <c r="I97" i="9"/>
  <c r="I137" i="9"/>
  <c r="I119" i="9"/>
  <c r="I47" i="9"/>
  <c r="I61" i="9"/>
  <c r="H58" i="9"/>
  <c r="I58" i="9" s="1"/>
  <c r="H94" i="9"/>
  <c r="I94" i="9" s="1"/>
  <c r="I92" i="9" s="1"/>
  <c r="H132" i="9"/>
  <c r="I132" i="9" s="1"/>
  <c r="I130" i="9" s="1"/>
  <c r="H163" i="9"/>
  <c r="I163" i="9" s="1"/>
  <c r="I160" i="9" s="1"/>
  <c r="H56" i="9"/>
  <c r="I56" i="9" s="1"/>
  <c r="I55" i="9" s="1"/>
  <c r="I49" i="10"/>
  <c r="H92" i="10"/>
  <c r="I92" i="10" s="1"/>
  <c r="H61" i="10"/>
  <c r="I61" i="10" s="1"/>
  <c r="H93" i="10"/>
  <c r="I93" i="10" s="1"/>
  <c r="H62" i="10"/>
  <c r="I62" i="10" s="1"/>
  <c r="I69" i="7"/>
  <c r="I68" i="7" s="1"/>
  <c r="I19" i="7" s="1"/>
  <c r="I60" i="10" l="1"/>
  <c r="I26" i="7"/>
  <c r="I96" i="9"/>
  <c r="I18" i="9" s="1"/>
  <c r="I60" i="9"/>
  <c r="I16" i="9" s="1"/>
  <c r="I46" i="9"/>
  <c r="I136" i="9"/>
  <c r="I24" i="9" s="1"/>
  <c r="I118" i="9"/>
  <c r="I20" i="9" s="1"/>
  <c r="I91" i="10"/>
  <c r="I67" i="10" s="1"/>
  <c r="I19" i="10" s="1"/>
  <c r="I48" i="10"/>
  <c r="I15" i="10" s="1"/>
  <c r="I28" i="10" s="1"/>
  <c r="I166" i="9" l="1"/>
  <c r="I14" i="9"/>
  <c r="I27" i="9" s="1"/>
  <c r="F217" i="2" l="1"/>
  <c r="F216" i="2"/>
  <c r="F215" i="2"/>
  <c r="F214" i="2"/>
  <c r="F213" i="2"/>
  <c r="F211" i="2"/>
  <c r="F212" i="2"/>
  <c r="F210" i="2"/>
  <c r="F209" i="2"/>
  <c r="F208" i="2"/>
  <c r="F207" i="2"/>
  <c r="F206" i="2"/>
  <c r="I151" i="2" l="1"/>
  <c r="I220" i="2"/>
  <c r="H288" i="2"/>
  <c r="I288" i="2" s="1"/>
  <c r="H60" i="4"/>
  <c r="H61" i="4"/>
  <c r="H62" i="4"/>
  <c r="I62" i="4" s="1"/>
  <c r="H63" i="4"/>
  <c r="H64" i="4"/>
  <c r="H65" i="4"/>
  <c r="H66" i="4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59" i="4"/>
  <c r="H58" i="4"/>
  <c r="H372" i="4"/>
  <c r="I372" i="4" s="1"/>
  <c r="H373" i="4"/>
  <c r="I373" i="4" s="1"/>
  <c r="H374" i="4"/>
  <c r="I374" i="4" s="1"/>
  <c r="H375" i="4"/>
  <c r="I375" i="4" s="1"/>
  <c r="H376" i="4"/>
  <c r="I376" i="4" s="1"/>
  <c r="H377" i="4"/>
  <c r="I377" i="4" s="1"/>
  <c r="H378" i="4"/>
  <c r="I378" i="4" s="1"/>
  <c r="H379" i="4"/>
  <c r="I379" i="4" s="1"/>
  <c r="H380" i="4"/>
  <c r="I380" i="4" s="1"/>
  <c r="H381" i="4"/>
  <c r="I381" i="4" s="1"/>
  <c r="H382" i="4"/>
  <c r="I382" i="4" s="1"/>
  <c r="H383" i="4"/>
  <c r="I383" i="4" s="1"/>
  <c r="H384" i="4"/>
  <c r="I384" i="4" s="1"/>
  <c r="H385" i="4"/>
  <c r="I385" i="4" s="1"/>
  <c r="H386" i="4"/>
  <c r="I386" i="4" s="1"/>
  <c r="H387" i="4"/>
  <c r="I387" i="4" s="1"/>
  <c r="H388" i="4"/>
  <c r="I388" i="4" s="1"/>
  <c r="H389" i="4"/>
  <c r="I389" i="4" s="1"/>
  <c r="H390" i="4"/>
  <c r="I390" i="4" s="1"/>
  <c r="H391" i="4"/>
  <c r="I391" i="4" s="1"/>
  <c r="H392" i="4"/>
  <c r="I392" i="4" s="1"/>
  <c r="H369" i="4"/>
  <c r="F369" i="4"/>
  <c r="F368" i="4"/>
  <c r="D255" i="4"/>
  <c r="I369" i="4" l="1"/>
  <c r="H99" i="4"/>
  <c r="I99" i="4" s="1"/>
  <c r="H98" i="4"/>
  <c r="I98" i="4" s="1"/>
  <c r="H130" i="4"/>
  <c r="I130" i="4" s="1"/>
  <c r="I97" i="4" l="1"/>
  <c r="G150" i="2" s="1"/>
  <c r="F391" i="2" l="1"/>
  <c r="H366" i="2"/>
  <c r="I366" i="2" s="1"/>
  <c r="F367" i="4"/>
  <c r="F364" i="2"/>
  <c r="F365" i="2"/>
  <c r="H360" i="2"/>
  <c r="I360" i="2" s="1"/>
  <c r="H361" i="2"/>
  <c r="I361" i="2" s="1"/>
  <c r="H362" i="2"/>
  <c r="I362" i="2" s="1"/>
  <c r="H357" i="2"/>
  <c r="I357" i="2" s="1"/>
  <c r="H358" i="2"/>
  <c r="I358" i="2" s="1"/>
  <c r="H359" i="2"/>
  <c r="I359" i="2" s="1"/>
  <c r="F352" i="2"/>
  <c r="F355" i="2" s="1"/>
  <c r="H241" i="2"/>
  <c r="I241" i="2" s="1"/>
  <c r="L148" i="2" l="1"/>
  <c r="L147" i="2"/>
  <c r="L146" i="2"/>
  <c r="L145" i="2"/>
  <c r="L141" i="2"/>
  <c r="L140" i="2"/>
  <c r="L139" i="2"/>
  <c r="L138" i="2"/>
  <c r="L137" i="2"/>
  <c r="H131" i="4"/>
  <c r="I131" i="4" s="1"/>
  <c r="H132" i="4"/>
  <c r="I132" i="4" s="1"/>
  <c r="H133" i="4"/>
  <c r="I133" i="4" s="1"/>
  <c r="H134" i="4"/>
  <c r="I134" i="4" s="1"/>
  <c r="H135" i="4"/>
  <c r="I135" i="4" s="1"/>
  <c r="H136" i="4"/>
  <c r="I136" i="4" s="1"/>
  <c r="H137" i="4"/>
  <c r="I137" i="4" s="1"/>
  <c r="H138" i="4"/>
  <c r="I138" i="4" s="1"/>
  <c r="H139" i="4"/>
  <c r="I139" i="4" s="1"/>
  <c r="H140" i="4"/>
  <c r="I140" i="4" s="1"/>
  <c r="H141" i="4"/>
  <c r="I141" i="4" s="1"/>
  <c r="H142" i="4"/>
  <c r="I142" i="4" s="1"/>
  <c r="H143" i="4"/>
  <c r="I143" i="4" s="1"/>
  <c r="H144" i="4"/>
  <c r="I144" i="4" s="1"/>
  <c r="H145" i="4"/>
  <c r="I145" i="4" s="1"/>
  <c r="H146" i="4"/>
  <c r="I146" i="4" s="1"/>
  <c r="H147" i="4"/>
  <c r="I147" i="4" s="1"/>
  <c r="H148" i="4"/>
  <c r="I148" i="4" s="1"/>
  <c r="H149" i="4"/>
  <c r="I149" i="4" s="1"/>
  <c r="H150" i="4"/>
  <c r="I150" i="4" s="1"/>
  <c r="H151" i="4"/>
  <c r="I151" i="4" s="1"/>
  <c r="H152" i="4"/>
  <c r="I152" i="4" s="1"/>
  <c r="H153" i="4"/>
  <c r="I153" i="4" s="1"/>
  <c r="I66" i="4"/>
  <c r="I65" i="4"/>
  <c r="I64" i="4"/>
  <c r="I63" i="4"/>
  <c r="I61" i="4"/>
  <c r="I60" i="4"/>
  <c r="I59" i="4"/>
  <c r="I58" i="4"/>
  <c r="H223" i="2"/>
  <c r="I223" i="2" s="1"/>
  <c r="H221" i="2"/>
  <c r="I221" i="2" s="1"/>
  <c r="H217" i="2"/>
  <c r="H216" i="2"/>
  <c r="H215" i="2"/>
  <c r="H214" i="2"/>
  <c r="H213" i="2"/>
  <c r="H212" i="2"/>
  <c r="H211" i="2"/>
  <c r="I211" i="2" s="1"/>
  <c r="H210" i="2"/>
  <c r="H209" i="2"/>
  <c r="H208" i="2"/>
  <c r="H207" i="2"/>
  <c r="H206" i="2"/>
  <c r="F176" i="2"/>
  <c r="F177" i="2" s="1"/>
  <c r="H177" i="2"/>
  <c r="H176" i="2"/>
  <c r="L144" i="2" l="1"/>
  <c r="L143" i="2"/>
  <c r="I57" i="4"/>
  <c r="I129" i="4"/>
  <c r="G218" i="2" s="1"/>
  <c r="H218" i="2" s="1"/>
  <c r="I218" i="2" s="1"/>
  <c r="I210" i="2"/>
  <c r="I209" i="2"/>
  <c r="I213" i="2"/>
  <c r="I217" i="2"/>
  <c r="I208" i="2"/>
  <c r="I216" i="2"/>
  <c r="I206" i="2"/>
  <c r="I207" i="2"/>
  <c r="I214" i="2"/>
  <c r="I215" i="2"/>
  <c r="I212" i="2"/>
  <c r="I177" i="2"/>
  <c r="I176" i="2"/>
  <c r="F168" i="2" l="1"/>
  <c r="H114" i="4" l="1"/>
  <c r="I114" i="4" s="1"/>
  <c r="H163" i="2"/>
  <c r="I163" i="2" s="1"/>
  <c r="H161" i="2" l="1"/>
  <c r="I161" i="2" s="1"/>
  <c r="F162" i="2" l="1"/>
  <c r="H307" i="2"/>
  <c r="F307" i="2"/>
  <c r="H306" i="2"/>
  <c r="F306" i="2"/>
  <c r="H305" i="2"/>
  <c r="I305" i="2" s="1"/>
  <c r="H304" i="2"/>
  <c r="I304" i="2" s="1"/>
  <c r="H276" i="2"/>
  <c r="I276" i="2" s="1"/>
  <c r="F279" i="2"/>
  <c r="H274" i="2"/>
  <c r="I274" i="2" s="1"/>
  <c r="I307" i="2" l="1"/>
  <c r="I306" i="2"/>
  <c r="F196" i="2"/>
  <c r="F185" i="2"/>
  <c r="F186" i="2" s="1"/>
  <c r="F187" i="2" s="1"/>
  <c r="H132" i="2" l="1"/>
  <c r="F129" i="2"/>
  <c r="F128" i="2"/>
  <c r="I132" i="2" l="1"/>
  <c r="I131" i="2"/>
  <c r="G159" i="8"/>
  <c r="F159" i="8"/>
  <c r="E159" i="8"/>
  <c r="K157" i="8"/>
  <c r="K154" i="8"/>
  <c r="K151" i="8"/>
  <c r="K148" i="8"/>
  <c r="K145" i="8"/>
  <c r="N140" i="8"/>
  <c r="L140" i="8"/>
  <c r="M139" i="8"/>
  <c r="O138" i="8"/>
  <c r="N138" i="8"/>
  <c r="M138" i="8"/>
  <c r="L138" i="8"/>
  <c r="P137" i="8"/>
  <c r="O137" i="8"/>
  <c r="N137" i="8"/>
  <c r="M137" i="8"/>
  <c r="L137" i="8"/>
  <c r="L134" i="8"/>
  <c r="L133" i="8"/>
  <c r="L132" i="8"/>
  <c r="L131" i="8"/>
  <c r="L130" i="8"/>
  <c r="L129" i="8"/>
  <c r="L128" i="8"/>
  <c r="L127" i="8"/>
  <c r="L126" i="8"/>
  <c r="L125" i="8"/>
  <c r="L124" i="8"/>
  <c r="L123" i="8"/>
  <c r="L122" i="8"/>
  <c r="L121" i="8"/>
  <c r="M119" i="8"/>
  <c r="E110" i="8"/>
  <c r="H97" i="8"/>
  <c r="Q96" i="8"/>
  <c r="P96" i="8"/>
  <c r="N96" i="8"/>
  <c r="M96" i="8"/>
  <c r="L96" i="8"/>
  <c r="Q95" i="8"/>
  <c r="P95" i="8"/>
  <c r="N95" i="8"/>
  <c r="M95" i="8"/>
  <c r="L95" i="8"/>
  <c r="H95" i="8"/>
  <c r="Q94" i="8"/>
  <c r="P94" i="8"/>
  <c r="N94" i="8"/>
  <c r="M94" i="8"/>
  <c r="L94" i="8"/>
  <c r="E79" i="8"/>
  <c r="L64" i="8"/>
  <c r="L63" i="8"/>
  <c r="E49" i="8"/>
  <c r="Q35" i="8"/>
  <c r="P35" i="8"/>
  <c r="N35" i="8"/>
  <c r="M35" i="8"/>
  <c r="L35" i="8"/>
  <c r="Q34" i="8"/>
  <c r="P34" i="8"/>
  <c r="N34" i="8"/>
  <c r="M34" i="8"/>
  <c r="L34" i="8"/>
  <c r="Q33" i="8"/>
  <c r="P33" i="8"/>
  <c r="N33" i="8"/>
  <c r="M33" i="8"/>
  <c r="L33" i="8"/>
  <c r="E21" i="8"/>
  <c r="Q8" i="8"/>
  <c r="P8" i="8"/>
  <c r="N8" i="8"/>
  <c r="M8" i="8"/>
  <c r="L8" i="8"/>
  <c r="Q7" i="8"/>
  <c r="P7" i="8"/>
  <c r="N7" i="8"/>
  <c r="M7" i="8"/>
  <c r="Q6" i="8"/>
  <c r="P6" i="8"/>
  <c r="N6" i="8"/>
  <c r="M6" i="8"/>
  <c r="L6" i="8"/>
  <c r="Q5" i="8"/>
  <c r="P5" i="8"/>
  <c r="N5" i="8"/>
  <c r="M5" i="8"/>
  <c r="L5" i="8"/>
  <c r="C35" i="5"/>
  <c r="C24" i="5"/>
  <c r="C15" i="5"/>
  <c r="C24" i="6"/>
  <c r="C15" i="6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H116" i="4"/>
  <c r="I116" i="4" s="1"/>
  <c r="H115" i="4"/>
  <c r="I115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3" i="4"/>
  <c r="F413" i="4"/>
  <c r="H412" i="4"/>
  <c r="F412" i="4"/>
  <c r="H411" i="4"/>
  <c r="I411" i="4" s="1"/>
  <c r="H410" i="4"/>
  <c r="I410" i="4" s="1"/>
  <c r="H409" i="4"/>
  <c r="I409" i="4" s="1"/>
  <c r="H408" i="4"/>
  <c r="H407" i="4"/>
  <c r="F407" i="4"/>
  <c r="F408" i="4" s="1"/>
  <c r="H406" i="4"/>
  <c r="I406" i="4" s="1"/>
  <c r="H405" i="4"/>
  <c r="I405" i="4" s="1"/>
  <c r="H404" i="4"/>
  <c r="I404" i="4" s="1"/>
  <c r="H403" i="4"/>
  <c r="I403" i="4" s="1"/>
  <c r="H402" i="4"/>
  <c r="F402" i="4"/>
  <c r="H401" i="4"/>
  <c r="I401" i="4" s="1"/>
  <c r="H400" i="4"/>
  <c r="I400" i="4" s="1"/>
  <c r="H371" i="4"/>
  <c r="I371" i="4" s="1"/>
  <c r="H370" i="4"/>
  <c r="I370" i="4" s="1"/>
  <c r="H368" i="4"/>
  <c r="I368" i="4" s="1"/>
  <c r="H367" i="4"/>
  <c r="I367" i="4" s="1"/>
  <c r="H364" i="4"/>
  <c r="H363" i="4"/>
  <c r="H362" i="4"/>
  <c r="F362" i="4"/>
  <c r="H361" i="4"/>
  <c r="F361" i="4"/>
  <c r="H360" i="4"/>
  <c r="F360" i="4"/>
  <c r="F364" i="4" s="1"/>
  <c r="H359" i="4"/>
  <c r="F359" i="4"/>
  <c r="H358" i="4"/>
  <c r="F358" i="4"/>
  <c r="H357" i="4"/>
  <c r="H356" i="4"/>
  <c r="H355" i="4"/>
  <c r="F355" i="4"/>
  <c r="H354" i="4"/>
  <c r="F354" i="4"/>
  <c r="F356" i="4" s="1"/>
  <c r="H351" i="4"/>
  <c r="I351" i="4" s="1"/>
  <c r="H350" i="4"/>
  <c r="I350" i="4" s="1"/>
  <c r="H349" i="4"/>
  <c r="I349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H337" i="4"/>
  <c r="I337" i="4" s="1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30" i="4"/>
  <c r="I330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2" i="4"/>
  <c r="I302" i="4" s="1"/>
  <c r="H301" i="4"/>
  <c r="I301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H292" i="4"/>
  <c r="I292" i="4" s="1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3" i="4"/>
  <c r="I283" i="4" s="1"/>
  <c r="H282" i="4"/>
  <c r="I282" i="4" s="1"/>
  <c r="H281" i="4"/>
  <c r="I281" i="4" s="1"/>
  <c r="H277" i="4"/>
  <c r="I277" i="4" s="1"/>
  <c r="H276" i="4"/>
  <c r="I276" i="4" s="1"/>
  <c r="H275" i="4"/>
  <c r="I275" i="4" s="1"/>
  <c r="H274" i="4"/>
  <c r="I274" i="4" s="1"/>
  <c r="H273" i="4"/>
  <c r="I273" i="4" s="1"/>
  <c r="H270" i="4"/>
  <c r="I270" i="4" s="1"/>
  <c r="H269" i="4"/>
  <c r="I269" i="4" s="1"/>
  <c r="H268" i="4"/>
  <c r="I268" i="4" s="1"/>
  <c r="H267" i="4"/>
  <c r="I267" i="4" s="1"/>
  <c r="H264" i="4"/>
  <c r="I264" i="4" s="1"/>
  <c r="H263" i="4"/>
  <c r="I263" i="4" s="1"/>
  <c r="H262" i="4"/>
  <c r="I262" i="4" s="1"/>
  <c r="H261" i="4"/>
  <c r="I261" i="4" s="1"/>
  <c r="H258" i="4"/>
  <c r="I258" i="4" s="1"/>
  <c r="H257" i="4"/>
  <c r="I257" i="4" s="1"/>
  <c r="H256" i="4"/>
  <c r="I256" i="4" s="1"/>
  <c r="H253" i="4"/>
  <c r="I253" i="4" s="1"/>
  <c r="H252" i="4"/>
  <c r="I252" i="4" s="1"/>
  <c r="H251" i="4"/>
  <c r="I251" i="4" s="1"/>
  <c r="H250" i="4"/>
  <c r="I250" i="4" s="1"/>
  <c r="H249" i="4"/>
  <c r="I249" i="4" s="1"/>
  <c r="H248" i="4"/>
  <c r="I248" i="4" s="1"/>
  <c r="H245" i="4"/>
  <c r="I245" i="4" s="1"/>
  <c r="H244" i="4"/>
  <c r="I244" i="4" s="1"/>
  <c r="H243" i="4"/>
  <c r="I243" i="4" s="1"/>
  <c r="D242" i="4"/>
  <c r="H240" i="4"/>
  <c r="I240" i="4" s="1"/>
  <c r="H239" i="4"/>
  <c r="I239" i="4" s="1"/>
  <c r="H238" i="4"/>
  <c r="I238" i="4" s="1"/>
  <c r="H237" i="4"/>
  <c r="I237" i="4" s="1"/>
  <c r="H236" i="4"/>
  <c r="I236" i="4" s="1"/>
  <c r="H235" i="4"/>
  <c r="I235" i="4" s="1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H227" i="4"/>
  <c r="I227" i="4" s="1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H219" i="4"/>
  <c r="I219" i="4" s="1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H203" i="4"/>
  <c r="I203" i="4" s="1"/>
  <c r="H202" i="4"/>
  <c r="I202" i="4" s="1"/>
  <c r="H212" i="4"/>
  <c r="I212" i="4" s="1"/>
  <c r="H211" i="4"/>
  <c r="I211" i="4" s="1"/>
  <c r="H210" i="4"/>
  <c r="I210" i="4" s="1"/>
  <c r="D201" i="4"/>
  <c r="H199" i="4"/>
  <c r="I199" i="4" s="1"/>
  <c r="H198" i="4"/>
  <c r="I198" i="4" s="1"/>
  <c r="H197" i="4"/>
  <c r="I197" i="4" s="1"/>
  <c r="H196" i="4"/>
  <c r="I196" i="4" s="1"/>
  <c r="H193" i="4"/>
  <c r="I193" i="4" s="1"/>
  <c r="H192" i="4"/>
  <c r="I192" i="4" s="1"/>
  <c r="H191" i="4"/>
  <c r="I191" i="4" s="1"/>
  <c r="H190" i="4"/>
  <c r="I190" i="4" s="1"/>
  <c r="H187" i="4"/>
  <c r="I187" i="4" s="1"/>
  <c r="H186" i="4"/>
  <c r="I186" i="4" s="1"/>
  <c r="H185" i="4"/>
  <c r="I185" i="4" s="1"/>
  <c r="H184" i="4"/>
  <c r="I184" i="4" s="1"/>
  <c r="H183" i="4"/>
  <c r="I183" i="4" s="1"/>
  <c r="H180" i="4"/>
  <c r="I180" i="4" s="1"/>
  <c r="H179" i="4"/>
  <c r="I179" i="4" s="1"/>
  <c r="H178" i="4"/>
  <c r="I178" i="4" s="1"/>
  <c r="H177" i="4"/>
  <c r="I177" i="4" s="1"/>
  <c r="H176" i="4"/>
  <c r="I176" i="4" s="1"/>
  <c r="H173" i="4"/>
  <c r="I173" i="4" s="1"/>
  <c r="H172" i="4"/>
  <c r="I172" i="4" s="1"/>
  <c r="H171" i="4"/>
  <c r="I171" i="4" s="1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H163" i="4"/>
  <c r="I163" i="4" s="1"/>
  <c r="H162" i="4"/>
  <c r="I162" i="4" s="1"/>
  <c r="H161" i="4"/>
  <c r="I161" i="4" s="1"/>
  <c r="H160" i="4"/>
  <c r="I160" i="4" s="1"/>
  <c r="H157" i="4"/>
  <c r="I157" i="4" s="1"/>
  <c r="H156" i="4"/>
  <c r="I156" i="4" s="1"/>
  <c r="D155" i="4"/>
  <c r="D97" i="4" s="1"/>
  <c r="G149" i="2"/>
  <c r="H149" i="2" s="1"/>
  <c r="I149" i="2" s="1"/>
  <c r="H127" i="4"/>
  <c r="I127" i="4" s="1"/>
  <c r="H126" i="4"/>
  <c r="I126" i="4" s="1"/>
  <c r="H125" i="4"/>
  <c r="I125" i="4" s="1"/>
  <c r="D124" i="4"/>
  <c r="H120" i="4"/>
  <c r="I120" i="4" s="1"/>
  <c r="H119" i="4"/>
  <c r="I119" i="4" s="1"/>
  <c r="H55" i="4"/>
  <c r="I55" i="4" s="1"/>
  <c r="H54" i="4"/>
  <c r="I54" i="4" s="1"/>
  <c r="H53" i="4"/>
  <c r="I53" i="4" s="1"/>
  <c r="H52" i="4"/>
  <c r="I52" i="4" s="1"/>
  <c r="H49" i="4"/>
  <c r="I49" i="4" s="1"/>
  <c r="H48" i="4"/>
  <c r="I48" i="4" s="1"/>
  <c r="H47" i="4"/>
  <c r="F47" i="4"/>
  <c r="H43" i="4"/>
  <c r="I43" i="4" s="1"/>
  <c r="H42" i="4"/>
  <c r="I42" i="4" s="1"/>
  <c r="H41" i="4"/>
  <c r="I41" i="4" s="1"/>
  <c r="H40" i="4"/>
  <c r="I40" i="4" s="1"/>
  <c r="H39" i="4"/>
  <c r="I39" i="4" s="1"/>
  <c r="H36" i="4"/>
  <c r="I36" i="4" s="1"/>
  <c r="H35" i="4"/>
  <c r="I35" i="4" s="1"/>
  <c r="H34" i="4"/>
  <c r="I34" i="4" s="1"/>
  <c r="H33" i="4"/>
  <c r="I33" i="4" s="1"/>
  <c r="H32" i="4"/>
  <c r="F32" i="4"/>
  <c r="H31" i="4"/>
  <c r="F31" i="4"/>
  <c r="H30" i="4"/>
  <c r="I30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L10" i="4"/>
  <c r="L11" i="4" s="1"/>
  <c r="H121" i="4" s="1"/>
  <c r="I121" i="4" s="1"/>
  <c r="H167" i="2"/>
  <c r="H166" i="2"/>
  <c r="H165" i="2"/>
  <c r="H162" i="2"/>
  <c r="H160" i="2"/>
  <c r="H159" i="2"/>
  <c r="H152" i="2"/>
  <c r="I152" i="2" s="1"/>
  <c r="H150" i="2"/>
  <c r="I150" i="2" s="1"/>
  <c r="H148" i="2"/>
  <c r="I148" i="2" s="1"/>
  <c r="H147" i="2"/>
  <c r="H146" i="2"/>
  <c r="H145" i="2"/>
  <c r="H144" i="2"/>
  <c r="H143" i="2"/>
  <c r="H142" i="2"/>
  <c r="I142" i="2" s="1"/>
  <c r="H141" i="2"/>
  <c r="H140" i="2"/>
  <c r="H139" i="2"/>
  <c r="H138" i="2"/>
  <c r="H137" i="2"/>
  <c r="H391" i="2"/>
  <c r="I391" i="2" s="1"/>
  <c r="H390" i="2"/>
  <c r="I390" i="2" s="1"/>
  <c r="H389" i="2"/>
  <c r="I389" i="2" s="1"/>
  <c r="H388" i="2"/>
  <c r="I388" i="2" s="1"/>
  <c r="H387" i="2"/>
  <c r="I387" i="2" s="1"/>
  <c r="H386" i="2"/>
  <c r="F386" i="2"/>
  <c r="H385" i="2"/>
  <c r="I385" i="2" s="1"/>
  <c r="H384" i="2"/>
  <c r="F384" i="2"/>
  <c r="H383" i="2"/>
  <c r="I383" i="2" s="1"/>
  <c r="H382" i="2"/>
  <c r="I382" i="2" s="1"/>
  <c r="H381" i="2"/>
  <c r="I381" i="2" s="1"/>
  <c r="D371" i="2"/>
  <c r="H370" i="2"/>
  <c r="I370" i="2" s="1"/>
  <c r="H369" i="2"/>
  <c r="I369" i="2" s="1"/>
  <c r="H368" i="2"/>
  <c r="I368" i="2" s="1"/>
  <c r="H367" i="2"/>
  <c r="I367" i="2" s="1"/>
  <c r="H365" i="2"/>
  <c r="I365" i="2" s="1"/>
  <c r="H364" i="2"/>
  <c r="I364" i="2" s="1"/>
  <c r="H356" i="2"/>
  <c r="H355" i="2"/>
  <c r="I355" i="2" s="1"/>
  <c r="H354" i="2"/>
  <c r="H353" i="2"/>
  <c r="F353" i="2"/>
  <c r="F354" i="2" s="1"/>
  <c r="H352" i="2"/>
  <c r="I352" i="2" s="1"/>
  <c r="H345" i="2"/>
  <c r="I345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9" i="2"/>
  <c r="I329" i="2" s="1"/>
  <c r="H328" i="2"/>
  <c r="I328" i="2" s="1"/>
  <c r="H327" i="2"/>
  <c r="I327" i="2" s="1"/>
  <c r="H326" i="2"/>
  <c r="I326" i="2" s="1"/>
  <c r="H325" i="2"/>
  <c r="I325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3" i="2"/>
  <c r="I313" i="2" s="1"/>
  <c r="H312" i="2"/>
  <c r="I312" i="2" s="1"/>
  <c r="H311" i="2"/>
  <c r="H310" i="2"/>
  <c r="H309" i="2"/>
  <c r="I309" i="2" s="1"/>
  <c r="H308" i="2"/>
  <c r="I308" i="2" s="1"/>
  <c r="H303" i="2"/>
  <c r="I303" i="2" s="1"/>
  <c r="H302" i="2"/>
  <c r="I302" i="2" s="1"/>
  <c r="H301" i="2"/>
  <c r="H292" i="2"/>
  <c r="I292" i="2" s="1"/>
  <c r="H291" i="2"/>
  <c r="I291" i="2" s="1"/>
  <c r="H290" i="2"/>
  <c r="I290" i="2" s="1"/>
  <c r="H289" i="2"/>
  <c r="I289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H279" i="2"/>
  <c r="H278" i="2"/>
  <c r="F280" i="2"/>
  <c r="H277" i="2"/>
  <c r="I277" i="2" s="1"/>
  <c r="H275" i="2"/>
  <c r="I275" i="2" s="1"/>
  <c r="H273" i="2"/>
  <c r="I273" i="2" s="1"/>
  <c r="H268" i="2"/>
  <c r="I268" i="2" s="1"/>
  <c r="H267" i="2"/>
  <c r="I267" i="2" s="1"/>
  <c r="H266" i="2"/>
  <c r="I266" i="2" s="1"/>
  <c r="H265" i="2"/>
  <c r="I265" i="2" s="1"/>
  <c r="H264" i="2"/>
  <c r="I264" i="2" s="1"/>
  <c r="H263" i="2"/>
  <c r="I263" i="2" s="1"/>
  <c r="H262" i="2"/>
  <c r="I262" i="2" s="1"/>
  <c r="H261" i="2"/>
  <c r="I261" i="2" s="1"/>
  <c r="H260" i="2"/>
  <c r="F260" i="2"/>
  <c r="H259" i="2"/>
  <c r="I259" i="2" s="1"/>
  <c r="H258" i="2"/>
  <c r="I258" i="2" s="1"/>
  <c r="H257" i="2"/>
  <c r="I257" i="2" s="1"/>
  <c r="H256" i="2"/>
  <c r="I256" i="2" s="1"/>
  <c r="H255" i="2"/>
  <c r="I255" i="2" s="1"/>
  <c r="H254" i="2"/>
  <c r="I254" i="2" s="1"/>
  <c r="H253" i="2"/>
  <c r="I253" i="2" s="1"/>
  <c r="H242" i="2"/>
  <c r="I242" i="2" s="1"/>
  <c r="H240" i="2"/>
  <c r="I240" i="2" s="1"/>
  <c r="H239" i="2"/>
  <c r="I239" i="2" s="1"/>
  <c r="H238" i="2"/>
  <c r="I238" i="2" s="1"/>
  <c r="H237" i="2"/>
  <c r="I237" i="2" s="1"/>
  <c r="H236" i="2"/>
  <c r="I236" i="2" s="1"/>
  <c r="H235" i="2"/>
  <c r="I235" i="2" s="1"/>
  <c r="H234" i="2"/>
  <c r="I234" i="2" s="1"/>
  <c r="H233" i="2"/>
  <c r="I233" i="2" s="1"/>
  <c r="H232" i="2"/>
  <c r="I232" i="2" s="1"/>
  <c r="H231" i="2"/>
  <c r="I231" i="2" s="1"/>
  <c r="H230" i="2"/>
  <c r="F230" i="2"/>
  <c r="H229" i="2"/>
  <c r="I229" i="2" s="1"/>
  <c r="H228" i="2"/>
  <c r="I228" i="2" s="1"/>
  <c r="H227" i="2"/>
  <c r="I227" i="2" s="1"/>
  <c r="H226" i="2"/>
  <c r="I226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9" i="2"/>
  <c r="I189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H182" i="2"/>
  <c r="I182" i="2" s="1"/>
  <c r="H181" i="2"/>
  <c r="I181" i="2" s="1"/>
  <c r="H175" i="2"/>
  <c r="F175" i="2"/>
  <c r="H174" i="2"/>
  <c r="F174" i="2"/>
  <c r="H173" i="2"/>
  <c r="I173" i="2" s="1"/>
  <c r="H128" i="2"/>
  <c r="I128" i="2" s="1"/>
  <c r="H127" i="2"/>
  <c r="F127" i="2"/>
  <c r="H126" i="2"/>
  <c r="I126" i="2" s="1"/>
  <c r="H122" i="2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3" i="2"/>
  <c r="I103" i="2" s="1"/>
  <c r="H102" i="2"/>
  <c r="I102" i="2" s="1"/>
  <c r="H101" i="2"/>
  <c r="I101" i="2" s="1"/>
  <c r="H98" i="2"/>
  <c r="H97" i="2"/>
  <c r="H93" i="2"/>
  <c r="F93" i="2"/>
  <c r="H92" i="2"/>
  <c r="H89" i="2"/>
  <c r="H88" i="2"/>
  <c r="H87" i="2"/>
  <c r="H86" i="2"/>
  <c r="L85" i="2"/>
  <c r="H83" i="2"/>
  <c r="F83" i="2"/>
  <c r="H82" i="2"/>
  <c r="F82" i="2"/>
  <c r="H81" i="2"/>
  <c r="F81" i="2"/>
  <c r="H80" i="2"/>
  <c r="F80" i="2"/>
  <c r="H79" i="2"/>
  <c r="F79" i="2"/>
  <c r="H78" i="2"/>
  <c r="F78" i="2"/>
  <c r="H77" i="2"/>
  <c r="F77" i="2"/>
  <c r="H76" i="2"/>
  <c r="F76" i="2"/>
  <c r="H75" i="2"/>
  <c r="F75" i="2"/>
  <c r="N74" i="2"/>
  <c r="M74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H66" i="2"/>
  <c r="F66" i="2"/>
  <c r="F92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D41" i="2"/>
  <c r="B22" i="3" s="1"/>
  <c r="A41" i="2"/>
  <c r="A22" i="3" s="1"/>
  <c r="D39" i="2"/>
  <c r="B21" i="3" s="1"/>
  <c r="A39" i="2"/>
  <c r="A21" i="3" s="1"/>
  <c r="D37" i="2"/>
  <c r="B20" i="3" s="1"/>
  <c r="A37" i="2"/>
  <c r="A20" i="3" s="1"/>
  <c r="D35" i="2"/>
  <c r="B19" i="3" s="1"/>
  <c r="A35" i="2"/>
  <c r="A19" i="3" s="1"/>
  <c r="D33" i="2"/>
  <c r="B18" i="3" s="1"/>
  <c r="A33" i="2"/>
  <c r="A18" i="3" s="1"/>
  <c r="D31" i="2"/>
  <c r="B17" i="3" s="1"/>
  <c r="A31" i="2"/>
  <c r="A17" i="3" s="1"/>
  <c r="D29" i="2"/>
  <c r="B16" i="3" s="1"/>
  <c r="A29" i="2"/>
  <c r="A16" i="3" s="1"/>
  <c r="D27" i="2"/>
  <c r="B15" i="3" s="1"/>
  <c r="A27" i="2"/>
  <c r="A15" i="3" s="1"/>
  <c r="D25" i="2"/>
  <c r="B14" i="3" s="1"/>
  <c r="A25" i="2"/>
  <c r="A14" i="3" s="1"/>
  <c r="D23" i="2"/>
  <c r="B13" i="3" s="1"/>
  <c r="A23" i="2"/>
  <c r="A13" i="3" s="1"/>
  <c r="D19" i="2"/>
  <c r="B11" i="3" s="1"/>
  <c r="A19" i="2"/>
  <c r="A11" i="3" s="1"/>
  <c r="D17" i="2"/>
  <c r="B10" i="3" s="1"/>
  <c r="A17" i="2"/>
  <c r="A10" i="3" s="1"/>
  <c r="D15" i="2"/>
  <c r="B9" i="3" s="1"/>
  <c r="A15" i="2"/>
  <c r="A9" i="3" s="1"/>
  <c r="C35" i="6" l="1"/>
  <c r="F88" i="2"/>
  <c r="F89" i="2"/>
  <c r="F86" i="2"/>
  <c r="I86" i="2" s="1"/>
  <c r="F87" i="2"/>
  <c r="I87" i="2" s="1"/>
  <c r="I105" i="2"/>
  <c r="I366" i="4"/>
  <c r="G371" i="2" s="1"/>
  <c r="H371" i="2" s="1"/>
  <c r="I371" i="2" s="1"/>
  <c r="I358" i="4"/>
  <c r="I361" i="4"/>
  <c r="I356" i="4"/>
  <c r="I355" i="4"/>
  <c r="I359" i="4"/>
  <c r="I362" i="4"/>
  <c r="I413" i="4"/>
  <c r="I155" i="4"/>
  <c r="G219" i="2" s="1"/>
  <c r="H219" i="2" s="1"/>
  <c r="I219" i="2" s="1"/>
  <c r="I32" i="4"/>
  <c r="I31" i="4"/>
  <c r="I354" i="2"/>
  <c r="I280" i="2"/>
  <c r="I76" i="2"/>
  <c r="I79" i="2"/>
  <c r="I82" i="2"/>
  <c r="I137" i="2"/>
  <c r="I140" i="2"/>
  <c r="I348" i="4"/>
  <c r="G349" i="2" s="1"/>
  <c r="I364" i="4"/>
  <c r="I402" i="4"/>
  <c r="I408" i="4"/>
  <c r="I412" i="4"/>
  <c r="I51" i="4"/>
  <c r="I195" i="4"/>
  <c r="G247" i="2" s="1"/>
  <c r="H247" i="2" s="1"/>
  <c r="I247" i="2" s="1"/>
  <c r="I14" i="4"/>
  <c r="I189" i="4"/>
  <c r="G246" i="2" s="1"/>
  <c r="H246" i="2" s="1"/>
  <c r="I246" i="2" s="1"/>
  <c r="I182" i="4"/>
  <c r="G245" i="2" s="1"/>
  <c r="H245" i="2" s="1"/>
  <c r="I245" i="2" s="1"/>
  <c r="I247" i="4"/>
  <c r="G269" i="2" s="1"/>
  <c r="H269" i="2" s="1"/>
  <c r="I269" i="2" s="1"/>
  <c r="I285" i="4"/>
  <c r="G314" i="2" s="1"/>
  <c r="H314" i="2" s="1"/>
  <c r="I314" i="2" s="1"/>
  <c r="I280" i="4"/>
  <c r="G296" i="2" s="1"/>
  <c r="H296" i="2" s="1"/>
  <c r="I296" i="2" s="1"/>
  <c r="I166" i="2"/>
  <c r="I139" i="2"/>
  <c r="I146" i="2"/>
  <c r="I384" i="2"/>
  <c r="I92" i="2"/>
  <c r="I88" i="2"/>
  <c r="I144" i="2"/>
  <c r="I279" i="2"/>
  <c r="I165" i="2"/>
  <c r="M72" i="2"/>
  <c r="I174" i="2"/>
  <c r="I311" i="2"/>
  <c r="I138" i="2"/>
  <c r="I145" i="2"/>
  <c r="I160" i="2"/>
  <c r="I77" i="2"/>
  <c r="I80" i="2"/>
  <c r="I83" i="2"/>
  <c r="I127" i="2"/>
  <c r="I301" i="2"/>
  <c r="I100" i="2"/>
  <c r="I310" i="2"/>
  <c r="I175" i="2"/>
  <c r="I230" i="2"/>
  <c r="I260" i="2"/>
  <c r="I386" i="2"/>
  <c r="I167" i="2"/>
  <c r="I141" i="2"/>
  <c r="I147" i="2"/>
  <c r="I48" i="2"/>
  <c r="I15" i="2" s="1"/>
  <c r="N9" i="3" s="1"/>
  <c r="L175" i="2"/>
  <c r="I75" i="2"/>
  <c r="I78" i="2"/>
  <c r="I81" i="2"/>
  <c r="I278" i="2"/>
  <c r="I159" i="2"/>
  <c r="I353" i="2"/>
  <c r="F356" i="2"/>
  <c r="I356" i="2" s="1"/>
  <c r="I143" i="2"/>
  <c r="I38" i="4"/>
  <c r="I124" i="4"/>
  <c r="I175" i="4"/>
  <c r="G244" i="2" s="1"/>
  <c r="H244" i="2" s="1"/>
  <c r="I244" i="2" s="1"/>
  <c r="I260" i="4"/>
  <c r="G293" i="2" s="1"/>
  <c r="H293" i="2" s="1"/>
  <c r="I293" i="2" s="1"/>
  <c r="I300" i="4"/>
  <c r="G315" i="2" s="1"/>
  <c r="H315" i="2" s="1"/>
  <c r="I315" i="2" s="1"/>
  <c r="I415" i="4"/>
  <c r="G375" i="2" s="1"/>
  <c r="H375" i="2" s="1"/>
  <c r="I375" i="2" s="1"/>
  <c r="I101" i="4"/>
  <c r="G155" i="2" s="1"/>
  <c r="H155" i="2" s="1"/>
  <c r="I155" i="2" s="1"/>
  <c r="I47" i="4"/>
  <c r="I45" i="4" s="1"/>
  <c r="G123" i="2" s="1"/>
  <c r="H123" i="2" s="1"/>
  <c r="I123" i="2" s="1"/>
  <c r="I201" i="4"/>
  <c r="G248" i="2" s="1"/>
  <c r="H248" i="2" s="1"/>
  <c r="I248" i="2" s="1"/>
  <c r="I255" i="4"/>
  <c r="G270" i="2" s="1"/>
  <c r="H270" i="2" s="1"/>
  <c r="I270" i="2" s="1"/>
  <c r="I266" i="4"/>
  <c r="G294" i="2" s="1"/>
  <c r="H294" i="2" s="1"/>
  <c r="I294" i="2" s="1"/>
  <c r="I272" i="4"/>
  <c r="G295" i="2" s="1"/>
  <c r="H295" i="2" s="1"/>
  <c r="I295" i="2" s="1"/>
  <c r="I159" i="4"/>
  <c r="G243" i="2" s="1"/>
  <c r="H243" i="2" s="1"/>
  <c r="I243" i="2" s="1"/>
  <c r="H122" i="4"/>
  <c r="I304" i="4"/>
  <c r="G348" i="2" s="1"/>
  <c r="I242" i="4"/>
  <c r="G249" i="2" s="1"/>
  <c r="H249" i="2" s="1"/>
  <c r="I249" i="2" s="1"/>
  <c r="I113" i="4"/>
  <c r="I354" i="4"/>
  <c r="I360" i="4"/>
  <c r="F357" i="4"/>
  <c r="I357" i="4" s="1"/>
  <c r="F363" i="4"/>
  <c r="I363" i="4" s="1"/>
  <c r="I407" i="4"/>
  <c r="F97" i="2"/>
  <c r="I97" i="2" s="1"/>
  <c r="I89" i="2"/>
  <c r="F67" i="2"/>
  <c r="I67" i="2" s="1"/>
  <c r="I66" i="2"/>
  <c r="F122" i="2"/>
  <c r="I122" i="2" s="1"/>
  <c r="I93" i="2"/>
  <c r="I162" i="2"/>
  <c r="H349" i="2" l="1"/>
  <c r="I349" i="2" s="1"/>
  <c r="H348" i="2"/>
  <c r="I348" i="2" s="1"/>
  <c r="I122" i="4"/>
  <c r="I118" i="4" s="1"/>
  <c r="G199" i="2" s="1"/>
  <c r="H199" i="2" s="1"/>
  <c r="I199" i="2" s="1"/>
  <c r="G168" i="2"/>
  <c r="H168" i="2" s="1"/>
  <c r="I168" i="2" s="1"/>
  <c r="G129" i="2"/>
  <c r="H129" i="2" s="1"/>
  <c r="I129" i="2" s="1"/>
  <c r="I125" i="2" s="1"/>
  <c r="I91" i="2"/>
  <c r="I121" i="2"/>
  <c r="G200" i="2"/>
  <c r="H200" i="2" s="1"/>
  <c r="I200" i="2" s="1"/>
  <c r="G164" i="2"/>
  <c r="H164" i="2" s="1"/>
  <c r="I164" i="2" s="1"/>
  <c r="I29" i="4"/>
  <c r="I13" i="4" s="1"/>
  <c r="G62" i="2" s="1"/>
  <c r="H62" i="2" s="1"/>
  <c r="I62" i="2" s="1"/>
  <c r="I61" i="2" s="1"/>
  <c r="I399" i="4"/>
  <c r="I252" i="2"/>
  <c r="I31" i="2" s="1"/>
  <c r="N17" i="3" s="1"/>
  <c r="I380" i="2"/>
  <c r="I41" i="2" s="1"/>
  <c r="N22" i="3" s="1"/>
  <c r="I272" i="2"/>
  <c r="I33" i="2" s="1"/>
  <c r="N18" i="3" s="1"/>
  <c r="I300" i="2"/>
  <c r="I35" i="2" s="1"/>
  <c r="N19" i="3" s="1"/>
  <c r="I74" i="2"/>
  <c r="F98" i="2"/>
  <c r="I98" i="2" s="1"/>
  <c r="I96" i="2" s="1"/>
  <c r="L173" i="2"/>
  <c r="I225" i="2"/>
  <c r="I29" i="2" s="1"/>
  <c r="N16" i="3" s="1"/>
  <c r="I85" i="2"/>
  <c r="I353" i="4"/>
  <c r="G363" i="2" s="1"/>
  <c r="H363" i="2" s="1"/>
  <c r="I363" i="2" s="1"/>
  <c r="I65" i="2"/>
  <c r="I415" i="2" l="1"/>
  <c r="L414" i="2" s="1"/>
  <c r="D13" i="5" s="1"/>
  <c r="I317" i="2"/>
  <c r="I37" i="2" s="1"/>
  <c r="N20" i="3" s="1"/>
  <c r="G222" i="2"/>
  <c r="H222" i="2" s="1"/>
  <c r="I222" i="2" s="1"/>
  <c r="I205" i="2" s="1"/>
  <c r="I27" i="2" s="1"/>
  <c r="N15" i="3" s="1"/>
  <c r="G153" i="2"/>
  <c r="H153" i="2" s="1"/>
  <c r="I153" i="2" s="1"/>
  <c r="I136" i="2" s="1"/>
  <c r="K136" i="2" s="1"/>
  <c r="I64" i="2"/>
  <c r="K64" i="2" s="1"/>
  <c r="I180" i="2"/>
  <c r="I25" i="2" s="1"/>
  <c r="N14" i="3" s="1"/>
  <c r="I158" i="2"/>
  <c r="I17" i="2"/>
  <c r="N10" i="3" s="1"/>
  <c r="I413" i="2"/>
  <c r="L412" i="2" s="1"/>
  <c r="I172" i="2"/>
  <c r="I23" i="2" s="1"/>
  <c r="N13" i="3" s="1"/>
  <c r="I351" i="2"/>
  <c r="D33" i="5" l="1"/>
  <c r="D26" i="5" s="1"/>
  <c r="D16" i="5"/>
  <c r="D15" i="5" s="1"/>
  <c r="D22" i="5" s="1"/>
  <c r="D17" i="5"/>
  <c r="D18" i="5"/>
  <c r="D19" i="5"/>
  <c r="K66" i="2"/>
  <c r="K158" i="2"/>
  <c r="I134" i="2"/>
  <c r="J105" i="2"/>
  <c r="J65" i="2"/>
  <c r="J100" i="2"/>
  <c r="J91" i="2"/>
  <c r="J121" i="2"/>
  <c r="J96" i="2"/>
  <c r="J74" i="2"/>
  <c r="J131" i="2"/>
  <c r="J125" i="2"/>
  <c r="I19" i="2"/>
  <c r="K19" i="2" s="1"/>
  <c r="J85" i="2"/>
  <c r="D27" i="5"/>
  <c r="D30" i="5"/>
  <c r="D25" i="5"/>
  <c r="I39" i="2"/>
  <c r="N21" i="3" s="1"/>
  <c r="I170" i="2"/>
  <c r="K125" i="2"/>
  <c r="K69" i="2"/>
  <c r="K74" i="2"/>
  <c r="K91" i="2"/>
  <c r="K121" i="2"/>
  <c r="K85" i="2"/>
  <c r="K96" i="2"/>
  <c r="K65" i="2"/>
  <c r="D24" i="5" l="1"/>
  <c r="I21" i="2"/>
  <c r="J136" i="2"/>
  <c r="J158" i="2"/>
  <c r="N11" i="3"/>
  <c r="I44" i="2" l="1"/>
  <c r="K61" i="2" s="1"/>
  <c r="N12" i="3"/>
  <c r="N30" i="3" s="1"/>
  <c r="K15" i="2" l="1"/>
  <c r="K48" i="2" s="1"/>
  <c r="I417" i="2"/>
  <c r="L416" i="2" s="1"/>
  <c r="L419" i="2" s="1"/>
  <c r="D13" i="6" s="1"/>
  <c r="D19" i="6" s="1"/>
  <c r="D33" i="6"/>
  <c r="D30" i="6" s="1"/>
  <c r="K17" i="2"/>
  <c r="C9" i="3"/>
  <c r="C13" i="3"/>
  <c r="C22" i="3"/>
  <c r="C17" i="3"/>
  <c r="C12" i="3"/>
  <c r="C16" i="3"/>
  <c r="C18" i="3"/>
  <c r="C14" i="3"/>
  <c r="C19" i="3"/>
  <c r="C20" i="3"/>
  <c r="C21" i="3"/>
  <c r="C15" i="3"/>
  <c r="C10" i="3"/>
  <c r="C11" i="3"/>
  <c r="D17" i="6" l="1"/>
  <c r="D16" i="6"/>
  <c r="D18" i="6"/>
  <c r="D25" i="6"/>
  <c r="D26" i="6"/>
  <c r="D27" i="6"/>
  <c r="X13" i="3"/>
  <c r="S13" i="3"/>
  <c r="Y13" i="3"/>
  <c r="T13" i="3"/>
  <c r="Z13" i="3"/>
  <c r="U13" i="3"/>
  <c r="AA13" i="3"/>
  <c r="V13" i="3"/>
  <c r="W13" i="3"/>
  <c r="U18" i="3"/>
  <c r="AA18" i="3"/>
  <c r="V18" i="3"/>
  <c r="X18" i="3"/>
  <c r="S18" i="3"/>
  <c r="Y18" i="3"/>
  <c r="T18" i="3"/>
  <c r="Z18" i="3"/>
  <c r="W18" i="3"/>
  <c r="U16" i="3"/>
  <c r="AA16" i="3"/>
  <c r="V16" i="3"/>
  <c r="W16" i="3"/>
  <c r="X16" i="3"/>
  <c r="S16" i="3"/>
  <c r="Y16" i="3"/>
  <c r="T16" i="3"/>
  <c r="Z16" i="3"/>
  <c r="Z12" i="3"/>
  <c r="U12" i="3"/>
  <c r="AA12" i="3"/>
  <c r="V12" i="3"/>
  <c r="W12" i="3"/>
  <c r="X12" i="3"/>
  <c r="S12" i="3"/>
  <c r="Y12" i="3"/>
  <c r="T12" i="3"/>
  <c r="X11" i="3"/>
  <c r="S11" i="3"/>
  <c r="Y11" i="3"/>
  <c r="T11" i="3"/>
  <c r="Z11" i="3"/>
  <c r="U11" i="3"/>
  <c r="AA11" i="3"/>
  <c r="V11" i="3"/>
  <c r="W11" i="3"/>
  <c r="T10" i="3"/>
  <c r="U10" i="3"/>
  <c r="AA10" i="3"/>
  <c r="V10" i="3"/>
  <c r="W10" i="3"/>
  <c r="X10" i="3"/>
  <c r="S10" i="3"/>
  <c r="Y10" i="3"/>
  <c r="Z10" i="3"/>
  <c r="W17" i="3"/>
  <c r="X17" i="3"/>
  <c r="S17" i="3"/>
  <c r="Y17" i="3"/>
  <c r="T17" i="3"/>
  <c r="Z17" i="3"/>
  <c r="U17" i="3"/>
  <c r="AA17" i="3"/>
  <c r="V17" i="3"/>
  <c r="U14" i="3"/>
  <c r="AA14" i="3"/>
  <c r="V14" i="3"/>
  <c r="W14" i="3"/>
  <c r="X14" i="3"/>
  <c r="S14" i="3"/>
  <c r="Y14" i="3"/>
  <c r="T14" i="3"/>
  <c r="Z14" i="3"/>
  <c r="X9" i="3"/>
  <c r="S9" i="3"/>
  <c r="Y9" i="3"/>
  <c r="T9" i="3"/>
  <c r="Z9" i="3"/>
  <c r="U9" i="3"/>
  <c r="AA9" i="3"/>
  <c r="V9" i="3"/>
  <c r="W9" i="3"/>
  <c r="X15" i="3"/>
  <c r="S15" i="3"/>
  <c r="Y15" i="3"/>
  <c r="T15" i="3"/>
  <c r="Z15" i="3"/>
  <c r="U15" i="3"/>
  <c r="AA15" i="3"/>
  <c r="V15" i="3"/>
  <c r="W15" i="3"/>
  <c r="T21" i="3"/>
  <c r="Z21" i="3"/>
  <c r="U21" i="3"/>
  <c r="AA21" i="3"/>
  <c r="V21" i="3"/>
  <c r="W21" i="3"/>
  <c r="X21" i="3"/>
  <c r="S21" i="3"/>
  <c r="Y21" i="3"/>
  <c r="AA20" i="3"/>
  <c r="V20" i="3"/>
  <c r="W20" i="3"/>
  <c r="X20" i="3"/>
  <c r="S20" i="3"/>
  <c r="Y20" i="3"/>
  <c r="T20" i="3"/>
  <c r="Z20" i="3"/>
  <c r="U20" i="3"/>
  <c r="T19" i="3"/>
  <c r="X19" i="3"/>
  <c r="S19" i="3"/>
  <c r="Y19" i="3"/>
  <c r="U19" i="3"/>
  <c r="AA19" i="3"/>
  <c r="V19" i="3"/>
  <c r="W19" i="3"/>
  <c r="Z19" i="3"/>
  <c r="Z22" i="3"/>
  <c r="AA22" i="3"/>
  <c r="X22" i="3"/>
  <c r="S22" i="3"/>
  <c r="Y22" i="3"/>
  <c r="T22" i="3"/>
  <c r="U22" i="3"/>
  <c r="V22" i="3"/>
  <c r="W22" i="3"/>
  <c r="R11" i="3"/>
  <c r="R14" i="3"/>
  <c r="R13" i="3"/>
  <c r="R18" i="3"/>
  <c r="R9" i="3"/>
  <c r="R12" i="3"/>
  <c r="R15" i="3"/>
  <c r="R20" i="3"/>
  <c r="R17" i="3"/>
  <c r="R10" i="3"/>
  <c r="R16" i="3"/>
  <c r="R21" i="3"/>
  <c r="R19" i="3"/>
  <c r="R22" i="3"/>
  <c r="D24" i="6" l="1"/>
  <c r="D15" i="6"/>
  <c r="D22" i="6" s="1"/>
  <c r="U29" i="3"/>
  <c r="G29" i="3" s="1"/>
  <c r="G30" i="3" s="1"/>
  <c r="Z29" i="3"/>
  <c r="L29" i="3" s="1"/>
  <c r="L30" i="3" s="1"/>
  <c r="T29" i="3"/>
  <c r="F29" i="3" s="1"/>
  <c r="F30" i="3" s="1"/>
  <c r="W29" i="3"/>
  <c r="I29" i="3" s="1"/>
  <c r="I30" i="3" s="1"/>
  <c r="Y29" i="3"/>
  <c r="K29" i="3" s="1"/>
  <c r="K30" i="3" s="1"/>
  <c r="V29" i="3"/>
  <c r="H29" i="3" s="1"/>
  <c r="H30" i="3" s="1"/>
  <c r="S29" i="3"/>
  <c r="E29" i="3" s="1"/>
  <c r="E30" i="3" s="1"/>
  <c r="AA29" i="3"/>
  <c r="M29" i="3" s="1"/>
  <c r="M30" i="3" s="1"/>
  <c r="X29" i="3"/>
  <c r="J29" i="3" s="1"/>
  <c r="J30" i="3" s="1"/>
  <c r="R29" i="3"/>
  <c r="D29" i="3" l="1"/>
  <c r="D30" i="3" s="1"/>
  <c r="D32" i="3" s="1"/>
  <c r="E32" i="3" s="1"/>
  <c r="F32" i="3" s="1"/>
  <c r="G32" i="3" s="1"/>
  <c r="H32" i="3" s="1"/>
  <c r="I32" i="3" s="1"/>
  <c r="J32" i="3" s="1"/>
  <c r="K32" i="3" s="1"/>
  <c r="L32" i="3" s="1"/>
  <c r="M32" i="3" s="1"/>
  <c r="D31" i="3" l="1"/>
  <c r="E31" i="3" s="1"/>
  <c r="F31" i="3" s="1"/>
  <c r="G31" i="3" s="1"/>
  <c r="H31" i="3" s="1"/>
  <c r="I31" i="3" s="1"/>
  <c r="J31" i="3" s="1"/>
  <c r="K31" i="3" s="1"/>
  <c r="L31" i="3" s="1"/>
  <c r="M31" i="3" s="1"/>
  <c r="N29" i="3"/>
  <c r="M65" i="8"/>
  <c r="Q65" i="8"/>
  <c r="Q64" i="8"/>
  <c r="N64" i="8"/>
  <c r="P64" i="8"/>
  <c r="M64" i="8"/>
  <c r="Q63" i="8"/>
  <c r="N65" i="8"/>
  <c r="L65" i="8"/>
  <c r="M63" i="8"/>
  <c r="N63" i="8"/>
  <c r="P63" i="8"/>
  <c r="P65" i="8"/>
</calcChain>
</file>

<file path=xl/sharedStrings.xml><?xml version="1.0" encoding="utf-8"?>
<sst xmlns="http://schemas.openxmlformats.org/spreadsheetml/2006/main" count="4170" uniqueCount="1598">
  <si>
    <t>74077/001</t>
  </si>
  <si>
    <t>LOCACAO CONVENCIONAL DE OBRA, ATRAVÉS DE GABARITO DE TABUAS CORRIDAS PONTALETADAS, SEM REAPROVEITAMENTO</t>
  </si>
  <si>
    <t>kg</t>
  </si>
  <si>
    <t>74164/004</t>
  </si>
  <si>
    <t>LASTRO DE BRITA</t>
  </si>
  <si>
    <t>TRATAMENTO PRELIMINAR</t>
  </si>
  <si>
    <t>73998/009</t>
  </si>
  <si>
    <t>ALVENARIA DE BLOCOS DE CONCRETO VEDACAO 14X19X39CM, ESPESSURA 14CM, ASSENTADOS COM ARGAMASSA TRACO 1:0,5:8 (CIMENTO, CAL E AREIA), COM JUNTA DE 10MM</t>
  </si>
  <si>
    <t>CIMBRAMENTO DE MADEIRA</t>
  </si>
  <si>
    <t>COTAÇÃO</t>
  </si>
  <si>
    <t>un</t>
  </si>
  <si>
    <t>REATOR UASB</t>
  </si>
  <si>
    <t>73840/001</t>
  </si>
  <si>
    <t>ASSENTAMENTO TUBO PVC COM JUNTA ELASTICA - DN 100 P/ESGOTO</t>
  </si>
  <si>
    <t>73998/003</t>
  </si>
  <si>
    <t>74001/001</t>
  </si>
  <si>
    <t xml:space="preserve">REBOCO COM ARGAMASSA PRE-FABRICADA, ESPESSURA 0,5CM, PREPARO MECANICO     </t>
  </si>
  <si>
    <t>73962/004</t>
  </si>
  <si>
    <t>txkm</t>
  </si>
  <si>
    <t>ASSENTAMENTO TUBO PVC COM JUNTA ELASTICA - DN 50 P/AGUA</t>
  </si>
  <si>
    <t xml:space="preserve">ENROCAMENTO MANUAL, COM ARRUMACAO DO MATERIAL </t>
  </si>
  <si>
    <t>EXECUÇÃO DE LASTRO EM CONCRETO (1:2,5:6), PREPARO MANUAL</t>
  </si>
  <si>
    <t>73873/002</t>
  </si>
  <si>
    <t>LEITO FILTRANTE - FORN.E ENCHIMENTO C/ BRITA NO. 4</t>
  </si>
  <si>
    <t>REGISTRO GAVETA 3/4" BRUTO LATAO REF 1502-B</t>
  </si>
  <si>
    <t>UNIDADE DE APOIO</t>
  </si>
  <si>
    <t>TUBO PVC ROSCAVEL EB-892 P/ AGUA FRIA PREDIAL 1 1/2"</t>
  </si>
  <si>
    <t>TUBO PVC ROSCAVEL EB-892 P/ AGUA FRIA PREDIAL 1/2"</t>
  </si>
  <si>
    <t>TUBO PVC ROSCAVEL EB-892 P/ AGUA FRIA PREDIAL 3/4"</t>
  </si>
  <si>
    <t>TE REDUCAO PVC C/ ROSCA 90G P/ AGUA FRIA PREDIAL 1.1/2" X 3/4"</t>
  </si>
  <si>
    <t>TE REDUCAO PVC C/ ROSCA 90G P/ AGUA FRIA PREDIAL 3/4 X 1/2"</t>
  </si>
  <si>
    <t>TE PVC C/ROSCA 90G P/ AGUA FRIA PREDIAL 3/4"</t>
  </si>
  <si>
    <t>TORNEIRA DE BOIA REAL 3/4" C/ BALAO METALICO</t>
  </si>
  <si>
    <t>TUBO PVC P/ ESG PREDIAL DN 100MM</t>
  </si>
  <si>
    <t>TUBO PVC P/ ESG PREDIAL DN 50MM</t>
  </si>
  <si>
    <t>JOELHO PVC SOLD 45G BB P/ ESG PREDIAL DN 40MM</t>
  </si>
  <si>
    <t>JUNCAO SIMPLES PVC P/ ESG PREDIAL DN 100X50MM</t>
  </si>
  <si>
    <t>TE SANITARIO PVC P/ ESG PREDIAL DN 100X50MM</t>
  </si>
  <si>
    <t>ADAPTADOR PVC P/ VALVULA PIA OU LAVATORIO 40MM X 1"</t>
  </si>
  <si>
    <t>VEDACAO PVC 100 MM P/SAIDA VASO SANITARIO TIPO EG-27 TIGRE OU SIMILAR</t>
  </si>
  <si>
    <t>ADAPTADOR PVC ROSCAVEL C/ FLANGES E ANEL DE VEDACAO P/CAIXA D'A GUA 1 1/2"</t>
  </si>
  <si>
    <t>ADAPTADOR PVC ROSCAVEL C/ FLANGES E ANEL DE VEDACAO P/ CAIXA D' AGUA 3/4"</t>
  </si>
  <si>
    <t>JOELHO PVC C/ROSCA 90G P/ AGUA FRIA PREDIAL 1 1/2"</t>
  </si>
  <si>
    <t>UNIAO PVC C/ROSCA P/AGUA FRIA PREDIAL 3/4"</t>
  </si>
  <si>
    <t>REGISTRO GAVETA 1.1/2" REF 1509-C - C/ CANOPLA ACAB CROMADO SIMPLES</t>
  </si>
  <si>
    <t>CAIXA SIFONADA PVC 150 X 150 X 50MM C/ GRELHA QUADRADA BRANCA</t>
  </si>
  <si>
    <t>TERMINAL DE VENTILAÇÃO PVC ESG  DN 50MM</t>
  </si>
  <si>
    <t>01.01.01</t>
  </si>
  <si>
    <t>01.01.04</t>
  </si>
  <si>
    <t>01.01.05</t>
  </si>
  <si>
    <t>73928/001</t>
  </si>
  <si>
    <t>73750/001</t>
  </si>
  <si>
    <t xml:space="preserve">REATERRO E COMPACTACAO MECANICO DE VALA COM COMPACTADOR MANUAL TIPO SO   </t>
  </si>
  <si>
    <t xml:space="preserve">CHAPISCO EM PAREDES TRACO 1:4 (CIMENTO E AREIA), ESPESSURA 0,5CM, PREP   </t>
  </si>
  <si>
    <t>PINTURA LATEX PVA AMBIENTES INTERNOS, DUAS DEMAOS</t>
  </si>
  <si>
    <t xml:space="preserve">AZULEJO 2A 15X15CM FIXADO COM ARGAMASSA COLANTE, JUNTAS A PRUMO, REJUN   </t>
  </si>
  <si>
    <t>VALVULA DESCARGA 1 1/2" C/ REGISTRO - ACABAMENTO EM METAL CROMADO</t>
  </si>
  <si>
    <t>PISO EM PEDRA ARDOSIA, 40X40CM, ESPESSURA 1CM, ASSENTADA COM ARGAMASSA COLANTE, COM REJUNTE EM CIMENTO COMUM</t>
  </si>
  <si>
    <t>FILTRO ANAERÓBIO DE FLUXO ASCENDENTE</t>
  </si>
  <si>
    <t>73921/002</t>
  </si>
  <si>
    <t>CRONOGRAMA FÍSICO-FINANCEIRO</t>
  </si>
  <si>
    <t>ITEM</t>
  </si>
  <si>
    <t xml:space="preserve">ATIVIDADES </t>
  </si>
  <si>
    <t>PART.%</t>
  </si>
  <si>
    <t>SUB-TOTAL</t>
  </si>
  <si>
    <t>PERCENTUAL GLOBAL SIMPLES</t>
  </si>
  <si>
    <t>VALOR SIMPLES EM R$</t>
  </si>
  <si>
    <t>PERCENTUAL GLOBAL ACUMULADO</t>
  </si>
  <si>
    <t>VALOR ACUMULADO EM R$</t>
  </si>
  <si>
    <t>ADMINISTRAÇÃO LOCAL DA OBRA, COMPOSIÇÃO EM APENSO, CONFORME ACORDÃO 325/2007 DO TRIBUNAL DE CONTAS DA UNIÃO - TCU</t>
  </si>
  <si>
    <t>ESTAÇÃO DE TRATAMENTO DE ESGOTOS</t>
  </si>
  <si>
    <t>pç</t>
  </si>
  <si>
    <t>74115/001</t>
  </si>
  <si>
    <t>QUEIMADOR DE GÁS</t>
  </si>
  <si>
    <t>74142/004</t>
  </si>
  <si>
    <t>CERCA COM MOURÕES DE CONCRETO, SEÇÃO "T" PONTA INCLINADA, 7,5X7,5CM, ESPAÇAMENTO DE 3M, CRAVADOS 0,5M, COM 11 FIOS DE ARAME FARPADO Nº14 CLASSE 250 - FORNEC E COLOC.</t>
  </si>
  <si>
    <t>CURVA PVC 90G NBR-10569 P/ REDE COLET ESG PB JE DN 150MM</t>
  </si>
  <si>
    <t>TE PVC 90G NBR 10569 P/ REDE COLET ESG JE BBB DN 150MM</t>
  </si>
  <si>
    <t>74075/005</t>
  </si>
  <si>
    <t>FORMA MADEIRA COMP RESINADA 14MM P/ESTRUTURA REAPROV 2 VEZES - CORTE/MONTAGEM/ESCORAMENTO/DESFORMA</t>
  </si>
  <si>
    <t>73763/001</t>
  </si>
  <si>
    <t>MEIO-FIO E SARJETA DE CONCRETO MOLDADO NO LOCAL, USINADO 15 MPA, COM 0,65 M ALTURA X 0,30 M BASE, REJUNTE EM ARGAMASSA TRACO 1:3,5 (CIMENTO E AREIA)</t>
  </si>
  <si>
    <t>74236/001</t>
  </si>
  <si>
    <t>GRAMA BATATAIS EM PLACAS</t>
  </si>
  <si>
    <t>74118/001</t>
  </si>
  <si>
    <t xml:space="preserve">CERCA VIVA DE HISBICO, CEDRIHO, CALIAMDRA, ACALIFA - FORNEC. E PLANTIO   </t>
  </si>
  <si>
    <t>73967/002</t>
  </si>
  <si>
    <t>PLANTIO DE ARVORE COM ALTURA MAIOR DO QUE 2,00 METROS</t>
  </si>
  <si>
    <t>URBANIZAÇÃO E PAISAGISMO</t>
  </si>
  <si>
    <t>Item</t>
  </si>
  <si>
    <t>Fonte</t>
  </si>
  <si>
    <t>Código</t>
  </si>
  <si>
    <t>Discriminação</t>
  </si>
  <si>
    <t>Unidade</t>
  </si>
  <si>
    <t>Quantidade</t>
  </si>
  <si>
    <t xml:space="preserve">FOLHA RESUMO </t>
  </si>
  <si>
    <t>TOTAL GERAL</t>
  </si>
  <si>
    <t>h</t>
  </si>
  <si>
    <t>SINAPI</t>
  </si>
  <si>
    <t>73805/001</t>
  </si>
  <si>
    <t>BARRACAO DE OBRA PARA ALOJAMENTO/ESCRITORIO, PISO EM PINHO 3A, PAREDES EM COMPENSADO 10MM, COBERTURA EM TELHA AMIANTO 6MM, INCLUSO INSTALACOES ELETRICAS E ESQUADRIAS</t>
  </si>
  <si>
    <t>m²</t>
  </si>
  <si>
    <t>74209/001</t>
  </si>
  <si>
    <t>PLACA DE OBRA EM CHAPA DE ACO GALVANIZADO</t>
  </si>
  <si>
    <t>mês</t>
  </si>
  <si>
    <t xml:space="preserve">TRANSPORTE COMERCIAL COM CAMINHAO CARROCERIA 9 T, RODOVIA PAVIMENTADA     </t>
  </si>
  <si>
    <t>74210/001</t>
  </si>
  <si>
    <t>m</t>
  </si>
  <si>
    <t>74221/001</t>
  </si>
  <si>
    <t>SINALIZACAO DE TRANSITO - NOTURNA</t>
  </si>
  <si>
    <t xml:space="preserve">un </t>
  </si>
  <si>
    <t>74219/001</t>
  </si>
  <si>
    <t>PASSADICOS DE MADEIRA PARA PEDESTRES</t>
  </si>
  <si>
    <t>m³</t>
  </si>
  <si>
    <t>73965/010</t>
  </si>
  <si>
    <t>ESCAVACAO MANUAL DE VALA EM MATERIAL DE 1A CATEGORIA ATE 1,5M EXCLUINDO ESGOTAMENTO / ESCORAMENTO</t>
  </si>
  <si>
    <t>73965/011</t>
  </si>
  <si>
    <t>ESCAVACAO MANUAL DE VALA EM MATERIAL DE 1A CATEGORIA DE 1,5 ATE 3M EXCLUINDO ESGOTAMENTO / ESCORAMENTO</t>
  </si>
  <si>
    <t>73965/008</t>
  </si>
  <si>
    <t>ESCAVACAO MANUAL DE VALA EM LODO, ATE 1,5M, EXCLUINDO ESGOTAMENTO/ESCORAMENTO</t>
  </si>
  <si>
    <t>73965/009</t>
  </si>
  <si>
    <t xml:space="preserve">ESCAVACAO MANUAL DE VALA EM LODO, DE 1,5 ATE 3M, EXCLUINDO ESGOTAMENTO   </t>
  </si>
  <si>
    <t>74015/001</t>
  </si>
  <si>
    <t>REATERRO E COMPACTACAO MECANICO DE VALA COM COMPACTADOR MANUAL TIPO SOQUETE VIBRATORIO</t>
  </si>
  <si>
    <t>74034/001</t>
  </si>
  <si>
    <t>ESPALHAMENTO DE MATERIAL DE 1A CATEGORIA COM TRATOR DE ESTEIRA COM 153 HP</t>
  </si>
  <si>
    <t>73891/001</t>
  </si>
  <si>
    <t>ESGOTAMENTO COM MOTO-BOMBA AUTOESCOVANTE</t>
  </si>
  <si>
    <t>73902/001</t>
  </si>
  <si>
    <t>CAMADA DRENANTE COM BRITA NUM 3</t>
  </si>
  <si>
    <t>73840/003</t>
  </si>
  <si>
    <t>ASSENTAMENTO TUBO PVC COM JUNTA ELASTICA - DN 150 P/ESGOTO</t>
  </si>
  <si>
    <t>MATERIAIS</t>
  </si>
  <si>
    <t>TUBO PVC EB-644 P/ REDE COLET ESG JE DN 150MM</t>
  </si>
  <si>
    <t>LOCAÇÃO DE ADUTORAS, COLETORES TRONCO E INTERCEPTORES - ATÉ DN 500 MM, INCLUSIVE TOPOGRAFO</t>
  </si>
  <si>
    <t>03.01.02</t>
  </si>
  <si>
    <t>73962/021</t>
  </si>
  <si>
    <t>ESCAVACAO DE VALA ESCORADA EM MATERIAL 1A CATEGORIA , PROFUNDIDADE ATE 1,5 M COM ESCAVADEIRA HIDRAULICA 105 HP(CAPACIDADE DE 0,78M3), SEM ESGOTAMENTO</t>
  </si>
  <si>
    <t>ELEVATÓRIA PÓS TRATAMENTO PRELIMINAR</t>
  </si>
  <si>
    <t>CANTONEIRA - DN 2"X2" e=3mm</t>
  </si>
  <si>
    <t>CHAPA DE ALUMINIO e= 3mm</t>
  </si>
  <si>
    <t>COTOVELO FERRO GALV 90G C/ ROSCA 3/4"</t>
  </si>
  <si>
    <t>NIPEL DUPLO PVC C/ ROSCA P/ AGUA FRIA PREDIAL 3/4"</t>
  </si>
  <si>
    <t>NIPEL DUPLO PVC C/ C/ ROSCA P/ AGUA FRIA PREDIAL 1/2"</t>
  </si>
  <si>
    <t>TUBO PVC SOLDÁVEL P/ ESG PREDIAL DN 40MM</t>
  </si>
  <si>
    <t>JOELHO PVC SOLD 90G PB P/ ESG PREDIAL DN 40MM</t>
  </si>
  <si>
    <t>JOELHO PVC C/ROSCA 90G P/AGUA FRIA PREDIAL 3/4"</t>
  </si>
  <si>
    <t>TUBO PVC EB-644 P/ REDE COLET ESG JE DN 100MM</t>
  </si>
  <si>
    <t>JOELHO FERRO GALV 90G ROSCA MACHO/FEMEA 1/2"</t>
  </si>
  <si>
    <t>JOELHO REDUCAO 90G PVC C/ ROSCA P/AGUA FRIA PREDIAL 3/4"X1/2"</t>
  </si>
  <si>
    <t>TUBO DE DESCIDA (DESCARGA) EXTERNO PVC P/ CX DESCARGA EXTERNA - 40MM X 1,60M</t>
  </si>
  <si>
    <t>REGISTRO PRESSAO 1/2" REF 1416 - C/ CANOPLA ACAB CROMADO SIMPLES</t>
  </si>
  <si>
    <t>LIGACAO FLEXIVEL PVC 1/2" 40 CM</t>
  </si>
  <si>
    <t>JOELHO PVC SERIE R P/ ESG PREDIAL 90G DN 100 MM</t>
  </si>
  <si>
    <t>JOELHO PVC SERIE R P/ ESG PREDIAL 45G DN 50MM</t>
  </si>
  <si>
    <t>CE-001</t>
  </si>
  <si>
    <t>CE-002</t>
  </si>
  <si>
    <t>CE-004</t>
  </si>
  <si>
    <t>CE-005</t>
  </si>
  <si>
    <t>CE-006</t>
  </si>
  <si>
    <t>73888/001</t>
  </si>
  <si>
    <t xml:space="preserve">TERRAPLENAGEM </t>
  </si>
  <si>
    <t>LIMPEZA MECANIZADA DE TERRENO, INCLUSIVE RETIRADA DE ARVORE ENTRE 0,05 M E 0,15 M DE DIAMETRO</t>
  </si>
  <si>
    <t>73834/001</t>
  </si>
  <si>
    <t>INSTALACAO DE CONJ.MOTO BOMBA SUBMERSIVEL ATE 10 CV</t>
  </si>
  <si>
    <t>74138/004</t>
  </si>
  <si>
    <t>CONCRETO USINADO BOMBEADO FCK=30MPA, INCLUSIVE COLOCAÇÃO, ESPALHAMENTO E CABAMENTO</t>
  </si>
  <si>
    <t>74254/002</t>
  </si>
  <si>
    <t>ARMACAO ACO CA-50, DIAM. 6,3 (1/4) À 12,5MM(1/2) -FORNECIMENTO/ CORTE (KG PERDA DE 10%) / DOBRA / COLOCAÇÃO.</t>
  </si>
  <si>
    <t>ALVENARIA EM TIJOLO CERAMICO MACICO 5X10X20CM 1/2 VEZ (ESPESSURA 10CM) , ASSENTADO COM ARGAMASSA TRACO 1:2:8 (CIMENTO, CAL E AREIA)</t>
  </si>
  <si>
    <t>CE-009</t>
  </si>
  <si>
    <t>CE-010</t>
  </si>
  <si>
    <t>CE-011</t>
  </si>
  <si>
    <t>CE-012</t>
  </si>
  <si>
    <t>CE-013</t>
  </si>
  <si>
    <t>TUBO OU CANTONEIRA ALUMINIO ABAS IGUAIS 2" E = 1/4"</t>
  </si>
  <si>
    <t>REBITE DE ALUMINIO VAZADO DE REPUXO, 3,2 X 8MM - (1KG=1025UNID)</t>
  </si>
  <si>
    <t>74156/003</t>
  </si>
  <si>
    <t>ESTACA A TRADO (BROCA) D=20CM C/CONCRETO FCK=15MPA (SEM ARMAÇÃO)</t>
  </si>
  <si>
    <t>CE-008</t>
  </si>
  <si>
    <t>JANELA BASCULANTE DE FERRO EM CANTONEIRA 5/8"X1/8", LINHA POPULAR</t>
  </si>
  <si>
    <t xml:space="preserve">CAIXA D'AGUA FIBRA DE VIDRO 500L </t>
  </si>
  <si>
    <t>RALO SIFONADO PVC REDONDO CONICO 100X40MM C/ GRELHA PVC BRANCA</t>
  </si>
  <si>
    <t>VALVULA EM PLASTICO CROMADO 1" S/UNHO C/LADRAO P/LAVATORIO</t>
  </si>
  <si>
    <t>CONJUNTO DE LIGACAO (TUBO + CANOPLA) PVC RIGIDO C/ TUBO 1.1/2" X 20CM P/ BACIA SANITARIA</t>
  </si>
  <si>
    <t>73823/001</t>
  </si>
  <si>
    <t>73823/002</t>
  </si>
  <si>
    <t>PORTAO EM CHAPA DE FERRO E TELA, INCLUSIVE PINTURA E PILARES DE APOIO</t>
  </si>
  <si>
    <t>VALVULA ESFERA TRIPARTIDA 1000 WOG PP INOX 304 SI TR 3/4``</t>
  </si>
  <si>
    <t>CE-015</t>
  </si>
  <si>
    <t>CE-016</t>
  </si>
  <si>
    <t>73998/004</t>
  </si>
  <si>
    <t>ALVENARIA DE BLOCOS DE CONCRETO ESTRUTURAL 14X19X39CM, ESPESSURA 14CM</t>
  </si>
  <si>
    <t>73938/002</t>
  </si>
  <si>
    <t>COBERTURA EM TELHA CERAMICA TIPO PLAN</t>
  </si>
  <si>
    <t>73931/003</t>
  </si>
  <si>
    <t>ESTRUTURA PARA TELHA CERAMICA, EM MADEIRA APARELHADA, APOIADA EM PAREDE</t>
  </si>
  <si>
    <t>PARAFUSO LATAO ACAB CROMADO P/ FIXAR PECA SANITARIA - INCL PORCA CEGA, ARRUELA E BUCHA DE NYLON S-10</t>
  </si>
  <si>
    <t>TANQUE LOUCA EM COR C/COLUNA - 30L OU EQUIVALENTE</t>
  </si>
  <si>
    <t>01.01.03</t>
  </si>
  <si>
    <t>03.01.03</t>
  </si>
  <si>
    <t>03.01.04</t>
  </si>
  <si>
    <t>03.01.05</t>
  </si>
  <si>
    <t>03.01.06</t>
  </si>
  <si>
    <t>03.01.07</t>
  </si>
  <si>
    <t>03.01.00</t>
  </si>
  <si>
    <t>03.01.01</t>
  </si>
  <si>
    <t>TELHA FIBRA VIDRO ONDULADA COLORIDA 2,44 X0,50M E = 0,6MM</t>
  </si>
  <si>
    <t>COMPOSIÇÕES DE CUSTO</t>
  </si>
  <si>
    <t>%</t>
  </si>
  <si>
    <t>ADMINISTRAÇÃO LOCAL DA OBRA</t>
  </si>
  <si>
    <t>01.01.00</t>
  </si>
  <si>
    <t>MÃO DE OBRA INDIRETA</t>
  </si>
  <si>
    <t xml:space="preserve">FEITOR OU ENCARREGADO GERAL </t>
  </si>
  <si>
    <t>AUXILIAR DE ESCRITÓRIO</t>
  </si>
  <si>
    <t>APONTADOR OU APROPRIADOR</t>
  </si>
  <si>
    <t>01.01.06</t>
  </si>
  <si>
    <t>SERVENTE (FAXINA E FOLGA DO VIGIA)</t>
  </si>
  <si>
    <t>01.01.07</t>
  </si>
  <si>
    <t>01.01.08</t>
  </si>
  <si>
    <t>VIGIA NOTURNO</t>
  </si>
  <si>
    <t>01.02.00</t>
  </si>
  <si>
    <t xml:space="preserve">VEÍCULOS, MÁQUINAS EQUIPAMENTOS </t>
  </si>
  <si>
    <t>01.02.01</t>
  </si>
  <si>
    <t>VEICULO COMERCIAL LEVE - CAPACIDADE DE CARGA ATE 700 KG COM MOTOR A GASOLINA TIPO VW-SAVEIRO OU SIMILAR</t>
  </si>
  <si>
    <t>01.02.02</t>
  </si>
  <si>
    <t>CAMINHÃO BASCULANTE 5,0M3/11T DIESEL TIPO MERCEDES 142HP LK-1214 OU EQUIV (INCL MANUT/OPERACAO)</t>
  </si>
  <si>
    <t>01.02.03</t>
  </si>
  <si>
    <t>01.02.04</t>
  </si>
  <si>
    <t>TEODOLITO C/ PRECISAO +/- 6 SEGUNDOS, INCLUSIVE TRIPE TIPO WILD T-1 OU EQUIVALENTE</t>
  </si>
  <si>
    <t>01.02.05</t>
  </si>
  <si>
    <t>NIVEL OTICO C/ PRECISAO +/- 0,7MM TIPO WILD NA-2 OU EQUIVALENTE</t>
  </si>
  <si>
    <t>01.02.06</t>
  </si>
  <si>
    <t>VIBRADOR DE IMERSAO C/ MOTOR ELETRICO 2HP MONOFASICO QUALQUER DIAM C/ MANGOTE</t>
  </si>
  <si>
    <t>01.02.07</t>
  </si>
  <si>
    <t>BETONEIRA 320L DIESEL 5,5HP S/ CARREGADOR MECANICO</t>
  </si>
  <si>
    <t>01.03.00</t>
  </si>
  <si>
    <t>CONSUMOS</t>
  </si>
  <si>
    <t>01.03.01</t>
  </si>
  <si>
    <t>TARIFA DE CONSUMO DE ENERGIA ELETRICA COMERCIAL, BAIXA TENSAO</t>
  </si>
  <si>
    <t>kwh</t>
  </si>
  <si>
    <t>01.03.02</t>
  </si>
  <si>
    <t>OLEO DIESEL COMBUSTIVEL COMUM</t>
  </si>
  <si>
    <t>L</t>
  </si>
  <si>
    <t>01.03.03</t>
  </si>
  <si>
    <t>GASOLINA COMUM</t>
  </si>
  <si>
    <t>CHAPA ALUMINIO E = 6MM</t>
  </si>
  <si>
    <t xml:space="preserve">CANTONEIRA "U" ALUMINIO ABAS IGUAIS 1" E = 3/32 " </t>
  </si>
  <si>
    <t xml:space="preserve">AUXILIAR DE SERRALHEIRO </t>
  </si>
  <si>
    <t>SERRALHEIRO</t>
  </si>
  <si>
    <t>AUXILIAR DE ENCANADOR OU BOMBEIRO HIDRAULICO</t>
  </si>
  <si>
    <t>ENCANADOR OU BOMBEIRO HIDRAULICO</t>
  </si>
  <si>
    <t>SERVENTE</t>
  </si>
  <si>
    <t>CARPINTEIRO DE ESQUADRIA</t>
  </si>
  <si>
    <t>PEDREIRO</t>
  </si>
  <si>
    <t>Descrição</t>
  </si>
  <si>
    <t>Percentual</t>
  </si>
  <si>
    <t>Valor</t>
  </si>
  <si>
    <t>01.00</t>
  </si>
  <si>
    <t>CUSTO DIRETO</t>
  </si>
  <si>
    <t>02.00</t>
  </si>
  <si>
    <t>CUSTOS INDIRETOS</t>
  </si>
  <si>
    <t>02.01</t>
  </si>
  <si>
    <t>Administração central</t>
  </si>
  <si>
    <t>02.02</t>
  </si>
  <si>
    <t>Garantias e seguros</t>
  </si>
  <si>
    <t>02.03</t>
  </si>
  <si>
    <t>Riscos</t>
  </si>
  <si>
    <t>02.04</t>
  </si>
  <si>
    <t>EPI e ferramentas</t>
  </si>
  <si>
    <t>Percentuais incidentes sobre o custo direto</t>
  </si>
  <si>
    <t>03.00</t>
  </si>
  <si>
    <t>PREÇO DE CUSTO</t>
  </si>
  <si>
    <t>04.00</t>
  </si>
  <si>
    <t>TRIBUTOS</t>
  </si>
  <si>
    <t>04.01</t>
  </si>
  <si>
    <t>Cofins</t>
  </si>
  <si>
    <t>04.02</t>
  </si>
  <si>
    <t>Pis/Pasep</t>
  </si>
  <si>
    <t>04.03</t>
  </si>
  <si>
    <t>Iss</t>
  </si>
  <si>
    <t>Percentuais incidentes sobre o preço de venda</t>
  </si>
  <si>
    <t>05.00</t>
  </si>
  <si>
    <t>LUCRO LÍQUIDO</t>
  </si>
  <si>
    <t>Percentual incidente sobre o preço de venda</t>
  </si>
  <si>
    <t>06.00</t>
  </si>
  <si>
    <t>PREÇO DE VENDA</t>
  </si>
  <si>
    <t>07.00</t>
  </si>
  <si>
    <t>BDI</t>
  </si>
  <si>
    <t xml:space="preserve">Planilha elaborada conforme proferido no acordão 325/2007 do </t>
  </si>
  <si>
    <t xml:space="preserve">Tribunal de Contas da União - TCU </t>
  </si>
  <si>
    <t>DEMONSTRATIVO DO CÁLCULO DO BDI DE MATERIAIS</t>
  </si>
  <si>
    <t>BDI =</t>
  </si>
  <si>
    <t>ETE - ILUMINAÇÃO EXTERNA</t>
  </si>
  <si>
    <t>MÃO DE OBRA</t>
  </si>
  <si>
    <t>ELETRICISTA OU OFICIAL ELETRICISTA</t>
  </si>
  <si>
    <t xml:space="preserve">h </t>
  </si>
  <si>
    <t>AJUDANTE DE ELETRICISTA</t>
  </si>
  <si>
    <t xml:space="preserve">SERVENTE </t>
  </si>
  <si>
    <t>UNIDADE DE APOIO - ILUMINAÇÃO/TOMADAS</t>
  </si>
  <si>
    <t>ETE-APOIO OPERACIONAL -SPDA/ATERRAMENTO</t>
  </si>
  <si>
    <t>03.02.01</t>
  </si>
  <si>
    <t>03.02.02</t>
  </si>
  <si>
    <t>ETE-BANCO DE DUTOS E ALIMENTAÇÃO DOS MOTORES</t>
  </si>
  <si>
    <t>EQUIPAMENTOS - QCM</t>
  </si>
  <si>
    <t xml:space="preserve">PEDREIRO </t>
  </si>
  <si>
    <t>COMPOSIÇÃO</t>
  </si>
  <si>
    <t>ADMINISTRAÇÃO DA OBRA</t>
  </si>
  <si>
    <t>MOBILIZAÇÃO E DESMOBILIZAÇÃO</t>
  </si>
  <si>
    <t>MÁXIMO</t>
  </si>
  <si>
    <t>CE-014</t>
  </si>
  <si>
    <t>TUBO ACO PRETO SEM COSTURA SCHEDULE 40/NBR 5590 DN INT 1" E = 3,38MM - 2,50KG/M</t>
  </si>
  <si>
    <t>CHUMBADOR OMEGA C/PARAFUSO OM1404 1/4"</t>
  </si>
  <si>
    <t>PARAFUSO ACO CHUMBADOR PARABOLT 3/8" X 75MM</t>
  </si>
  <si>
    <t>TÊ DE RED. PRETO BSP 150# 1`` X 3/4`` TUPY</t>
  </si>
  <si>
    <t>VALVULA ESFERA TRIPARTIDA 1000 WOG PP INOX 304 SI TR 1``</t>
  </si>
  <si>
    <t>NIPLE DUPLO PRETO BSP 150# 1`` TUPY</t>
  </si>
  <si>
    <t>TUBO ACO PRETO SEM COSTURA SCHEDULE 40/NBR 5590 DN INT 3/4" E = 2,87MM - 1,69KG/M</t>
  </si>
  <si>
    <t>COTOVELO 90° PRETO BSP 150# 1`` TUPY</t>
  </si>
  <si>
    <t>INTERLIGAÇÕES DAS UNIDADES DA ETE</t>
  </si>
  <si>
    <t>01.01</t>
  </si>
  <si>
    <t>01.02</t>
  </si>
  <si>
    <t>01.03</t>
  </si>
  <si>
    <t>01.04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</si>
  <si>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</si>
  <si>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</si>
  <si>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</si>
  <si>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</si>
  <si>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</si>
  <si>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</si>
  <si>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</si>
  <si>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</si>
  <si>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</si>
  <si>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06.01</t>
  </si>
  <si>
    <t>06.02</t>
  </si>
  <si>
    <t>06.03</t>
  </si>
  <si>
    <t>07.02</t>
  </si>
  <si>
    <t>07.03</t>
  </si>
  <si>
    <t>07.04</t>
  </si>
  <si>
    <t>08.00</t>
  </si>
  <si>
    <t>08.01</t>
  </si>
  <si>
    <t>08.02</t>
  </si>
  <si>
    <t>08.03</t>
  </si>
  <si>
    <t>09.00</t>
  </si>
  <si>
    <t>09.01</t>
  </si>
  <si>
    <t>09.02</t>
  </si>
  <si>
    <t>10.00</t>
  </si>
  <si>
    <t>10.01</t>
  </si>
  <si>
    <t>10.02</t>
  </si>
  <si>
    <t>10.03</t>
  </si>
  <si>
    <t>10.04</t>
  </si>
  <si>
    <t>10.05</t>
  </si>
  <si>
    <t>10.08</t>
  </si>
  <si>
    <t>10.09</t>
  </si>
  <si>
    <t>10.10</t>
  </si>
  <si>
    <t>10.11</t>
  </si>
  <si>
    <t>11.00</t>
  </si>
  <si>
    <t>11.01</t>
  </si>
  <si>
    <t>11.02</t>
  </si>
  <si>
    <t>12.00</t>
  </si>
  <si>
    <t>12.01</t>
  </si>
  <si>
    <t>13.00</t>
  </si>
  <si>
    <t>13.01</t>
  </si>
  <si>
    <t>ALVENARIA ESTRUTURAL BL CONC 15X20X40CM -4.5MPA, ARG.CIM/CAL/AREIA 1:5:11</t>
  </si>
  <si>
    <t>AUXILIAR DE SERRALHEIRO</t>
  </si>
  <si>
    <t>PORCA SEXT   3/4"_(GALVANIZADA)</t>
  </si>
  <si>
    <t>PARAFUSO ALLEN C/CABECA 1/2" X  1" 12 F.</t>
  </si>
  <si>
    <t>CARPINTEIRO DE FORMAS</t>
  </si>
  <si>
    <t>73963/033</t>
  </si>
  <si>
    <t>73963/035</t>
  </si>
  <si>
    <t>73963/037</t>
  </si>
  <si>
    <t>73963/030</t>
  </si>
  <si>
    <t>73963/028</t>
  </si>
  <si>
    <t>POCO VISITA ESG SANIT ANEL CONC PRE-MOLD PROF=1,20M C/TAMPAO FF TIPO MEDIO(AD)D=60CM 125KG/DEGRAUS FF/REJUNTAMENTO ANEIS/REVEST LISO CALHA INTERNA C/ARG CIM/AREIA 1:4. BASE/BANQUETA EM CONCR FCK=10MPA</t>
  </si>
  <si>
    <t>POCO VISITA ESG SANIT ANEL CONC PRE-MOLD PROF=2,60M C/TAMPAO FF TIPO MEDIO(AD)D=60CM 125KG/DEGRAUS FF/REJUNTAMENTO ANEIS/REVEST LISO CALHA INTERNA C/ARG CIM/AREIA 1:4. BASE/BANQUETA EM CONCR FCK=10MPA</t>
  </si>
  <si>
    <t>POCO VISITA ESG SANIT ANEL CONC PRE-MOLD PROF=1,50M C/TAMPAO FF TIPO MEDIO(AD)D=60CM 125KG/DEGRAUS FF/REJUNTAMENTO ANEIS/REVEST LISO CALHA INTERNA C/ARG CIM/AREIA 1:4. BASE/BANQUETA EM CONCR FCK=10MPA</t>
  </si>
  <si>
    <t>POCO VISITA ESG SANIT ANEL CONC PRE-MOLD PROF=2,00M C/TAMPAO FF TIPO MEDIO(AD)D=60CM 125KG/DEGRAUS FF/REJUNTAMENTO ANEIS/REVEST LISO CALHA INTERNA C/ARG CIM/AREIA 1:4. BASE/BANQUETA EM CONCR FCK=10MPA</t>
  </si>
  <si>
    <t>POCO VISITA ESG SANIT ANEL CONC PRE-MOLD PROF=3,20M C/TAMPAO FF TIPO MEDIO(AD)D=60CM 125KG/DEGRAUS FF/REJUNTAMENTOANEIS/REVEST LISO CALHA INTERNA C/ARG CIM/AREIA 1:4. BASE/BANQUETA EM CONCR FCK=10MPA</t>
  </si>
  <si>
    <t>74219/002</t>
  </si>
  <si>
    <t>TRAVESSIA DE MADEIRA PARA VEICULOS</t>
  </si>
  <si>
    <t>74220/001</t>
  </si>
  <si>
    <t xml:space="preserve">DRENAGEM                                                                                                              </t>
  </si>
  <si>
    <t>POÇOS DE VISITA</t>
  </si>
  <si>
    <t>FORNECIMENTO E ASSENTAMENTO DE TUBULAÇÃO</t>
  </si>
  <si>
    <t>ESCAVAÇÃO DE VALAS</t>
  </si>
  <si>
    <t>COMPACTAÇÃO DE FUNDO E ATERRO DE VALAS</t>
  </si>
  <si>
    <t>SERVIÇOS PRELIMINARES</t>
  </si>
  <si>
    <t>DEMOLIÇÃO E RECOMPOSIÇÃO DE PAVIMENTOS</t>
  </si>
  <si>
    <t>EMPRÉSTIMOS E BOTA FORA</t>
  </si>
  <si>
    <t>ESCORAMENTO DE VALAS</t>
  </si>
  <si>
    <t>73877/001</t>
  </si>
  <si>
    <t>ESCORAMENTO DE VALAS TIPO CONTINUO</t>
  </si>
  <si>
    <t>ESCORAMENTO DE VALAS TIPO DESCONTINUO</t>
  </si>
  <si>
    <t>ESCORAMENTO DE VALAS COM PRANCHOES METALICOS - AREA CRAVADA</t>
  </si>
  <si>
    <t>73877/002</t>
  </si>
  <si>
    <t>ESCORAMENTO DE VALAS COM PRANCHOES METALICOS - AREA NAO CRAVADA</t>
  </si>
  <si>
    <t>73816/001</t>
  </si>
  <si>
    <t>EXECUÇÃO DE DRENO COM TUBOS DE PVC CORRUGADO FLEXÍVEL PERFURADO - DN 100</t>
  </si>
  <si>
    <t>73892/002</t>
  </si>
  <si>
    <t>EXECUÇÃO DE CALÇADA EM CONCRETO 1:3:5 (FCK=12 MPA) PREPARO MECÂNICO, E= 7CM</t>
  </si>
  <si>
    <t>73801/002</t>
  </si>
  <si>
    <t>DEMOLICAO DE CAMADA DE ASSENTAMENTO/CONTRAPISO COM USO DE PONTEIRO, ESPESSURA ATE 4CM</t>
  </si>
  <si>
    <t>73960/001</t>
  </si>
  <si>
    <t>TRANSPORTE COMERCIAL COM CAMINHAO BASCULANTE 6 M3, RODOVIA EM LEITO NATURAL</t>
  </si>
  <si>
    <t>ESCAVACAO DE VALA NAO ESCORADA EM MATERIAL DE 1A CATEGORIA COM PROFUNDIDADE DE 1,5 ATE 3M COM RETROESCAVADEIRA 75HP, SEM ESGOTAMENTO</t>
  </si>
  <si>
    <t>73962/013</t>
  </si>
  <si>
    <t>ESCAVACAO DE VALA NAO ESCORADA EM MATERIAL 1A CATEGORIA , PROFUNDIDADE ATE 1,5 M COM ESCAVADEIRA HIDRAULICA 105 HP(CAPACIDADE DE 0,78M3), SEM ESGOTAMENTO</t>
  </si>
  <si>
    <t>79507/006</t>
  </si>
  <si>
    <t>ESCAVACAO MANUAL VALA ATE 2M EM ROCHA C/EXPLOSIVO</t>
  </si>
  <si>
    <t>R$/m</t>
  </si>
  <si>
    <t>03.02.03</t>
  </si>
  <si>
    <t>03.02.04</t>
  </si>
  <si>
    <t>03.02.05</t>
  </si>
  <si>
    <t>03.02.06</t>
  </si>
  <si>
    <t>03.02.07</t>
  </si>
  <si>
    <t>03.03.01</t>
  </si>
  <si>
    <t>03.03.02</t>
  </si>
  <si>
    <t>03.03.03</t>
  </si>
  <si>
    <t>03.03.04</t>
  </si>
  <si>
    <t>03.04.01</t>
  </si>
  <si>
    <t>03.04.02</t>
  </si>
  <si>
    <t>03.05.02</t>
  </si>
  <si>
    <t>03.06.01</t>
  </si>
  <si>
    <t>03.06.02</t>
  </si>
  <si>
    <t>03.06.03</t>
  </si>
  <si>
    <t>03.07.01</t>
  </si>
  <si>
    <t>03.07.02</t>
  </si>
  <si>
    <t>03.07.03</t>
  </si>
  <si>
    <t>03.08.01</t>
  </si>
  <si>
    <t>03.09.01</t>
  </si>
  <si>
    <t>CADASTRO DE REDES, INCLUSIVE TOPOGRAFO E DESENHISTA M 0,66</t>
  </si>
  <si>
    <t>03.07.04</t>
  </si>
  <si>
    <t>03.07.05</t>
  </si>
  <si>
    <t>03.09.02</t>
  </si>
  <si>
    <t>03.09.04</t>
  </si>
  <si>
    <t>GUARDA-CORPO EM TUBO DE ACO GALVANIZADO 1 1/2"</t>
  </si>
  <si>
    <t>74194/001</t>
  </si>
  <si>
    <t>ESCADA TIPO MARINHEIRO EM TUBO ACO GALVANIZADO 1 1/2" 5 DEGRAUS</t>
  </si>
  <si>
    <t>FORNECIMENTO E INSTALAÇÃO DO SEPARADOR TRIFÁSICO</t>
  </si>
  <si>
    <t>74023/005</t>
  </si>
  <si>
    <t>TRANSPORTE HORIZONTAL DE MATERIAIS DIVERSOS A 100M</t>
  </si>
  <si>
    <t>74077/002</t>
  </si>
  <si>
    <t>LOCACAO CONVENCIONAL DE OBRA, ATRAVÉS DE GABARITO DE TABUAS CORRIDAS PONTALETADAS, COM REAPROVEITAMENTO DE 10 VEZES.</t>
  </si>
  <si>
    <t>CORTE</t>
  </si>
  <si>
    <t>ATERRO</t>
  </si>
  <si>
    <t>FORNECIMENTO E INSTALAÇÃO DE COMPORTA DE ALUMÍNIO OU FIBRA DE VIDRO, DIMENSÕES (L=31 x H=116)CM, ESPESSURA MÍNIMA DE 10 MM, CONFORME PROJETO</t>
  </si>
  <si>
    <t>FORNECIMENTO E INSTALAÇÃO DE COMPORTA DE ALUMÍNIO OU FIBRA DE VIDRO, DIMENSÕES (L=31 x H=116) CM, ESPESSURA MÍNIMA DE 6 MM, CONFORME PROJETO</t>
  </si>
  <si>
    <t>FORNECIMENTO E INSTALAÇÃO DE TERMINAIS DE FIXAÇÃO DOS TUBOS DE DISTRIBUIÇÃO</t>
  </si>
  <si>
    <t>73741/001</t>
  </si>
  <si>
    <t>EMBOCO PAULISTA (MASSA UNICA) TRACO 1:4 (CIMENTO E AREIA), ESPESSURA 2,0CM, PREPARO MANUAL, INCLUSO ADITIVO IMPERMEABILIZANTE</t>
  </si>
  <si>
    <t>VÁLVULA DE SEGURANÇA TIPO CORTA CHAMA DN 1"</t>
  </si>
  <si>
    <t>TUBO CONCRETO SIMPLES CLASSE - PS2 PB NBR-8890 DN 300MM P/AGUAS PLUVIAIS</t>
  </si>
  <si>
    <t>VIDRO LISO COMUM TRANSPARENTE, ESPESSURA 4MM</t>
  </si>
  <si>
    <t>73764/004</t>
  </si>
  <si>
    <t>PAVIMENTACAO EM BLOCOS INTERTRAVADOS DE CONCRETO, ESPESSURA 6,5 CM, FCK 35MPA, ASSENTADOS SOBRE COLCHAO DE AREIA.</t>
  </si>
  <si>
    <t>COLCHAO DE AREIA PARA PAVIMENTACAO EM PARALELEPIPEDO OU BLOCOS DE CONCRETO INTERTRAVADOS</t>
  </si>
  <si>
    <t>73922/002</t>
  </si>
  <si>
    <t>PISO CIMENTADO LISO DESEMPENADO, TRACO 1:4 (CIMENTO E AREIA), ESPESSURA 2,5CM, PREPARO MANUAL</t>
  </si>
  <si>
    <t>TRANSPORTE COMERCIAL COM CAMINHAO BASCULANTE 6 M3, RODOVIA PAVIMENTADA</t>
  </si>
  <si>
    <t>DISSIPADOR DE ENERGIA CONFORME PROJETO</t>
  </si>
  <si>
    <t>CE-003</t>
  </si>
  <si>
    <t>CE-007</t>
  </si>
  <si>
    <t>CE-017</t>
  </si>
  <si>
    <t>ENROCAMENTO COM PEDRA ARGAMASSADA TRAÇO 1:4 COM PEDRA DE MÃO</t>
  </si>
  <si>
    <t>ENGENHEIRO OU ARQUITETO /PLENO - DE OBRA</t>
  </si>
  <si>
    <t>ALMOXARIFE</t>
  </si>
  <si>
    <t>TOPÓGRAFO</t>
  </si>
  <si>
    <t>AUXILIAR DE TOPOGRAFIA</t>
  </si>
  <si>
    <t>MOTORISTA DE BASCULANTE</t>
  </si>
  <si>
    <t>MOTORISTA DE CAMINHAO</t>
  </si>
  <si>
    <t>CAMINHAO FORD F-4000 OU EQUIV C/ CARROCERIA MADEIRA FIXA - CAP CARGA ATE 5,0T (INCL.MANUT/OPERACAO)</t>
  </si>
  <si>
    <t>73847/005</t>
  </si>
  <si>
    <t>ALUGUEL CONTAINER/SANIT C/7 VASOS/1 LAVAT/1 MIC LARG=2,20M COMPR=6,20M ALT=2,50M CHAPA ACO NERV TRAPEZ FORRO C/ISOLTERMO-ACUST CHASSIS REFORC PISO COMPENS NAVAL INCL INST ELET/HIDRO-SANIT EXCL TRANSP/CARGA/DESCARGA</t>
  </si>
  <si>
    <t>PREÇOS DE MERCADO</t>
  </si>
  <si>
    <t>"TICKET" ALIMENTAÇÃO</t>
  </si>
  <si>
    <t>VALE TRANSPORTE OU SIMILAR</t>
  </si>
  <si>
    <t>01.01.09</t>
  </si>
  <si>
    <t>01.01.10</t>
  </si>
  <si>
    <t>01.01.11</t>
  </si>
  <si>
    <t>01.01.12</t>
  </si>
  <si>
    <t>01.03.04</t>
  </si>
  <si>
    <t>01.03.05</t>
  </si>
  <si>
    <t xml:space="preserve">74039/001 </t>
  </si>
  <si>
    <t>CERCA COM MOURÕES DE MADEIRA ROLIÇA D=11CM, ESPAÇAMENTO DE 2M, ALTURA LIVRE DE 1M, CRAVADOS 0,50M, COM 5 FIOS DE ARAME FARPADO Nº14 CLASSE 2 50 - FORNEC E COLOC.</t>
  </si>
  <si>
    <t>01.05</t>
  </si>
  <si>
    <t>01.06</t>
  </si>
  <si>
    <t>01.07</t>
  </si>
  <si>
    <t xml:space="preserve">73803/001 </t>
  </si>
  <si>
    <t>CHAPA ACO INOX E = 4MM (32KG/M2)</t>
  </si>
  <si>
    <t>01.08</t>
  </si>
  <si>
    <t>QUEIMADOR DE BIOGÁS COM IGNITOR AUTOMÁTICO E ENERGIA SOLAR MODELO LGM - 3.2  7/8" MARCA ITACRETO OU SIMILAR</t>
  </si>
  <si>
    <t>POCO VISITA ESG SANIT ANEL CONC PRE-MOLD PROF=1,40M C/TAMPAO FF TIPO MEDIO(AD)D=60CM 125KG/DEGRAUS FF/REJUNTAMENTO ANEIS/REVEST LISO CALHA INTERNA C/ARG CIM/AREIA 1:4. BASE/BANQUETA EM CONCR FCK=10MPA</t>
  </si>
  <si>
    <t>POCO VISITA ESG SANIT ANEL CONC PRE-MOLD PROF=1,60M C/TAMPAO FF TIPO MEDIO(AD)D=60CM 125KG/DEGRAUS FF/REJUNTAMENTO ANEIS/REVEST LISO CALHA INTERNA C/ARG CIM/AREIA 1:4. BASE/BANQUETA EM CONCR FCK=10MPA</t>
  </si>
  <si>
    <t>POCO VISITA ESG SANIT ANEL CONC PRE-MOLD PROF=2,30M C/TAMPAO FF TIPO MEDIO(AD)D=60CM 125KG/DEGRAUS FF/REJUNTAMENTO ANEIS/REVEST LISO CALHA INTERNA C/ARG CIM/AREIA 1:4. BASE/BANQUETA EM CONCR FCK=10MPA</t>
  </si>
  <si>
    <t>POCO VISITA ESG SANIT ANEL CONC PRE-MOLD PROF=2,90M C/TAMPAO FF TIPO MEDIO(AD)D=60CM 125KG/DEGRAUS FF/REJUNTAMENTO ANEIS/REVEST LISO CALHA INTERNA C/ARG CIM/AREIA 1:4. BASE/BANQUETA EM CONCR FCK=10MPA</t>
  </si>
  <si>
    <t>73963/029</t>
  </si>
  <si>
    <t>73963/031</t>
  </si>
  <si>
    <t>73963/034</t>
  </si>
  <si>
    <t>73963/036</t>
  </si>
  <si>
    <t>03.07.06</t>
  </si>
  <si>
    <t>03.07.07</t>
  </si>
  <si>
    <t>MURETA PARA ABRIGO DOS QUADROS DE COMANDO DOS MOTORES "QCM's"</t>
  </si>
  <si>
    <t>ALVENARIA DE BLOCOS DE CONCRETO VEDACAO 14X19X39CM, ESPESSURA 14CM, ASSENTADOS COM ARGAMASSA TRACO 1:0,5:8 (CIMENTO, CAL E AREIA), COM JUNTA DE 10 MM</t>
  </si>
  <si>
    <t>73933/003</t>
  </si>
  <si>
    <t>PORTA DE FERRO, DE ABRIR, VENEZIANA SEM BANDEIRA SEM FERRAGENS</t>
  </si>
  <si>
    <t>DOBRADICA ACO ZINCADO 3 X 3 1/2" COM ANEIS</t>
  </si>
  <si>
    <t>FECHO DE EMBUTIR (TP UNHA) C/ ALAVANCA LATAO CROMADO - 40CM</t>
  </si>
  <si>
    <t>73954/002</t>
  </si>
  <si>
    <t>PINTURA LATEX ACRILICA AMBIENTES INTERNOS/EXTERNOS, DUAS DEMAOS</t>
  </si>
  <si>
    <t>73794/001</t>
  </si>
  <si>
    <t>PINTURA COM TINTA GRAFITE ESMALTE EM FERRO</t>
  </si>
  <si>
    <t>CE-018</t>
  </si>
  <si>
    <t>MURETA PARA PADRÃO DE ENTRADA DE ENERGIA</t>
  </si>
  <si>
    <t>CE-019</t>
  </si>
  <si>
    <t>CE-020</t>
  </si>
  <si>
    <t>PLANILHA DE ORÇAMENTO</t>
  </si>
  <si>
    <t>Preço Unitário (R$) Simples</t>
  </si>
  <si>
    <t>Preço Unitário (R$) BDI ou ADM</t>
  </si>
  <si>
    <t>Preço Total (R$)</t>
  </si>
  <si>
    <t>TAPUME DE CHAPA DE MADEIRA COMPENSADA (6MM) - PINTURA A CAL- APROVEITAMENTO 2X</t>
  </si>
  <si>
    <t>14.00</t>
  </si>
  <si>
    <t>15.00</t>
  </si>
  <si>
    <t>16.00</t>
  </si>
  <si>
    <t>18.00</t>
  </si>
  <si>
    <t>19.00</t>
  </si>
  <si>
    <t>20.00</t>
  </si>
  <si>
    <t>21.00</t>
  </si>
  <si>
    <t>REDE COLETORA DE ESGOTOS</t>
  </si>
  <si>
    <t>FORNECIMENTO DO MATERIAL HIDRÁULICO DA REDE COLETORA DE ESGOTOS</t>
  </si>
  <si>
    <t>10.06</t>
  </si>
  <si>
    <t>10.07</t>
  </si>
  <si>
    <t>12.02</t>
  </si>
  <si>
    <t>12.03</t>
  </si>
  <si>
    <t>12.04</t>
  </si>
  <si>
    <t>12.05</t>
  </si>
  <si>
    <t>14.01</t>
  </si>
  <si>
    <t>14.02</t>
  </si>
  <si>
    <t>14.03</t>
  </si>
  <si>
    <t>14.04</t>
  </si>
  <si>
    <t>TUBO PVC SOLDAVEL EB-892 P/AGUA FRIA PREDIAL DN 25MM</t>
  </si>
  <si>
    <t>03.01</t>
  </si>
  <si>
    <t>03.02</t>
  </si>
  <si>
    <t>03.03</t>
  </si>
  <si>
    <t>10.12</t>
  </si>
  <si>
    <t>10.13</t>
  </si>
  <si>
    <t>10.14</t>
  </si>
  <si>
    <t>13.02</t>
  </si>
  <si>
    <t>13.03</t>
  </si>
  <si>
    <t>13.04</t>
  </si>
  <si>
    <t>15.01</t>
  </si>
  <si>
    <t>15.02</t>
  </si>
  <si>
    <t>15.03</t>
  </si>
  <si>
    <t>15.04</t>
  </si>
  <si>
    <t>16.01</t>
  </si>
  <si>
    <t>16.02</t>
  </si>
  <si>
    <t>16.03</t>
  </si>
  <si>
    <t>18.01</t>
  </si>
  <si>
    <t>19.01</t>
  </si>
  <si>
    <t>19.02</t>
  </si>
  <si>
    <t>L. SOCIAIS</t>
  </si>
  <si>
    <t>01.09</t>
  </si>
  <si>
    <t>01.10</t>
  </si>
  <si>
    <t>01.11</t>
  </si>
  <si>
    <t>03.04</t>
  </si>
  <si>
    <t>03.06</t>
  </si>
  <si>
    <t>03.07</t>
  </si>
  <si>
    <t>03.08</t>
  </si>
  <si>
    <t>04.07</t>
  </si>
  <si>
    <t>04.08</t>
  </si>
  <si>
    <t>04.09</t>
  </si>
  <si>
    <t>04.10</t>
  </si>
  <si>
    <t>DEMONSTRATIVO DO CÁLCULO DO BDI DE SERVIÇOS</t>
  </si>
  <si>
    <t>CONCRETO USINADO BOMBEADO FCK=30MPA, INCLUSIVE COLOCACAO, ESPALHAMENTO E ADENSAMENTO MECANICO.</t>
  </si>
  <si>
    <t>ARMACAO ACO CA-50, DIAM. 6,3 (1/4) À 12,5MM(1/2) -FORNECIMENTO/ CORTE (PERDA DE 10%) / DOBRA / COLOCAÇÃO.</t>
  </si>
  <si>
    <t>ALVENARIA DE BLOCOS DE CONCRETO VEDACAO 15X20X40CM, ESPESSURA 15CM, ASSENTADOS COM ARGAMASSA TRACO 1:0,5:8 (CIMENTO, CAL E AREIA)</t>
  </si>
  <si>
    <t>73873/004</t>
  </si>
  <si>
    <t>LEITO FILTRANTE - COLOCACAO DE PEDREGULHOS NOS FILTROS</t>
  </si>
  <si>
    <t>73873/003</t>
  </si>
  <si>
    <t>LEITO FILTRANTE - COLOCACAO DE AREIA NOS FILTROS</t>
  </si>
  <si>
    <t xml:space="preserve">ALVENARIA EM TIJOLO CERAMICO MACICO 5X10X20CM ESPELHO (ESPESSURA 5CM),   </t>
  </si>
  <si>
    <t>FORNECIMENTO E INSTALAÇÃO DE COMPORTA EM ARDÓSIA OU AÇO INOX, NAS DIMENSÕES (27X80X2)CM, COM VEDAÇÃO EM BORRACHA E FECHAMENTO EM PARAFUSOS, CONFORME PROJETO</t>
  </si>
  <si>
    <t>FORNECIMENTO E INSTALAÇÃO DE PLACAS PRÉ-MOLDADAS DE CONCRETO, CONFORME PROJETO</t>
  </si>
  <si>
    <t>CE-021</t>
  </si>
  <si>
    <t>FORNECIMENTO MATERIAL HIDRÁULICO DOS LEITOS DE SECAGEM</t>
  </si>
  <si>
    <t>APLICAÇÃO DO MATERIAL HIDRÁULICO DOS LEITOS DE SECAGEM</t>
  </si>
  <si>
    <t>TAPUME DE CHAPA DE MADEIRA COMPENSADA (6MM) - PINTURA A CAL- APROVEITAMENTO 2 X</t>
  </si>
  <si>
    <t>ESCAVACAO MECANICA DE VALA EM MATERIAL 2A. CATEGORIA DE 2,01 ATE 4,00 M DE PROFUNDIDADE COM UTILIZACAO DE ESCAVADEIRA HIDRAULICA</t>
  </si>
  <si>
    <t>73965/012</t>
  </si>
  <si>
    <t>ESCAVACAO MANUAL DE VALA EM MATERIAL DE 1A CATEGORIA DE 3 ATE 4,5M EXCLUINDO ESGOTAMENTO / ESCORAMENTO</t>
  </si>
  <si>
    <t>03.02.08</t>
  </si>
  <si>
    <t>03.02.09</t>
  </si>
  <si>
    <t>73963/032</t>
  </si>
  <si>
    <t>POCO VISITA ESG SANIT ANEL CONC PRE-MOLD PROF=1,70M C/TAMPAO FF TIPO MEDIO(AD)D=60CM 125KG/DEGRAUS FF/REJUNTAMENTO ANEIS/REVEST LISO CALHA INTERNA C/ARG CIM/AREIA 1:4. BASE/BANQUETA EM CONCR FCK=10MPA</t>
  </si>
  <si>
    <t>03.07.08</t>
  </si>
  <si>
    <t>03.07.09</t>
  </si>
  <si>
    <t>03.07.10</t>
  </si>
  <si>
    <t>73963/041</t>
  </si>
  <si>
    <t>POCO VISITA ESG SANIT ANEL CONC PRE-MOLD PROF=4,40M C/TAMPAO FF TIPO MEDIO(AD)D=60CM 125KG/DEGRAUS FF/REJUNTAMENTO ANEIS/REVEST LISO CALHA INTERNA C/ARG CIM/AREIA 1:4. BASE/BANQUETA EM CONCR FCK=10MPA</t>
  </si>
  <si>
    <t>POCO VISITA ESG SANIT ANEL CONC PRE-MOLD PROF=4,10M C/TAMPAO FF TIPO MEDIO(AD)D=60CM 125KG/DEGRAUS FF/REJUNTAMENTO ANEIS/REVEST LISO CALHA INTERNA C/ARG CIM/AREIA 1:4. BASE/BANQUETA EM CONCR FCK=10MPA</t>
  </si>
  <si>
    <t>73963/040</t>
  </si>
  <si>
    <t>73963/038</t>
  </si>
  <si>
    <t>POCO VISITA ESG SANIT ANEL CONC PRE-MOLD PROF=3,50M C/TAMPAO FF TIPO MEDIO(AD)D=60CM 125KG/DEGRAUS FF/REJUNTAMENTOANEIS/REVEST LISO CALHA INTERNA C/ARG CIM/AREIA 1:4. BASE/BANQUETA EM CONCR FCK=10MPA</t>
  </si>
  <si>
    <t>73963/042</t>
  </si>
  <si>
    <t>POCO VISITA ESG SANIT ANEL CONC PRE-MOLD PROF=4,70M C/TAMPAO FF TIPO MEDIO(AD)D=60CM 125KG/DEGRAUS FF/REJUNTAMENTO ANEIS/REVEST LISO CALHA INTERNA C/ARG CIM/AREIA 1:4. BASE/BANQUETA EM CONCR FCK=10MPA</t>
  </si>
  <si>
    <t>03.07.11</t>
  </si>
  <si>
    <t>03.07.12</t>
  </si>
  <si>
    <t>03.07.13</t>
  </si>
  <si>
    <t>03.07.14</t>
  </si>
  <si>
    <t>DEMOLICAO DE PAVIMENTACAO ASFALTICA, EXCLUSIVE TRANSPORTE DO MATERIAL RETIRADO</t>
  </si>
  <si>
    <t>RECOMPOSIÇÃO DE PAVIMENTACAO ASFALTICA, EXCLUSIVE TRANSPORTE DO MATERIAL RETIRADO</t>
  </si>
  <si>
    <t>RECOMPOSIÇÃO DE PAVIMENTACAO ASFALTICA</t>
  </si>
  <si>
    <t>BASE PARA PAVIMENTACAO COM BRITA GRADUADA, INCLUSIVE COMPACTACAO</t>
  </si>
  <si>
    <t xml:space="preserve">IMPRIMACAO DE BASE DE PAVIMENTACAO COM EMULSAO CM-70 </t>
  </si>
  <si>
    <t>PINTURA DE LIGACAO COM EMULSAO RR-2C</t>
  </si>
  <si>
    <t>LAMA ASFALTICA FINA COM EMULSAO RL-1C</t>
  </si>
  <si>
    <t>FEITOR OU ENCARREGADO DE CONCRETO</t>
  </si>
  <si>
    <t>FEITOR OU ENCARREGADO DE REDES DE ESGOTOS</t>
  </si>
  <si>
    <t>01.01.02</t>
  </si>
  <si>
    <t>01.01.13</t>
  </si>
  <si>
    <t>tXkm</t>
  </si>
  <si>
    <t xml:space="preserve">74210/001 </t>
  </si>
  <si>
    <t>BARRACAO PARA DEPOSITO EM TABUAS DE MADEIRA, COBERTURA EM FIBROCIMENTO 4 MM, INCLUSO PISO ARGAMASSA TRAÇO 1:6 (CIMENTO E AREIA)</t>
  </si>
  <si>
    <t>GALPAO ABERTO PROVISORIO EM MADEIRA, COBERTURA EM TELHA DE FIBROCIMENTO 6MM, INCLUSO PREPARO DO TERRENO M2 120,99</t>
  </si>
  <si>
    <t>INSTAL/LIGACAO PROVISORIA ELETRICA BAIXA TENSAO P/CANT OBRA ,M3-CHAVE 100A CARGA 3KWH,20CV EXCL FORN MEDIDOR</t>
  </si>
  <si>
    <t>BARRACAO PARA DEPOSITO EM TABUAS DE MADEIRA, COBERTURA EM FIBROCIMENTO  4 MM, INCLUSO PISO ARGAMASSA TRAÇO 1:6 (CIMENTO E AREIA) "PARA ESTOCAGEM DE TUBOS DE PVC."</t>
  </si>
  <si>
    <t>FORNECIMENTO E INSTALACAO DE CALHA PARSHALL 3" EM FIBRA DE VIDRO</t>
  </si>
  <si>
    <t>73932/001</t>
  </si>
  <si>
    <t>GRADE DE FERRO EM BARRA CHATA 3/16"</t>
  </si>
  <si>
    <t>CALHA PARSHALL GARGANTA DE 3" EM FIBRA DE VIDRO</t>
  </si>
  <si>
    <t>ESCAVACAO MEC DE VALA ESCORADA COM RETRO 75 HP, EM MATERIAL DE 1A CATEGORIA ATÉ 1,5M DE PROFUNDIDADE, EXCLUINDO ESGOTAMENTO E ESCORAMENTO</t>
  </si>
  <si>
    <t>EXECUCAO DE CIMBRAMENTO PARA ESCORAMENTO DE FORMAS ELEVADAS DE  MADEIRA (LAJES E VIGAS), ACIMA DE 3,30 M DE PE DIREITO, COM PONTALETES (8,0 X8,0 CM) DE MADEIRA DE LEI 1A QUALIDADE E PECAS DE MADEIRA DE 2,5 X 10,0 CM DE 2A QUALIDADE, NAO APARELHADA.</t>
  </si>
  <si>
    <t>PARAFUSO PARA FLANGES 16x80</t>
  </si>
  <si>
    <t>APLICAÇÃO DO MATERIAL HIDRÁULICO DA ELEVATÓRIA</t>
  </si>
  <si>
    <t>00002698</t>
  </si>
  <si>
    <t>OFICIAL INSTALADOR HIDRAULICO</t>
  </si>
  <si>
    <t>00000246</t>
  </si>
  <si>
    <t>FORNECIMENTO E INSTALAÇÃO DE TERMINAIS DOS TUBOS DE DISTRIBUIÇÃO, EM FIBRA DE VIDRO E RESINA DE POLIÉSTER, CONFORME PROJETO</t>
  </si>
  <si>
    <t>FIXAÇÃO DOS TUBOS DE COLETA DO EFLUENTE DECANTADO</t>
  </si>
  <si>
    <t>FIXAÇÃO DO TUBO DE COLETA DO EFLUENTE DECANTADO</t>
  </si>
  <si>
    <t>FORNECIMENTO E INSTALAÇÃO DE PLACA VERTEDORA, EM PRFV, NAS DIMENSÕES (35X26)CM, COM VEDAÇÃO EM BORRACHA E FECHAMENTO EM PARAFUSOS, CONFORME PROJETO</t>
  </si>
  <si>
    <t>FORNECIMENTO E INSTALAÇÃO DE PLACA VERTEDORA, EM PRFV, NAS DIMENSÕES (60X25)CM, COM VEDAÇÃO EM BORRACHA E FECHAMENTO EM PARAFUSOS, CONFORME PROJETO</t>
  </si>
  <si>
    <t>FORNECIMENTO E INSTALAÇÃO DE PLACA VERTEDORA, EM PRFV OU AÇO INOX, NAS DIMENSÕES (46X45)CM, COM VEDAÇÃO EM BORRACHA E FECHAMENTO EM PARAFUSOS, CONFORME PROJETO</t>
  </si>
  <si>
    <t>FORNECIMENTO E INSTALAÇÃO DE PLACA VERTEDORA, EM PRFV OU AÇO INOX, NAS DIMENSÕES (35X26)CM, COM VEDAÇÃO EM BORRACHA E FECHAMENTO EM PARAFUSOS, CONFORME PROJETO</t>
  </si>
  <si>
    <t>APLICAÇÃO DO MATERIAL HIDRÁULICO DO UASB</t>
  </si>
  <si>
    <t>FORNECIMENTO DO MATERIAL HIDRÁULICO DO UASB</t>
  </si>
  <si>
    <t>TUBO PVC JE CONFORME NBR-7362 - DN 150</t>
  </si>
  <si>
    <t>TÊ PVC JE BBP CONFORME NBR-7362 - DN 150</t>
  </si>
  <si>
    <t>CAP PVC JE CONFORME NBR-7362 - DN 150</t>
  </si>
  <si>
    <t>TUBO PVC DEFOFO CONFORME NBR-7665 - DN 150</t>
  </si>
  <si>
    <t>REGISTRO DE F°F° CHATO COM FLANGES E VOLANTE - DN 150</t>
  </si>
  <si>
    <t>FORNECIMENTO DO MATERIAL HIDRÁULICO DO FILTRO</t>
  </si>
  <si>
    <t>APLICAÇÃO DO MATERIAL HIDRÁULICO DO FILTRO</t>
  </si>
  <si>
    <t>19.03</t>
  </si>
  <si>
    <t>LEITOS DE SECAGEM</t>
  </si>
  <si>
    <t>FORNECIMENTO DO MATERIAL HIDRÁULICO DOS LEITOS DE SECAGEM</t>
  </si>
  <si>
    <t>21.01</t>
  </si>
  <si>
    <t>21.02</t>
  </si>
  <si>
    <t>21.03</t>
  </si>
  <si>
    <t>CONSTRUCAO DE SUMIDOURO P/ EFLUENTE LIQUIDO DA FOSSA SEPTICA, D INT =300CM / H INT = 660 CM</t>
  </si>
  <si>
    <t>74239/001</t>
  </si>
  <si>
    <t>REGULARIZACAO E COMPACTACAO MANUAL DE TERRENO COM SOQUETE</t>
  </si>
  <si>
    <t>CONCRETO FCK=15MPA, PREPARO COM BETONEIRA, SEM LANCAMENTO</t>
  </si>
  <si>
    <t>73929/003</t>
  </si>
  <si>
    <t>IMPERMEABILIZACAO DE SUPERFICIE COM CIMENTO ESPECIAL CRISTALIZANTE COM ADESIVO LIQUIDO DE ALTA PERFORMANCE A BASE DE RESINA ACRÍLICA, UMA DEMAO.</t>
  </si>
  <si>
    <t>IMPERMEABILIZACAO DE SUPERFICIE COM ARGAMASSA DE CIMENTO E AREIA (MEDIA), TRACO 1:3, COM ADITIVO IMPERMEABILIZANTE, E=2CM.</t>
  </si>
  <si>
    <t>FORNECIMENTO E INSTALAÇÃO DE COMPORTA EM ARDÓSIA OU AÇO INOX, NAS DIMENSÕES (47X80X2)CM, COM VEDAÇÃO EM BORRACHA E FECHAMENTO EM PARAFUSOS, CONFORME PROJETO</t>
  </si>
  <si>
    <t>CE-022</t>
  </si>
  <si>
    <t>CE-023</t>
  </si>
  <si>
    <t>CE-024</t>
  </si>
  <si>
    <t>FORNECIMENTO DO MATERIAL HIDRÁULICO DO QUEIMADOR DE GÁS</t>
  </si>
  <si>
    <t>CE-025</t>
  </si>
  <si>
    <t>CE-026</t>
  </si>
  <si>
    <t>CE-027</t>
  </si>
  <si>
    <t>APLICAÇÃO DO MATERIAL HIDRÁULICO DA UNIDADE DE APOIO</t>
  </si>
  <si>
    <t>CE-028</t>
  </si>
  <si>
    <t>CE-029</t>
  </si>
  <si>
    <t>CE-030</t>
  </si>
  <si>
    <t>CE-031</t>
  </si>
  <si>
    <t>CE-032</t>
  </si>
  <si>
    <t>FORNECIMENTO E INSTALAÇÃO DE COMPORTA EM ARDÓSIA OU AÇO INOX, NAS DIMENSÕES (27X80)CM, COM VEDAÇÃO EM BORRACHA E FECHAMENTO EM PARAFUSOS, CONFORME PROJETO</t>
  </si>
  <si>
    <t>FORNECIMENTO E INSTALAÇÃO DE COMPORTA EM ARDÓSIA OU AÇO INOX, NAS DIMENSÕES (47X80)CM, COM VEDAÇÃO EM BORRACHA E FECHAMENTO EM PARAFUSOS, CONFORME PROJETO</t>
  </si>
  <si>
    <t>21.04</t>
  </si>
  <si>
    <t>22.00</t>
  </si>
  <si>
    <t>22.01</t>
  </si>
  <si>
    <t>22.02</t>
  </si>
  <si>
    <t>22.03</t>
  </si>
  <si>
    <t>22.04</t>
  </si>
  <si>
    <t>23.00</t>
  </si>
  <si>
    <t>23.01</t>
  </si>
  <si>
    <t>23.02</t>
  </si>
  <si>
    <t>23.03</t>
  </si>
  <si>
    <t>24.00</t>
  </si>
  <si>
    <t>24.01</t>
  </si>
  <si>
    <t>24.02</t>
  </si>
  <si>
    <t>24.03</t>
  </si>
  <si>
    <t>25.00</t>
  </si>
  <si>
    <t>25.01</t>
  </si>
  <si>
    <t>25.02</t>
  </si>
  <si>
    <t>26.00</t>
  </si>
  <si>
    <t>FORNECIMENTO DO MATERIAL HIDRÁULICO DA UNIDADE DE APOIO</t>
  </si>
  <si>
    <t>26.01</t>
  </si>
  <si>
    <t>26.02</t>
  </si>
  <si>
    <t>27.00</t>
  </si>
  <si>
    <t>27.01</t>
  </si>
  <si>
    <t>27.02</t>
  </si>
  <si>
    <t>27.03</t>
  </si>
  <si>
    <t>30.00</t>
  </si>
  <si>
    <t>TUBO PVC DEFOFO EB-1208 P/ REDE AGUA JE 1 MPA DN 150MM</t>
  </si>
  <si>
    <t>30.01</t>
  </si>
  <si>
    <t>30.04</t>
  </si>
  <si>
    <t>30.06</t>
  </si>
  <si>
    <t>TE FOFO BBB JE DN 150 X 150</t>
  </si>
  <si>
    <t>30.09</t>
  </si>
  <si>
    <t>CURVA 90º FOFO BB JE DN 150</t>
  </si>
  <si>
    <t>30.10</t>
  </si>
  <si>
    <t>TORNEIRA METAL AMARELO 3/4" CURTA REF 1128 P/ JARDIM</t>
  </si>
  <si>
    <t>31.00</t>
  </si>
  <si>
    <t>31.01</t>
  </si>
  <si>
    <t>31.02</t>
  </si>
  <si>
    <t>31.03</t>
  </si>
  <si>
    <t>31.04</t>
  </si>
  <si>
    <t>31.05</t>
  </si>
  <si>
    <t>31.06</t>
  </si>
  <si>
    <t>31.07</t>
  </si>
  <si>
    <t>31.08</t>
  </si>
  <si>
    <t>31.09</t>
  </si>
  <si>
    <t>31.10</t>
  </si>
  <si>
    <t>31.11</t>
  </si>
  <si>
    <t>31.12</t>
  </si>
  <si>
    <t>31.13</t>
  </si>
  <si>
    <t>31.14</t>
  </si>
  <si>
    <t>32.00</t>
  </si>
  <si>
    <t>32.01</t>
  </si>
  <si>
    <t>32.02</t>
  </si>
  <si>
    <t>32.03</t>
  </si>
  <si>
    <t>32.04</t>
  </si>
  <si>
    <t>32.05</t>
  </si>
  <si>
    <t>32.06</t>
  </si>
  <si>
    <t>32.07</t>
  </si>
  <si>
    <t>32.08</t>
  </si>
  <si>
    <t>32.09</t>
  </si>
  <si>
    <t>32.10</t>
  </si>
  <si>
    <t>32.11</t>
  </si>
  <si>
    <t>LASTRO DE CONCRETO, PREPARO MECANICO</t>
  </si>
  <si>
    <t>CONCRETO ARMADO DOSADO 15 MPA INCL MAT P/ 1 M3 PREPARO CONF COMP 5845 COLOC CONF COMP 7090 14 M2 DE AREA MOLDADA FORMAS E ESCORAMENTO CONF COMPS 5306 E 5708 60 KG DE ACO CA-50 INC MAO DE OBRA P/CORTE DOBRAGEM MONTAGEM E COLO</t>
  </si>
  <si>
    <t>PORTA DE FERRO ABRIR TIPO CHAPA LISA 0,87X2,10M, INCLUSO GUARNICOES</t>
  </si>
  <si>
    <t>73933/002</t>
  </si>
  <si>
    <t>VASO SANITARIO SIFONADO LOUÇA BRANCA PADRAO POPULAR, COM CONJUNTO PARA FIXAÇAO PARA VASO SANITÁRIO COM PARAFUSO, ARRUELA E BUCHA - FORNECIMENTO E INSTALACAO</t>
  </si>
  <si>
    <t>LAVATORIO EM LOUCA BRANCA, SEM COLUNA PADRAO POPULAR, COM TORNEIRA CROMADA POPULAR , SIFAO,VALVULA E ENGATE PLASTICO</t>
  </si>
  <si>
    <t>CONCRETO FCK=15MPA (1:2,5:3) , INCLUIDO PREPARO MECANICO, LANCAMENTO E ADENSAMENTO.</t>
  </si>
  <si>
    <t>TUBO AÇO PRETO SEM COSTURA SCHEDULE 40/NBR 5590 DN INT 1" E = 3,38MM - 2,50KG/M</t>
  </si>
  <si>
    <t>TUBO PVC SOLDAVEL EB-892 P/AGUA FRIA PREDIAL DN 32MM</t>
  </si>
  <si>
    <t>0829</t>
  </si>
  <si>
    <t>BUCHA REDUCAO PVC SOLD CURTA P/ AGUA FRIA PRED 32MM X 25MM</t>
  </si>
  <si>
    <t>TE PVC SOLD 90G P/ AGUA FRIA PREDIAL 32MM</t>
  </si>
  <si>
    <t>TE REDUCAO PVC SOLD 90G P/ AGUA FRIA PREDIAL 32 MM X 25 MM</t>
  </si>
  <si>
    <t>JOELHO PVC SOLD 90G P/ AGUA FRIA PREDIAL 25 MM</t>
  </si>
  <si>
    <t>JOELHO PVC SOLD 90G P/AGUA FRIA PREDIAL 32 MM</t>
  </si>
  <si>
    <t>0065</t>
  </si>
  <si>
    <t>ADAPTADOR PVC SOLDAVEL CURTO C/ BOLSA E ROSCA P/ REGISTRO 25MM X 3/4" UN 0,62</t>
  </si>
  <si>
    <t>0108</t>
  </si>
  <si>
    <t>ADAPTADOR PVC SOLDAVEL CURTO C/ BOLSA E ROSCA P/ REGISTRO 32MM X 1"</t>
  </si>
  <si>
    <t>CURVA FERRO GALVANIZADO 90G ROSCA MACHO REF 1"</t>
  </si>
  <si>
    <t>CURVA FERRO GALVANIZADO 45G ROSCA FEMEA REF. 1"</t>
  </si>
  <si>
    <t>0063</t>
  </si>
  <si>
    <t>KIT CAVALETE PVC C/ REGISTRO 3/4"</t>
  </si>
  <si>
    <t xml:space="preserve">NIPEL PVC C/ C/ ROSCA P/ AGUA FRIA PREDIAL 3/4" </t>
  </si>
  <si>
    <t>CONE DE SINALIZACAO MEDIO DE BORRACHA</t>
  </si>
  <si>
    <t>COTACÃO</t>
  </si>
  <si>
    <t>CARGA MANUAL DE TERRA EM CAMINHAO BASCULANTE (NAO INCLUI O CUSTO CUSTO IMPRODUTIVO DO CAMINHAO BASCULANTE)</t>
  </si>
  <si>
    <t>74255/001</t>
  </si>
  <si>
    <t>CAIXA DE PASSAGEM 40X40X50 FUNDO BRITA COM TAMPA</t>
  </si>
  <si>
    <t>00004817</t>
  </si>
  <si>
    <t>BDI 18%</t>
  </si>
  <si>
    <t>BDI 28%</t>
  </si>
  <si>
    <t>SEM BDI</t>
  </si>
  <si>
    <t xml:space="preserve">TRANSPORTE COMERCIAL COM CAMINHAO BASCULANTE 6 M3, RODOVIA EM LEITO NATURAL </t>
  </si>
  <si>
    <t>CLIENTE: PREFEITURA MUNICIPAL DE SÃO MIGUEL DO ARAGUAIA</t>
  </si>
  <si>
    <t xml:space="preserve">PROJETO: SISTEMA DE ESGOTOS SANITÁRIOS   </t>
  </si>
  <si>
    <t>LOCALIDADE: SÃO MIGUEL DO ARAGUAIA - GO / LUIZ ALVES</t>
  </si>
  <si>
    <r>
      <rPr>
        <b/>
        <sz val="10"/>
        <rFont val="Arial"/>
        <family val="2"/>
      </rPr>
      <t>LOCALIDADE</t>
    </r>
    <r>
      <rPr>
        <b/>
        <sz val="12"/>
        <rFont val="Arial"/>
        <family val="2"/>
      </rPr>
      <t xml:space="preserve">: </t>
    </r>
    <r>
      <rPr>
        <b/>
        <sz val="10"/>
        <rFont val="Arial"/>
        <family val="2"/>
      </rPr>
      <t>SÃO MIGUEL DO ARAGUAIA - GO / LUIZ ALVES</t>
    </r>
  </si>
  <si>
    <r>
      <t>LOCALIDADE</t>
    </r>
    <r>
      <rPr>
        <b/>
        <sz val="12"/>
        <rFont val="Arial"/>
        <family val="2"/>
      </rPr>
      <t>:</t>
    </r>
    <r>
      <rPr>
        <b/>
        <sz val="10"/>
        <rFont val="Arial"/>
        <family val="2"/>
      </rPr>
      <t xml:space="preserve"> SÃO MIGUEL DO ARAGUAIA - GO / LUIZ ALVES</t>
    </r>
  </si>
  <si>
    <t>PROJETO: SISTEMA DE ESGOTOS SANITÁRIOS</t>
  </si>
  <si>
    <t xml:space="preserve">PROJETO: SISTEMA DE ESGOTOS SANITÁRIOS  </t>
  </si>
  <si>
    <t>DATA: MAIO 2013</t>
  </si>
  <si>
    <t>MAIO 2013</t>
  </si>
  <si>
    <t>LOCAÇÃO CONVENCIONAL DE OBRA ATRAVËS DE GABARITO DE TÁBUAS CORRIDAS PONTALETEADAS SEM REPAROVEITAMENTO</t>
  </si>
  <si>
    <t>73983/001</t>
  </si>
  <si>
    <t>CONCRETO ARMADO FCK=15MPA (PREP.NA OBRA C/BETONEIRA), INCLUSIVE IMPERMEABILIZANTE (ESTRUTURAS</t>
  </si>
  <si>
    <t>FORNECIMENTO DO MATERIAL HIDRÁULICO DA ELEVATÓRIA</t>
  </si>
  <si>
    <t>FORNECIMENTO E INSTALAÇÃO DE CESTO EM FIO DE AÇO DE 3 MM, MALHA DE 5 CM, NAS DIMENSÕES (45x45x45) CM, INCLUSIVE GUIAS LATERAIS EM TUBO GALVANIZADO DN 2" E SISTEMA DE FIXAÇÃO,  CONFORME PROJETO</t>
  </si>
  <si>
    <t>FORNECIMENTO DO MATERIAL HIDRÁULICO DAS LINHAS DE RECALQUE</t>
  </si>
  <si>
    <t>VALVULA RETENCAO HORIZONTAL BRONZE (PN-25) 3" 400PSI TAMPA C/ PORCA DE UNIAO - EXTREMIDADES C/</t>
  </si>
  <si>
    <t>REGISTRO CHATO FºFº FLANGEADO E COM VOLANTE PN10 DN 80</t>
  </si>
  <si>
    <t>REGISTRO CHATO FºFº FLANGEADO E COM VOLANTE PN10 DN 50</t>
  </si>
  <si>
    <t>CURVA 90G FOFO FF PN 16 DN 50</t>
  </si>
  <si>
    <t>CURVA 45G FOFO FF PN 16 DN 80</t>
  </si>
  <si>
    <t>JUNÇÃO FºFº COM FLANGES PN10 DN 80</t>
  </si>
  <si>
    <t>MANGOTE PVC FLEXIVEL 3" COR LARANJA</t>
  </si>
  <si>
    <t xml:space="preserve">TUBO FOFO FLANGE PONTA DN 50 </t>
  </si>
  <si>
    <t>TUBO FOFO FLANGE PONTA DN 80</t>
  </si>
  <si>
    <t>05.10</t>
  </si>
  <si>
    <t xml:space="preserve">TUBO FOFO FLANGE PONTA DN 100 </t>
  </si>
  <si>
    <t>TUBO PVC SERIE NORMAL - ESGOTO PREDIAL DN 50MM - NBR 5688</t>
  </si>
  <si>
    <t>NIPEL REDUCAO FERRO GALV ROSCA 3" X 2"</t>
  </si>
  <si>
    <t>TAMPAO FOFO T-16 (7KG) - 30x30CM (P/ CAIXA DE INSPECAO)</t>
  </si>
  <si>
    <t>JUNTA GIBAULT FOFO DN 80</t>
  </si>
  <si>
    <t>TE REDUCAO FºFº COM FLANGES PN10 DN80X50</t>
  </si>
  <si>
    <t>REDUCAO FºFº COM FLANGES PN10 DN100X80</t>
  </si>
  <si>
    <t>ABF 10 DN50</t>
  </si>
  <si>
    <t>ABF 10 DN80</t>
  </si>
  <si>
    <t>ABF 10 DN100</t>
  </si>
  <si>
    <t>ADUFA PAREDE FOFO DUCTIL C/FLANGE DN 150</t>
  </si>
  <si>
    <t>HASTE DE PROLONGAMENTO 1.1/8 2,00M</t>
  </si>
  <si>
    <t>FORNECIMENTO DE CESTO EM FIO DE AÇO DE 3 MM, MALHA DE 5 CM, NAS DIMENSÕES (45x45x45) CM, INCLUSIVE GUIAS LATERAIS EM TUBO GALVANIZADO DN 2" E SISTEMA DE FIXAÇÃO,  CONFORME PROJETO</t>
  </si>
  <si>
    <t>CANTONEIRA ALUMINIO ABAS IGUAIS 2" E = 1/4"</t>
  </si>
  <si>
    <t>CHAPA ALUMINIO E = 6MM KG</t>
  </si>
  <si>
    <t>TELA ARAME GALV FIO 10 BWG (3,4MM) MALHA 2" (5 X 5CM) QUADRADA OU LOSANGO H= 2,0M</t>
  </si>
  <si>
    <t>TUBO ACO GALV C/ COSTURA DIN 2440/NBR 5580 CLASSE MEDIA DN 2" (50MM) E=3,65MM - 5,10KG/M</t>
  </si>
  <si>
    <t>MATERIAL HIDRÁULICO DAS LINHAS DE RECALQUE</t>
  </si>
  <si>
    <t>CURVA 45º FOFO BB JE DN 150</t>
  </si>
  <si>
    <t>03.05.01</t>
  </si>
  <si>
    <t>74154/001</t>
  </si>
  <si>
    <t>ESCAVACAO, CARGA E TRANSPORTE DE MATERIAL DE 1A CATEGORIA COM TRATOR SOBRE ESTEIRAS 305 HP E CACAMBA 5M3, DMT 50 A 200M</t>
  </si>
  <si>
    <t>03.09.03</t>
  </si>
  <si>
    <t>QUANTITATIVOS DOS PV'S</t>
  </si>
  <si>
    <t>PV'S</t>
  </si>
  <si>
    <t>RESUMO</t>
  </si>
  <si>
    <t>1,20 M</t>
  </si>
  <si>
    <t>AÉREO</t>
  </si>
  <si>
    <t xml:space="preserve">EXTEÇÃO DE REDE </t>
  </si>
  <si>
    <t>1,50 M</t>
  </si>
  <si>
    <t>1,2 M</t>
  </si>
  <si>
    <t>PVC COLETOR DN150</t>
  </si>
  <si>
    <t>2,00 M</t>
  </si>
  <si>
    <t>1,4 M</t>
  </si>
  <si>
    <t>PVC COLETOR DN200</t>
  </si>
  <si>
    <t>1,5 à 3,00</t>
  </si>
  <si>
    <t>2,60 M</t>
  </si>
  <si>
    <t>1,5 M</t>
  </si>
  <si>
    <t>FOFO PB DN 150</t>
  </si>
  <si>
    <t>3,0 à 4,50</t>
  </si>
  <si>
    <t>1,6 M</t>
  </si>
  <si>
    <t>FOFO PB DN 200</t>
  </si>
  <si>
    <t>TOTAL</t>
  </si>
  <si>
    <t>3,20 M</t>
  </si>
  <si>
    <t>1,7 M</t>
  </si>
  <si>
    <t>APILOAMENTO</t>
  </si>
  <si>
    <t>PV'S AÉRIOS</t>
  </si>
  <si>
    <t>2 M</t>
  </si>
  <si>
    <t>2,3 M</t>
  </si>
  <si>
    <t>DEMOLIÇÃO</t>
  </si>
  <si>
    <t>2,6 M</t>
  </si>
  <si>
    <t>ASFALTO</t>
  </si>
  <si>
    <t>2,9 M</t>
  </si>
  <si>
    <t>POLIÉDRICO</t>
  </si>
  <si>
    <t>3, 2 M</t>
  </si>
  <si>
    <t>TERRA</t>
  </si>
  <si>
    <t>3,5 M</t>
  </si>
  <si>
    <t>RECOMPOSIÇÃO</t>
  </si>
  <si>
    <t>3,8 M</t>
  </si>
  <si>
    <t>4,1 M</t>
  </si>
  <si>
    <t>4,4 M</t>
  </si>
  <si>
    <t>4,7 M</t>
  </si>
  <si>
    <t>ESCORAMENTO</t>
  </si>
  <si>
    <t>5 M</t>
  </si>
  <si>
    <t>ESCAVAÇÃO</t>
  </si>
  <si>
    <t>REATERRO</t>
  </si>
  <si>
    <t>PVC COLETOR DN250</t>
  </si>
  <si>
    <t>PVC COLETOR DN300</t>
  </si>
  <si>
    <t>PVC COLETOR DN350</t>
  </si>
  <si>
    <t>FOFO  DN350</t>
  </si>
  <si>
    <t xml:space="preserve"> REDE COLETORA SUB-BACIA A</t>
  </si>
  <si>
    <t xml:space="preserve"> REDE COLETORA SUB-BACIA B</t>
  </si>
  <si>
    <t xml:space="preserve"> REDE COLETORA SUB-BACIA C</t>
  </si>
  <si>
    <t xml:space="preserve"> REDE COLETORA SUB-BACIA D</t>
  </si>
  <si>
    <t>EXTENÇÃO TOTAL=</t>
  </si>
  <si>
    <t>ESCAVAÇÕES</t>
  </si>
  <si>
    <t xml:space="preserve">MEC </t>
  </si>
  <si>
    <t>MAN</t>
  </si>
  <si>
    <t>LODO</t>
  </si>
  <si>
    <t>EXPLOSIVOS</t>
  </si>
  <si>
    <t>ATÉ 1,50m</t>
  </si>
  <si>
    <t>1,50 à 3,00m</t>
  </si>
  <si>
    <t>2,00 à 4,00m</t>
  </si>
  <si>
    <t>3,00 à 4,50m</t>
  </si>
  <si>
    <t>LINHA DE RECALQUE</t>
  </si>
  <si>
    <t>MEC</t>
  </si>
  <si>
    <t>1,50m à 3,00m</t>
  </si>
  <si>
    <t>3,0m à 4,5m</t>
  </si>
  <si>
    <t>LIGAÇÕES DOMICILIARES</t>
  </si>
  <si>
    <t>03.10.02</t>
  </si>
  <si>
    <t>73784/001</t>
  </si>
  <si>
    <t>LIGAÇÃO DE ESGOTO EM TUBO PVC ESGOTO SÉRIE-R DN 100MM, DA CAIXA ATÉ A REDE, INCLUINDO ESCAVAÇÃO E REATERRO ATÉ 1,00M, COMPOSTO POR 10,50 M DE TUBO PVC SÉRIE-R ESGOTO DN 100MM, JUNÇÃO SIMPLES PVC PARA ESGOTO PREDIAL DN 100X100MM E CURVA PVC 90GRAUS PARA REDES COLETORAS DE ESGOTOS</t>
  </si>
  <si>
    <t>TÊ DE FºFº COM FLANGES DN 100</t>
  </si>
  <si>
    <t>CAP DE FºFº COM BOLSAS DN 100</t>
  </si>
  <si>
    <t>TUBO DE FºFº L=0,25m DN 100</t>
  </si>
  <si>
    <t>REGISTRO DE FºFº CHATO COM FLANGES E VOLANTE DN 100</t>
  </si>
  <si>
    <t>TÊ REDUÇÃO FºFº COM FLANGES DN 150x100</t>
  </si>
  <si>
    <t>FLANGE CEGO DE FºFº DN 150</t>
  </si>
  <si>
    <t>CURVA 90º FºFº COM FLANGES DN 150</t>
  </si>
  <si>
    <t>TUBO PEAD DN 50</t>
  </si>
  <si>
    <t>TUBO PVC COLETOR PERFURADO DN 150</t>
  </si>
  <si>
    <t>JOELHO 90º PVC RÍGIDO ROSCÁVEL DN 2"</t>
  </si>
  <si>
    <t>REGISTRO DE ESFERA DE PVC ROSCÁVEL DB 2"</t>
  </si>
  <si>
    <t>TUBO PVC RÍGIDO ROSCÁVEL DN 2"</t>
  </si>
  <si>
    <t>LUVA COM ROSCA EM PVC RÍGIDO ROSCÁVEL DN 2"</t>
  </si>
  <si>
    <t>NIPLE EM PVC RÍGIDO ROSCÁVEL DN 2"</t>
  </si>
  <si>
    <t>FLANGE COM ROSCA EM PVC RÍGIDO ROSCÁVEL DN 2"</t>
  </si>
  <si>
    <t xml:space="preserve">JOELHO 90º EM AÇO CARBONO DN 1" </t>
  </si>
  <si>
    <t>TÊ EM AÇO CARBONO DN 1"</t>
  </si>
  <si>
    <t>VÁLVULA DE ESFERA FECHAMENTO RÁPIDO AÇO INOX DN 1"</t>
  </si>
  <si>
    <t>TUBO EM AÇO CARBONO DN 1"</t>
  </si>
  <si>
    <t>CURVA 90º FºFº COM BOLSAS DN 80</t>
  </si>
  <si>
    <t>TUBO DE FºFº FLANGE PONTA L=1,05m DN 100</t>
  </si>
  <si>
    <t>EXTREMIDADE PONTA FLANGE FºFº DN 600</t>
  </si>
  <si>
    <t>FLANGE CEGO FºFº DN 600</t>
  </si>
  <si>
    <t>JOELHO 90º PVC ESGOTO DN 200</t>
  </si>
  <si>
    <t>ABF 10 DN 600</t>
  </si>
  <si>
    <t>ABF 10 DN 150</t>
  </si>
  <si>
    <t>ABF 10 DN 100</t>
  </si>
  <si>
    <t xml:space="preserve">PARAFUSO PARA FLANGES 16x80mm </t>
  </si>
  <si>
    <t xml:space="preserve">PARAFUSO PARA FLANGES 20x90mm </t>
  </si>
  <si>
    <t>PARA FUSO PARA FLANGE 27x120mm</t>
  </si>
  <si>
    <t>TUBO PVC COLETOR PERFURADO DN 100</t>
  </si>
  <si>
    <t>TUBO PVC COLETOR DN 100</t>
  </si>
  <si>
    <t>TUBO DE CONCRETO PB L=1,00m DN 300</t>
  </si>
  <si>
    <t>REGISTRO DE GAVETA CHATO JE DN 150</t>
  </si>
  <si>
    <t>JUNÇÃO 45º PVC COLETOR BBB JE DN 100</t>
  </si>
  <si>
    <t>TUBO PVC DEFOFO EB-1208 JE 1 MPA DN 150MM</t>
  </si>
  <si>
    <t>ASSENTAMENTO TUBO PVC COM JUNTA ELASTICA, DN 150 MM - (OU RPVC, OU PVC DEFOFO, OU PRFV).</t>
  </si>
  <si>
    <t>73888/004</t>
  </si>
  <si>
    <t>COMPACTACAO MECANICA C/ CONTROLE DO GC&gt;=95% DO PN (AREAS) (C/MONIVELADORA 140 HP E ROLO COMPRESSOR VIBRATORIO 80 HP)</t>
  </si>
  <si>
    <t>74005/002</t>
  </si>
  <si>
    <t>FORNECIMENTO DO MATERIAL HIDRÁULICO DA ELEVATÓRIA PÓS TRATAMENTO PRELIMINAR</t>
  </si>
  <si>
    <t>VALVULA RETENCAO P/ ESGOTOS FºFº COM FLANGES DN100</t>
  </si>
  <si>
    <t>REGISTRO CHATO FºFº FLANGEADO E COM VOLANTE PN10 DN 100</t>
  </si>
  <si>
    <t>CURVA 45G FOFO FF PN 16 DN 100</t>
  </si>
  <si>
    <t>JUNÇÃO FºFº COM FLANGES PN10 DN 100</t>
  </si>
  <si>
    <t>MANGOTE PVC FLEXIVEL 4" COR LARANJA</t>
  </si>
  <si>
    <t>NIPEL FERRO GALV ROSCA 4" X 3"</t>
  </si>
  <si>
    <t>NIPEL REDUCAO FERRO GALV COM FLANGES 4" X 100MM</t>
  </si>
  <si>
    <t>JUNTA GIBAULT FOFO DN 100</t>
  </si>
  <si>
    <t>TE REDUCAO FºFº COM FLANGES PN10 DN100X50</t>
  </si>
  <si>
    <t>REDUCAO FºFº COM FLANGES PN10 DN150X100</t>
  </si>
  <si>
    <t>ABF 10 DN150</t>
  </si>
  <si>
    <t>TOCO FºFº COM FLANGES PN10 DN 100 L=0,50M</t>
  </si>
  <si>
    <t>TOCO FºFº COM FLANGES PN10 DN 50 L=0,50M</t>
  </si>
  <si>
    <t>NIPEL FERRO GALV ROSCA 3" X 80</t>
  </si>
  <si>
    <t xml:space="preserve">TUBO DE ALUMÍNIO 3" X 2" </t>
  </si>
  <si>
    <t>ESCAVACAO MECANICA, A CEU ABERTO, EM MATERIAL DE 1A CATEGORIA, COM ESCAVADEIRA HIDRAULICA, CAPACIDADE DE 0,78 M3</t>
  </si>
  <si>
    <t>73963/003</t>
  </si>
  <si>
    <t>POCO DE VISITA PARA REDE DE ESG. SANIT., EM ANEIS DE CONCRETO, DIÂMETRO = 60CM, PROF = 60CM, INCLUINDO DEGRAU, EXCLUINDO TAMPAO FERRO FUNDIDO</t>
  </si>
  <si>
    <t>POCO DE VISITA PARA REDE DE ESG. SANIT., EM ANEIS DE CONCRETO, DIÂMETRO = 60CM, PROF=80CM, INCLUINDO DEGRAU, EXCLUINDO TAMPAO FERRO FUNDIDO</t>
  </si>
  <si>
    <t>73963/001</t>
  </si>
  <si>
    <t>POCO DE VISITA PARA REDE DE ESG. SANIT., EM ANEIS DE CONCRETO, DIÂMETRO = 60CM E 110CM, PROF = 200CM, INCLUINDO DEGRAU, EXCLUINDO TAMPAO FERRO FUNDIDO.</t>
  </si>
  <si>
    <t>73963/010</t>
  </si>
  <si>
    <t>POCO DE VISITA PARA REDE DE ESG. SANIT., EM ANEIS DE CONCRETO, DIÂMETRO = 60CM E 110CM, PROF = 105CM, INCLUINDO DEGRAU, EXCLUINDO TAMPAO FERRO FUNDIDO.</t>
  </si>
  <si>
    <t>73963/004</t>
  </si>
  <si>
    <t>POCO DE VISITA PARA REDE DE ESG. SANIT., EM ANEIS DE CONCRETO, DIÂMETRO = 60CM E 110CM, PROF = 140CM, INCLUINDO DEGRAU, EXCLUINDO TAMPAO FERRO FUNDIDO.</t>
  </si>
  <si>
    <t>73963/006</t>
  </si>
  <si>
    <t>POCO DE VISITA PARA REDE DE ESG. SANIT., EM ANEIS DE CONCRETO, DIÂMETRO = 60CM E 110CM, PROF = 160CM, INCLUINDO DEGRAU, EXCLUINDO TAMPAO FERRO FUNDIDO.</t>
  </si>
  <si>
    <t>73963/008</t>
  </si>
  <si>
    <t>CURVA 90° F°F° COM BOLSAS - DN 150</t>
  </si>
  <si>
    <t>CURVA 45° F°F° COM BOLSAS - DN 150</t>
  </si>
  <si>
    <t>LUVA REDUCAO FERRO GALV ROSCA 2" X 3/4"</t>
  </si>
  <si>
    <t>JOELHO FERRO GALV 90G ROSCA 1/2"</t>
  </si>
  <si>
    <t>TUBO DE FºFº COM FLANGE E PONTA L=5,00 DN 100</t>
  </si>
  <si>
    <t>CRUZETA FºFº COM BOLSAS DN 100</t>
  </si>
  <si>
    <t>TUBO DE PVC ESGOTO  DN 150</t>
  </si>
  <si>
    <t>CURVA 90° PVC JE CONFORME NBR-7362 - DN 150</t>
  </si>
  <si>
    <t>TUBO PVC EB-644 P/ REDE COLET ESG JE DN 200MM</t>
  </si>
  <si>
    <t>ASSENTAMENTO DE TUBOS DE CONCRETO COM JUNTA ELÁSTICA - DN 300 MM</t>
  </si>
  <si>
    <t>73879/001</t>
  </si>
  <si>
    <t>03.08.02</t>
  </si>
  <si>
    <t>04.01.01</t>
  </si>
  <si>
    <t>04.01.02</t>
  </si>
  <si>
    <t>04.01.03</t>
  </si>
  <si>
    <t>04.01.04</t>
  </si>
  <si>
    <t>04.01.05</t>
  </si>
  <si>
    <t>03.10</t>
  </si>
  <si>
    <t>03.09</t>
  </si>
  <si>
    <t>03.05</t>
  </si>
  <si>
    <t>04.02.01</t>
  </si>
  <si>
    <t>04.02.02</t>
  </si>
  <si>
    <t>04.02.03</t>
  </si>
  <si>
    <t>04.02.04</t>
  </si>
  <si>
    <t>04.02.06</t>
  </si>
  <si>
    <t>04.02.07</t>
  </si>
  <si>
    <t>04.02.08</t>
  </si>
  <si>
    <t>04.02.09</t>
  </si>
  <si>
    <t>04.02.10</t>
  </si>
  <si>
    <t>04.02.11</t>
  </si>
  <si>
    <t>04.04</t>
  </si>
  <si>
    <t>04.05</t>
  </si>
  <si>
    <t>04.06</t>
  </si>
  <si>
    <t>BOMBA SUBMERSIVEL SCHNEIDER BCS 320 POTÊNCIA 4,0CV, 3450 rpm, TRIFÁSICA OU SIMILAR</t>
  </si>
  <si>
    <t>01.00.00</t>
  </si>
  <si>
    <t>ETE-BANCO DE DUTOS E ALIMENTAÇÃO DOS MOTORES (1/2 CV)</t>
  </si>
  <si>
    <t>DUTO FLEX PE KL110MM 4" C/50M P. CEMIG</t>
  </si>
  <si>
    <t>DUTO FLEX PE KL63MM 2" C/50M P. CEMIG</t>
  </si>
  <si>
    <t>CABO 1KV 16,0MM2 SINTENAX BOBINA PR</t>
  </si>
  <si>
    <t>CABO 1KV 10,0MM2 SINTENAX FLEXIVEL BOBINA PR</t>
  </si>
  <si>
    <t>CABO 1KV 6,0MM2 SINTENAX BOBINA PR</t>
  </si>
  <si>
    <t>CABO 1KV 4X2,5MM2 SINTENAX FLEXIVEL BOBINA</t>
  </si>
  <si>
    <t>CHAVE BOIA INFERIOR 20A 1NA I20</t>
  </si>
  <si>
    <t>05.00.00</t>
  </si>
  <si>
    <t>05.00.01</t>
  </si>
  <si>
    <t>QUADRO DE FORÇA E ALIMENTAÇÃO DE MOTORES QCM 2X0,5CV, CONFORME PROJETO</t>
  </si>
  <si>
    <t>06.00.00</t>
  </si>
  <si>
    <t>PADRÃO DE ENTRADA TIPO C1</t>
  </si>
  <si>
    <t>06.01.00</t>
  </si>
  <si>
    <t>06.01.01</t>
  </si>
  <si>
    <t>CABO FLEXIVEL 750V 16,0MM2 PR BOBINA</t>
  </si>
  <si>
    <t>06.01.02</t>
  </si>
  <si>
    <t>ELETRODUTO GALV. ELETROLIT. H 3/4 PAREDE 0,75MM 3MT</t>
  </si>
  <si>
    <t xml:space="preserve">m </t>
  </si>
  <si>
    <t>06.01.03</t>
  </si>
  <si>
    <t>ROLDANA PORCELANA S/PARAFUSO B.TENSÃO 48X48MM</t>
  </si>
  <si>
    <t>06.01.04</t>
  </si>
  <si>
    <t>ARMAÇÃO REX GALV-FG 4,76MM 1 LINH. S/ROL 237230</t>
  </si>
  <si>
    <t>06.01.05</t>
  </si>
  <si>
    <t>ARAME GALV. 14BWG 2,1MM 40MT/KG</t>
  </si>
  <si>
    <t>06.01.06</t>
  </si>
  <si>
    <t>ABRAÇADEIRA GF AJUS. POST. CIRC. 437MM BAP-1 C/PA</t>
  </si>
  <si>
    <t>06.01.07</t>
  </si>
  <si>
    <t>TAMPÃO ALUMÍNIO S/ROSCA 102MM</t>
  </si>
  <si>
    <t>06.01.08</t>
  </si>
  <si>
    <t>POSTE AÇO GALV. FG PA4 102MM 2,0MM 7,0M CEMIG</t>
  </si>
  <si>
    <t>06.01.09</t>
  </si>
  <si>
    <t>CABEÇOTE PVC H 3/4"</t>
  </si>
  <si>
    <t>06.01.10</t>
  </si>
  <si>
    <t>CAIXA CEMIG CM04 POL.57X49X26 MED. S/DISJ.</t>
  </si>
  <si>
    <t>06.01.11</t>
  </si>
  <si>
    <t>TERMINAL PRESSÃO 6MM2</t>
  </si>
  <si>
    <t>06.01.12</t>
  </si>
  <si>
    <t>CABO COBRE NU M. DURO 7 FIOS 6,0MM2 18,75M/KG</t>
  </si>
  <si>
    <t>06.01.13</t>
  </si>
  <si>
    <t>CONECTOR P. FEND. PRESSÃO 6MM2</t>
  </si>
  <si>
    <t>06.01.14</t>
  </si>
  <si>
    <t>HASTE TERRA GALV-FG C/COM. 5,0X25,4X2400 P. CEMIG</t>
  </si>
  <si>
    <t>06.01.15</t>
  </si>
  <si>
    <t>DISJUNTOR 3X60A 220V 05KA TQC3460</t>
  </si>
  <si>
    <t>06.01.16</t>
  </si>
  <si>
    <t>NIPLE LONGO GALVANIZADO H 3/4 50MM BSP/CONEX</t>
  </si>
  <si>
    <t>06.01.17</t>
  </si>
  <si>
    <t>CURVA GALV. ELETROLITIC. S H 3/4</t>
  </si>
  <si>
    <t>06.01.18</t>
  </si>
  <si>
    <t>ABRAÇADEIRA GALV. D P/ELETRODUTO H 3/4 C/CUNHA</t>
  </si>
  <si>
    <t>06.01.19</t>
  </si>
  <si>
    <t>PARAFUSO A. ATAR. C. CHATA FENDA 3,9X32MM</t>
  </si>
  <si>
    <t>06.01.20</t>
  </si>
  <si>
    <t>BUCHA NYLON FIXAÇÃO S-06 S/PARAFUSO</t>
  </si>
  <si>
    <t>06.01.21</t>
  </si>
  <si>
    <t>ARRUELA LISA GALVANIZADA C 1/4</t>
  </si>
  <si>
    <t>06.02.00</t>
  </si>
  <si>
    <t>06.02.01</t>
  </si>
  <si>
    <t>06.02.02</t>
  </si>
  <si>
    <t>06.02.03</t>
  </si>
  <si>
    <t>04.00.00</t>
  </si>
  <si>
    <t>04.01.00</t>
  </si>
  <si>
    <t>CABO 1KV 25,0MM2 SINTENAX BOBINA PR</t>
  </si>
  <si>
    <t>04.01.06</t>
  </si>
  <si>
    <t>04.01.07</t>
  </si>
  <si>
    <t>04.01.08</t>
  </si>
  <si>
    <t>CAIXA DE PASSAGEM EM ALVENARIA, DIMENSÕES 500X500X800MM</t>
  </si>
  <si>
    <t>04.01.09</t>
  </si>
  <si>
    <t>CAIXA DE PASSAGEM EM ALVENARIA, DIMENSÕES 300X300X400MM</t>
  </si>
  <si>
    <t>04.02.00</t>
  </si>
  <si>
    <t>H/h</t>
  </si>
  <si>
    <t>QUADRO DE FORÇA E ALIMENTAÇÃO DE MOTORES QCM 2X4CV, CONFORME PROJETO</t>
  </si>
  <si>
    <t>PADRÃO DE ENTRADA TIPO C2</t>
  </si>
  <si>
    <t>CABO FLEXIVEL 750V 25,0MM2 PR BOBINA</t>
  </si>
  <si>
    <t>PLANILHA  DE  ORÇAMENTO - INSTALAÇÕES ELÉTRICAS - COMPOSIÇÃO ELT-001</t>
  </si>
  <si>
    <t xml:space="preserve">CLIENTE: </t>
  </si>
  <si>
    <t>PREFEITURA MUNICIPAL DE SÃO MIGUEL DO ARAGUAIA - GO</t>
  </si>
  <si>
    <t xml:space="preserve">DATA   : </t>
  </si>
  <si>
    <t>MAIO/2013</t>
  </si>
  <si>
    <t xml:space="preserve">PROJETO:        </t>
  </si>
  <si>
    <t>SISTEMA DE ESGOTOS SANITÁRIOS</t>
  </si>
  <si>
    <t>LOCALIDADE:</t>
  </si>
  <si>
    <t>SÃO MIGUEL DO ARAGUAIA / LUIZ ALVES</t>
  </si>
  <si>
    <t>PREÇO</t>
  </si>
  <si>
    <t>Unitário (R$)</t>
  </si>
  <si>
    <t>TOTAL (R$)</t>
  </si>
  <si>
    <t>SIMPLES</t>
  </si>
  <si>
    <t>TOTAL DAS INSTALAÇÕES ELÉTRICAS</t>
  </si>
  <si>
    <t>PREÇOS TABELAS SINAPI-GO FEVEREIRO DE 2013</t>
  </si>
  <si>
    <t>COTAÇÕES E TABELA  SINAPI-GO FEVEREIRO DE 2013  "SEM BDI"</t>
  </si>
  <si>
    <t>ENCARGOS SOCIAIS HORISTAS          122,43%</t>
  </si>
  <si>
    <t>CAIXA DE PASSAGEM 60X60X70 FUNDO BRITA COM TAMPA</t>
  </si>
  <si>
    <t>PLANILHA  DE  ORÇAMENTO - INSTALAÇÕES ELÉTRICAS - COMPOSIÇÃO ELT-002</t>
  </si>
  <si>
    <t>SÃO MIGUEL DO ARAGUAIA - GO / LUIZ ALVES</t>
  </si>
  <si>
    <t>PLANILHA  DE  ORÇAMENTO - INSTALAÇÕES ELÉTRICAS - COMPOSIÇÃO ELT-003</t>
  </si>
  <si>
    <t>ELETRODUTO PVC A.CH.C/R.K11/2 3MT 14021949 TIG</t>
  </si>
  <si>
    <t>CABO 1KV.3X06,00MM2 SINTENAX FLEXIVEL BOBINA</t>
  </si>
  <si>
    <t>CABO COBRE NU M.DURO 07 FIO.006,00MM2 18,75M/K</t>
  </si>
  <si>
    <t>LUMINARIA IP ABERTA E27 26MM P/VN.125W IP100 C</t>
  </si>
  <si>
    <t>POSTE ACO GALV. PA4 102MM 2,00MM 7,0M CEMIG</t>
  </si>
  <si>
    <t>02.00.00</t>
  </si>
  <si>
    <t>02.01.00</t>
  </si>
  <si>
    <t>02.01.01</t>
  </si>
  <si>
    <t>ELETRODUTO GALV. ELETROLIT.H 3/4 ÁREDE 0,75MM</t>
  </si>
  <si>
    <t>02.01.02</t>
  </si>
  <si>
    <t>CABO 1KV 002,50 MM2 SINTAX FLEXIVEL BOBINA PR</t>
  </si>
  <si>
    <t>02.01.03</t>
  </si>
  <si>
    <t>CABO 1KV 004,00 MM2 SINTAX FLEXIVEL BOBINA PR</t>
  </si>
  <si>
    <t>02.01.04</t>
  </si>
  <si>
    <t>CONDULETE ALUMINIO S/ROSCA S/TAMPA C H 3/4</t>
  </si>
  <si>
    <t>02.01.05</t>
  </si>
  <si>
    <t>TAMPA P/ CONDUL. 1/2 E 3/4 P/ 1 TECLA VERTICAL</t>
  </si>
  <si>
    <t>02.01.06</t>
  </si>
  <si>
    <t>INTERRUPTOR SILEN. 1SS S/PL</t>
  </si>
  <si>
    <t>02.01.07</t>
  </si>
  <si>
    <t>02.01.08</t>
  </si>
  <si>
    <t>TAMPA P/ CONDUL. 1/2 E 3/4 P/ 1 T. NBR14136</t>
  </si>
  <si>
    <t>02.01.09</t>
  </si>
  <si>
    <t>TOMADA SILENT. 2P+T 20A 250 S/P NBR14136</t>
  </si>
  <si>
    <t>02.01.10</t>
  </si>
  <si>
    <t>QUADRO S.C / B.T+G. 18 DIS. UL 150A 4018</t>
  </si>
  <si>
    <t>02.01.11</t>
  </si>
  <si>
    <t>DISJUNTOR 1X10A 220V 03KA TQC1210</t>
  </si>
  <si>
    <t>02.01.12</t>
  </si>
  <si>
    <t>DISJUNTOR 2X10A 220V 05KA TQC2410</t>
  </si>
  <si>
    <t>02.01.13</t>
  </si>
  <si>
    <t>DISJUNTOR 2X20A 220V 05KA TQC2420</t>
  </si>
  <si>
    <t>02.01.14</t>
  </si>
  <si>
    <t>INTERRUPTOR DIF. 2X 40A IF 30MA</t>
  </si>
  <si>
    <t>02.01.15</t>
  </si>
  <si>
    <t>INTERRUPTOR DIF. 4X 25A 30MA</t>
  </si>
  <si>
    <t>02.01.16</t>
  </si>
  <si>
    <t>INTERRUPTOR DIF. 4X 40A IF 30MA</t>
  </si>
  <si>
    <t>02.01.17</t>
  </si>
  <si>
    <t>LUMINÁRIA ARTICULAVEL 100W E27 56152/011</t>
  </si>
  <si>
    <t>02.01.18</t>
  </si>
  <si>
    <t>LAMPADA FLUOR. ELET. ESPI. 27W 127V E27 LD.</t>
  </si>
  <si>
    <t>02.01.19</t>
  </si>
  <si>
    <t>PLAFON B CR SOB. 2X60W V. FOS. CL730PBC</t>
  </si>
  <si>
    <t>02.01.20</t>
  </si>
  <si>
    <t>LAMPADA FLUOR. ELET. TRIP. 15W 127V LD. SOL.</t>
  </si>
  <si>
    <t>02.01.21</t>
  </si>
  <si>
    <t>CONDULETE ALUMINIO S/ROSCA S/TAMPA LR H 3/4</t>
  </si>
  <si>
    <t>02.01.22</t>
  </si>
  <si>
    <t>CONDULETE ALUMINIO S/ROSCA S/TAMPA LL H 3/4</t>
  </si>
  <si>
    <t>02.01.23</t>
  </si>
  <si>
    <t>CONDULETE ALUMINIO S/ROSCA S/TAMPA T H 3/4</t>
  </si>
  <si>
    <t>02.01.24</t>
  </si>
  <si>
    <t>CONDULETE ALUMINIO S/ROSCA S/TAMPA TB H 3/4</t>
  </si>
  <si>
    <t>02.01.25</t>
  </si>
  <si>
    <t>02.01.26</t>
  </si>
  <si>
    <t>02.01.27</t>
  </si>
  <si>
    <t>02.01.28</t>
  </si>
  <si>
    <t>02.02.00</t>
  </si>
  <si>
    <t>02.02.01</t>
  </si>
  <si>
    <t>02.02.02</t>
  </si>
  <si>
    <t>03.00.00</t>
  </si>
  <si>
    <t>CABO COBRE NU M. DURO 07 FIO. 6,00MM 18,75M/KG</t>
  </si>
  <si>
    <t>PRESILHA COBRE 35-50MM FURO 7MM</t>
  </si>
  <si>
    <t>ABRAÇADEIRA ROSCA "WW" DIÂMETRO 1/4" PARA TUBO DE PROTEÇÃO DIÂMETRO 2"</t>
  </si>
  <si>
    <t>ELETRODUTO PVC A.CH.C/R.L 2 3MT</t>
  </si>
  <si>
    <t>CAIXA CEMARBOX 150X110X70MM S/BEM.T.OPA.914053</t>
  </si>
  <si>
    <t>HASTE TERRA GALV-FG C/COM. 5,00X25,4X2400 P.CEM</t>
  </si>
  <si>
    <t>CONECTOR P. FEND. BIMETALICO 10MM2</t>
  </si>
  <si>
    <t>03.01.08</t>
  </si>
  <si>
    <t>03.01.09</t>
  </si>
  <si>
    <t>CAIXA PISO P/INSP. TERRA 30X30 S/TAMPA</t>
  </si>
  <si>
    <t>03.01.10</t>
  </si>
  <si>
    <t>TAMPA FERRO FUNDIDO 300MM</t>
  </si>
  <si>
    <t>03.01.11</t>
  </si>
  <si>
    <t>03.01.12</t>
  </si>
  <si>
    <t>03.01.13</t>
  </si>
  <si>
    <t>03.01.14</t>
  </si>
  <si>
    <t>03.02.00</t>
  </si>
  <si>
    <t>ELT-002</t>
  </si>
  <si>
    <t>ELT-003</t>
  </si>
  <si>
    <t>APLICAÇÃO DO MATERIAL HIDRÁULICO DAS ELEVATÓRIAS</t>
  </si>
  <si>
    <t>INSTALAÇÕES ELÉTRICAS ELEVATÓRIAS DE 4 CV</t>
  </si>
  <si>
    <t>ETE-BANCO DE DUTOS E ALIMENTAÇÃO DOS MOTORES (4 CV)</t>
  </si>
  <si>
    <t>FORNECIMENTO DO MATERIAL HIDRÁULICO DAS ELEVATÓRIAS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</si>
  <si>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</si>
  <si>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</si>
  <si>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</si>
  <si>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</si>
  <si>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</si>
  <si>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</si>
  <si>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</si>
  <si>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</si>
  <si>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04.19</t>
  </si>
  <si>
    <t>04.20</t>
  </si>
  <si>
    <t>04.21</t>
  </si>
  <si>
    <t>04.22</t>
  </si>
  <si>
    <t>04.23</t>
  </si>
  <si>
    <t>04.24</t>
  </si>
  <si>
    <t>04.25</t>
  </si>
  <si>
    <t>04.26</t>
  </si>
  <si>
    <t>04.27</t>
  </si>
  <si>
    <t>04.28</t>
  </si>
  <si>
    <t>04.29</t>
  </si>
  <si>
    <t>04.30</t>
  </si>
  <si>
    <t>04.31</t>
  </si>
  <si>
    <t>04.32</t>
  </si>
  <si>
    <t>04.33</t>
  </si>
  <si>
    <t>04.34</t>
  </si>
  <si>
    <t>04.35</t>
  </si>
  <si>
    <t>04.36</t>
  </si>
  <si>
    <t>04.37</t>
  </si>
  <si>
    <t>04.38</t>
  </si>
  <si>
    <t>06.04</t>
  </si>
  <si>
    <t>06.05</t>
  </si>
  <si>
    <t>06.06</t>
  </si>
  <si>
    <t>06.07</t>
  </si>
  <si>
    <t>06.08</t>
  </si>
  <si>
    <t>06.09</t>
  </si>
  <si>
    <t>06.10</t>
  </si>
  <si>
    <t>08.04</t>
  </si>
  <si>
    <t>09.03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</si>
  <si>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</si>
  <si>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</si>
  <si>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</si>
  <si>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</si>
  <si>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</si>
  <si>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</si>
  <si>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</si>
  <si>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</si>
  <si>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</si>
  <si>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</si>
  <si>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</si>
  <si>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</si>
  <si>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</si>
  <si>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</si>
  <si>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</si>
  <si>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</si>
  <si>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</si>
  <si>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</si>
  <si>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</si>
  <si>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>13.05</t>
  </si>
  <si>
    <t>14.05</t>
  </si>
  <si>
    <t>16.04</t>
  </si>
  <si>
    <t>17.01</t>
  </si>
  <si>
    <t>17.00</t>
  </si>
  <si>
    <t>17.02</t>
  </si>
  <si>
    <t>17.03</t>
  </si>
  <si>
    <t>17.04</t>
  </si>
  <si>
    <t>17.05</t>
  </si>
  <si>
    <t>17.06</t>
  </si>
  <si>
    <t>17.07</t>
  </si>
  <si>
    <t>17.08</t>
  </si>
  <si>
    <t>17.09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</si>
  <si>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</si>
  <si>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</si>
  <si>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</si>
  <si>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</si>
  <si>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</si>
  <si>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</si>
  <si>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</si>
  <si>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</si>
  <si>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</si>
  <si>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</si>
  <si>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</si>
  <si>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</si>
  <si>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</si>
  <si>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</si>
  <si>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</si>
  <si>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</si>
  <si>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</si>
  <si>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</si>
  <si>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</si>
  <si>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17.29</t>
  </si>
  <si>
    <t>17.30</t>
  </si>
  <si>
    <t>17.31</t>
  </si>
  <si>
    <t>17.32</t>
  </si>
  <si>
    <t>17.33</t>
  </si>
  <si>
    <t>17.34</t>
  </si>
  <si>
    <t>17.35</t>
  </si>
  <si>
    <t>17.36</t>
  </si>
  <si>
    <t>17.37</t>
  </si>
  <si>
    <t>17.38</t>
  </si>
  <si>
    <t>17.39</t>
  </si>
  <si>
    <t>18.02</t>
  </si>
  <si>
    <t>18.03</t>
  </si>
  <si>
    <t>19.04</t>
  </si>
  <si>
    <t>19.05</t>
  </si>
  <si>
    <t>19.06</t>
  </si>
  <si>
    <t>23.04</t>
  </si>
  <si>
    <t>23.05</t>
  </si>
  <si>
    <t>25.03</t>
  </si>
  <si>
    <t>25.04</t>
  </si>
  <si>
    <t>25.05</t>
  </si>
  <si>
    <t>25.06</t>
  </si>
  <si>
    <t>25.07</t>
  </si>
  <si>
    <t>25.08</t>
  </si>
  <si>
    <t>25.09</t>
  </si>
  <si>
    <t>25.10</t>
  </si>
  <si>
    <t>25.11</t>
  </si>
  <si>
    <t>25.12</t>
  </si>
  <si>
    <t>25.13</t>
  </si>
  <si>
    <t>27.04</t>
  </si>
  <si>
    <t>27.05</t>
  </si>
  <si>
    <t>27.06</t>
  </si>
  <si>
    <t>27.07</t>
  </si>
  <si>
    <t>27.08</t>
  </si>
  <si>
    <t>27.09</t>
  </si>
  <si>
    <t>27.10</t>
  </si>
  <si>
    <t>27.11</t>
  </si>
  <si>
    <t>27.12</t>
  </si>
  <si>
    <t>27.13</t>
  </si>
  <si>
    <t>27.14</t>
  </si>
  <si>
    <t>27.15</t>
  </si>
  <si>
    <t>27.16</t>
  </si>
  <si>
    <t>27.17</t>
  </si>
  <si>
    <t>27.18</t>
  </si>
  <si>
    <t>27.19</t>
  </si>
  <si>
    <t>27.20</t>
  </si>
  <si>
    <t>27.21</t>
  </si>
  <si>
    <t>27.22</t>
  </si>
  <si>
    <t>27.23</t>
  </si>
  <si>
    <t>27.24</t>
  </si>
  <si>
    <t>27.25</t>
  </si>
  <si>
    <t>27.26</t>
  </si>
  <si>
    <t>27.27</t>
  </si>
  <si>
    <t>27.28</t>
  </si>
  <si>
    <t>27.29</t>
  </si>
  <si>
    <t>27.30</t>
  </si>
  <si>
    <t>27.31</t>
  </si>
  <si>
    <t>27.32</t>
  </si>
  <si>
    <t>27.33</t>
  </si>
  <si>
    <t>27.34</t>
  </si>
  <si>
    <t>27.35</t>
  </si>
  <si>
    <t>27.36</t>
  </si>
  <si>
    <t>27.37</t>
  </si>
  <si>
    <t>27.38</t>
  </si>
  <si>
    <t>27.39</t>
  </si>
  <si>
    <t>27.40</t>
  </si>
  <si>
    <t>28.00</t>
  </si>
  <si>
    <t>28.01</t>
  </si>
  <si>
    <t>28.02</t>
  </si>
  <si>
    <t>28.03</t>
  </si>
  <si>
    <t>30.02</t>
  </si>
  <si>
    <t>30.03</t>
  </si>
  <si>
    <t>30.05</t>
  </si>
  <si>
    <t>30.07</t>
  </si>
  <si>
    <t>30.08</t>
  </si>
  <si>
    <t>30.11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</si>
  <si>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</si>
  <si>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</si>
  <si>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</si>
  <si>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</si>
  <si>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</si>
  <si>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</si>
  <si>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</si>
  <si>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</si>
  <si>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</si>
  <si>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</si>
  <si>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</si>
  <si>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32.12</t>
  </si>
  <si>
    <t>32.13</t>
  </si>
  <si>
    <t>32.14</t>
  </si>
  <si>
    <t>33.00</t>
  </si>
  <si>
    <t>33.01</t>
  </si>
  <si>
    <t>33.02</t>
  </si>
  <si>
    <t>33.03</t>
  </si>
  <si>
    <t>33.04</t>
  </si>
  <si>
    <t>33.05</t>
  </si>
  <si>
    <t>33.06</t>
  </si>
  <si>
    <t>33.07</t>
  </si>
  <si>
    <t>33.08</t>
  </si>
  <si>
    <t>33.09</t>
  </si>
  <si>
    <t>33.10</t>
  </si>
  <si>
    <t>33.11</t>
  </si>
  <si>
    <t>04.01.10</t>
  </si>
  <si>
    <t>04.01.11</t>
  </si>
  <si>
    <t>04.01.12</t>
  </si>
  <si>
    <t>04.01.13</t>
  </si>
  <si>
    <t>04.01.14</t>
  </si>
  <si>
    <t>04.01.16</t>
  </si>
  <si>
    <t>04.01.17</t>
  </si>
  <si>
    <t>04.01.18</t>
  </si>
  <si>
    <t>04.01.20</t>
  </si>
  <si>
    <t>05.01.01</t>
  </si>
  <si>
    <t>05.01.02</t>
  </si>
  <si>
    <t>05.01.03</t>
  </si>
  <si>
    <t>05.01.04</t>
  </si>
  <si>
    <t>05.01.05</t>
  </si>
  <si>
    <t>05.02.01</t>
  </si>
  <si>
    <t>05.02.02</t>
  </si>
  <si>
    <t>05.02.03</t>
  </si>
  <si>
    <t>05.02.04</t>
  </si>
  <si>
    <t>05.02.05</t>
  </si>
  <si>
    <t>05.02.06</t>
  </si>
  <si>
    <t>05.02.07</t>
  </si>
  <si>
    <t>05.02.08</t>
  </si>
  <si>
    <t>05.02.09</t>
  </si>
  <si>
    <t>05.02.10</t>
  </si>
  <si>
    <t>05.02.11</t>
  </si>
  <si>
    <t>05.02.12</t>
  </si>
  <si>
    <t>05.02.13</t>
  </si>
  <si>
    <t>05.02.14</t>
  </si>
  <si>
    <t>05.02.15</t>
  </si>
  <si>
    <t>05.02.16</t>
  </si>
  <si>
    <t>05.02.17</t>
  </si>
  <si>
    <t>05.02.18</t>
  </si>
  <si>
    <t>05.02.19</t>
  </si>
  <si>
    <t>05.02.20</t>
  </si>
  <si>
    <t>05.11.01</t>
  </si>
  <si>
    <t>05.11.02</t>
  </si>
  <si>
    <t>05.11.03</t>
  </si>
  <si>
    <t>05.11.04</t>
  </si>
  <si>
    <t>05.11.05</t>
  </si>
  <si>
    <t>05.11.06</t>
  </si>
  <si>
    <t>05.11.07</t>
  </si>
  <si>
    <t>05.11.08</t>
  </si>
  <si>
    <t>05.11.09</t>
  </si>
  <si>
    <t>05.11.10</t>
  </si>
  <si>
    <t>05.11.11</t>
  </si>
  <si>
    <t>05.11.12</t>
  </si>
  <si>
    <t>05.11.13</t>
  </si>
  <si>
    <t>05.11.14</t>
  </si>
  <si>
    <t>05.11.15</t>
  </si>
  <si>
    <t>05.11.16</t>
  </si>
  <si>
    <t>05.11.17</t>
  </si>
  <si>
    <t>05.04.01</t>
  </si>
  <si>
    <t>05.04.02</t>
  </si>
  <si>
    <t>05.04.03</t>
  </si>
  <si>
    <t>05.04.04</t>
  </si>
  <si>
    <t>05.04.05</t>
  </si>
  <si>
    <t>05.04.06</t>
  </si>
  <si>
    <t>05.04.07</t>
  </si>
  <si>
    <t>05.04.08</t>
  </si>
  <si>
    <t>05.04.09</t>
  </si>
  <si>
    <t>05.04.10</t>
  </si>
  <si>
    <t>05.04.11</t>
  </si>
  <si>
    <t>05.04.12</t>
  </si>
  <si>
    <t>05.04.13</t>
  </si>
  <si>
    <t>05.04.14</t>
  </si>
  <si>
    <t>05.04.15</t>
  </si>
  <si>
    <t>05.04.16</t>
  </si>
  <si>
    <t>05.04.17</t>
  </si>
  <si>
    <t>05.04.18</t>
  </si>
  <si>
    <t>05.04.19</t>
  </si>
  <si>
    <t>05.04.20</t>
  </si>
  <si>
    <t>05.04.21</t>
  </si>
  <si>
    <t>05.04.22</t>
  </si>
  <si>
    <t>05.04.23</t>
  </si>
  <si>
    <t>05.04.24</t>
  </si>
  <si>
    <t>05.05.01</t>
  </si>
  <si>
    <t>05.05.02</t>
  </si>
  <si>
    <t>05.05.03</t>
  </si>
  <si>
    <t>05.05.04</t>
  </si>
  <si>
    <t>05.05.05</t>
  </si>
  <si>
    <t>05.05.06</t>
  </si>
  <si>
    <t>05.05.07</t>
  </si>
  <si>
    <t>05.05.08</t>
  </si>
  <si>
    <t>05.05.09</t>
  </si>
  <si>
    <t>05.05.10</t>
  </si>
  <si>
    <t>05.05.11</t>
  </si>
  <si>
    <t>05.05.12</t>
  </si>
  <si>
    <t>05.05.13</t>
  </si>
  <si>
    <t>05.05.14</t>
  </si>
  <si>
    <t>05.05.15</t>
  </si>
  <si>
    <t>05.05.16</t>
  </si>
  <si>
    <t>05.05.17</t>
  </si>
  <si>
    <t>05.05.18</t>
  </si>
  <si>
    <t>05.06.01</t>
  </si>
  <si>
    <t>05.06.02</t>
  </si>
  <si>
    <t>05.06.03</t>
  </si>
  <si>
    <t>05.06.04</t>
  </si>
  <si>
    <t>05.06.05</t>
  </si>
  <si>
    <t>05.06.06</t>
  </si>
  <si>
    <t>05.06.07</t>
  </si>
  <si>
    <t>05.06.08</t>
  </si>
  <si>
    <t>05.06.09</t>
  </si>
  <si>
    <t>05.06.10</t>
  </si>
  <si>
    <t>05.06.11</t>
  </si>
  <si>
    <t>05.06.12</t>
  </si>
  <si>
    <t>05.06.13</t>
  </si>
  <si>
    <t>05.06.14</t>
  </si>
  <si>
    <t>05.06.15</t>
  </si>
  <si>
    <t>05.06.16</t>
  </si>
  <si>
    <t>05.06.17</t>
  </si>
  <si>
    <t>05.06.18</t>
  </si>
  <si>
    <t>05.06.19</t>
  </si>
  <si>
    <t>05.06.20</t>
  </si>
  <si>
    <t>05.06.21</t>
  </si>
  <si>
    <t>05.06.22</t>
  </si>
  <si>
    <t>05.06.23</t>
  </si>
  <si>
    <t>05.06.24</t>
  </si>
  <si>
    <t>05.07.01</t>
  </si>
  <si>
    <t>05.07.02</t>
  </si>
  <si>
    <t>05.07.03</t>
  </si>
  <si>
    <t>05.07.04</t>
  </si>
  <si>
    <t>05.07.05</t>
  </si>
  <si>
    <t>05.07.06</t>
  </si>
  <si>
    <t>05.07.07</t>
  </si>
  <si>
    <t>05.07.08</t>
  </si>
  <si>
    <t>05.07.09</t>
  </si>
  <si>
    <t>05.07.10</t>
  </si>
  <si>
    <t>05.07.11</t>
  </si>
  <si>
    <t>05.07.12</t>
  </si>
  <si>
    <t>05.07.13</t>
  </si>
  <si>
    <t>05.07.14</t>
  </si>
  <si>
    <t>05.07.15</t>
  </si>
  <si>
    <t>05.08.01</t>
  </si>
  <si>
    <t>05.08.02</t>
  </si>
  <si>
    <t>05.08.03</t>
  </si>
  <si>
    <t>05.08.04</t>
  </si>
  <si>
    <t>05.08.05</t>
  </si>
  <si>
    <t>05.08.06</t>
  </si>
  <si>
    <t>05.08.07</t>
  </si>
  <si>
    <t>05.08.08</t>
  </si>
  <si>
    <t>05.08.09</t>
  </si>
  <si>
    <t>05.08.10</t>
  </si>
  <si>
    <t>05.08.11</t>
  </si>
  <si>
    <t>05.08.12</t>
  </si>
  <si>
    <t>05.08.13</t>
  </si>
  <si>
    <t>05.08.14</t>
  </si>
  <si>
    <t>05.08.15</t>
  </si>
  <si>
    <t>05.08.16</t>
  </si>
  <si>
    <t>05.08.17</t>
  </si>
  <si>
    <t>05.08.18</t>
  </si>
  <si>
    <t>05.08.19</t>
  </si>
  <si>
    <t>05.08.20</t>
  </si>
  <si>
    <t>05.08.21</t>
  </si>
  <si>
    <t>05.08.22</t>
  </si>
  <si>
    <t>05.08.23</t>
  </si>
  <si>
    <t>05.08.24</t>
  </si>
  <si>
    <t>05.08.25</t>
  </si>
  <si>
    <t>05.08.26</t>
  </si>
  <si>
    <t>05.08.27</t>
  </si>
  <si>
    <t>05.08.28</t>
  </si>
  <si>
    <t>05.08.29</t>
  </si>
  <si>
    <t>05.08.30</t>
  </si>
  <si>
    <t>05.09.01</t>
  </si>
  <si>
    <t>05.09.02</t>
  </si>
  <si>
    <t>05.09.03</t>
  </si>
  <si>
    <t>05.09.04</t>
  </si>
  <si>
    <t>05.09.05</t>
  </si>
  <si>
    <t>05.09.06</t>
  </si>
  <si>
    <t>05.09.07</t>
  </si>
  <si>
    <t>05.09.08</t>
  </si>
  <si>
    <t>05.09.09</t>
  </si>
  <si>
    <t>05.09.10</t>
  </si>
  <si>
    <t>05.09.11</t>
  </si>
  <si>
    <t>05.09.12</t>
  </si>
  <si>
    <t>05.09.13</t>
  </si>
  <si>
    <t>05.09.14</t>
  </si>
  <si>
    <t>05.09.15</t>
  </si>
  <si>
    <t>05.09.16</t>
  </si>
  <si>
    <t>05.09.17</t>
  </si>
  <si>
    <t>05.09.18</t>
  </si>
  <si>
    <t>05.09.19</t>
  </si>
  <si>
    <t>05.09.20</t>
  </si>
  <si>
    <t>05.09.21</t>
  </si>
  <si>
    <t>05.09.22</t>
  </si>
  <si>
    <t>05.10.01</t>
  </si>
  <si>
    <t>05.10.02</t>
  </si>
  <si>
    <t>05.10.03</t>
  </si>
  <si>
    <t>05.10.04</t>
  </si>
  <si>
    <t>05.10.05</t>
  </si>
  <si>
    <t>05.10.06</t>
  </si>
  <si>
    <t>05.10.07</t>
  </si>
  <si>
    <t>05.10.08</t>
  </si>
  <si>
    <t>05.10.09</t>
  </si>
  <si>
    <t>05.10.10</t>
  </si>
  <si>
    <t>05.10.11</t>
  </si>
  <si>
    <t>04.01.21</t>
  </si>
  <si>
    <t>05.11.18</t>
  </si>
  <si>
    <t>INSTALAÇÕES ELÉTRICAS BANCO DE DUTOS E QCM</t>
  </si>
  <si>
    <t>ILUMINAÇÃO E TOMADAS</t>
  </si>
  <si>
    <t>SPDA / ATERRAMENTO</t>
  </si>
  <si>
    <t>PADRÃO DE ENTRADA DE ENERGIA</t>
  </si>
  <si>
    <t>05.09.23</t>
  </si>
  <si>
    <t>05.08.31</t>
  </si>
  <si>
    <t>05.08.32</t>
  </si>
  <si>
    <t>MÊS 01</t>
  </si>
  <si>
    <t>MÊS 10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</si>
  <si>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</si>
  <si>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</si>
  <si>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</si>
  <si>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</si>
  <si>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</si>
  <si>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</si>
  <si>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</si>
  <si>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</si>
  <si>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TUBO DE FºFº COM PONTAS LISAS L=2,30 (4 peças) DN 100</t>
  </si>
  <si>
    <t>TUBO DE FºFº COM PONTAS LISAS L=2,20 (2 peças) DN 80</t>
  </si>
  <si>
    <t>TUBO DE FºFº COM PONTAS LISAS L=3,35 (2 peças) DN 80</t>
  </si>
  <si>
    <t>TUBO DE FºFº COM FLANGES  L=2,36m (3 peças) DN 150</t>
  </si>
  <si>
    <t>TUBO DE FºFº COM PONTAS LISAS L=1,00m (2 peças) DN 80</t>
  </si>
  <si>
    <t>TUBO DE FºFº COM PONTAS LISAS L=1,90m (2 peças) DN 80</t>
  </si>
  <si>
    <t>APLICAÇÃO DAS INTERLIGAÇÕES DAS UNIDADES DA ETE</t>
  </si>
  <si>
    <t>CE-033</t>
  </si>
  <si>
    <t>FORNECIMENTO DO MATERIAL HIDRÁULICO DA INTERLIGAÇÃO DAS UNIDADES DA ETE</t>
  </si>
  <si>
    <t>05.09.24</t>
  </si>
  <si>
    <t>APLICAÇÃO DO MATERIAL HIDRÁULICO DO QUEIMADOR DE BIOGÁS</t>
  </si>
  <si>
    <t>PREÇOS TABELAS SINAPI-GO FEVEREIRO DE 2013, BDI DE SERVIÇOS 25% E DE MATERIAIS 12%</t>
  </si>
  <si>
    <t>ELEVATÓRIA NA REDE COLETORA DE ESGOTOS</t>
  </si>
  <si>
    <t>LINHA DE RECALQUE / GRAVIDADE</t>
  </si>
  <si>
    <t>ELEVATÓRIA E LINHA DE RECALQUE - BAIRRO MIGUEL VIEIRA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</si>
</sst>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0.00000"/>
    <numFmt numFmtId="166" formatCode="dd/mm/yy;@"/>
    <numFmt numFmtId="167" formatCode="0.0000"/>
    <numFmt numFmtId="168" formatCode="#,##0.00;[Red]#,##0.00"/>
    <numFmt numFmtId="169" formatCode="0.0%"/>
    <numFmt numFmtId="170" formatCode="0.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1"/>
      <name val="Arial Black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1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Alignment="1"/>
    <xf numFmtId="0" fontId="3" fillId="2" borderId="0" xfId="0" applyFont="1" applyFill="1" applyBorder="1" applyAlignment="1"/>
    <xf numFmtId="0" fontId="3" fillId="2" borderId="0" xfId="0" applyFont="1" applyFill="1" applyAlignment="1">
      <alignment wrapText="1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wrapText="1"/>
    </xf>
    <xf numFmtId="2" fontId="3" fillId="0" borderId="0" xfId="0" applyNumberFormat="1" applyFont="1" applyBorder="1" applyAlignment="1"/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2" fontId="3" fillId="0" borderId="11" xfId="0" applyNumberFormat="1" applyFont="1" applyBorder="1" applyAlignment="1">
      <alignment horizontal="center" vertical="center" wrapText="1"/>
    </xf>
    <xf numFmtId="164" fontId="4" fillId="0" borderId="12" xfId="2" applyFont="1" applyBorder="1" applyAlignment="1">
      <alignment horizontal="right" vertical="center"/>
    </xf>
    <xf numFmtId="164" fontId="3" fillId="0" borderId="0" xfId="2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2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2" fontId="4" fillId="0" borderId="11" xfId="1" applyNumberFormat="1" applyFont="1" applyBorder="1" applyAlignment="1">
      <alignment horizontal="center" vertical="center"/>
    </xf>
    <xf numFmtId="164" fontId="4" fillId="0" borderId="12" xfId="2" applyFont="1" applyBorder="1" applyAlignment="1">
      <alignment vertical="center"/>
    </xf>
    <xf numFmtId="164" fontId="4" fillId="0" borderId="14" xfId="2" applyFont="1" applyBorder="1" applyAlignment="1">
      <alignment horizontal="center" vertical="center"/>
    </xf>
    <xf numFmtId="164" fontId="4" fillId="0" borderId="16" xfId="2" applyFont="1" applyBorder="1" applyAlignment="1">
      <alignment vertical="center"/>
    </xf>
    <xf numFmtId="2" fontId="4" fillId="0" borderId="14" xfId="1" applyNumberFormat="1" applyFont="1" applyBorder="1" applyAlignment="1">
      <alignment horizontal="center" vertical="center"/>
    </xf>
    <xf numFmtId="164" fontId="4" fillId="0" borderId="15" xfId="2" applyFont="1" applyBorder="1" applyAlignment="1">
      <alignment horizontal="center" vertical="center"/>
    </xf>
    <xf numFmtId="164" fontId="4" fillId="0" borderId="17" xfId="2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3" fontId="3" fillId="2" borderId="0" xfId="0" applyNumberFormat="1" applyFont="1" applyFill="1" applyBorder="1" applyAlignment="1"/>
    <xf numFmtId="4" fontId="3" fillId="2" borderId="0" xfId="0" applyNumberFormat="1" applyFont="1" applyFill="1" applyBorder="1" applyAlignment="1"/>
    <xf numFmtId="4" fontId="3" fillId="2" borderId="0" xfId="0" applyNumberFormat="1" applyFont="1" applyFill="1" applyAlignment="1">
      <alignment wrapText="1"/>
    </xf>
    <xf numFmtId="0" fontId="4" fillId="2" borderId="2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/>
    <xf numFmtId="0" fontId="3" fillId="4" borderId="0" xfId="0" applyFont="1" applyFill="1" applyBorder="1" applyAlignment="1"/>
    <xf numFmtId="0" fontId="3" fillId="4" borderId="0" xfId="0" applyFont="1" applyFill="1" applyAlignment="1">
      <alignment wrapText="1"/>
    </xf>
    <xf numFmtId="0" fontId="3" fillId="0" borderId="20" xfId="0" applyFont="1" applyFill="1" applyBorder="1" applyAlignment="1">
      <alignment horizontal="center" vertical="center" wrapText="1"/>
    </xf>
    <xf numFmtId="164" fontId="3" fillId="2" borderId="20" xfId="2" applyFont="1" applyFill="1" applyBorder="1" applyAlignment="1">
      <alignment horizontal="center" vertical="center" wrapText="1"/>
    </xf>
    <xf numFmtId="164" fontId="3" fillId="0" borderId="20" xfId="2" applyFont="1" applyFill="1" applyBorder="1" applyAlignment="1">
      <alignment horizontal="center" vertical="center" wrapText="1"/>
    </xf>
    <xf numFmtId="164" fontId="3" fillId="2" borderId="0" xfId="2" applyFont="1" applyFill="1" applyAlignment="1">
      <alignment wrapText="1"/>
    </xf>
    <xf numFmtId="164" fontId="3" fillId="0" borderId="0" xfId="2" applyFont="1" applyAlignment="1">
      <alignment horizontal="center" vertical="center" wrapText="1"/>
    </xf>
    <xf numFmtId="164" fontId="3" fillId="0" borderId="0" xfId="2" applyFont="1" applyAlignment="1">
      <alignment vertical="center" wrapText="1"/>
    </xf>
    <xf numFmtId="164" fontId="3" fillId="0" borderId="0" xfId="0" applyNumberFormat="1" applyFont="1" applyBorder="1" applyAlignment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164" fontId="3" fillId="2" borderId="0" xfId="2" applyFont="1" applyFill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right"/>
    </xf>
    <xf numFmtId="0" fontId="10" fillId="0" borderId="10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164" fontId="6" fillId="0" borderId="16" xfId="2" applyFont="1" applyBorder="1"/>
    <xf numFmtId="164" fontId="5" fillId="0" borderId="0" xfId="2" applyFont="1"/>
    <xf numFmtId="0" fontId="10" fillId="0" borderId="13" xfId="0" applyFont="1" applyBorder="1" applyAlignment="1">
      <alignment horizontal="center"/>
    </xf>
    <xf numFmtId="0" fontId="10" fillId="0" borderId="14" xfId="0" applyFont="1" applyBorder="1"/>
    <xf numFmtId="0" fontId="10" fillId="0" borderId="14" xfId="0" applyFont="1" applyBorder="1" applyAlignment="1">
      <alignment horizontal="center"/>
    </xf>
    <xf numFmtId="0" fontId="10" fillId="0" borderId="16" xfId="0" applyFont="1" applyBorder="1"/>
    <xf numFmtId="10" fontId="6" fillId="0" borderId="14" xfId="0" applyNumberFormat="1" applyFont="1" applyBorder="1" applyAlignment="1">
      <alignment horizontal="center"/>
    </xf>
    <xf numFmtId="43" fontId="6" fillId="0" borderId="16" xfId="0" applyNumberFormat="1" applyFont="1" applyBorder="1"/>
    <xf numFmtId="43" fontId="5" fillId="0" borderId="0" xfId="0" applyNumberFormat="1" applyFont="1"/>
    <xf numFmtId="10" fontId="10" fillId="0" borderId="14" xfId="0" applyNumberFormat="1" applyFont="1" applyBorder="1" applyAlignment="1">
      <alignment horizontal="center"/>
    </xf>
    <xf numFmtId="43" fontId="10" fillId="0" borderId="16" xfId="0" applyNumberFormat="1" applyFont="1" applyBorder="1"/>
    <xf numFmtId="43" fontId="0" fillId="0" borderId="0" xfId="0" applyNumberFormat="1"/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44" xfId="0" applyBorder="1"/>
    <xf numFmtId="0" fontId="6" fillId="0" borderId="1" xfId="0" applyFont="1" applyBorder="1"/>
    <xf numFmtId="0" fontId="0" fillId="0" borderId="5" xfId="0" applyFill="1" applyBorder="1"/>
    <xf numFmtId="0" fontId="0" fillId="0" borderId="6" xfId="0" applyFill="1" applyBorder="1"/>
    <xf numFmtId="0" fontId="0" fillId="0" borderId="6" xfId="0" applyBorder="1"/>
    <xf numFmtId="0" fontId="0" fillId="0" borderId="18" xfId="0" applyBorder="1"/>
    <xf numFmtId="0" fontId="3" fillId="0" borderId="45" xfId="0" applyFont="1" applyBorder="1" applyAlignment="1">
      <alignment horizontal="center"/>
    </xf>
    <xf numFmtId="9" fontId="3" fillId="0" borderId="46" xfId="1" applyFont="1" applyBorder="1" applyAlignment="1"/>
    <xf numFmtId="167" fontId="3" fillId="0" borderId="0" xfId="0" applyNumberFormat="1" applyFont="1" applyBorder="1" applyAlignment="1"/>
    <xf numFmtId="0" fontId="4" fillId="0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/>
    <xf numFmtId="0" fontId="3" fillId="6" borderId="0" xfId="0" applyFont="1" applyFill="1" applyAlignment="1">
      <alignment wrapText="1"/>
    </xf>
    <xf numFmtId="2" fontId="3" fillId="2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2" fontId="3" fillId="0" borderId="0" xfId="0" applyNumberFormat="1" applyFont="1" applyAlignment="1">
      <alignment horizontal="center" wrapText="1"/>
    </xf>
    <xf numFmtId="164" fontId="3" fillId="2" borderId="21" xfId="2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4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/>
    </xf>
    <xf numFmtId="0" fontId="4" fillId="0" borderId="53" xfId="0" applyFont="1" applyBorder="1" applyAlignment="1">
      <alignment horizontal="center" vertical="center"/>
    </xf>
    <xf numFmtId="164" fontId="3" fillId="0" borderId="54" xfId="2" applyFont="1" applyBorder="1" applyAlignment="1">
      <alignment vertical="center"/>
    </xf>
    <xf numFmtId="164" fontId="3" fillId="0" borderId="55" xfId="2" applyFont="1" applyBorder="1" applyAlignment="1">
      <alignment vertical="center"/>
    </xf>
    <xf numFmtId="164" fontId="3" fillId="0" borderId="56" xfId="2" applyFont="1" applyBorder="1" applyAlignment="1">
      <alignment vertical="center"/>
    </xf>
    <xf numFmtId="164" fontId="3" fillId="0" borderId="57" xfId="2" applyFont="1" applyBorder="1" applyAlignment="1">
      <alignment vertical="center"/>
    </xf>
    <xf numFmtId="164" fontId="3" fillId="0" borderId="58" xfId="2" applyFont="1" applyBorder="1" applyAlignment="1">
      <alignment vertical="center"/>
    </xf>
    <xf numFmtId="164" fontId="3" fillId="0" borderId="59" xfId="2" applyFont="1" applyBorder="1" applyAlignment="1">
      <alignment vertical="center"/>
    </xf>
    <xf numFmtId="164" fontId="3" fillId="0" borderId="60" xfId="2" applyFont="1" applyBorder="1" applyAlignment="1">
      <alignment vertical="center"/>
    </xf>
    <xf numFmtId="164" fontId="3" fillId="0" borderId="61" xfId="2" applyFont="1" applyBorder="1" applyAlignment="1">
      <alignment vertical="center"/>
    </xf>
    <xf numFmtId="164" fontId="3" fillId="0" borderId="62" xfId="2" applyFont="1" applyBorder="1" applyAlignment="1">
      <alignment vertical="center"/>
    </xf>
    <xf numFmtId="164" fontId="3" fillId="0" borderId="63" xfId="2" applyFont="1" applyBorder="1" applyAlignment="1">
      <alignment vertical="center"/>
    </xf>
    <xf numFmtId="164" fontId="3" fillId="0" borderId="64" xfId="2" applyFont="1" applyBorder="1" applyAlignment="1">
      <alignment vertical="center"/>
    </xf>
    <xf numFmtId="10" fontId="3" fillId="0" borderId="49" xfId="1" applyNumberFormat="1" applyFont="1" applyBorder="1" applyAlignment="1"/>
    <xf numFmtId="0" fontId="3" fillId="0" borderId="6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10" fontId="3" fillId="0" borderId="63" xfId="1" applyNumberFormat="1" applyFont="1" applyBorder="1" applyAlignment="1">
      <alignment horizontal="center"/>
    </xf>
    <xf numFmtId="10" fontId="3" fillId="0" borderId="64" xfId="1" applyNumberFormat="1" applyFont="1" applyBorder="1" applyAlignment="1">
      <alignment horizontal="center"/>
    </xf>
    <xf numFmtId="164" fontId="3" fillId="4" borderId="0" xfId="2" applyFont="1" applyFill="1" applyAlignment="1"/>
    <xf numFmtId="164" fontId="3" fillId="4" borderId="0" xfId="2" applyFont="1" applyFill="1" applyAlignment="1">
      <alignment wrapText="1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wrapText="1"/>
    </xf>
    <xf numFmtId="164" fontId="4" fillId="2" borderId="0" xfId="2" applyFont="1" applyFill="1" applyAlignment="1"/>
    <xf numFmtId="164" fontId="4" fillId="2" borderId="0" xfId="2" applyFont="1" applyFill="1" applyAlignment="1">
      <alignment wrapText="1"/>
    </xf>
    <xf numFmtId="164" fontId="4" fillId="4" borderId="0" xfId="2" applyFont="1" applyFill="1" applyAlignment="1"/>
    <xf numFmtId="164" fontId="4" fillId="4" borderId="0" xfId="2" applyFont="1" applyFill="1" applyAlignment="1">
      <alignment wrapText="1"/>
    </xf>
    <xf numFmtId="0" fontId="3" fillId="7" borderId="0" xfId="0" applyFont="1" applyFill="1" applyAlignment="1">
      <alignment wrapText="1"/>
    </xf>
    <xf numFmtId="0" fontId="3" fillId="2" borderId="65" xfId="0" applyFont="1" applyFill="1" applyBorder="1" applyAlignment="1">
      <alignment horizontal="center" vertical="center" wrapText="1"/>
    </xf>
    <xf numFmtId="164" fontId="3" fillId="2" borderId="65" xfId="2" applyFont="1" applyFill="1" applyBorder="1" applyAlignment="1">
      <alignment horizontal="center" vertical="center" wrapText="1"/>
    </xf>
    <xf numFmtId="2" fontId="4" fillId="0" borderId="45" xfId="0" applyNumberFormat="1" applyFont="1" applyBorder="1" applyAlignment="1"/>
    <xf numFmtId="0" fontId="4" fillId="0" borderId="46" xfId="0" applyFont="1" applyBorder="1" applyAlignment="1"/>
    <xf numFmtId="9" fontId="4" fillId="2" borderId="0" xfId="1" applyFont="1" applyFill="1" applyBorder="1" applyAlignment="1"/>
    <xf numFmtId="9" fontId="4" fillId="4" borderId="0" xfId="0" applyNumberFormat="1" applyFont="1" applyFill="1" applyBorder="1" applyAlignment="1">
      <alignment vertical="center"/>
    </xf>
    <xf numFmtId="169" fontId="4" fillId="2" borderId="0" xfId="1" applyNumberFormat="1" applyFont="1" applyFill="1" applyBorder="1" applyAlignment="1"/>
    <xf numFmtId="164" fontId="4" fillId="2" borderId="0" xfId="2" applyFont="1" applyFill="1" applyBorder="1" applyAlignment="1"/>
    <xf numFmtId="164" fontId="4" fillId="2" borderId="0" xfId="0" applyNumberFormat="1" applyFont="1" applyFill="1" applyBorder="1" applyAlignment="1"/>
    <xf numFmtId="164" fontId="3" fillId="4" borderId="0" xfId="0" applyNumberFormat="1" applyFont="1" applyFill="1" applyBorder="1" applyAlignment="1"/>
    <xf numFmtId="164" fontId="3" fillId="2" borderId="67" xfId="2" applyFont="1" applyFill="1" applyBorder="1" applyAlignment="1">
      <alignment horizontal="center" vertical="center" wrapText="1"/>
    </xf>
    <xf numFmtId="170" fontId="4" fillId="0" borderId="15" xfId="0" applyNumberFormat="1" applyFont="1" applyBorder="1" applyAlignment="1">
      <alignment horizontal="left" vertical="center"/>
    </xf>
    <xf numFmtId="170" fontId="4" fillId="0" borderId="23" xfId="0" applyNumberFormat="1" applyFont="1" applyBorder="1" applyAlignment="1">
      <alignment horizontal="left" vertical="center"/>
    </xf>
    <xf numFmtId="1" fontId="4" fillId="0" borderId="22" xfId="1" applyNumberFormat="1" applyFont="1" applyBorder="1" applyAlignment="1">
      <alignment horizontal="center" vertical="center"/>
    </xf>
    <xf numFmtId="1" fontId="4" fillId="0" borderId="14" xfId="1" applyNumberFormat="1" applyFont="1" applyBorder="1" applyAlignment="1">
      <alignment horizontal="center" vertical="center"/>
    </xf>
    <xf numFmtId="1" fontId="4" fillId="5" borderId="11" xfId="1" applyNumberFormat="1" applyFont="1" applyFill="1" applyBorder="1" applyAlignment="1">
      <alignment horizontal="center" vertical="center"/>
    </xf>
    <xf numFmtId="1" fontId="4" fillId="5" borderId="22" xfId="1" applyNumberFormat="1" applyFont="1" applyFill="1" applyBorder="1" applyAlignment="1">
      <alignment horizontal="center" vertical="center"/>
    </xf>
    <xf numFmtId="1" fontId="4" fillId="5" borderId="14" xfId="1" applyNumberFormat="1" applyFont="1" applyFill="1" applyBorder="1" applyAlignment="1">
      <alignment horizontal="center" vertical="center"/>
    </xf>
    <xf numFmtId="1" fontId="4" fillId="0" borderId="22" xfId="1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164" fontId="4" fillId="0" borderId="20" xfId="2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/>
    </xf>
    <xf numFmtId="0" fontId="6" fillId="5" borderId="14" xfId="0" applyFont="1" applyFill="1" applyBorder="1"/>
    <xf numFmtId="0" fontId="6" fillId="5" borderId="14" xfId="0" applyFont="1" applyFill="1" applyBorder="1" applyAlignment="1">
      <alignment horizontal="center"/>
    </xf>
    <xf numFmtId="164" fontId="6" fillId="5" borderId="16" xfId="2" applyFont="1" applyFill="1" applyBorder="1"/>
    <xf numFmtId="10" fontId="6" fillId="5" borderId="14" xfId="0" applyNumberFormat="1" applyFont="1" applyFill="1" applyBorder="1" applyAlignment="1">
      <alignment horizontal="center"/>
    </xf>
    <xf numFmtId="43" fontId="6" fillId="5" borderId="16" xfId="0" applyNumberFormat="1" applyFont="1" applyFill="1" applyBorder="1"/>
    <xf numFmtId="0" fontId="10" fillId="5" borderId="14" xfId="0" applyFont="1" applyFill="1" applyBorder="1" applyAlignment="1">
      <alignment horizontal="center"/>
    </xf>
    <xf numFmtId="0" fontId="10" fillId="5" borderId="16" xfId="0" applyFont="1" applyFill="1" applyBorder="1"/>
    <xf numFmtId="0" fontId="3" fillId="2" borderId="72" xfId="0" applyFont="1" applyFill="1" applyBorder="1" applyAlignment="1">
      <alignment horizontal="center" vertical="center" wrapText="1"/>
    </xf>
    <xf numFmtId="9" fontId="4" fillId="0" borderId="0" xfId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 applyFill="1" applyAlignment="1">
      <alignment wrapText="1"/>
    </xf>
    <xf numFmtId="164" fontId="11" fillId="2" borderId="14" xfId="0" applyNumberFormat="1" applyFont="1" applyFill="1" applyBorder="1" applyAlignment="1">
      <alignment horizontal="center" vertical="center" wrapText="1"/>
    </xf>
    <xf numFmtId="164" fontId="4" fillId="2" borderId="20" xfId="2" applyFont="1" applyFill="1" applyBorder="1" applyAlignment="1">
      <alignment horizontal="center" vertical="center" wrapText="1"/>
    </xf>
    <xf numFmtId="164" fontId="4" fillId="2" borderId="66" xfId="2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164" fontId="4" fillId="5" borderId="3" xfId="0" applyNumberFormat="1" applyFont="1" applyFill="1" applyBorder="1" applyAlignment="1">
      <alignment horizontal="left" vertical="center" wrapText="1"/>
    </xf>
    <xf numFmtId="164" fontId="4" fillId="5" borderId="3" xfId="0" applyNumberFormat="1" applyFont="1" applyFill="1" applyBorder="1" applyAlignment="1">
      <alignment vertical="center" wrapText="1"/>
    </xf>
    <xf numFmtId="0" fontId="0" fillId="5" borderId="2" xfId="0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4" fontId="4" fillId="5" borderId="6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right" vertical="center"/>
    </xf>
    <xf numFmtId="166" fontId="4" fillId="5" borderId="18" xfId="0" quotePrefix="1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3" xfId="0" quotePrefix="1" applyFont="1" applyFill="1" applyBorder="1" applyAlignment="1">
      <alignment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4" fillId="2" borderId="65" xfId="0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left" vertical="center" wrapText="1"/>
    </xf>
    <xf numFmtId="164" fontId="4" fillId="5" borderId="20" xfId="2" applyFont="1" applyFill="1" applyBorder="1" applyAlignment="1">
      <alignment horizontal="center" vertical="center" wrapText="1"/>
    </xf>
    <xf numFmtId="164" fontId="4" fillId="5" borderId="21" xfId="2" applyFont="1" applyFill="1" applyBorder="1" applyAlignment="1">
      <alignment horizontal="right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164" fontId="3" fillId="5" borderId="20" xfId="2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left" vertical="center" wrapText="1"/>
    </xf>
    <xf numFmtId="4" fontId="3" fillId="0" borderId="51" xfId="0" applyNumberFormat="1" applyFont="1" applyFill="1" applyBorder="1" applyAlignment="1">
      <alignment horizontal="right"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164" fontId="3" fillId="0" borderId="52" xfId="0" applyNumberFormat="1" applyFont="1" applyFill="1" applyBorder="1" applyAlignment="1">
      <alignment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center" wrapText="1"/>
    </xf>
    <xf numFmtId="4" fontId="3" fillId="0" borderId="30" xfId="0" applyNumberFormat="1" applyFont="1" applyFill="1" applyBorder="1" applyAlignment="1">
      <alignment horizontal="right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vertical="center" wrapText="1"/>
    </xf>
    <xf numFmtId="9" fontId="3" fillId="2" borderId="0" xfId="1" applyFont="1" applyFill="1" applyBorder="1" applyAlignment="1"/>
    <xf numFmtId="164" fontId="3" fillId="0" borderId="0" xfId="2" applyFont="1" applyFill="1" applyBorder="1" applyAlignment="1">
      <alignment horizontal="center" vertical="center" wrapText="1"/>
    </xf>
    <xf numFmtId="164" fontId="3" fillId="2" borderId="0" xfId="2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3" fillId="7" borderId="0" xfId="2" applyFont="1" applyFill="1" applyAlignment="1"/>
    <xf numFmtId="164" fontId="3" fillId="7" borderId="0" xfId="2" applyFont="1" applyFill="1" applyAlignment="1">
      <alignment wrapText="1"/>
    </xf>
    <xf numFmtId="164" fontId="3" fillId="0" borderId="0" xfId="2" applyFont="1" applyFill="1" applyAlignment="1"/>
    <xf numFmtId="164" fontId="3" fillId="0" borderId="0" xfId="2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164" fontId="3" fillId="0" borderId="20" xfId="2" applyNumberFormat="1" applyFont="1" applyFill="1" applyBorder="1" applyAlignment="1">
      <alignment horizontal="right" vertical="center"/>
    </xf>
    <xf numFmtId="10" fontId="3" fillId="0" borderId="59" xfId="0" applyNumberFormat="1" applyFont="1" applyFill="1" applyBorder="1" applyAlignment="1"/>
    <xf numFmtId="4" fontId="3" fillId="0" borderId="60" xfId="0" applyNumberFormat="1" applyFont="1" applyFill="1" applyBorder="1" applyAlignment="1"/>
    <xf numFmtId="10" fontId="3" fillId="0" borderId="61" xfId="1" applyNumberFormat="1" applyFont="1" applyFill="1" applyBorder="1" applyAlignment="1">
      <alignment horizontal="center"/>
    </xf>
    <xf numFmtId="0" fontId="4" fillId="0" borderId="72" xfId="0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left" vertical="center" wrapText="1"/>
    </xf>
    <xf numFmtId="164" fontId="4" fillId="0" borderId="65" xfId="2" applyFont="1" applyFill="1" applyBorder="1" applyAlignment="1">
      <alignment horizontal="center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4" fillId="2" borderId="75" xfId="0" applyFont="1" applyFill="1" applyBorder="1" applyAlignment="1">
      <alignment horizontal="center" vertical="center" wrapText="1"/>
    </xf>
    <xf numFmtId="164" fontId="3" fillId="2" borderId="75" xfId="2" applyFont="1" applyFill="1" applyBorder="1" applyAlignment="1">
      <alignment horizontal="center" vertical="center" wrapText="1"/>
    </xf>
    <xf numFmtId="164" fontId="3" fillId="2" borderId="76" xfId="2" applyFont="1" applyFill="1" applyBorder="1" applyAlignment="1">
      <alignment vertical="center" wrapText="1"/>
    </xf>
    <xf numFmtId="0" fontId="4" fillId="5" borderId="78" xfId="0" applyFont="1" applyFill="1" applyBorder="1" applyAlignment="1">
      <alignment horizontal="center" vertical="center" wrapText="1"/>
    </xf>
    <xf numFmtId="164" fontId="4" fillId="5" borderId="79" xfId="2" applyFont="1" applyFill="1" applyBorder="1" applyAlignment="1">
      <alignment vertical="center" wrapText="1"/>
    </xf>
    <xf numFmtId="0" fontId="3" fillId="2" borderId="7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distributed" wrapText="1"/>
    </xf>
    <xf numFmtId="164" fontId="3" fillId="2" borderId="79" xfId="2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wrapText="1"/>
    </xf>
    <xf numFmtId="0" fontId="3" fillId="2" borderId="20" xfId="0" quotePrefix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distributed" wrapText="1"/>
    </xf>
    <xf numFmtId="164" fontId="3" fillId="0" borderId="79" xfId="2" applyFont="1" applyFill="1" applyBorder="1" applyAlignment="1">
      <alignment horizontal="center" vertical="center" wrapText="1"/>
    </xf>
    <xf numFmtId="0" fontId="3" fillId="5" borderId="20" xfId="0" quotePrefix="1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left" vertical="distributed" wrapText="1"/>
    </xf>
    <xf numFmtId="164" fontId="4" fillId="5" borderId="79" xfId="2" applyFont="1" applyFill="1" applyBorder="1" applyAlignment="1">
      <alignment horizontal="center" vertical="center" wrapText="1"/>
    </xf>
    <xf numFmtId="0" fontId="3" fillId="0" borderId="20" xfId="0" quotePrefix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distributed" wrapText="1"/>
    </xf>
    <xf numFmtId="164" fontId="3" fillId="0" borderId="20" xfId="2" applyFont="1" applyFill="1" applyBorder="1" applyAlignment="1">
      <alignment horizontal="center" vertical="center"/>
    </xf>
    <xf numFmtId="168" fontId="3" fillId="0" borderId="20" xfId="0" applyNumberFormat="1" applyFont="1" applyFill="1" applyBorder="1"/>
    <xf numFmtId="168" fontId="3" fillId="0" borderId="20" xfId="0" applyNumberFormat="1" applyFont="1" applyBorder="1"/>
    <xf numFmtId="0" fontId="4" fillId="2" borderId="20" xfId="0" applyFont="1" applyFill="1" applyBorder="1" applyAlignment="1">
      <alignment horizontal="left" vertical="distributed" wrapText="1"/>
    </xf>
    <xf numFmtId="164" fontId="4" fillId="2" borderId="79" xfId="2" applyFont="1" applyFill="1" applyBorder="1" applyAlignment="1">
      <alignment horizontal="center" vertical="center" wrapText="1"/>
    </xf>
    <xf numFmtId="0" fontId="4" fillId="2" borderId="7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distributed" wrapText="1"/>
    </xf>
    <xf numFmtId="0" fontId="4" fillId="4" borderId="20" xfId="0" applyFont="1" applyFill="1" applyBorder="1" applyAlignment="1">
      <alignment horizontal="left" vertical="distributed" wrapText="1"/>
    </xf>
    <xf numFmtId="164" fontId="3" fillId="0" borderId="20" xfId="2" applyFont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/>
    </xf>
    <xf numFmtId="164" fontId="3" fillId="4" borderId="79" xfId="2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distributed" wrapText="1"/>
    </xf>
    <xf numFmtId="0" fontId="3" fillId="4" borderId="20" xfId="0" quotePrefix="1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164" fontId="3" fillId="0" borderId="20" xfId="2" applyFont="1" applyBorder="1" applyAlignment="1">
      <alignment horizontal="center" vertical="center" wrapText="1"/>
    </xf>
    <xf numFmtId="164" fontId="3" fillId="0" borderId="73" xfId="2" applyFont="1" applyBorder="1" applyAlignment="1">
      <alignment vertical="center" wrapText="1"/>
    </xf>
    <xf numFmtId="164" fontId="4" fillId="0" borderId="45" xfId="2" applyNumberFormat="1" applyFont="1" applyBorder="1" applyAlignment="1">
      <alignment vertical="center"/>
    </xf>
    <xf numFmtId="164" fontId="4" fillId="0" borderId="80" xfId="2" applyNumberFormat="1" applyFont="1" applyBorder="1" applyAlignment="1">
      <alignment vertical="center"/>
    </xf>
    <xf numFmtId="164" fontId="4" fillId="0" borderId="46" xfId="2" applyNumberFormat="1" applyFont="1" applyBorder="1" applyAlignment="1">
      <alignment vertical="center"/>
    </xf>
    <xf numFmtId="164" fontId="4" fillId="0" borderId="45" xfId="2" applyFont="1" applyBorder="1" applyAlignment="1">
      <alignment horizontal="center" vertical="center" wrapText="1"/>
    </xf>
    <xf numFmtId="164" fontId="4" fillId="0" borderId="46" xfId="2" applyFont="1" applyBorder="1" applyAlignment="1">
      <alignment vertical="center" wrapText="1"/>
    </xf>
    <xf numFmtId="43" fontId="3" fillId="0" borderId="0" xfId="0" applyNumberFormat="1" applyFont="1" applyAlignment="1"/>
    <xf numFmtId="164" fontId="3" fillId="0" borderId="0" xfId="0" applyNumberFormat="1" applyFont="1" applyAlignment="1"/>
    <xf numFmtId="10" fontId="3" fillId="0" borderId="45" xfId="0" applyNumberFormat="1" applyFont="1" applyBorder="1" applyAlignment="1"/>
    <xf numFmtId="0" fontId="3" fillId="0" borderId="80" xfId="0" applyFont="1" applyBorder="1" applyAlignment="1"/>
    <xf numFmtId="10" fontId="3" fillId="0" borderId="46" xfId="1" applyNumberFormat="1" applyFont="1" applyBorder="1" applyAlignment="1">
      <alignment horizontal="center"/>
    </xf>
    <xf numFmtId="10" fontId="3" fillId="2" borderId="45" xfId="1" applyNumberFormat="1" applyFont="1" applyFill="1" applyBorder="1" applyAlignment="1"/>
    <xf numFmtId="4" fontId="3" fillId="2" borderId="80" xfId="0" applyNumberFormat="1" applyFont="1" applyFill="1" applyBorder="1" applyAlignment="1"/>
    <xf numFmtId="10" fontId="3" fillId="2" borderId="46" xfId="1" applyNumberFormat="1" applyFont="1" applyFill="1" applyBorder="1" applyAlignment="1"/>
    <xf numFmtId="0" fontId="3" fillId="0" borderId="0" xfId="0" applyFont="1" applyFill="1" applyBorder="1" applyAlignment="1">
      <alignment vertical="center" wrapText="1"/>
    </xf>
    <xf numFmtId="9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9" fontId="4" fillId="0" borderId="0" xfId="1" applyFont="1" applyFill="1" applyBorder="1" applyAlignment="1">
      <alignment vertical="center" wrapText="1"/>
    </xf>
    <xf numFmtId="4" fontId="4" fillId="5" borderId="20" xfId="0" applyNumberFormat="1" applyFont="1" applyFill="1" applyBorder="1" applyAlignment="1">
      <alignment horizontal="right" vertical="center" wrapText="1"/>
    </xf>
    <xf numFmtId="164" fontId="4" fillId="5" borderId="20" xfId="0" applyNumberFormat="1" applyFont="1" applyFill="1" applyBorder="1" applyAlignment="1">
      <alignment horizontal="center" vertical="center" wrapText="1"/>
    </xf>
    <xf numFmtId="164" fontId="4" fillId="5" borderId="21" xfId="0" applyNumberFormat="1" applyFont="1" applyFill="1" applyBorder="1" applyAlignment="1">
      <alignment vertical="center" wrapText="1"/>
    </xf>
    <xf numFmtId="164" fontId="3" fillId="4" borderId="21" xfId="2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/>
    <xf numFmtId="164" fontId="4" fillId="4" borderId="20" xfId="2" applyFont="1" applyFill="1" applyBorder="1" applyAlignment="1">
      <alignment horizontal="center" vertical="center" wrapText="1"/>
    </xf>
    <xf numFmtId="0" fontId="0" fillId="0" borderId="20" xfId="0" applyBorder="1"/>
    <xf numFmtId="0" fontId="0" fillId="5" borderId="20" xfId="0" applyFill="1" applyBorder="1"/>
    <xf numFmtId="0" fontId="0" fillId="0" borderId="20" xfId="0" applyBorder="1" applyAlignment="1">
      <alignment horizontal="center"/>
    </xf>
    <xf numFmtId="0" fontId="0" fillId="8" borderId="20" xfId="0" applyFont="1" applyFill="1" applyBorder="1"/>
    <xf numFmtId="9" fontId="0" fillId="0" borderId="0" xfId="1" applyFont="1"/>
    <xf numFmtId="0" fontId="0" fillId="7" borderId="20" xfId="0" applyFill="1" applyBorder="1" applyAlignment="1">
      <alignment horizontal="center"/>
    </xf>
    <xf numFmtId="2" fontId="12" fillId="5" borderId="20" xfId="0" applyNumberFormat="1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20" xfId="0" applyFill="1" applyBorder="1"/>
    <xf numFmtId="0" fontId="0" fillId="0" borderId="81" xfId="0" applyFill="1" applyBorder="1"/>
    <xf numFmtId="0" fontId="0" fillId="5" borderId="81" xfId="0" applyFill="1" applyBorder="1"/>
    <xf numFmtId="0" fontId="0" fillId="6" borderId="20" xfId="0" applyFill="1" applyBorder="1" applyAlignment="1">
      <alignment horizontal="center"/>
    </xf>
    <xf numFmtId="0" fontId="12" fillId="0" borderId="0" xfId="0" applyFont="1" applyAlignment="1">
      <alignment horizontal="center"/>
    </xf>
    <xf numFmtId="9" fontId="12" fillId="0" borderId="0" xfId="0" applyNumberFormat="1" applyFont="1"/>
    <xf numFmtId="2" fontId="12" fillId="0" borderId="0" xfId="0" applyNumberFormat="1" applyFont="1"/>
    <xf numFmtId="0" fontId="0" fillId="0" borderId="82" xfId="0" applyFill="1" applyBorder="1"/>
    <xf numFmtId="0" fontId="0" fillId="5" borderId="82" xfId="0" applyFill="1" applyBorder="1"/>
    <xf numFmtId="2" fontId="14" fillId="5" borderId="20" xfId="0" applyNumberFormat="1" applyFont="1" applyFill="1" applyBorder="1"/>
    <xf numFmtId="0" fontId="14" fillId="5" borderId="20" xfId="0" applyFont="1" applyFill="1" applyBorder="1"/>
    <xf numFmtId="0" fontId="1" fillId="0" borderId="0" xfId="0" applyFont="1"/>
    <xf numFmtId="0" fontId="12" fillId="0" borderId="82" xfId="0" applyFont="1" applyBorder="1" applyAlignment="1">
      <alignment horizontal="center"/>
    </xf>
    <xf numFmtId="0" fontId="12" fillId="8" borderId="82" xfId="0" applyFont="1" applyFill="1" applyBorder="1"/>
    <xf numFmtId="0" fontId="0" fillId="5" borderId="73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0" borderId="0" xfId="0" applyFill="1" applyBorder="1"/>
    <xf numFmtId="2" fontId="14" fillId="0" borderId="0" xfId="0" applyNumberFormat="1" applyFont="1" applyFill="1" applyBorder="1"/>
    <xf numFmtId="0" fontId="0" fillId="0" borderId="14" xfId="0" applyBorder="1"/>
    <xf numFmtId="2" fontId="0" fillId="0" borderId="14" xfId="0" applyNumberFormat="1" applyBorder="1"/>
    <xf numFmtId="0" fontId="0" fillId="0" borderId="14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0" xfId="0" applyFont="1" applyBorder="1"/>
    <xf numFmtId="0" fontId="0" fillId="0" borderId="0" xfId="0" applyFill="1" applyBorder="1" applyAlignment="1">
      <alignment horizontal="center"/>
    </xf>
    <xf numFmtId="0" fontId="0" fillId="0" borderId="0" xfId="0" applyFont="1" applyFill="1" applyBorder="1"/>
    <xf numFmtId="0" fontId="14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0" fillId="5" borderId="14" xfId="0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0" xfId="0" quotePrefix="1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distributed" wrapText="1"/>
    </xf>
    <xf numFmtId="0" fontId="4" fillId="4" borderId="20" xfId="0" applyFont="1" applyFill="1" applyBorder="1" applyAlignment="1">
      <alignment horizontal="left" vertical="distributed" wrapText="1"/>
    </xf>
    <xf numFmtId="0" fontId="3" fillId="4" borderId="20" xfId="0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/>
    </xf>
    <xf numFmtId="164" fontId="4" fillId="4" borderId="20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64" fontId="3" fillId="0" borderId="20" xfId="2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distributed" wrapText="1"/>
    </xf>
    <xf numFmtId="0" fontId="3" fillId="0" borderId="20" xfId="0" quotePrefix="1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distributed" wrapText="1"/>
    </xf>
    <xf numFmtId="0" fontId="3" fillId="4" borderId="20" xfId="0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/>
    </xf>
    <xf numFmtId="164" fontId="3" fillId="0" borderId="20" xfId="2" applyFont="1" applyFill="1" applyBorder="1" applyAlignment="1">
      <alignment wrapText="1"/>
    </xf>
    <xf numFmtId="164" fontId="3" fillId="0" borderId="21" xfId="2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center"/>
    </xf>
    <xf numFmtId="4" fontId="3" fillId="0" borderId="20" xfId="0" applyNumberFormat="1" applyFont="1" applyFill="1" applyBorder="1" applyAlignment="1">
      <alignment vertical="center"/>
    </xf>
    <xf numFmtId="164" fontId="3" fillId="0" borderId="21" xfId="2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/>
    </xf>
    <xf numFmtId="164" fontId="3" fillId="2" borderId="4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vertical="center" wrapText="1"/>
    </xf>
    <xf numFmtId="0" fontId="3" fillId="2" borderId="83" xfId="0" applyFont="1" applyFill="1" applyBorder="1" applyAlignment="1">
      <alignment horizontal="center" vertical="center" wrapText="1"/>
    </xf>
    <xf numFmtId="0" fontId="3" fillId="2" borderId="86" xfId="0" applyFont="1" applyFill="1" applyBorder="1" applyAlignment="1">
      <alignment horizontal="center" vertical="center" wrapText="1"/>
    </xf>
    <xf numFmtId="4" fontId="3" fillId="2" borderId="86" xfId="0" applyNumberFormat="1" applyFont="1" applyFill="1" applyBorder="1" applyAlignment="1">
      <alignment horizontal="center" vertical="center" wrapText="1"/>
    </xf>
    <xf numFmtId="164" fontId="3" fillId="2" borderId="85" xfId="0" applyNumberFormat="1" applyFont="1" applyFill="1" applyBorder="1" applyAlignment="1">
      <alignment horizontal="center" vertical="center" wrapText="1"/>
    </xf>
    <xf numFmtId="164" fontId="3" fillId="2" borderId="87" xfId="0" applyNumberFormat="1" applyFont="1" applyFill="1" applyBorder="1" applyAlignment="1">
      <alignment vertical="center" wrapText="1"/>
    </xf>
    <xf numFmtId="0" fontId="3" fillId="2" borderId="65" xfId="0" applyFont="1" applyFill="1" applyBorder="1" applyAlignment="1">
      <alignment horizontal="left" vertical="center" wrapText="1"/>
    </xf>
    <xf numFmtId="4" fontId="3" fillId="2" borderId="65" xfId="0" applyNumberFormat="1" applyFont="1" applyFill="1" applyBorder="1" applyAlignment="1">
      <alignment horizontal="center" vertical="center" wrapText="1"/>
    </xf>
    <xf numFmtId="2" fontId="3" fillId="0" borderId="65" xfId="0" applyNumberFormat="1" applyFont="1" applyBorder="1" applyAlignment="1">
      <alignment horizontal="center"/>
    </xf>
    <xf numFmtId="164" fontId="3" fillId="2" borderId="89" xfId="0" applyNumberFormat="1" applyFont="1" applyFill="1" applyBorder="1" applyAlignment="1">
      <alignment horizontal="center" vertical="center" wrapText="1"/>
    </xf>
    <xf numFmtId="164" fontId="3" fillId="2" borderId="66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 wrapText="1"/>
    </xf>
    <xf numFmtId="2" fontId="3" fillId="0" borderId="20" xfId="0" applyNumberFormat="1" applyFont="1" applyFill="1" applyBorder="1" applyAlignment="1">
      <alignment horizontal="center"/>
    </xf>
    <xf numFmtId="4" fontId="3" fillId="0" borderId="20" xfId="0" applyNumberFormat="1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vertical="center" wrapText="1"/>
    </xf>
    <xf numFmtId="2" fontId="3" fillId="0" borderId="20" xfId="0" applyNumberFormat="1" applyFont="1" applyFill="1" applyBorder="1" applyAlignment="1">
      <alignment horizontal="center" vertical="center"/>
    </xf>
    <xf numFmtId="4" fontId="4" fillId="2" borderId="20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/>
    </xf>
    <xf numFmtId="2" fontId="3" fillId="0" borderId="20" xfId="0" applyNumberFormat="1" applyFont="1" applyFill="1" applyBorder="1" applyAlignment="1">
      <alignment horizontal="center" vertical="center" wrapText="1"/>
    </xf>
    <xf numFmtId="2" fontId="3" fillId="0" borderId="20" xfId="0" applyNumberFormat="1" applyFont="1" applyFill="1" applyBorder="1" applyAlignment="1">
      <alignment horizontal="center" wrapText="1"/>
    </xf>
    <xf numFmtId="0" fontId="3" fillId="0" borderId="86" xfId="0" applyFont="1" applyFill="1" applyBorder="1" applyAlignment="1">
      <alignment horizontal="left" vertical="center" wrapText="1"/>
    </xf>
    <xf numFmtId="2" fontId="3" fillId="0" borderId="86" xfId="0" applyNumberFormat="1" applyFont="1" applyFill="1" applyBorder="1" applyAlignment="1">
      <alignment horizontal="center" wrapText="1"/>
    </xf>
    <xf numFmtId="0" fontId="3" fillId="0" borderId="65" xfId="0" applyFont="1" applyFill="1" applyBorder="1" applyAlignment="1">
      <alignment horizontal="left" vertical="center" wrapText="1"/>
    </xf>
    <xf numFmtId="2" fontId="3" fillId="0" borderId="65" xfId="0" applyNumberFormat="1" applyFont="1" applyFill="1" applyBorder="1" applyAlignment="1">
      <alignment horizontal="center" wrapText="1"/>
    </xf>
    <xf numFmtId="0" fontId="3" fillId="4" borderId="20" xfId="0" applyFont="1" applyFill="1" applyBorder="1" applyAlignment="1">
      <alignment horizontal="left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2" fontId="3" fillId="4" borderId="20" xfId="0" applyNumberFormat="1" applyFont="1" applyFill="1" applyBorder="1" applyAlignment="1">
      <alignment horizontal="center"/>
    </xf>
    <xf numFmtId="164" fontId="3" fillId="4" borderId="40" xfId="0" applyNumberFormat="1" applyFont="1" applyFill="1" applyBorder="1" applyAlignment="1">
      <alignment horizontal="center" vertical="center" wrapText="1"/>
    </xf>
    <xf numFmtId="164" fontId="3" fillId="4" borderId="21" xfId="0" applyNumberFormat="1" applyFont="1" applyFill="1" applyBorder="1" applyAlignment="1">
      <alignment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86" xfId="0" applyFont="1" applyFill="1" applyBorder="1" applyAlignment="1">
      <alignment horizontal="center" vertical="center" wrapText="1"/>
    </xf>
    <xf numFmtId="4" fontId="3" fillId="0" borderId="86" xfId="0" applyNumberFormat="1" applyFont="1" applyFill="1" applyBorder="1" applyAlignment="1">
      <alignment horizontal="center" vertical="center" wrapText="1"/>
    </xf>
    <xf numFmtId="2" fontId="3" fillId="0" borderId="86" xfId="0" applyNumberFormat="1" applyFont="1" applyFill="1" applyBorder="1" applyAlignment="1">
      <alignment horizontal="center"/>
    </xf>
    <xf numFmtId="164" fontId="3" fillId="0" borderId="85" xfId="0" applyNumberFormat="1" applyFont="1" applyFill="1" applyBorder="1" applyAlignment="1">
      <alignment horizontal="center" vertical="center" wrapText="1"/>
    </xf>
    <xf numFmtId="164" fontId="3" fillId="0" borderId="87" xfId="0" applyNumberFormat="1" applyFont="1" applyFill="1" applyBorder="1" applyAlignment="1">
      <alignment vertical="center" wrapText="1"/>
    </xf>
    <xf numFmtId="0" fontId="3" fillId="0" borderId="72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4" fontId="3" fillId="0" borderId="65" xfId="0" applyNumberFormat="1" applyFont="1" applyFill="1" applyBorder="1" applyAlignment="1">
      <alignment horizontal="center" vertical="center" wrapText="1"/>
    </xf>
    <xf numFmtId="2" fontId="3" fillId="0" borderId="65" xfId="0" applyNumberFormat="1" applyFont="1" applyFill="1" applyBorder="1" applyAlignment="1">
      <alignment horizontal="center"/>
    </xf>
    <xf numFmtId="164" fontId="3" fillId="0" borderId="89" xfId="0" applyNumberFormat="1" applyFont="1" applyFill="1" applyBorder="1" applyAlignment="1">
      <alignment horizontal="center" vertical="center" wrapText="1"/>
    </xf>
    <xf numFmtId="164" fontId="3" fillId="0" borderId="66" xfId="0" applyNumberFormat="1" applyFont="1" applyFill="1" applyBorder="1" applyAlignment="1">
      <alignment vertical="center" wrapText="1"/>
    </xf>
    <xf numFmtId="0" fontId="3" fillId="2" borderId="81" xfId="0" applyFont="1" applyFill="1" applyBorder="1" applyAlignment="1">
      <alignment horizontal="left" vertical="center" wrapText="1"/>
    </xf>
    <xf numFmtId="0" fontId="4" fillId="2" borderId="65" xfId="0" applyFont="1" applyFill="1" applyBorder="1" applyAlignment="1">
      <alignment horizontal="left" vertical="center" wrapText="1"/>
    </xf>
    <xf numFmtId="164" fontId="4" fillId="2" borderId="66" xfId="0" applyNumberFormat="1" applyFont="1" applyFill="1" applyBorder="1" applyAlignment="1">
      <alignment vertical="center" wrapText="1"/>
    </xf>
    <xf numFmtId="0" fontId="3" fillId="4" borderId="73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left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3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2" fontId="4" fillId="2" borderId="24" xfId="0" applyNumberFormat="1" applyFont="1" applyFill="1" applyBorder="1" applyAlignment="1">
      <alignment horizontal="center" vertical="center" wrapText="1"/>
    </xf>
    <xf numFmtId="164" fontId="5" fillId="2" borderId="24" xfId="0" applyNumberFormat="1" applyFont="1" applyFill="1" applyBorder="1" applyAlignment="1">
      <alignment horizontal="center"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2" fontId="4" fillId="2" borderId="14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2" fontId="3" fillId="2" borderId="27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/>
    <xf numFmtId="2" fontId="4" fillId="0" borderId="20" xfId="0" applyNumberFormat="1" applyFont="1" applyFill="1" applyBorder="1" applyAlignment="1">
      <alignment horizontal="center" vertical="center" wrapText="1"/>
    </xf>
    <xf numFmtId="0" fontId="4" fillId="2" borderId="83" xfId="0" applyFont="1" applyFill="1" applyBorder="1" applyAlignment="1">
      <alignment horizontal="center" vertical="center" wrapText="1"/>
    </xf>
    <xf numFmtId="0" fontId="4" fillId="2" borderId="86" xfId="0" applyFont="1" applyFill="1" applyBorder="1" applyAlignment="1">
      <alignment horizontal="left" vertical="center" wrapText="1"/>
    </xf>
    <xf numFmtId="2" fontId="3" fillId="0" borderId="86" xfId="0" applyNumberFormat="1" applyFont="1" applyFill="1" applyBorder="1" applyAlignment="1">
      <alignment horizontal="center" vertical="center" wrapText="1"/>
    </xf>
    <xf numFmtId="164" fontId="4" fillId="2" borderId="87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/>
    <xf numFmtId="0" fontId="3" fillId="6" borderId="1" xfId="0" applyFont="1" applyFill="1" applyBorder="1" applyAlignment="1"/>
    <xf numFmtId="0" fontId="4" fillId="2" borderId="90" xfId="0" applyFont="1" applyFill="1" applyBorder="1" applyAlignment="1">
      <alignment horizontal="center" vertical="center" wrapText="1"/>
    </xf>
    <xf numFmtId="0" fontId="3" fillId="2" borderId="81" xfId="0" applyFont="1" applyFill="1" applyBorder="1" applyAlignment="1">
      <alignment horizontal="center" vertical="center" wrapText="1"/>
    </xf>
    <xf numFmtId="4" fontId="3" fillId="2" borderId="81" xfId="0" applyNumberFormat="1" applyFont="1" applyFill="1" applyBorder="1" applyAlignment="1">
      <alignment horizontal="center" vertical="center" wrapText="1"/>
    </xf>
    <xf numFmtId="2" fontId="3" fillId="0" borderId="81" xfId="0" applyNumberFormat="1" applyFont="1" applyFill="1" applyBorder="1" applyAlignment="1">
      <alignment horizontal="center" vertical="center" wrapText="1"/>
    </xf>
    <xf numFmtId="0" fontId="4" fillId="2" borderId="81" xfId="0" applyFont="1" applyFill="1" applyBorder="1" applyAlignment="1">
      <alignment horizontal="left" vertical="center" wrapText="1"/>
    </xf>
    <xf numFmtId="0" fontId="4" fillId="2" borderId="86" xfId="0" applyFont="1" applyFill="1" applyBorder="1" applyAlignment="1">
      <alignment horizontal="center" vertical="center" wrapText="1"/>
    </xf>
    <xf numFmtId="4" fontId="4" fillId="2" borderId="86" xfId="0" applyNumberFormat="1" applyFont="1" applyFill="1" applyBorder="1" applyAlignment="1">
      <alignment horizontal="center" vertical="center" wrapText="1"/>
    </xf>
    <xf numFmtId="2" fontId="4" fillId="0" borderId="8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wrapText="1"/>
    </xf>
    <xf numFmtId="14" fontId="6" fillId="2" borderId="18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left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2" fontId="3" fillId="2" borderId="34" xfId="0" applyNumberFormat="1" applyFont="1" applyFill="1" applyBorder="1" applyAlignment="1">
      <alignment horizontal="center" wrapText="1"/>
    </xf>
    <xf numFmtId="164" fontId="3" fillId="2" borderId="34" xfId="0" applyNumberFormat="1" applyFont="1" applyFill="1" applyBorder="1" applyAlignment="1">
      <alignment horizontal="center" vertical="center" wrapText="1"/>
    </xf>
    <xf numFmtId="164" fontId="3" fillId="2" borderId="47" xfId="0" applyNumberFormat="1" applyFont="1" applyFill="1" applyBorder="1" applyAlignment="1">
      <alignment vertical="center" wrapText="1"/>
    </xf>
    <xf numFmtId="2" fontId="4" fillId="2" borderId="24" xfId="0" applyNumberFormat="1" applyFont="1" applyFill="1" applyBorder="1" applyAlignment="1">
      <alignment horizontal="center" wrapText="1"/>
    </xf>
    <xf numFmtId="2" fontId="4" fillId="2" borderId="14" xfId="0" applyNumberFormat="1" applyFont="1" applyFill="1" applyBorder="1" applyAlignment="1">
      <alignment horizontal="center" wrapText="1"/>
    </xf>
    <xf numFmtId="0" fontId="3" fillId="0" borderId="92" xfId="0" applyFont="1" applyFill="1" applyBorder="1" applyAlignment="1">
      <alignment horizontal="center" vertical="center" wrapText="1"/>
    </xf>
    <xf numFmtId="0" fontId="4" fillId="2" borderId="93" xfId="0" applyFont="1" applyFill="1" applyBorder="1" applyAlignment="1">
      <alignment horizontal="center" vertical="center" wrapText="1"/>
    </xf>
    <xf numFmtId="0" fontId="3" fillId="2" borderId="93" xfId="0" applyFont="1" applyFill="1" applyBorder="1" applyAlignment="1">
      <alignment horizontal="center" vertical="center" wrapText="1"/>
    </xf>
    <xf numFmtId="4" fontId="3" fillId="0" borderId="93" xfId="0" applyNumberFormat="1" applyFont="1" applyFill="1" applyBorder="1" applyAlignment="1">
      <alignment horizontal="center" vertical="center" wrapText="1"/>
    </xf>
    <xf numFmtId="2" fontId="3" fillId="2" borderId="27" xfId="0" applyNumberFormat="1" applyFont="1" applyFill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wrapText="1"/>
    </xf>
    <xf numFmtId="0" fontId="4" fillId="0" borderId="83" xfId="0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vertical="center" wrapText="1"/>
    </xf>
    <xf numFmtId="0" fontId="3" fillId="4" borderId="20" xfId="0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vertical="center" wrapText="1"/>
    </xf>
    <xf numFmtId="164" fontId="3" fillId="4" borderId="20" xfId="0" applyNumberFormat="1" applyFont="1" applyFill="1" applyBorder="1" applyAlignment="1">
      <alignment horizontal="center" vertical="center" wrapText="1"/>
    </xf>
    <xf numFmtId="164" fontId="3" fillId="4" borderId="20" xfId="0" applyNumberFormat="1" applyFont="1" applyFill="1" applyBorder="1" applyAlignment="1">
      <alignment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left" vertical="center" wrapText="1"/>
    </xf>
    <xf numFmtId="4" fontId="3" fillId="0" borderId="75" xfId="0" applyNumberFormat="1" applyFont="1" applyFill="1" applyBorder="1" applyAlignment="1">
      <alignment horizontal="center" vertical="center" wrapText="1"/>
    </xf>
    <xf numFmtId="2" fontId="3" fillId="0" borderId="75" xfId="0" applyNumberFormat="1" applyFont="1" applyBorder="1" applyAlignment="1">
      <alignment horizontal="center"/>
    </xf>
    <xf numFmtId="164" fontId="3" fillId="2" borderId="75" xfId="0" applyNumberFormat="1" applyFont="1" applyFill="1" applyBorder="1" applyAlignment="1">
      <alignment horizontal="center" vertical="center" wrapText="1"/>
    </xf>
    <xf numFmtId="164" fontId="3" fillId="2" borderId="75" xfId="0" applyNumberFormat="1" applyFont="1" applyFill="1" applyBorder="1" applyAlignment="1">
      <alignment vertical="center" wrapText="1"/>
    </xf>
    <xf numFmtId="9" fontId="4" fillId="0" borderId="0" xfId="0" applyNumberFormat="1" applyFont="1" applyFill="1" applyBorder="1" applyAlignment="1">
      <alignment vertical="center"/>
    </xf>
    <xf numFmtId="10" fontId="3" fillId="0" borderId="0" xfId="1" applyNumberFormat="1" applyFont="1" applyFill="1" applyBorder="1" applyAlignment="1"/>
    <xf numFmtId="9" fontId="3" fillId="2" borderId="0" xfId="0" applyNumberFormat="1" applyFont="1" applyFill="1" applyBorder="1" applyAlignment="1"/>
    <xf numFmtId="0" fontId="0" fillId="5" borderId="2" xfId="0" applyFill="1" applyBorder="1" applyAlignment="1">
      <alignment vertical="center"/>
    </xf>
    <xf numFmtId="0" fontId="3" fillId="2" borderId="40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4" fillId="5" borderId="72" xfId="0" applyFont="1" applyFill="1" applyBorder="1" applyAlignment="1">
      <alignment horizontal="center" vertical="center" wrapText="1"/>
    </xf>
    <xf numFmtId="0" fontId="4" fillId="5" borderId="65" xfId="0" applyFont="1" applyFill="1" applyBorder="1" applyAlignment="1">
      <alignment horizontal="center" vertical="center" wrapText="1"/>
    </xf>
    <xf numFmtId="0" fontId="4" fillId="5" borderId="65" xfId="0" applyFont="1" applyFill="1" applyBorder="1" applyAlignment="1">
      <alignment horizontal="left" vertical="center" wrapText="1"/>
    </xf>
    <xf numFmtId="164" fontId="4" fillId="5" borderId="65" xfId="2" applyFont="1" applyFill="1" applyBorder="1" applyAlignment="1">
      <alignment horizontal="center" vertical="center" wrapText="1"/>
    </xf>
    <xf numFmtId="164" fontId="4" fillId="5" borderId="66" xfId="2" applyFont="1" applyFill="1" applyBorder="1" applyAlignment="1">
      <alignment horizontal="right" vertical="center" wrapText="1"/>
    </xf>
    <xf numFmtId="2" fontId="4" fillId="0" borderId="0" xfId="0" applyNumberFormat="1" applyFont="1" applyBorder="1" applyAlignment="1"/>
    <xf numFmtId="0" fontId="4" fillId="0" borderId="0" xfId="0" applyFont="1" applyBorder="1" applyAlignment="1"/>
    <xf numFmtId="164" fontId="3" fillId="0" borderId="20" xfId="2" applyFont="1" applyFill="1" applyBorder="1" applyAlignment="1">
      <alignment vertical="center"/>
    </xf>
    <xf numFmtId="164" fontId="3" fillId="2" borderId="73" xfId="2" applyFont="1" applyFill="1" applyBorder="1" applyAlignment="1">
      <alignment horizontal="center" vertical="center" wrapText="1"/>
    </xf>
    <xf numFmtId="0" fontId="3" fillId="0" borderId="40" xfId="0" applyNumberFormat="1" applyFont="1" applyFill="1" applyBorder="1" applyAlignment="1">
      <alignment horizontal="center" vertical="center"/>
    </xf>
    <xf numFmtId="0" fontId="3" fillId="2" borderId="94" xfId="0" applyFont="1" applyFill="1" applyBorder="1" applyAlignment="1">
      <alignment horizontal="center" vertical="center" wrapText="1"/>
    </xf>
    <xf numFmtId="4" fontId="3" fillId="2" borderId="75" xfId="0" applyNumberFormat="1" applyFont="1" applyFill="1" applyBorder="1" applyAlignment="1">
      <alignment horizontal="center" vertical="center" wrapText="1"/>
    </xf>
    <xf numFmtId="164" fontId="3" fillId="2" borderId="95" xfId="0" applyNumberFormat="1" applyFont="1" applyFill="1" applyBorder="1" applyAlignment="1">
      <alignment vertical="center" wrapText="1"/>
    </xf>
    <xf numFmtId="0" fontId="4" fillId="5" borderId="20" xfId="0" quotePrefix="1" applyFont="1" applyFill="1" applyBorder="1" applyAlignment="1">
      <alignment horizontal="center" vertical="center" wrapText="1"/>
    </xf>
    <xf numFmtId="4" fontId="3" fillId="5" borderId="20" xfId="0" applyNumberFormat="1" applyFont="1" applyFill="1" applyBorder="1" applyAlignment="1">
      <alignment horizontal="center" vertical="center" wrapText="1"/>
    </xf>
    <xf numFmtId="164" fontId="3" fillId="5" borderId="20" xfId="0" applyNumberFormat="1" applyFont="1" applyFill="1" applyBorder="1" applyAlignment="1">
      <alignment horizontal="center" vertical="center" wrapText="1"/>
    </xf>
    <xf numFmtId="164" fontId="4" fillId="5" borderId="79" xfId="0" applyNumberFormat="1" applyFont="1" applyFill="1" applyBorder="1" applyAlignment="1">
      <alignment vertical="center" wrapText="1"/>
    </xf>
    <xf numFmtId="164" fontId="4" fillId="2" borderId="79" xfId="0" applyNumberFormat="1" applyFont="1" applyFill="1" applyBorder="1" applyAlignment="1">
      <alignment vertical="center" wrapText="1"/>
    </xf>
    <xf numFmtId="164" fontId="3" fillId="2" borderId="79" xfId="0" applyNumberFormat="1" applyFont="1" applyFill="1" applyBorder="1" applyAlignment="1">
      <alignment vertical="center" wrapText="1"/>
    </xf>
    <xf numFmtId="164" fontId="3" fillId="0" borderId="20" xfId="0" applyNumberFormat="1" applyFont="1" applyFill="1" applyBorder="1" applyAlignment="1">
      <alignment horizontal="right" vertical="center" wrapText="1"/>
    </xf>
    <xf numFmtId="0" fontId="3" fillId="0" borderId="20" xfId="0" applyFont="1" applyFill="1" applyBorder="1" applyAlignment="1">
      <alignment horizontal="center" vertical="center" wrapText="1"/>
    </xf>
    <xf numFmtId="164" fontId="3" fillId="0" borderId="79" xfId="0" applyNumberFormat="1" applyFont="1" applyFill="1" applyBorder="1" applyAlignment="1">
      <alignment vertical="center" wrapText="1"/>
    </xf>
    <xf numFmtId="164" fontId="3" fillId="2" borderId="78" xfId="2" applyFont="1" applyFill="1" applyBorder="1" applyAlignment="1">
      <alignment wrapText="1"/>
    </xf>
    <xf numFmtId="164" fontId="3" fillId="2" borderId="20" xfId="2" applyFont="1" applyFill="1" applyBorder="1" applyAlignment="1">
      <alignment wrapText="1"/>
    </xf>
    <xf numFmtId="164" fontId="3" fillId="2" borderId="79" xfId="2" applyFont="1" applyFill="1" applyBorder="1" applyAlignment="1">
      <alignment wrapText="1"/>
    </xf>
    <xf numFmtId="4" fontId="3" fillId="2" borderId="20" xfId="0" applyNumberFormat="1" applyFont="1" applyFill="1" applyBorder="1" applyAlignment="1">
      <alignment horizontal="right" vertical="center" wrapText="1"/>
    </xf>
    <xf numFmtId="0" fontId="3" fillId="0" borderId="20" xfId="0" applyFont="1" applyBorder="1" applyAlignment="1">
      <alignment horizontal="center"/>
    </xf>
    <xf numFmtId="0" fontId="3" fillId="4" borderId="20" xfId="0" applyFont="1" applyFill="1" applyBorder="1" applyAlignment="1">
      <alignment vertical="distributed" wrapText="1"/>
    </xf>
    <xf numFmtId="0" fontId="3" fillId="0" borderId="20" xfId="0" applyFont="1" applyFill="1" applyBorder="1" applyAlignment="1">
      <alignment vertical="distributed" wrapText="1"/>
    </xf>
    <xf numFmtId="0" fontId="3" fillId="0" borderId="20" xfId="0" quotePrefix="1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/>
    </xf>
    <xf numFmtId="164" fontId="4" fillId="0" borderId="78" xfId="2" applyFont="1" applyFill="1" applyBorder="1" applyAlignment="1">
      <alignment wrapText="1"/>
    </xf>
    <xf numFmtId="164" fontId="4" fillId="0" borderId="20" xfId="2" applyFont="1" applyFill="1" applyBorder="1" applyAlignment="1">
      <alignment wrapText="1"/>
    </xf>
    <xf numFmtId="0" fontId="3" fillId="4" borderId="78" xfId="0" applyFont="1" applyFill="1" applyBorder="1" applyAlignment="1">
      <alignment horizontal="center" vertical="center" wrapText="1"/>
    </xf>
    <xf numFmtId="0" fontId="0" fillId="0" borderId="20" xfId="0" applyNumberFormat="1" applyFill="1" applyBorder="1"/>
    <xf numFmtId="0" fontId="4" fillId="4" borderId="20" xfId="0" applyFont="1" applyFill="1" applyBorder="1" applyAlignment="1">
      <alignment horizontal="left" vertical="center" wrapText="1"/>
    </xf>
    <xf numFmtId="1" fontId="4" fillId="0" borderId="11" xfId="1" applyNumberFormat="1" applyFont="1" applyFill="1" applyBorder="1" applyAlignment="1">
      <alignment horizontal="center" vertical="center"/>
    </xf>
    <xf numFmtId="1" fontId="4" fillId="0" borderId="14" xfId="1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164" fontId="3" fillId="0" borderId="21" xfId="2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left" vertical="distributed" wrapText="1"/>
    </xf>
    <xf numFmtId="164" fontId="3" fillId="9" borderId="20" xfId="2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left" vertical="center" wrapText="1"/>
    </xf>
    <xf numFmtId="0" fontId="3" fillId="9" borderId="20" xfId="0" quotePrefix="1" applyFont="1" applyFill="1" applyBorder="1" applyAlignment="1">
      <alignment horizontal="center" vertical="center" wrapText="1"/>
    </xf>
    <xf numFmtId="164" fontId="3" fillId="9" borderId="20" xfId="2" applyFont="1" applyFill="1" applyBorder="1" applyAlignment="1">
      <alignment horizontal="center" vertical="center"/>
    </xf>
    <xf numFmtId="164" fontId="3" fillId="9" borderId="79" xfId="2" applyFont="1" applyFill="1" applyBorder="1" applyAlignment="1">
      <alignment horizontal="center" vertical="center" wrapText="1"/>
    </xf>
    <xf numFmtId="0" fontId="4" fillId="10" borderId="20" xfId="0" applyFont="1" applyFill="1" applyBorder="1" applyAlignment="1">
      <alignment horizontal="center" vertical="center" wrapText="1"/>
    </xf>
    <xf numFmtId="0" fontId="4" fillId="10" borderId="20" xfId="0" applyFont="1" applyFill="1" applyBorder="1" applyAlignment="1">
      <alignment horizontal="left" vertical="distributed" wrapText="1"/>
    </xf>
    <xf numFmtId="0" fontId="3" fillId="10" borderId="20" xfId="0" applyFont="1" applyFill="1" applyBorder="1" applyAlignment="1">
      <alignment horizontal="center" vertical="center" wrapText="1"/>
    </xf>
    <xf numFmtId="164" fontId="3" fillId="10" borderId="20" xfId="2" applyFont="1" applyFill="1" applyBorder="1" applyAlignment="1">
      <alignment horizontal="center" vertical="center" wrapText="1"/>
    </xf>
    <xf numFmtId="164" fontId="4" fillId="10" borderId="20" xfId="2" applyFont="1" applyFill="1" applyBorder="1" applyAlignment="1">
      <alignment horizontal="center" vertical="center" wrapText="1"/>
    </xf>
    <xf numFmtId="0" fontId="3" fillId="10" borderId="20" xfId="0" quotePrefix="1" applyFont="1" applyFill="1" applyBorder="1" applyAlignment="1">
      <alignment horizontal="center" vertical="center" wrapText="1"/>
    </xf>
    <xf numFmtId="0" fontId="3" fillId="10" borderId="20" xfId="0" applyFont="1" applyFill="1" applyBorder="1" applyAlignment="1">
      <alignment horizontal="left" vertical="distributed" wrapText="1"/>
    </xf>
    <xf numFmtId="164" fontId="3" fillId="10" borderId="20" xfId="2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left" vertical="center" wrapText="1"/>
    </xf>
    <xf numFmtId="164" fontId="3" fillId="10" borderId="79" xfId="2" applyFont="1" applyFill="1" applyBorder="1" applyAlignment="1">
      <alignment horizontal="center" vertical="center" wrapText="1"/>
    </xf>
    <xf numFmtId="164" fontId="4" fillId="5" borderId="68" xfId="2" applyFont="1" applyFill="1" applyBorder="1" applyAlignment="1">
      <alignment horizontal="center" vertical="center" wrapText="1"/>
    </xf>
    <xf numFmtId="164" fontId="4" fillId="5" borderId="28" xfId="2" applyFont="1" applyFill="1" applyBorder="1" applyAlignment="1">
      <alignment horizontal="center" vertical="center" wrapText="1"/>
    </xf>
    <xf numFmtId="164" fontId="4" fillId="5" borderId="71" xfId="2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69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70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left" vertical="center"/>
    </xf>
    <xf numFmtId="0" fontId="4" fillId="5" borderId="34" xfId="0" applyFont="1" applyFill="1" applyBorder="1" applyAlignment="1">
      <alignment horizontal="left" vertical="center"/>
    </xf>
    <xf numFmtId="14" fontId="4" fillId="5" borderId="34" xfId="0" quotePrefix="1" applyNumberFormat="1" applyFont="1" applyFill="1" applyBorder="1" applyAlignment="1">
      <alignment horizontal="right" vertical="center" wrapText="1"/>
    </xf>
    <xf numFmtId="14" fontId="4" fillId="5" borderId="47" xfId="0" quotePrefix="1" applyNumberFormat="1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5" borderId="32" xfId="2" applyFont="1" applyFill="1" applyBorder="1" applyAlignment="1">
      <alignment horizontal="center" vertical="center" wrapText="1"/>
    </xf>
    <xf numFmtId="164" fontId="4" fillId="5" borderId="27" xfId="2" applyFont="1" applyFill="1" applyBorder="1" applyAlignment="1">
      <alignment horizontal="center" vertical="center" wrapText="1"/>
    </xf>
    <xf numFmtId="164" fontId="4" fillId="5" borderId="70" xfId="2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4" fontId="6" fillId="5" borderId="4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3" fillId="0" borderId="36" xfId="0" applyFont="1" applyBorder="1" applyAlignment="1">
      <alignment horizontal="right" vertical="center" wrapText="1"/>
    </xf>
    <xf numFmtId="0" fontId="3" fillId="0" borderId="37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0" fontId="3" fillId="0" borderId="88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3" fillId="2" borderId="73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" fontId="15" fillId="2" borderId="24" xfId="0" applyNumberFormat="1" applyFont="1" applyFill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4" fillId="2" borderId="77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4" fontId="15" fillId="0" borderId="24" xfId="0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3" fillId="4" borderId="73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84" xfId="0" applyFont="1" applyFill="1" applyBorder="1" applyAlignment="1">
      <alignment horizontal="center" vertical="center" wrapText="1"/>
    </xf>
    <xf numFmtId="0" fontId="3" fillId="4" borderId="85" xfId="0" applyFont="1" applyFill="1" applyBorder="1" applyAlignment="1">
      <alignment horizontal="center" vertical="center" wrapText="1"/>
    </xf>
    <xf numFmtId="0" fontId="3" fillId="4" borderId="88" xfId="0" applyFont="1" applyFill="1" applyBorder="1" applyAlignment="1">
      <alignment horizontal="center" vertical="center" wrapText="1"/>
    </xf>
    <xf numFmtId="0" fontId="3" fillId="4" borderId="89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6" fillId="5" borderId="41" xfId="0" applyFont="1" applyFill="1" applyBorder="1" applyAlignment="1">
      <alignment vertical="center" wrapText="1"/>
    </xf>
    <xf numFmtId="0" fontId="6" fillId="5" borderId="42" xfId="0" applyFont="1" applyFill="1" applyBorder="1" applyAlignment="1">
      <alignment vertical="center" wrapText="1"/>
    </xf>
    <xf numFmtId="0" fontId="6" fillId="5" borderId="43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0" fillId="5" borderId="20" xfId="0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0" fontId="12" fillId="0" borderId="65" xfId="0" applyFont="1" applyBorder="1" applyAlignment="1">
      <alignment horizontal="center"/>
    </xf>
    <xf numFmtId="0" fontId="0" fillId="5" borderId="73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5" fillId="0" borderId="7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3" fontId="3" fillId="4" borderId="0" xfId="0" applyNumberFormat="1" applyFont="1" applyFill="1" applyBorder="1" applyAlignment="1"/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va%20Crixas/Or&#231;amento/Orcamento%20Nova%20Crix&#225;s%20rev-00%20-%20Car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OMPOSIÇÕES DE CUSTO"/>
      <sheetName val="CRONOGRAMA"/>
      <sheetName val="INSTALAÇÕES ELÉTRICAS"/>
      <sheetName val="BDI'S"/>
      <sheetName val="BDI'M"/>
      <sheetName val="Plan1"/>
    </sheetNames>
    <sheetDataSet>
      <sheetData sheetId="0">
        <row r="234">
          <cell r="D234" t="str">
            <v>FORNECIMENTO E INSTALACAO DE CALHA PARSHALL 3" EM FIBRA DE VIDRO</v>
          </cell>
        </row>
        <row r="268">
          <cell r="D268" t="str">
            <v>APLICAÇÃO DO MATERIAL HIDRÁULICO DA ELEVATÓRIA</v>
          </cell>
        </row>
        <row r="296">
          <cell r="D296" t="str">
            <v>FORNECIMENTO DO MATERIAL HIDRÁULICO DO UASB</v>
          </cell>
        </row>
        <row r="297">
          <cell r="D297" t="str">
            <v>APLICAÇÃO DO MATERIAL HIDRÁULICO DO UASB</v>
          </cell>
        </row>
      </sheetData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3"/>
  <sheetViews>
    <sheetView tabSelected="1" view="pageBreakPreview" zoomScale="85" zoomScaleNormal="75" zoomScaleSheetLayoutView="85" workbookViewId="0">
      <selection activeCell="D140" sqref="D140"/>
    </sheetView>
  </sheetViews>
  <sheetFormatPr defaultRowHeight="14.25" x14ac:dyDescent="0.2"/>
  <cols>
    <col min="1" max="1" width="9.28515625" style="2" bestFit="1" customWidth="1"/>
    <col min="2" max="2" width="14.7109375" style="2" customWidth="1"/>
    <col min="3" max="3" width="12.7109375" style="2" customWidth="1"/>
    <col min="4" max="4" width="90.7109375" style="46" customWidth="1"/>
    <col min="5" max="5" width="9.7109375" style="2" customWidth="1"/>
    <col min="6" max="6" width="12.7109375" style="60" customWidth="1"/>
    <col min="7" max="8" width="14.7109375" style="60" customWidth="1"/>
    <col min="9" max="9" width="15.7109375" style="61" customWidth="1"/>
    <col min="10" max="10" width="11.42578125" style="1" customWidth="1"/>
    <col min="11" max="11" width="17.7109375" style="1" customWidth="1"/>
    <col min="12" max="12" width="19" style="1" customWidth="1"/>
    <col min="13" max="13" width="11.140625" style="1" customWidth="1"/>
    <col min="14" max="14" width="10.42578125" style="1" bestFit="1" customWidth="1"/>
    <col min="15" max="16384" width="9.140625" style="1"/>
  </cols>
  <sheetData>
    <row r="1" spans="1:17" ht="32.25" customHeight="1" thickTop="1" thickBot="1" x14ac:dyDescent="0.25">
      <c r="A1" s="606" t="s">
        <v>515</v>
      </c>
      <c r="B1" s="607"/>
      <c r="C1" s="607"/>
      <c r="D1" s="607"/>
      <c r="E1" s="607"/>
      <c r="F1" s="607"/>
      <c r="G1" s="607"/>
      <c r="H1" s="607"/>
      <c r="I1" s="608"/>
      <c r="J1" s="3"/>
      <c r="K1" s="115" t="s">
        <v>288</v>
      </c>
      <c r="L1" s="4"/>
      <c r="M1" s="4"/>
      <c r="N1" s="4"/>
      <c r="O1" s="4"/>
      <c r="P1" s="4"/>
      <c r="Q1" s="4"/>
    </row>
    <row r="2" spans="1:17" ht="4.5" customHeight="1" thickBot="1" x14ac:dyDescent="0.25">
      <c r="A2" s="212"/>
      <c r="B2" s="213"/>
      <c r="C2" s="213"/>
      <c r="D2" s="214"/>
      <c r="E2" s="213"/>
      <c r="F2" s="215"/>
      <c r="G2" s="216"/>
      <c r="H2" s="216"/>
      <c r="I2" s="217"/>
      <c r="J2" s="3"/>
      <c r="K2" s="4"/>
      <c r="L2" s="4"/>
      <c r="M2" s="4"/>
      <c r="N2" s="4"/>
      <c r="O2" s="4"/>
      <c r="P2" s="4"/>
      <c r="Q2" s="4"/>
    </row>
    <row r="3" spans="1:17" ht="15.75" customHeight="1" thickTop="1" thickBot="1" x14ac:dyDescent="0.25">
      <c r="A3" s="618" t="s">
        <v>777</v>
      </c>
      <c r="B3" s="619"/>
      <c r="C3" s="619"/>
      <c r="D3" s="619"/>
      <c r="E3" s="619"/>
      <c r="F3" s="619"/>
      <c r="G3" s="619"/>
      <c r="H3" s="620" t="s">
        <v>784</v>
      </c>
      <c r="I3" s="621"/>
      <c r="J3" s="3"/>
      <c r="K3" s="116">
        <v>0.25</v>
      </c>
      <c r="L3" s="4"/>
      <c r="M3" s="4"/>
      <c r="N3" s="4"/>
      <c r="O3" s="4"/>
      <c r="P3" s="4"/>
      <c r="Q3" s="4"/>
    </row>
    <row r="4" spans="1:17" ht="4.5" customHeight="1" thickBot="1" x14ac:dyDescent="0.25">
      <c r="A4" s="218"/>
      <c r="B4" s="219"/>
      <c r="C4" s="219"/>
      <c r="D4" s="220"/>
      <c r="E4" s="219"/>
      <c r="F4" s="221"/>
      <c r="G4" s="222"/>
      <c r="H4" s="222"/>
      <c r="I4" s="223"/>
      <c r="J4" s="3"/>
      <c r="K4" s="4"/>
      <c r="L4" s="4"/>
      <c r="M4" s="4"/>
      <c r="N4" s="4"/>
      <c r="O4" s="4"/>
      <c r="P4" s="4"/>
      <c r="Q4" s="4"/>
    </row>
    <row r="5" spans="1:17" ht="15.75" customHeight="1" thickTop="1" thickBot="1" x14ac:dyDescent="0.25">
      <c r="A5" s="622" t="s">
        <v>778</v>
      </c>
      <c r="B5" s="623"/>
      <c r="C5" s="623"/>
      <c r="D5" s="623"/>
      <c r="E5" s="623"/>
      <c r="F5" s="623"/>
      <c r="G5" s="623"/>
      <c r="H5" s="623"/>
      <c r="I5" s="181"/>
      <c r="J5" s="3"/>
      <c r="K5" s="116">
        <v>0.12</v>
      </c>
      <c r="L5" s="4"/>
      <c r="M5" s="4"/>
      <c r="N5" s="4"/>
      <c r="O5" s="4"/>
      <c r="P5" s="4"/>
      <c r="Q5" s="4"/>
    </row>
    <row r="6" spans="1:17" ht="4.5" customHeight="1" thickBot="1" x14ac:dyDescent="0.25">
      <c r="A6" s="218"/>
      <c r="B6" s="219"/>
      <c r="C6" s="219"/>
      <c r="D6" s="220"/>
      <c r="E6" s="219"/>
      <c r="F6" s="221"/>
      <c r="G6" s="222"/>
      <c r="H6" s="222"/>
      <c r="I6" s="223"/>
      <c r="J6" s="3"/>
      <c r="K6" s="4">
        <v>0.18</v>
      </c>
      <c r="L6" s="4"/>
      <c r="M6" s="4"/>
      <c r="N6" s="4"/>
      <c r="O6" s="4"/>
      <c r="P6" s="4"/>
      <c r="Q6" s="4"/>
    </row>
    <row r="7" spans="1:17" ht="15" customHeight="1" thickBot="1" x14ac:dyDescent="0.25">
      <c r="A7" s="622" t="s">
        <v>779</v>
      </c>
      <c r="B7" s="623"/>
      <c r="C7" s="623"/>
      <c r="D7" s="623"/>
      <c r="E7" s="623"/>
      <c r="F7" s="623"/>
      <c r="G7" s="623"/>
      <c r="H7" s="623"/>
      <c r="I7" s="182"/>
      <c r="J7" s="114"/>
      <c r="K7" s="4"/>
      <c r="L7" s="4"/>
      <c r="M7" s="4"/>
      <c r="N7" s="4"/>
      <c r="O7" s="4"/>
      <c r="P7" s="4"/>
      <c r="Q7" s="4"/>
    </row>
    <row r="8" spans="1:17" ht="4.5" customHeight="1" thickBot="1" x14ac:dyDescent="0.25">
      <c r="A8" s="624"/>
      <c r="B8" s="625"/>
      <c r="C8" s="625"/>
      <c r="D8" s="625"/>
      <c r="E8" s="625"/>
      <c r="F8" s="625"/>
      <c r="G8" s="625"/>
      <c r="H8" s="625"/>
      <c r="I8" s="626"/>
      <c r="J8" s="3"/>
      <c r="K8" s="4"/>
      <c r="L8" s="4"/>
      <c r="M8" s="4"/>
      <c r="N8" s="4"/>
      <c r="O8" s="4"/>
      <c r="P8" s="4"/>
      <c r="Q8" s="4"/>
    </row>
    <row r="9" spans="1:17" ht="14.25" customHeight="1" x14ac:dyDescent="0.2">
      <c r="A9" s="612" t="s">
        <v>89</v>
      </c>
      <c r="B9" s="609" t="s">
        <v>90</v>
      </c>
      <c r="C9" s="609" t="s">
        <v>91</v>
      </c>
      <c r="D9" s="615" t="s">
        <v>92</v>
      </c>
      <c r="E9" s="609" t="s">
        <v>93</v>
      </c>
      <c r="F9" s="609" t="s">
        <v>94</v>
      </c>
      <c r="G9" s="627" t="s">
        <v>516</v>
      </c>
      <c r="H9" s="627" t="s">
        <v>517</v>
      </c>
      <c r="I9" s="603" t="s">
        <v>518</v>
      </c>
      <c r="J9" s="3"/>
      <c r="K9" s="4"/>
      <c r="L9" s="4"/>
      <c r="M9" s="4"/>
      <c r="N9" s="4"/>
      <c r="O9" s="4"/>
      <c r="P9" s="4"/>
      <c r="Q9" s="4"/>
    </row>
    <row r="10" spans="1:17" ht="30.75" customHeight="1" x14ac:dyDescent="0.2">
      <c r="A10" s="613"/>
      <c r="B10" s="610"/>
      <c r="C10" s="610"/>
      <c r="D10" s="616"/>
      <c r="E10" s="610"/>
      <c r="F10" s="610"/>
      <c r="G10" s="628"/>
      <c r="H10" s="628"/>
      <c r="I10" s="604"/>
      <c r="J10" s="3"/>
      <c r="K10" s="4"/>
      <c r="L10" s="4"/>
      <c r="M10" s="4"/>
      <c r="N10" s="4"/>
      <c r="O10" s="4"/>
      <c r="P10" s="4"/>
      <c r="Q10" s="4"/>
    </row>
    <row r="11" spans="1:17" ht="21" customHeight="1" thickBot="1" x14ac:dyDescent="0.25">
      <c r="A11" s="614"/>
      <c r="B11" s="611"/>
      <c r="C11" s="611"/>
      <c r="D11" s="617"/>
      <c r="E11" s="611"/>
      <c r="F11" s="611"/>
      <c r="G11" s="629"/>
      <c r="H11" s="629"/>
      <c r="I11" s="605"/>
      <c r="J11" s="3"/>
      <c r="K11" s="4"/>
      <c r="L11" s="4"/>
      <c r="M11" s="4"/>
      <c r="N11" s="4"/>
      <c r="O11" s="4"/>
      <c r="P11" s="4"/>
      <c r="Q11" s="4"/>
    </row>
    <row r="12" spans="1:17" ht="15.75" thickTop="1" x14ac:dyDescent="0.2">
      <c r="A12" s="258"/>
      <c r="B12" s="259"/>
      <c r="C12" s="259"/>
      <c r="D12" s="260" t="s">
        <v>95</v>
      </c>
      <c r="E12" s="259"/>
      <c r="F12" s="261"/>
      <c r="G12" s="261"/>
      <c r="H12" s="261"/>
      <c r="I12" s="262"/>
      <c r="J12" s="3"/>
      <c r="K12" s="4"/>
      <c r="L12" s="4"/>
      <c r="M12" s="130" t="s">
        <v>309</v>
      </c>
      <c r="N12" s="4"/>
      <c r="O12" s="4"/>
      <c r="P12" s="4"/>
      <c r="Q12" s="4"/>
    </row>
    <row r="13" spans="1:17" ht="30" x14ac:dyDescent="0.2">
      <c r="A13" s="47"/>
      <c r="B13" s="48"/>
      <c r="C13" s="48"/>
      <c r="D13" s="52" t="s">
        <v>1594</v>
      </c>
      <c r="E13" s="48"/>
      <c r="F13" s="57"/>
      <c r="G13" s="57"/>
      <c r="H13" s="57"/>
      <c r="I13" s="113"/>
      <c r="J13" s="4"/>
      <c r="K13" s="4"/>
      <c r="L13" s="4"/>
      <c r="M13" s="131"/>
      <c r="N13" s="4"/>
      <c r="O13" s="4"/>
      <c r="P13" s="4"/>
      <c r="Q13" s="4"/>
    </row>
    <row r="14" spans="1:17" ht="14.1" customHeight="1" thickBot="1" x14ac:dyDescent="0.25">
      <c r="A14" s="172"/>
      <c r="B14" s="143"/>
      <c r="C14" s="143"/>
      <c r="D14" s="200"/>
      <c r="E14" s="143"/>
      <c r="F14" s="144"/>
      <c r="G14" s="144"/>
      <c r="H14" s="144"/>
      <c r="I14" s="178"/>
      <c r="J14" s="3"/>
      <c r="K14" s="4"/>
      <c r="L14" s="4"/>
      <c r="M14" s="131"/>
      <c r="N14" s="4"/>
      <c r="O14" s="4"/>
      <c r="P14" s="4"/>
      <c r="Q14" s="4"/>
    </row>
    <row r="15" spans="1:17" ht="16.5" thickTop="1" thickBot="1" x14ac:dyDescent="0.25">
      <c r="A15" s="204" t="str">
        <f>A48</f>
        <v>01.00</v>
      </c>
      <c r="B15" s="205"/>
      <c r="C15" s="205"/>
      <c r="D15" s="206" t="str">
        <f>D48</f>
        <v>MOBILIZAÇÃO E DESMOBILIZAÇÃO</v>
      </c>
      <c r="E15" s="205"/>
      <c r="F15" s="207"/>
      <c r="G15" s="207"/>
      <c r="H15" s="207"/>
      <c r="I15" s="208">
        <f>I48</f>
        <v>269358.08000000002</v>
      </c>
      <c r="J15" s="3"/>
      <c r="K15" s="129">
        <f>I15/I44</f>
        <v>4.5364981604559138E-2</v>
      </c>
      <c r="L15" s="4"/>
      <c r="M15" s="132">
        <v>0.04</v>
      </c>
      <c r="N15" s="4"/>
      <c r="O15" s="4"/>
      <c r="P15" s="4"/>
      <c r="Q15" s="4"/>
    </row>
    <row r="16" spans="1:17" ht="14.1" customHeight="1" thickTop="1" thickBot="1" x14ac:dyDescent="0.25">
      <c r="A16" s="172"/>
      <c r="B16" s="143"/>
      <c r="C16" s="143"/>
      <c r="D16" s="200"/>
      <c r="E16" s="143"/>
      <c r="F16" s="144"/>
      <c r="G16" s="144"/>
      <c r="H16" s="144"/>
      <c r="I16" s="178"/>
      <c r="J16" s="3"/>
      <c r="K16" s="4"/>
      <c r="L16" s="4"/>
      <c r="M16" s="131"/>
      <c r="N16" s="4"/>
      <c r="O16" s="4"/>
      <c r="P16" s="4"/>
      <c r="Q16" s="4"/>
    </row>
    <row r="17" spans="1:17" ht="16.5" thickTop="1" thickBot="1" x14ac:dyDescent="0.25">
      <c r="A17" s="204" t="str">
        <f>A61</f>
        <v>02.00</v>
      </c>
      <c r="B17" s="205"/>
      <c r="C17" s="205"/>
      <c r="D17" s="206" t="str">
        <f>D61</f>
        <v>ADMINISTRAÇÃO DA OBRA</v>
      </c>
      <c r="E17" s="205"/>
      <c r="F17" s="207"/>
      <c r="G17" s="207"/>
      <c r="H17" s="207"/>
      <c r="I17" s="208">
        <f>I61</f>
        <v>655604</v>
      </c>
      <c r="J17" s="3"/>
      <c r="K17" s="129">
        <f>I17/I44</f>
        <v>0.11041608033393834</v>
      </c>
      <c r="L17" s="4"/>
      <c r="M17" s="133">
        <v>0.1</v>
      </c>
      <c r="N17" s="4"/>
      <c r="O17" s="4"/>
      <c r="P17" s="4"/>
      <c r="Q17" s="4"/>
    </row>
    <row r="18" spans="1:17" ht="14.1" customHeight="1" thickTop="1" thickBot="1" x14ac:dyDescent="0.25">
      <c r="A18" s="172"/>
      <c r="B18" s="143"/>
      <c r="C18" s="143"/>
      <c r="D18" s="200"/>
      <c r="E18" s="143"/>
      <c r="F18" s="144"/>
      <c r="G18" s="144"/>
      <c r="H18" s="144"/>
      <c r="I18" s="178"/>
      <c r="J18" s="3"/>
      <c r="K18" s="4"/>
      <c r="L18" s="4"/>
      <c r="M18" s="4"/>
      <c r="N18" s="4"/>
      <c r="O18" s="4"/>
      <c r="P18" s="4"/>
      <c r="Q18" s="4"/>
    </row>
    <row r="19" spans="1:17" ht="16.5" thickTop="1" thickBot="1" x14ac:dyDescent="0.3">
      <c r="A19" s="204" t="str">
        <f>A64</f>
        <v>03.00</v>
      </c>
      <c r="B19" s="205"/>
      <c r="C19" s="205"/>
      <c r="D19" s="206" t="str">
        <f>D64</f>
        <v>REDE COLETORA DE ESGOTOS</v>
      </c>
      <c r="E19" s="205"/>
      <c r="F19" s="207"/>
      <c r="G19" s="207"/>
      <c r="H19" s="207"/>
      <c r="I19" s="208">
        <f>I64</f>
        <v>4024517.9899999998</v>
      </c>
      <c r="J19" s="3"/>
      <c r="K19" s="145">
        <f>I19/F66</f>
        <v>274.42620937579477</v>
      </c>
      <c r="L19" s="146" t="s">
        <v>409</v>
      </c>
      <c r="M19" s="4"/>
      <c r="N19" s="4"/>
      <c r="O19" s="4"/>
      <c r="P19" s="4"/>
      <c r="Q19" s="4"/>
    </row>
    <row r="20" spans="1:17" ht="15.75" thickTop="1" x14ac:dyDescent="0.25">
      <c r="A20" s="172"/>
      <c r="B20" s="143"/>
      <c r="C20" s="143"/>
      <c r="D20" s="200"/>
      <c r="E20" s="143"/>
      <c r="F20" s="144"/>
      <c r="G20" s="144"/>
      <c r="H20" s="144"/>
      <c r="I20" s="178"/>
      <c r="J20" s="3"/>
      <c r="K20" s="549"/>
      <c r="L20" s="550"/>
      <c r="M20" s="4"/>
      <c r="N20" s="4"/>
      <c r="O20" s="4"/>
      <c r="P20" s="4"/>
      <c r="Q20" s="4"/>
    </row>
    <row r="21" spans="1:17" ht="15" x14ac:dyDescent="0.25">
      <c r="A21" s="544" t="str">
        <f>ORÇAMENTO!A134</f>
        <v>04.00</v>
      </c>
      <c r="B21" s="545"/>
      <c r="C21" s="545"/>
      <c r="D21" s="546" t="str">
        <f>D134</f>
        <v>ELEVATÓRIA E LINHA DE RECALQUE - BAIRRO MIGUEL VIEIRA</v>
      </c>
      <c r="E21" s="545"/>
      <c r="F21" s="547"/>
      <c r="G21" s="547"/>
      <c r="H21" s="547"/>
      <c r="I21" s="548">
        <f>I134</f>
        <v>138615.96</v>
      </c>
      <c r="J21" s="3"/>
      <c r="K21" s="549"/>
      <c r="L21" s="550"/>
      <c r="M21" s="4"/>
      <c r="N21" s="4"/>
      <c r="O21" s="4"/>
      <c r="P21" s="4"/>
      <c r="Q21" s="4"/>
    </row>
    <row r="22" spans="1:17" ht="14.1" customHeight="1" x14ac:dyDescent="0.2">
      <c r="A22" s="172"/>
      <c r="B22" s="143"/>
      <c r="C22" s="143"/>
      <c r="D22" s="200"/>
      <c r="E22" s="143"/>
      <c r="F22" s="144"/>
      <c r="G22" s="144"/>
      <c r="H22" s="144"/>
      <c r="I22" s="178"/>
      <c r="J22" s="3"/>
      <c r="K22" s="4"/>
      <c r="L22" s="4"/>
      <c r="M22" s="4"/>
      <c r="N22" s="4"/>
      <c r="O22" s="4"/>
      <c r="P22" s="4"/>
      <c r="Q22" s="4"/>
    </row>
    <row r="23" spans="1:17" ht="15" x14ac:dyDescent="0.2">
      <c r="A23" s="204" t="str">
        <f>A172</f>
        <v>05.01</v>
      </c>
      <c r="B23" s="205"/>
      <c r="C23" s="205"/>
      <c r="D23" s="206" t="str">
        <f>D172</f>
        <v xml:space="preserve">TERRAPLENAGEM </v>
      </c>
      <c r="E23" s="205"/>
      <c r="F23" s="207"/>
      <c r="G23" s="207"/>
      <c r="H23" s="207"/>
      <c r="I23" s="208">
        <f>I172</f>
        <v>36908.03</v>
      </c>
      <c r="J23" s="63"/>
      <c r="K23" s="62"/>
      <c r="L23" s="4"/>
      <c r="M23" s="4"/>
      <c r="N23" s="4"/>
      <c r="O23" s="4"/>
      <c r="P23" s="4"/>
      <c r="Q23" s="4"/>
    </row>
    <row r="24" spans="1:17" ht="14.1" customHeight="1" x14ac:dyDescent="0.2">
      <c r="A24" s="172"/>
      <c r="B24" s="143"/>
      <c r="C24" s="143"/>
      <c r="D24" s="200"/>
      <c r="E24" s="143"/>
      <c r="F24" s="144"/>
      <c r="G24" s="144"/>
      <c r="H24" s="144"/>
      <c r="I24" s="178"/>
      <c r="J24" s="3"/>
      <c r="K24" s="4"/>
      <c r="L24" s="4"/>
      <c r="M24" s="4"/>
      <c r="N24" s="4"/>
      <c r="O24" s="4"/>
      <c r="P24" s="4"/>
      <c r="Q24" s="4"/>
    </row>
    <row r="25" spans="1:17" ht="15" x14ac:dyDescent="0.2">
      <c r="A25" s="204" t="str">
        <f>A180</f>
        <v>05.02</v>
      </c>
      <c r="B25" s="205"/>
      <c r="C25" s="205"/>
      <c r="D25" s="206" t="str">
        <f>D180</f>
        <v>TRATAMENTO PRELIMINAR</v>
      </c>
      <c r="E25" s="205"/>
      <c r="F25" s="207"/>
      <c r="G25" s="207"/>
      <c r="H25" s="207"/>
      <c r="I25" s="208">
        <f>I180</f>
        <v>11254.910000000002</v>
      </c>
      <c r="J25" s="3"/>
      <c r="K25" s="4"/>
      <c r="L25" s="4"/>
      <c r="M25" s="4"/>
      <c r="N25" s="4"/>
      <c r="O25" s="4"/>
      <c r="P25" s="4"/>
      <c r="Q25" s="4"/>
    </row>
    <row r="26" spans="1:17" ht="14.1" customHeight="1" x14ac:dyDescent="0.2">
      <c r="A26" s="172"/>
      <c r="B26" s="143"/>
      <c r="C26" s="143"/>
      <c r="D26" s="200"/>
      <c r="E26" s="143"/>
      <c r="F26" s="144"/>
      <c r="G26" s="144"/>
      <c r="H26" s="144"/>
      <c r="I26" s="178"/>
      <c r="J26" s="3"/>
      <c r="K26" s="4"/>
      <c r="L26" s="4"/>
      <c r="M26" s="4"/>
      <c r="N26" s="4"/>
      <c r="O26" s="4"/>
      <c r="P26" s="4"/>
      <c r="Q26" s="4"/>
    </row>
    <row r="27" spans="1:17" ht="15" x14ac:dyDescent="0.2">
      <c r="A27" s="204" t="str">
        <f>A205</f>
        <v>05.03</v>
      </c>
      <c r="B27" s="205"/>
      <c r="C27" s="205"/>
      <c r="D27" s="206" t="str">
        <f>D205</f>
        <v>ELEVATÓRIA PÓS TRATAMENTO PRELIMINAR</v>
      </c>
      <c r="E27" s="205"/>
      <c r="F27" s="207"/>
      <c r="G27" s="207"/>
      <c r="H27" s="207"/>
      <c r="I27" s="208">
        <f>I205</f>
        <v>51898.71</v>
      </c>
      <c r="J27" s="3"/>
      <c r="K27" s="4"/>
      <c r="L27" s="4"/>
      <c r="M27" s="4"/>
      <c r="N27" s="4"/>
      <c r="O27" s="4"/>
      <c r="P27" s="4"/>
      <c r="Q27" s="4"/>
    </row>
    <row r="28" spans="1:17" ht="14.1" customHeight="1" x14ac:dyDescent="0.2">
      <c r="A28" s="172"/>
      <c r="B28" s="143"/>
      <c r="C28" s="143"/>
      <c r="D28" s="200"/>
      <c r="E28" s="143"/>
      <c r="F28" s="144"/>
      <c r="G28" s="144"/>
      <c r="H28" s="144"/>
      <c r="I28" s="178"/>
      <c r="J28" s="3"/>
      <c r="K28" s="4"/>
      <c r="L28" s="4"/>
      <c r="M28" s="4"/>
      <c r="N28" s="4"/>
      <c r="O28" s="4"/>
      <c r="P28" s="4"/>
      <c r="Q28" s="4"/>
    </row>
    <row r="29" spans="1:17" ht="15" x14ac:dyDescent="0.2">
      <c r="A29" s="204" t="str">
        <f>A225</f>
        <v>05.04</v>
      </c>
      <c r="B29" s="205"/>
      <c r="C29" s="205"/>
      <c r="D29" s="206" t="str">
        <f>D225</f>
        <v>REATOR UASB</v>
      </c>
      <c r="E29" s="205"/>
      <c r="F29" s="207"/>
      <c r="G29" s="207"/>
      <c r="H29" s="207"/>
      <c r="I29" s="208">
        <f>I225</f>
        <v>270062.65000000002</v>
      </c>
      <c r="J29" s="3"/>
      <c r="K29" s="4"/>
      <c r="L29" s="4"/>
      <c r="M29" s="4"/>
      <c r="N29" s="4"/>
      <c r="O29" s="4"/>
      <c r="P29" s="4"/>
      <c r="Q29" s="4"/>
    </row>
    <row r="30" spans="1:17" ht="14.1" customHeight="1" x14ac:dyDescent="0.2">
      <c r="A30" s="172"/>
      <c r="B30" s="143"/>
      <c r="C30" s="143"/>
      <c r="D30" s="200"/>
      <c r="E30" s="143"/>
      <c r="F30" s="144"/>
      <c r="G30" s="144"/>
      <c r="H30" s="144"/>
      <c r="I30" s="178"/>
      <c r="J30" s="3"/>
      <c r="K30" s="4"/>
      <c r="L30" s="4"/>
      <c r="M30" s="4"/>
      <c r="N30" s="4"/>
      <c r="O30" s="4"/>
      <c r="P30" s="4"/>
      <c r="Q30" s="4"/>
    </row>
    <row r="31" spans="1:17" ht="15" x14ac:dyDescent="0.2">
      <c r="A31" s="204" t="str">
        <f>A252</f>
        <v>05.05</v>
      </c>
      <c r="B31" s="205"/>
      <c r="C31" s="205"/>
      <c r="D31" s="206" t="str">
        <f>D252</f>
        <v>FILTRO ANAERÓBIO DE FLUXO ASCENDENTE</v>
      </c>
      <c r="E31" s="205"/>
      <c r="F31" s="207"/>
      <c r="G31" s="207"/>
      <c r="H31" s="207"/>
      <c r="I31" s="208">
        <f>I252</f>
        <v>199848.8</v>
      </c>
      <c r="J31" s="3"/>
      <c r="K31" s="4"/>
      <c r="L31" s="4"/>
      <c r="M31" s="4"/>
      <c r="N31" s="4"/>
      <c r="O31" s="4"/>
      <c r="P31" s="4"/>
      <c r="Q31" s="4"/>
    </row>
    <row r="32" spans="1:17" ht="14.1" customHeight="1" x14ac:dyDescent="0.2">
      <c r="A32" s="172"/>
      <c r="B32" s="143"/>
      <c r="C32" s="143"/>
      <c r="D32" s="200"/>
      <c r="E32" s="143"/>
      <c r="F32" s="144"/>
      <c r="G32" s="144"/>
      <c r="H32" s="144"/>
      <c r="I32" s="178"/>
      <c r="J32" s="3"/>
      <c r="K32" s="4"/>
      <c r="L32" s="4"/>
      <c r="M32" s="4"/>
      <c r="N32" s="4"/>
      <c r="O32" s="4"/>
      <c r="P32" s="4"/>
      <c r="Q32" s="4"/>
    </row>
    <row r="33" spans="1:17" ht="15" x14ac:dyDescent="0.2">
      <c r="A33" s="204" t="str">
        <f>A272</f>
        <v>05.06</v>
      </c>
      <c r="B33" s="205"/>
      <c r="C33" s="205"/>
      <c r="D33" s="206" t="str">
        <f>D272</f>
        <v>LEITOS DE SECAGEM</v>
      </c>
      <c r="E33" s="205"/>
      <c r="F33" s="207"/>
      <c r="G33" s="207"/>
      <c r="H33" s="207"/>
      <c r="I33" s="208">
        <f>I272</f>
        <v>94830.54</v>
      </c>
      <c r="J33" s="3"/>
      <c r="K33" s="4"/>
      <c r="L33" s="4"/>
      <c r="M33" s="4"/>
      <c r="N33" s="4"/>
      <c r="O33" s="4"/>
      <c r="P33" s="4"/>
      <c r="Q33" s="4"/>
    </row>
    <row r="34" spans="1:17" ht="14.1" customHeight="1" x14ac:dyDescent="0.2">
      <c r="A34" s="172"/>
      <c r="B34" s="143"/>
      <c r="C34" s="143"/>
      <c r="D34" s="200"/>
      <c r="E34" s="143"/>
      <c r="F34" s="144"/>
      <c r="G34" s="144"/>
      <c r="H34" s="144"/>
      <c r="I34" s="178"/>
      <c r="J34" s="3"/>
      <c r="K34" s="4"/>
      <c r="L34" s="4"/>
      <c r="M34" s="4"/>
      <c r="N34" s="4"/>
      <c r="O34" s="4"/>
      <c r="P34" s="4"/>
      <c r="Q34" s="4"/>
    </row>
    <row r="35" spans="1:17" ht="15" x14ac:dyDescent="0.2">
      <c r="A35" s="204" t="str">
        <f>A300</f>
        <v>05.07</v>
      </c>
      <c r="B35" s="205"/>
      <c r="C35" s="205"/>
      <c r="D35" s="206" t="str">
        <f>D300</f>
        <v>QUEIMADOR DE GÁS</v>
      </c>
      <c r="E35" s="205"/>
      <c r="F35" s="207"/>
      <c r="G35" s="207"/>
      <c r="H35" s="207"/>
      <c r="I35" s="208">
        <f>I300</f>
        <v>13320.65</v>
      </c>
      <c r="J35" s="3"/>
      <c r="K35" s="4"/>
      <c r="L35" s="4"/>
      <c r="M35" s="4"/>
      <c r="N35" s="4"/>
      <c r="O35" s="4"/>
      <c r="P35" s="4"/>
      <c r="Q35" s="4"/>
    </row>
    <row r="36" spans="1:17" ht="14.1" customHeight="1" x14ac:dyDescent="0.2">
      <c r="A36" s="172"/>
      <c r="B36" s="143"/>
      <c r="C36" s="143"/>
      <c r="D36" s="200"/>
      <c r="E36" s="143"/>
      <c r="F36" s="144"/>
      <c r="G36" s="144"/>
      <c r="H36" s="144"/>
      <c r="I36" s="178"/>
      <c r="J36" s="3"/>
      <c r="K36" s="4"/>
      <c r="L36" s="4"/>
      <c r="M36" s="4"/>
      <c r="N36" s="4"/>
      <c r="O36" s="4"/>
      <c r="P36" s="4"/>
      <c r="Q36" s="4"/>
    </row>
    <row r="37" spans="1:17" ht="15" x14ac:dyDescent="0.2">
      <c r="A37" s="204" t="str">
        <f>A317</f>
        <v>05.08</v>
      </c>
      <c r="B37" s="205"/>
      <c r="C37" s="205"/>
      <c r="D37" s="206" t="str">
        <f>D317</f>
        <v>UNIDADE DE APOIO</v>
      </c>
      <c r="E37" s="205"/>
      <c r="F37" s="207"/>
      <c r="G37" s="207"/>
      <c r="H37" s="207"/>
      <c r="I37" s="208">
        <f>I317</f>
        <v>28684.840000000007</v>
      </c>
      <c r="J37" s="3"/>
      <c r="K37" s="4"/>
      <c r="L37" s="4"/>
      <c r="M37" s="4"/>
      <c r="N37" s="4"/>
      <c r="O37" s="4"/>
      <c r="P37" s="4"/>
      <c r="Q37" s="4"/>
    </row>
    <row r="38" spans="1:17" ht="14.1" customHeight="1" x14ac:dyDescent="0.2">
      <c r="A38" s="172"/>
      <c r="B38" s="143"/>
      <c r="C38" s="143"/>
      <c r="D38" s="200"/>
      <c r="E38" s="143"/>
      <c r="F38" s="144"/>
      <c r="G38" s="144"/>
      <c r="H38" s="144"/>
      <c r="I38" s="178"/>
      <c r="J38" s="3"/>
      <c r="K38" s="4"/>
      <c r="L38" s="4"/>
      <c r="M38" s="4"/>
      <c r="N38" s="4"/>
      <c r="O38" s="4"/>
      <c r="P38" s="4"/>
      <c r="Q38" s="4"/>
    </row>
    <row r="39" spans="1:17" ht="15" x14ac:dyDescent="0.2">
      <c r="A39" s="204" t="str">
        <f>A351</f>
        <v>05.09</v>
      </c>
      <c r="B39" s="205"/>
      <c r="C39" s="205"/>
      <c r="D39" s="206" t="str">
        <f>D351</f>
        <v>INTERLIGAÇÕES DAS UNIDADES DA ETE</v>
      </c>
      <c r="E39" s="205"/>
      <c r="F39" s="207"/>
      <c r="G39" s="207"/>
      <c r="H39" s="207"/>
      <c r="I39" s="208">
        <f>I351</f>
        <v>63197.440000000002</v>
      </c>
      <c r="J39" s="3"/>
      <c r="K39" s="4"/>
      <c r="L39" s="4"/>
      <c r="M39" s="4"/>
      <c r="N39" s="4"/>
      <c r="O39" s="4"/>
      <c r="P39" s="4"/>
      <c r="Q39" s="4"/>
    </row>
    <row r="40" spans="1:17" ht="14.1" customHeight="1" x14ac:dyDescent="0.2">
      <c r="A40" s="172"/>
      <c r="B40" s="143"/>
      <c r="C40" s="143"/>
      <c r="D40" s="200"/>
      <c r="E40" s="143"/>
      <c r="F40" s="144"/>
      <c r="G40" s="144"/>
      <c r="H40" s="144"/>
      <c r="I40" s="178"/>
      <c r="J40" s="3"/>
      <c r="K40" s="4"/>
      <c r="L40" s="4"/>
      <c r="M40" s="4"/>
      <c r="N40" s="4"/>
      <c r="O40" s="4"/>
      <c r="P40" s="4"/>
      <c r="Q40" s="4"/>
    </row>
    <row r="41" spans="1:17" ht="15" x14ac:dyDescent="0.2">
      <c r="A41" s="204" t="str">
        <f>A380</f>
        <v>05.10</v>
      </c>
      <c r="B41" s="205"/>
      <c r="C41" s="205"/>
      <c r="D41" s="206" t="str">
        <f>D380</f>
        <v>URBANIZAÇÃO E PAISAGISMO</v>
      </c>
      <c r="E41" s="205"/>
      <c r="F41" s="207"/>
      <c r="G41" s="207"/>
      <c r="H41" s="207"/>
      <c r="I41" s="208">
        <f>I380</f>
        <v>79474.59</v>
      </c>
      <c r="J41" s="3"/>
      <c r="K41" s="4"/>
      <c r="L41" s="4"/>
      <c r="M41" s="4"/>
      <c r="N41" s="4"/>
      <c r="O41" s="4"/>
      <c r="P41" s="4"/>
      <c r="Q41" s="4"/>
    </row>
    <row r="42" spans="1:17" ht="15" x14ac:dyDescent="0.2">
      <c r="A42" s="254"/>
      <c r="B42" s="255"/>
      <c r="C42" s="255"/>
      <c r="D42" s="256"/>
      <c r="E42" s="255"/>
      <c r="F42" s="257"/>
      <c r="G42" s="257"/>
      <c r="H42" s="257"/>
      <c r="I42" s="257"/>
      <c r="J42" s="3"/>
      <c r="K42" s="4"/>
      <c r="L42" s="4"/>
      <c r="M42" s="4"/>
      <c r="N42" s="4"/>
      <c r="O42" s="4"/>
      <c r="P42" s="4"/>
      <c r="Q42" s="4"/>
    </row>
    <row r="43" spans="1:17" ht="14.1" customHeight="1" x14ac:dyDescent="0.2">
      <c r="A43" s="172"/>
      <c r="B43" s="143"/>
      <c r="C43" s="143"/>
      <c r="D43" s="200"/>
      <c r="E43" s="143"/>
      <c r="F43" s="144"/>
      <c r="G43" s="144"/>
      <c r="H43" s="144"/>
      <c r="I43" s="257"/>
      <c r="J43" s="3"/>
      <c r="K43" s="4"/>
      <c r="L43" s="4"/>
      <c r="M43" s="4"/>
      <c r="N43" s="4"/>
      <c r="O43" s="4"/>
      <c r="P43" s="4"/>
      <c r="Q43" s="4"/>
    </row>
    <row r="44" spans="1:17" ht="15" customHeight="1" x14ac:dyDescent="0.2">
      <c r="A44" s="209"/>
      <c r="B44" s="210"/>
      <c r="C44" s="210"/>
      <c r="D44" s="205" t="s">
        <v>96</v>
      </c>
      <c r="E44" s="210"/>
      <c r="F44" s="211"/>
      <c r="G44" s="207"/>
      <c r="H44" s="211"/>
      <c r="I44" s="208">
        <f>SUM(I15:I41)</f>
        <v>5937577.1900000013</v>
      </c>
      <c r="J44" s="3"/>
      <c r="K44" s="4"/>
      <c r="L44" s="4"/>
      <c r="M44" s="4"/>
      <c r="N44" s="4"/>
      <c r="O44" s="4"/>
      <c r="P44" s="4"/>
      <c r="Q44" s="4"/>
    </row>
    <row r="45" spans="1:17" ht="15" x14ac:dyDescent="0.2">
      <c r="A45" s="172"/>
      <c r="B45" s="143"/>
      <c r="C45" s="143"/>
      <c r="D45" s="200"/>
      <c r="E45" s="143"/>
      <c r="F45" s="144"/>
      <c r="G45" s="144"/>
      <c r="H45" s="144"/>
      <c r="I45" s="257"/>
      <c r="J45" s="4"/>
      <c r="K45" s="4"/>
      <c r="L45" s="4"/>
      <c r="M45" s="4"/>
      <c r="N45" s="4"/>
      <c r="O45" s="4"/>
      <c r="P45" s="4"/>
      <c r="Q45" s="4"/>
    </row>
    <row r="46" spans="1:17" ht="15" x14ac:dyDescent="0.2">
      <c r="A46" s="172"/>
      <c r="B46" s="143"/>
      <c r="C46" s="143"/>
      <c r="D46" s="200"/>
      <c r="E46" s="143"/>
      <c r="F46" s="144"/>
      <c r="G46" s="144"/>
      <c r="H46" s="144"/>
      <c r="I46" s="257"/>
      <c r="J46" s="4"/>
      <c r="K46" s="4"/>
      <c r="L46" s="4"/>
      <c r="M46" s="4"/>
      <c r="N46" s="4"/>
      <c r="O46" s="4"/>
      <c r="P46" s="4"/>
      <c r="Q46" s="4"/>
    </row>
    <row r="47" spans="1:17" ht="15.75" thickBot="1" x14ac:dyDescent="0.25">
      <c r="A47" s="172"/>
      <c r="B47" s="143"/>
      <c r="C47" s="143"/>
      <c r="D47" s="200"/>
      <c r="E47" s="143"/>
      <c r="F47" s="144"/>
      <c r="G47" s="144"/>
      <c r="H47" s="144"/>
      <c r="I47" s="257"/>
      <c r="J47" s="4"/>
      <c r="K47" s="4"/>
      <c r="L47" s="4"/>
      <c r="M47" s="4"/>
      <c r="N47" s="4"/>
      <c r="O47" s="4"/>
      <c r="P47" s="4"/>
      <c r="Q47" s="4"/>
    </row>
    <row r="48" spans="1:17" ht="15.95" customHeight="1" thickTop="1" thickBot="1" x14ac:dyDescent="0.25">
      <c r="A48" s="263" t="s">
        <v>258</v>
      </c>
      <c r="B48" s="205"/>
      <c r="C48" s="205"/>
      <c r="D48" s="206" t="s">
        <v>308</v>
      </c>
      <c r="E48" s="205"/>
      <c r="F48" s="207"/>
      <c r="G48" s="207"/>
      <c r="H48" s="207"/>
      <c r="I48" s="264">
        <f>SUM(I49:I59)</f>
        <v>269358.08000000002</v>
      </c>
      <c r="J48" s="4"/>
      <c r="K48" s="305">
        <f>K15</f>
        <v>4.5364981604559138E-2</v>
      </c>
      <c r="L48" s="306"/>
      <c r="M48" s="307">
        <v>0.04</v>
      </c>
      <c r="N48" s="4"/>
      <c r="O48" s="4"/>
      <c r="P48" s="4"/>
      <c r="Q48" s="4"/>
    </row>
    <row r="49" spans="1:18" ht="14.25" customHeight="1" thickTop="1" x14ac:dyDescent="0.2">
      <c r="A49" s="265" t="s">
        <v>320</v>
      </c>
      <c r="B49" s="48" t="s">
        <v>98</v>
      </c>
      <c r="C49" s="48">
        <v>72840</v>
      </c>
      <c r="D49" s="266" t="s">
        <v>105</v>
      </c>
      <c r="E49" s="48" t="s">
        <v>619</v>
      </c>
      <c r="F49" s="57">
        <v>145000</v>
      </c>
      <c r="G49" s="58">
        <v>0.46</v>
      </c>
      <c r="H49" s="57">
        <f t="shared" ref="H49:H59" si="0">ROUND((1+K$3)*G49,2)</f>
        <v>0.57999999999999996</v>
      </c>
      <c r="I49" s="267">
        <f t="shared" ref="I49:I59" si="1">ROUND(F49*H49,2)</f>
        <v>84100</v>
      </c>
      <c r="J49" s="4"/>
      <c r="K49" s="6"/>
      <c r="L49" s="6"/>
      <c r="M49" s="6"/>
      <c r="N49" s="4"/>
      <c r="O49" s="4"/>
      <c r="P49" s="4"/>
      <c r="Q49" s="4"/>
    </row>
    <row r="50" spans="1:18" ht="42.75" x14ac:dyDescent="0.2">
      <c r="A50" s="265" t="s">
        <v>321</v>
      </c>
      <c r="B50" s="48" t="s">
        <v>98</v>
      </c>
      <c r="C50" s="48" t="s">
        <v>99</v>
      </c>
      <c r="D50" s="266" t="s">
        <v>100</v>
      </c>
      <c r="E50" s="48" t="s">
        <v>101</v>
      </c>
      <c r="F50" s="57">
        <v>100</v>
      </c>
      <c r="G50" s="58">
        <v>174.15</v>
      </c>
      <c r="H50" s="57">
        <f t="shared" si="0"/>
        <v>217.69</v>
      </c>
      <c r="I50" s="267">
        <f t="shared" si="1"/>
        <v>21769</v>
      </c>
      <c r="J50" s="4"/>
      <c r="K50" s="6"/>
      <c r="L50" s="6"/>
      <c r="M50" s="6"/>
      <c r="N50" s="4"/>
      <c r="O50" s="4"/>
      <c r="P50" s="4"/>
      <c r="Q50" s="4"/>
    </row>
    <row r="51" spans="1:18" ht="28.5" x14ac:dyDescent="0.2">
      <c r="A51" s="265" t="s">
        <v>322</v>
      </c>
      <c r="B51" s="48" t="s">
        <v>98</v>
      </c>
      <c r="C51" s="48" t="s">
        <v>620</v>
      </c>
      <c r="D51" s="266" t="s">
        <v>621</v>
      </c>
      <c r="E51" s="48" t="s">
        <v>101</v>
      </c>
      <c r="F51" s="57">
        <v>100</v>
      </c>
      <c r="G51" s="58">
        <v>221.04</v>
      </c>
      <c r="H51" s="57">
        <f t="shared" si="0"/>
        <v>276.3</v>
      </c>
      <c r="I51" s="267">
        <f t="shared" si="1"/>
        <v>27630</v>
      </c>
      <c r="J51" s="4"/>
      <c r="K51" s="6"/>
      <c r="L51" s="6"/>
      <c r="M51" s="6"/>
      <c r="N51" s="4"/>
      <c r="O51" s="4"/>
      <c r="P51" s="4"/>
      <c r="Q51" s="4"/>
    </row>
    <row r="52" spans="1:18" ht="42.75" customHeight="1" x14ac:dyDescent="0.2">
      <c r="A52" s="265" t="s">
        <v>323</v>
      </c>
      <c r="B52" s="48" t="s">
        <v>98</v>
      </c>
      <c r="C52" s="48" t="s">
        <v>471</v>
      </c>
      <c r="D52" s="266" t="s">
        <v>472</v>
      </c>
      <c r="E52" s="48" t="s">
        <v>104</v>
      </c>
      <c r="F52" s="57">
        <v>10</v>
      </c>
      <c r="G52" s="58">
        <v>662.93</v>
      </c>
      <c r="H52" s="57">
        <f t="shared" si="0"/>
        <v>828.66</v>
      </c>
      <c r="I52" s="267">
        <f t="shared" si="1"/>
        <v>8286.6</v>
      </c>
      <c r="J52" s="4"/>
      <c r="K52" s="6"/>
      <c r="L52" s="6"/>
      <c r="M52" s="6"/>
      <c r="N52" s="4"/>
      <c r="O52" s="4"/>
      <c r="P52" s="4"/>
      <c r="Q52" s="4"/>
    </row>
    <row r="53" spans="1:18" ht="28.5" x14ac:dyDescent="0.2">
      <c r="A53" s="265" t="s">
        <v>484</v>
      </c>
      <c r="B53" s="48" t="s">
        <v>98</v>
      </c>
      <c r="C53" s="48" t="s">
        <v>487</v>
      </c>
      <c r="D53" s="266" t="s">
        <v>622</v>
      </c>
      <c r="E53" s="48" t="s">
        <v>101</v>
      </c>
      <c r="F53" s="57">
        <v>100</v>
      </c>
      <c r="G53" s="58">
        <v>145.21</v>
      </c>
      <c r="H53" s="57">
        <f t="shared" si="0"/>
        <v>181.51</v>
      </c>
      <c r="I53" s="267">
        <f t="shared" si="1"/>
        <v>18151</v>
      </c>
      <c r="J53" s="4"/>
      <c r="K53" s="6"/>
      <c r="L53" s="6"/>
      <c r="M53" s="6"/>
      <c r="N53" s="4"/>
      <c r="O53" s="4"/>
      <c r="P53" s="4"/>
      <c r="Q53" s="4"/>
    </row>
    <row r="54" spans="1:18" ht="28.5" x14ac:dyDescent="0.2">
      <c r="A54" s="265" t="s">
        <v>485</v>
      </c>
      <c r="B54" s="48" t="s">
        <v>98</v>
      </c>
      <c r="C54" s="48" t="s">
        <v>402</v>
      </c>
      <c r="D54" s="266" t="s">
        <v>623</v>
      </c>
      <c r="E54" s="48" t="s">
        <v>110</v>
      </c>
      <c r="F54" s="57">
        <v>4</v>
      </c>
      <c r="G54" s="58">
        <v>955.61</v>
      </c>
      <c r="H54" s="57">
        <f t="shared" si="0"/>
        <v>1194.51</v>
      </c>
      <c r="I54" s="267">
        <f t="shared" si="1"/>
        <v>4778.04</v>
      </c>
      <c r="J54" s="4"/>
      <c r="K54" s="6"/>
      <c r="L54" s="6"/>
      <c r="M54" s="6"/>
      <c r="N54" s="4"/>
      <c r="O54" s="4"/>
      <c r="P54" s="4"/>
      <c r="Q54" s="4"/>
    </row>
    <row r="55" spans="1:18" x14ac:dyDescent="0.2">
      <c r="A55" s="265" t="s">
        <v>486</v>
      </c>
      <c r="B55" s="48" t="s">
        <v>98</v>
      </c>
      <c r="C55" s="48" t="s">
        <v>102</v>
      </c>
      <c r="D55" s="266" t="s">
        <v>103</v>
      </c>
      <c r="E55" s="48" t="s">
        <v>101</v>
      </c>
      <c r="F55" s="57">
        <v>48</v>
      </c>
      <c r="G55" s="58">
        <v>245.14</v>
      </c>
      <c r="H55" s="57">
        <f t="shared" si="0"/>
        <v>306.43</v>
      </c>
      <c r="I55" s="267">
        <f t="shared" si="1"/>
        <v>14708.64</v>
      </c>
      <c r="J55" s="4"/>
      <c r="K55" s="6"/>
      <c r="L55" s="6"/>
      <c r="M55" s="6"/>
      <c r="N55" s="4"/>
      <c r="O55" s="4"/>
      <c r="P55" s="4"/>
      <c r="Q55" s="4"/>
    </row>
    <row r="56" spans="1:18" ht="28.5" x14ac:dyDescent="0.2">
      <c r="A56" s="265" t="s">
        <v>489</v>
      </c>
      <c r="B56" s="48" t="s">
        <v>98</v>
      </c>
      <c r="C56" s="48" t="s">
        <v>380</v>
      </c>
      <c r="D56" s="266" t="s">
        <v>585</v>
      </c>
      <c r="E56" s="48" t="s">
        <v>101</v>
      </c>
      <c r="F56" s="57">
        <v>300</v>
      </c>
      <c r="G56" s="58">
        <v>31.38</v>
      </c>
      <c r="H56" s="57">
        <f t="shared" si="0"/>
        <v>39.229999999999997</v>
      </c>
      <c r="I56" s="267">
        <f t="shared" si="1"/>
        <v>11769</v>
      </c>
      <c r="J56" s="4"/>
      <c r="K56" s="6"/>
      <c r="L56" s="6"/>
      <c r="M56" s="6"/>
      <c r="N56" s="4"/>
      <c r="O56" s="4"/>
      <c r="P56" s="4"/>
      <c r="Q56" s="4"/>
    </row>
    <row r="57" spans="1:18" ht="42.75" x14ac:dyDescent="0.2">
      <c r="A57" s="265" t="s">
        <v>560</v>
      </c>
      <c r="B57" s="48" t="s">
        <v>98</v>
      </c>
      <c r="C57" s="48" t="s">
        <v>482</v>
      </c>
      <c r="D57" s="266" t="s">
        <v>483</v>
      </c>
      <c r="E57" s="48" t="s">
        <v>107</v>
      </c>
      <c r="F57" s="57">
        <v>400</v>
      </c>
      <c r="G57" s="58">
        <v>9.8699999999999992</v>
      </c>
      <c r="H57" s="57">
        <f t="shared" si="0"/>
        <v>12.34</v>
      </c>
      <c r="I57" s="267">
        <f t="shared" si="1"/>
        <v>4936</v>
      </c>
      <c r="J57" s="4"/>
      <c r="K57" s="6"/>
      <c r="L57" s="6"/>
      <c r="M57" s="6"/>
      <c r="N57" s="4"/>
      <c r="O57" s="4"/>
      <c r="P57" s="4"/>
      <c r="Q57" s="4"/>
    </row>
    <row r="58" spans="1:18" ht="28.5" x14ac:dyDescent="0.2">
      <c r="A58" s="265" t="s">
        <v>561</v>
      </c>
      <c r="B58" s="48" t="s">
        <v>98</v>
      </c>
      <c r="C58" s="48" t="s">
        <v>659</v>
      </c>
      <c r="D58" s="266" t="s">
        <v>658</v>
      </c>
      <c r="E58" s="48" t="s">
        <v>110</v>
      </c>
      <c r="F58" s="57">
        <v>4</v>
      </c>
      <c r="G58" s="58">
        <v>9119.9599999999991</v>
      </c>
      <c r="H58" s="57">
        <f t="shared" si="0"/>
        <v>11399.95</v>
      </c>
      <c r="I58" s="267">
        <f t="shared" si="1"/>
        <v>45599.8</v>
      </c>
      <c r="J58" s="4"/>
      <c r="K58" s="6"/>
      <c r="L58" s="6"/>
      <c r="M58" s="6"/>
      <c r="N58" s="4"/>
      <c r="O58" s="4"/>
      <c r="P58" s="4"/>
      <c r="Q58" s="4"/>
    </row>
    <row r="59" spans="1:18" ht="42.75" x14ac:dyDescent="0.2">
      <c r="A59" s="265" t="s">
        <v>562</v>
      </c>
      <c r="B59" s="48" t="s">
        <v>98</v>
      </c>
      <c r="C59" s="48" t="s">
        <v>106</v>
      </c>
      <c r="D59" s="266" t="s">
        <v>624</v>
      </c>
      <c r="E59" s="48" t="s">
        <v>101</v>
      </c>
      <c r="F59" s="57">
        <v>100</v>
      </c>
      <c r="G59" s="58">
        <v>221.04</v>
      </c>
      <c r="H59" s="57">
        <f t="shared" si="0"/>
        <v>276.3</v>
      </c>
      <c r="I59" s="267">
        <f t="shared" si="1"/>
        <v>27630</v>
      </c>
      <c r="J59" s="6"/>
      <c r="K59" s="6"/>
      <c r="L59" s="6"/>
      <c r="M59" s="6"/>
      <c r="N59" s="6"/>
      <c r="O59" s="6"/>
      <c r="P59" s="7"/>
      <c r="Q59" s="6"/>
      <c r="R59" s="7"/>
    </row>
    <row r="60" spans="1:18" ht="15" thickBot="1" x14ac:dyDescent="0.25">
      <c r="A60" s="268"/>
      <c r="B60" s="48"/>
      <c r="C60" s="269"/>
      <c r="D60" s="270"/>
      <c r="E60" s="56"/>
      <c r="F60" s="58"/>
      <c r="G60" s="58"/>
      <c r="H60" s="58"/>
      <c r="I60" s="271"/>
      <c r="J60" s="6"/>
      <c r="K60" s="6"/>
      <c r="L60" s="6"/>
      <c r="M60" s="6"/>
      <c r="N60" s="6"/>
      <c r="O60" s="6"/>
      <c r="P60" s="51"/>
      <c r="Q60" s="6"/>
      <c r="R60" s="7"/>
    </row>
    <row r="61" spans="1:18" ht="16.5" thickTop="1" thickBot="1" x14ac:dyDescent="0.25">
      <c r="A61" s="263" t="s">
        <v>260</v>
      </c>
      <c r="B61" s="210"/>
      <c r="C61" s="272"/>
      <c r="D61" s="273" t="s">
        <v>307</v>
      </c>
      <c r="E61" s="210"/>
      <c r="F61" s="211"/>
      <c r="G61" s="211"/>
      <c r="H61" s="211"/>
      <c r="I61" s="274">
        <f>I62</f>
        <v>655604</v>
      </c>
      <c r="J61" s="6"/>
      <c r="K61" s="308">
        <f>I61/I44</f>
        <v>0.11041608033393834</v>
      </c>
      <c r="L61" s="309"/>
      <c r="M61" s="310">
        <v>0.1</v>
      </c>
      <c r="N61" s="6"/>
      <c r="O61" s="6"/>
      <c r="P61" s="51"/>
      <c r="Q61" s="6"/>
      <c r="R61" s="7"/>
    </row>
    <row r="62" spans="1:18" s="43" customFormat="1" ht="30" thickTop="1" thickBot="1" x14ac:dyDescent="0.25">
      <c r="A62" s="268" t="s">
        <v>262</v>
      </c>
      <c r="B62" s="56" t="s">
        <v>306</v>
      </c>
      <c r="C62" s="275" t="s">
        <v>155</v>
      </c>
      <c r="D62" s="270" t="s">
        <v>69</v>
      </c>
      <c r="E62" s="56" t="s">
        <v>104</v>
      </c>
      <c r="F62" s="58">
        <v>10</v>
      </c>
      <c r="G62" s="58">
        <f>'COMPOSIÇÕES DE CUSTO'!I13</f>
        <v>65560.399999999994</v>
      </c>
      <c r="H62" s="58">
        <f>G62</f>
        <v>65560.399999999994</v>
      </c>
      <c r="I62" s="271">
        <f>ROUND(F62*H62,2)</f>
        <v>655604</v>
      </c>
      <c r="J62" s="42"/>
      <c r="K62" s="251"/>
      <c r="L62" s="252"/>
      <c r="M62" s="253"/>
      <c r="N62" s="42"/>
      <c r="O62" s="42"/>
      <c r="P62" s="175"/>
      <c r="Q62" s="42"/>
    </row>
    <row r="63" spans="1:18" ht="15.75" thickTop="1" thickBot="1" x14ac:dyDescent="0.25">
      <c r="A63" s="265"/>
      <c r="B63" s="48"/>
      <c r="C63" s="48"/>
      <c r="D63" s="266"/>
      <c r="E63" s="48"/>
      <c r="F63" s="57"/>
      <c r="G63" s="58"/>
      <c r="H63" s="57"/>
      <c r="I63" s="267"/>
      <c r="J63" s="6"/>
      <c r="K63" s="49"/>
      <c r="L63" s="50"/>
      <c r="M63" s="49"/>
      <c r="N63" s="6"/>
      <c r="O63" s="6"/>
      <c r="P63" s="51"/>
      <c r="Q63" s="6"/>
      <c r="R63" s="7"/>
    </row>
    <row r="64" spans="1:18" ht="16.5" thickTop="1" thickBot="1" x14ac:dyDescent="0.3">
      <c r="A64" s="205" t="s">
        <v>271</v>
      </c>
      <c r="B64" s="205"/>
      <c r="C64" s="205"/>
      <c r="D64" s="273" t="s">
        <v>527</v>
      </c>
      <c r="E64" s="210"/>
      <c r="F64" s="211"/>
      <c r="G64" s="211"/>
      <c r="H64" s="211"/>
      <c r="I64" s="207">
        <f>0.5*SUM(I65:I132)</f>
        <v>4024517.9899999998</v>
      </c>
      <c r="J64" s="6"/>
      <c r="K64" s="145">
        <f>(I64)/F66</f>
        <v>274.42620937579477</v>
      </c>
      <c r="L64" s="146" t="s">
        <v>409</v>
      </c>
      <c r="M64" s="6"/>
      <c r="N64" s="6"/>
      <c r="O64" s="6"/>
      <c r="P64" s="51"/>
      <c r="Q64" s="6"/>
      <c r="R64" s="7"/>
    </row>
    <row r="65" spans="1:18" s="43" customFormat="1" ht="15.75" thickTop="1" x14ac:dyDescent="0.25">
      <c r="A65" s="162" t="s">
        <v>205</v>
      </c>
      <c r="B65" s="162"/>
      <c r="C65" s="162"/>
      <c r="D65" s="276" t="s">
        <v>386</v>
      </c>
      <c r="E65" s="56"/>
      <c r="F65" s="58"/>
      <c r="G65" s="58"/>
      <c r="H65" s="58"/>
      <c r="I65" s="163">
        <f>SUM(I66:I72)</f>
        <v>40668.58</v>
      </c>
      <c r="J65" s="539">
        <f>I65/I64</f>
        <v>1.0105205170172441E-2</v>
      </c>
      <c r="K65" s="173">
        <f>I65/I64</f>
        <v>1.0105205170172441E-2</v>
      </c>
      <c r="L65" s="174"/>
      <c r="M65" s="42"/>
      <c r="N65" s="42"/>
      <c r="O65" s="42"/>
      <c r="P65" s="175"/>
      <c r="Q65" s="42"/>
    </row>
    <row r="66" spans="1:18" s="7" customFormat="1" ht="28.5" x14ac:dyDescent="0.2">
      <c r="A66" s="56" t="s">
        <v>206</v>
      </c>
      <c r="B66" s="56" t="s">
        <v>98</v>
      </c>
      <c r="C66" s="56">
        <v>73679</v>
      </c>
      <c r="D66" s="270" t="s">
        <v>134</v>
      </c>
      <c r="E66" s="56" t="s">
        <v>107</v>
      </c>
      <c r="F66" s="376">
        <f>'QUANTITATIVOS DE REDE'!M119</f>
        <v>14665.210000000001</v>
      </c>
      <c r="G66" s="58">
        <v>0.56000000000000005</v>
      </c>
      <c r="H66" s="58">
        <f t="shared" ref="H66:H72" si="2">ROUND((1+K$3)*G66,2)</f>
        <v>0.7</v>
      </c>
      <c r="I66" s="58">
        <f t="shared" ref="I66:I72" si="3">ROUND(F66*H66,2)</f>
        <v>10265.65</v>
      </c>
      <c r="J66" s="6"/>
      <c r="K66" s="49">
        <f>I136+I158+I131</f>
        <v>566742.96</v>
      </c>
      <c r="L66" s="6"/>
      <c r="M66" s="6"/>
      <c r="N66" s="6"/>
      <c r="O66" s="6"/>
      <c r="Q66" s="6"/>
    </row>
    <row r="67" spans="1:18" s="7" customFormat="1" x14ac:dyDescent="0.2">
      <c r="A67" s="375" t="s">
        <v>135</v>
      </c>
      <c r="B67" s="56" t="s">
        <v>98</v>
      </c>
      <c r="C67" s="56">
        <v>73682</v>
      </c>
      <c r="D67" s="270" t="s">
        <v>430</v>
      </c>
      <c r="E67" s="56" t="s">
        <v>107</v>
      </c>
      <c r="F67" s="376">
        <f>F66</f>
        <v>14665.210000000001</v>
      </c>
      <c r="G67" s="58">
        <v>0.66</v>
      </c>
      <c r="H67" s="58">
        <f t="shared" si="2"/>
        <v>0.83</v>
      </c>
      <c r="I67" s="58">
        <f t="shared" si="3"/>
        <v>12172.12</v>
      </c>
      <c r="J67" s="6"/>
      <c r="K67" s="6"/>
      <c r="L67" s="6"/>
      <c r="M67" s="6"/>
      <c r="N67" s="6"/>
      <c r="O67" s="6"/>
      <c r="Q67" s="6"/>
    </row>
    <row r="68" spans="1:18" s="7" customFormat="1" ht="28.5" x14ac:dyDescent="0.25">
      <c r="A68" s="375" t="s">
        <v>200</v>
      </c>
      <c r="B68" s="56" t="s">
        <v>98</v>
      </c>
      <c r="C68" s="56" t="s">
        <v>380</v>
      </c>
      <c r="D68" s="270" t="s">
        <v>519</v>
      </c>
      <c r="E68" s="56" t="s">
        <v>101</v>
      </c>
      <c r="F68" s="376">
        <v>168</v>
      </c>
      <c r="G68" s="58">
        <v>31.38</v>
      </c>
      <c r="H68" s="58">
        <f t="shared" si="2"/>
        <v>39.229999999999997</v>
      </c>
      <c r="I68" s="58">
        <f t="shared" si="3"/>
        <v>6590.64</v>
      </c>
      <c r="J68" s="53"/>
      <c r="K68" s="149"/>
      <c r="L68" s="6"/>
      <c r="M68" s="6"/>
      <c r="N68" s="6"/>
      <c r="O68" s="6"/>
      <c r="Q68" s="6"/>
      <c r="R68" s="6"/>
    </row>
    <row r="69" spans="1:18" s="7" customFormat="1" ht="15" x14ac:dyDescent="0.25">
      <c r="A69" s="375" t="s">
        <v>201</v>
      </c>
      <c r="B69" s="56" t="s">
        <v>98</v>
      </c>
      <c r="C69" s="56" t="s">
        <v>111</v>
      </c>
      <c r="D69" s="270" t="s">
        <v>112</v>
      </c>
      <c r="E69" s="56" t="s">
        <v>101</v>
      </c>
      <c r="F69" s="376">
        <v>90</v>
      </c>
      <c r="G69" s="277">
        <v>40.08</v>
      </c>
      <c r="H69" s="58">
        <f t="shared" si="2"/>
        <v>50.1</v>
      </c>
      <c r="I69" s="58">
        <f t="shared" si="3"/>
        <v>4509</v>
      </c>
      <c r="J69" s="53"/>
      <c r="K69" s="149">
        <f>(I69+I70)/I64</f>
        <v>2.3037715381165435E-3</v>
      </c>
      <c r="L69" s="6"/>
      <c r="M69" s="6"/>
      <c r="N69" s="6"/>
      <c r="O69" s="6"/>
      <c r="Q69" s="6"/>
      <c r="R69" s="6"/>
    </row>
    <row r="70" spans="1:18" s="7" customFormat="1" x14ac:dyDescent="0.2">
      <c r="A70" s="375" t="s">
        <v>202</v>
      </c>
      <c r="B70" s="56" t="s">
        <v>98</v>
      </c>
      <c r="C70" s="56" t="s">
        <v>378</v>
      </c>
      <c r="D70" s="270" t="s">
        <v>379</v>
      </c>
      <c r="E70" s="56" t="s">
        <v>101</v>
      </c>
      <c r="F70" s="376">
        <v>107</v>
      </c>
      <c r="G70" s="278">
        <v>35.61</v>
      </c>
      <c r="H70" s="58">
        <f t="shared" si="2"/>
        <v>44.51</v>
      </c>
      <c r="I70" s="58">
        <f t="shared" si="3"/>
        <v>4762.57</v>
      </c>
      <c r="J70" s="6"/>
      <c r="K70" s="6"/>
      <c r="L70" s="6"/>
      <c r="M70" s="6"/>
      <c r="N70" s="6"/>
      <c r="O70" s="6"/>
      <c r="Q70" s="6"/>
    </row>
    <row r="71" spans="1:18" s="7" customFormat="1" x14ac:dyDescent="0.2">
      <c r="A71" s="375" t="s">
        <v>203</v>
      </c>
      <c r="B71" s="56" t="s">
        <v>98</v>
      </c>
      <c r="C71" s="56" t="s">
        <v>108</v>
      </c>
      <c r="D71" s="270" t="s">
        <v>109</v>
      </c>
      <c r="E71" s="56" t="s">
        <v>107</v>
      </c>
      <c r="F71" s="376">
        <v>750</v>
      </c>
      <c r="G71" s="58">
        <v>1.24</v>
      </c>
      <c r="H71" s="58">
        <f t="shared" si="2"/>
        <v>1.55</v>
      </c>
      <c r="I71" s="58">
        <f t="shared" si="3"/>
        <v>1162.5</v>
      </c>
      <c r="J71" s="6"/>
      <c r="K71" s="6"/>
      <c r="L71" s="6"/>
      <c r="M71" s="6"/>
      <c r="N71" s="6"/>
      <c r="O71" s="6"/>
      <c r="P71" s="6"/>
      <c r="Q71" s="6"/>
    </row>
    <row r="72" spans="1:18" s="7" customFormat="1" ht="15" x14ac:dyDescent="0.25">
      <c r="A72" s="375" t="s">
        <v>204</v>
      </c>
      <c r="B72" s="56" t="s">
        <v>98</v>
      </c>
      <c r="C72" s="275" t="s">
        <v>772</v>
      </c>
      <c r="D72" s="270" t="s">
        <v>767</v>
      </c>
      <c r="E72" s="56" t="s">
        <v>110</v>
      </c>
      <c r="F72" s="376">
        <v>35</v>
      </c>
      <c r="G72" s="58">
        <v>27.57</v>
      </c>
      <c r="H72" s="58">
        <f t="shared" si="2"/>
        <v>34.46</v>
      </c>
      <c r="I72" s="58">
        <f t="shared" si="3"/>
        <v>1206.0999999999999</v>
      </c>
      <c r="J72" s="6"/>
      <c r="K72" s="6"/>
      <c r="L72" s="149">
        <v>0.1</v>
      </c>
      <c r="M72" s="150">
        <f>L72*N74</f>
        <v>376.90499999999997</v>
      </c>
      <c r="N72" s="6"/>
      <c r="O72" s="6"/>
      <c r="P72" s="6"/>
      <c r="Q72" s="6"/>
    </row>
    <row r="73" spans="1:18" s="7" customFormat="1" ht="15" x14ac:dyDescent="0.25">
      <c r="A73" s="56"/>
      <c r="B73" s="56"/>
      <c r="C73" s="56"/>
      <c r="D73" s="270"/>
      <c r="E73" s="56"/>
      <c r="F73" s="58"/>
      <c r="G73" s="58"/>
      <c r="H73" s="58"/>
      <c r="I73" s="58"/>
      <c r="J73" s="6"/>
      <c r="K73" s="6"/>
      <c r="L73" s="149"/>
      <c r="M73" s="150"/>
      <c r="N73" s="6"/>
      <c r="O73" s="6"/>
      <c r="P73" s="6"/>
      <c r="Q73" s="6"/>
    </row>
    <row r="74" spans="1:18" s="7" customFormat="1" ht="15" x14ac:dyDescent="0.25">
      <c r="A74" s="162" t="s">
        <v>541</v>
      </c>
      <c r="B74" s="56"/>
      <c r="C74" s="56"/>
      <c r="D74" s="276" t="s">
        <v>384</v>
      </c>
      <c r="E74" s="56"/>
      <c r="F74" s="58"/>
      <c r="G74" s="58"/>
      <c r="H74" s="58"/>
      <c r="I74" s="163">
        <f>SUM(I75:I83)</f>
        <v>406535.94</v>
      </c>
      <c r="J74" s="539">
        <f>I74/I64</f>
        <v>0.10101481494433574</v>
      </c>
      <c r="K74" s="147">
        <f>I74/I64</f>
        <v>0.10101481494433574</v>
      </c>
      <c r="L74" s="149">
        <v>0.9</v>
      </c>
      <c r="M74" s="150">
        <f>L74*N74</f>
        <v>3392.145</v>
      </c>
      <c r="N74" s="151">
        <f>0.75*5025.4</f>
        <v>3769.0499999999997</v>
      </c>
      <c r="O74" s="6"/>
      <c r="P74" s="6"/>
      <c r="Q74" s="6"/>
    </row>
    <row r="75" spans="1:18" s="7" customFormat="1" ht="28.5" customHeight="1" x14ac:dyDescent="0.2">
      <c r="A75" s="56" t="s">
        <v>301</v>
      </c>
      <c r="B75" s="56" t="s">
        <v>98</v>
      </c>
      <c r="C75" s="56" t="s">
        <v>405</v>
      </c>
      <c r="D75" s="270" t="s">
        <v>406</v>
      </c>
      <c r="E75" s="56" t="s">
        <v>113</v>
      </c>
      <c r="F75" s="376">
        <f>'QUANTITATIVOS DE REDE'!M137</f>
        <v>11119.964647130133</v>
      </c>
      <c r="G75" s="58">
        <v>3.64</v>
      </c>
      <c r="H75" s="58">
        <f t="shared" ref="H75:H83" si="4">ROUND((1+K$3)*G75,2)</f>
        <v>4.55</v>
      </c>
      <c r="I75" s="58">
        <f t="shared" ref="I75:I83" si="5">ROUND(F75*H75,2)</f>
        <v>50595.839999999997</v>
      </c>
      <c r="J75" s="6"/>
      <c r="K75" s="6"/>
      <c r="L75" s="6"/>
      <c r="M75" s="6"/>
      <c r="N75" s="6"/>
      <c r="O75" s="6"/>
      <c r="P75" s="6"/>
      <c r="Q75" s="6"/>
    </row>
    <row r="76" spans="1:18" s="7" customFormat="1" ht="28.5" customHeight="1" x14ac:dyDescent="0.2">
      <c r="A76" s="375" t="s">
        <v>302</v>
      </c>
      <c r="B76" s="56" t="s">
        <v>98</v>
      </c>
      <c r="C76" s="56" t="s">
        <v>17</v>
      </c>
      <c r="D76" s="270" t="s">
        <v>404</v>
      </c>
      <c r="E76" s="56" t="s">
        <v>113</v>
      </c>
      <c r="F76" s="376">
        <f>'QUANTITATIVOS DE REDE'!M138</f>
        <v>8443.3758412292354</v>
      </c>
      <c r="G76" s="58">
        <v>6.09</v>
      </c>
      <c r="H76" s="58">
        <f t="shared" si="4"/>
        <v>7.61</v>
      </c>
      <c r="I76" s="58">
        <f t="shared" si="5"/>
        <v>64254.09</v>
      </c>
      <c r="J76" s="6"/>
      <c r="K76" s="6"/>
      <c r="L76" s="6"/>
      <c r="M76" s="6"/>
      <c r="N76" s="6"/>
      <c r="O76" s="6"/>
      <c r="P76" s="6"/>
      <c r="Q76" s="6"/>
    </row>
    <row r="77" spans="1:18" s="7" customFormat="1" ht="28.5" customHeight="1" x14ac:dyDescent="0.2">
      <c r="A77" s="375" t="s">
        <v>410</v>
      </c>
      <c r="B77" s="56" t="s">
        <v>98</v>
      </c>
      <c r="C77" s="56">
        <v>72917</v>
      </c>
      <c r="D77" s="270" t="s">
        <v>586</v>
      </c>
      <c r="E77" s="56" t="s">
        <v>113</v>
      </c>
      <c r="F77" s="376">
        <f>'QUANTITATIVOS DE REDE'!M139</f>
        <v>3006.8767372348416</v>
      </c>
      <c r="G77" s="58">
        <v>10.86</v>
      </c>
      <c r="H77" s="58">
        <f t="shared" si="4"/>
        <v>13.58</v>
      </c>
      <c r="I77" s="58">
        <f t="shared" si="5"/>
        <v>40833.39</v>
      </c>
      <c r="J77" s="6"/>
      <c r="K77" s="6"/>
      <c r="L77" s="6"/>
      <c r="M77" s="6"/>
      <c r="N77" s="6"/>
      <c r="O77" s="6"/>
      <c r="P77" s="6"/>
      <c r="Q77" s="6"/>
    </row>
    <row r="78" spans="1:18" s="7" customFormat="1" ht="28.5" customHeight="1" x14ac:dyDescent="0.2">
      <c r="A78" s="375" t="s">
        <v>411</v>
      </c>
      <c r="B78" s="56" t="s">
        <v>98</v>
      </c>
      <c r="C78" s="56" t="s">
        <v>114</v>
      </c>
      <c r="D78" s="270" t="s">
        <v>115</v>
      </c>
      <c r="E78" s="56" t="s">
        <v>113</v>
      </c>
      <c r="F78" s="376">
        <f>'QUANTITATIVOS DE REDE'!N137</f>
        <v>1339.7547767626668</v>
      </c>
      <c r="G78" s="58">
        <v>22.62</v>
      </c>
      <c r="H78" s="58">
        <f t="shared" si="4"/>
        <v>28.28</v>
      </c>
      <c r="I78" s="58">
        <f t="shared" si="5"/>
        <v>37888.269999999997</v>
      </c>
      <c r="J78" s="6"/>
      <c r="K78" s="6"/>
      <c r="L78" s="6"/>
      <c r="M78" s="6"/>
      <c r="N78" s="6"/>
      <c r="O78" s="6"/>
      <c r="P78" s="6"/>
      <c r="Q78" s="6"/>
    </row>
    <row r="79" spans="1:18" s="7" customFormat="1" ht="28.5" x14ac:dyDescent="0.2">
      <c r="A79" s="375" t="s">
        <v>412</v>
      </c>
      <c r="B79" s="56" t="s">
        <v>98</v>
      </c>
      <c r="C79" s="56" t="s">
        <v>116</v>
      </c>
      <c r="D79" s="270" t="s">
        <v>117</v>
      </c>
      <c r="E79" s="56" t="s">
        <v>113</v>
      </c>
      <c r="F79" s="376">
        <f>'QUANTITATIVOS DE REDE'!N138</f>
        <v>993.33833426226306</v>
      </c>
      <c r="G79" s="58">
        <v>29.08</v>
      </c>
      <c r="H79" s="58">
        <f t="shared" si="4"/>
        <v>36.35</v>
      </c>
      <c r="I79" s="58">
        <f t="shared" si="5"/>
        <v>36107.85</v>
      </c>
      <c r="J79" s="6"/>
      <c r="K79" s="6"/>
      <c r="L79" s="6"/>
      <c r="M79" s="6"/>
      <c r="N79" s="6"/>
      <c r="O79" s="6"/>
      <c r="P79" s="6"/>
      <c r="Q79" s="6"/>
    </row>
    <row r="80" spans="1:18" s="7" customFormat="1" ht="28.5" x14ac:dyDescent="0.2">
      <c r="A80" s="375" t="s">
        <v>413</v>
      </c>
      <c r="B80" s="56" t="s">
        <v>98</v>
      </c>
      <c r="C80" s="56" t="s">
        <v>587</v>
      </c>
      <c r="D80" s="270" t="s">
        <v>588</v>
      </c>
      <c r="E80" s="56" t="s">
        <v>113</v>
      </c>
      <c r="F80" s="376">
        <f>'QUANTITATIVOS DE REDE'!N140</f>
        <v>530.62530657085438</v>
      </c>
      <c r="G80" s="58">
        <v>38.770000000000003</v>
      </c>
      <c r="H80" s="58">
        <f t="shared" si="4"/>
        <v>48.46</v>
      </c>
      <c r="I80" s="58">
        <f t="shared" si="5"/>
        <v>25714.1</v>
      </c>
      <c r="J80" s="6"/>
      <c r="K80" s="6"/>
      <c r="L80" s="6"/>
      <c r="M80" s="6"/>
      <c r="N80" s="6"/>
      <c r="O80" s="6"/>
      <c r="P80" s="6"/>
      <c r="Q80" s="6"/>
    </row>
    <row r="81" spans="1:17" s="7" customFormat="1" ht="28.5" x14ac:dyDescent="0.2">
      <c r="A81" s="375" t="s">
        <v>414</v>
      </c>
      <c r="B81" s="56" t="s">
        <v>98</v>
      </c>
      <c r="C81" s="56" t="s">
        <v>118</v>
      </c>
      <c r="D81" s="270" t="s">
        <v>119</v>
      </c>
      <c r="E81" s="56" t="s">
        <v>113</v>
      </c>
      <c r="F81" s="376">
        <f>'QUANTITATIVOS DE REDE'!O137</f>
        <v>669.87738838133339</v>
      </c>
      <c r="G81" s="58">
        <v>35.54</v>
      </c>
      <c r="H81" s="58">
        <f t="shared" si="4"/>
        <v>44.43</v>
      </c>
      <c r="I81" s="58">
        <f t="shared" si="5"/>
        <v>29762.65</v>
      </c>
      <c r="J81" s="6"/>
      <c r="K81" s="6"/>
      <c r="L81" s="6"/>
      <c r="M81" s="6"/>
      <c r="N81" s="6"/>
      <c r="O81" s="6"/>
      <c r="P81" s="6"/>
      <c r="Q81" s="6"/>
    </row>
    <row r="82" spans="1:17" s="7" customFormat="1" x14ac:dyDescent="0.2">
      <c r="A82" s="375" t="s">
        <v>589</v>
      </c>
      <c r="B82" s="56" t="s">
        <v>98</v>
      </c>
      <c r="C82" s="56" t="s">
        <v>120</v>
      </c>
      <c r="D82" s="270" t="s">
        <v>121</v>
      </c>
      <c r="E82" s="56" t="s">
        <v>113</v>
      </c>
      <c r="F82" s="376">
        <f>'QUANTITATIVOS DE REDE'!O138</f>
        <v>496.66916713113153</v>
      </c>
      <c r="G82" s="58">
        <v>64.62</v>
      </c>
      <c r="H82" s="58">
        <f t="shared" si="4"/>
        <v>80.78</v>
      </c>
      <c r="I82" s="58">
        <f t="shared" si="5"/>
        <v>40120.94</v>
      </c>
      <c r="J82" s="6"/>
      <c r="K82" s="6"/>
      <c r="L82" s="6"/>
      <c r="M82" s="6"/>
      <c r="N82" s="6"/>
      <c r="O82" s="6"/>
      <c r="P82" s="6"/>
      <c r="Q82" s="6"/>
    </row>
    <row r="83" spans="1:17" s="7" customFormat="1" x14ac:dyDescent="0.2">
      <c r="A83" s="375" t="s">
        <v>590</v>
      </c>
      <c r="B83" s="56" t="s">
        <v>98</v>
      </c>
      <c r="C83" s="56" t="s">
        <v>407</v>
      </c>
      <c r="D83" s="270" t="s">
        <v>408</v>
      </c>
      <c r="E83" s="56" t="s">
        <v>113</v>
      </c>
      <c r="F83" s="376">
        <f>'QUANTITATIVOS DE REDE'!P137</f>
        <v>267.95095535253336</v>
      </c>
      <c r="G83" s="278">
        <v>242.61</v>
      </c>
      <c r="H83" s="58">
        <f t="shared" si="4"/>
        <v>303.26</v>
      </c>
      <c r="I83" s="58">
        <f t="shared" si="5"/>
        <v>81258.81</v>
      </c>
      <c r="J83" s="6"/>
      <c r="K83" s="6"/>
      <c r="L83" s="6"/>
      <c r="M83" s="6"/>
      <c r="N83" s="6"/>
      <c r="O83" s="6"/>
      <c r="P83" s="6"/>
      <c r="Q83" s="6"/>
    </row>
    <row r="84" spans="1:17" s="7" customFormat="1" x14ac:dyDescent="0.2">
      <c r="A84" s="56"/>
      <c r="B84" s="48"/>
      <c r="C84" s="48"/>
      <c r="D84" s="266"/>
      <c r="E84" s="48"/>
      <c r="F84" s="376"/>
      <c r="G84" s="279"/>
      <c r="H84" s="58"/>
      <c r="I84" s="58"/>
      <c r="J84" s="6"/>
      <c r="K84" s="6"/>
      <c r="L84" s="6"/>
      <c r="M84" s="6"/>
      <c r="N84" s="6"/>
      <c r="O84" s="6"/>
      <c r="P84" s="6"/>
      <c r="Q84" s="6"/>
    </row>
    <row r="85" spans="1:17" s="7" customFormat="1" ht="15" x14ac:dyDescent="0.25">
      <c r="A85" s="162" t="s">
        <v>542</v>
      </c>
      <c r="B85" s="375"/>
      <c r="C85" s="375"/>
      <c r="D85" s="276" t="s">
        <v>389</v>
      </c>
      <c r="E85" s="48"/>
      <c r="F85" s="376"/>
      <c r="G85" s="279"/>
      <c r="H85" s="58"/>
      <c r="I85" s="163">
        <f>SUM(I86:I89)</f>
        <v>1218599.52</v>
      </c>
      <c r="J85" s="539">
        <f>I85/I64</f>
        <v>0.302793905513142</v>
      </c>
      <c r="K85" s="147">
        <f>I85/I64</f>
        <v>0.302793905513142</v>
      </c>
      <c r="L85" s="153">
        <f>'QUANTITATIVOS DE REDE'!K145</f>
        <v>41208.58</v>
      </c>
      <c r="M85" s="6"/>
      <c r="N85" s="6"/>
      <c r="O85" s="6"/>
      <c r="P85" s="6"/>
      <c r="Q85" s="6"/>
    </row>
    <row r="86" spans="1:17" s="7" customFormat="1" x14ac:dyDescent="0.2">
      <c r="A86" s="375" t="s">
        <v>415</v>
      </c>
      <c r="B86" s="375" t="s">
        <v>98</v>
      </c>
      <c r="C86" s="375">
        <v>83867</v>
      </c>
      <c r="D86" s="377" t="s">
        <v>392</v>
      </c>
      <c r="E86" s="48" t="s">
        <v>101</v>
      </c>
      <c r="F86" s="376">
        <f>L$85*K86</f>
        <v>16483.432000000001</v>
      </c>
      <c r="G86" s="279">
        <v>23.98</v>
      </c>
      <c r="H86" s="58">
        <f>ROUND((1+K$3)*G86,2)</f>
        <v>29.98</v>
      </c>
      <c r="I86" s="58">
        <f>ROUND(F86*H86,2)</f>
        <v>494173.29</v>
      </c>
      <c r="J86" s="6"/>
      <c r="K86" s="224">
        <v>0.4</v>
      </c>
      <c r="L86" s="6"/>
      <c r="M86" s="6"/>
      <c r="N86" s="6"/>
      <c r="O86" s="6"/>
      <c r="P86" s="6"/>
      <c r="Q86" s="6"/>
    </row>
    <row r="87" spans="1:17" s="7" customFormat="1" x14ac:dyDescent="0.2">
      <c r="A87" s="375" t="s">
        <v>416</v>
      </c>
      <c r="B87" s="375" t="s">
        <v>98</v>
      </c>
      <c r="C87" s="375">
        <v>83868</v>
      </c>
      <c r="D87" s="377" t="s">
        <v>391</v>
      </c>
      <c r="E87" s="48" t="s">
        <v>101</v>
      </c>
      <c r="F87" s="376">
        <f t="shared" ref="F87:F89" si="6">L$85*K87</f>
        <v>2060.4290000000001</v>
      </c>
      <c r="G87" s="279">
        <v>33.79</v>
      </c>
      <c r="H87" s="58">
        <f>ROUND((1+K$3)*G87,2)</f>
        <v>42.24</v>
      </c>
      <c r="I87" s="58">
        <f>ROUND(F87*H87,2)</f>
        <v>87032.52</v>
      </c>
      <c r="J87" s="6"/>
      <c r="K87" s="224">
        <v>0.05</v>
      </c>
      <c r="L87" s="6"/>
      <c r="M87" s="6"/>
      <c r="N87" s="6"/>
      <c r="O87" s="6"/>
      <c r="P87" s="6"/>
      <c r="Q87" s="6"/>
    </row>
    <row r="88" spans="1:17" s="7" customFormat="1" x14ac:dyDescent="0.2">
      <c r="A88" s="375" t="s">
        <v>417</v>
      </c>
      <c r="B88" s="375" t="s">
        <v>98</v>
      </c>
      <c r="C88" s="375" t="s">
        <v>394</v>
      </c>
      <c r="D88" s="377" t="s">
        <v>395</v>
      </c>
      <c r="E88" s="48" t="s">
        <v>101</v>
      </c>
      <c r="F88" s="376">
        <f t="shared" si="6"/>
        <v>20604.29</v>
      </c>
      <c r="G88" s="279">
        <v>21.46</v>
      </c>
      <c r="H88" s="58">
        <f>ROUND((1+K$3)*G88,2)</f>
        <v>26.83</v>
      </c>
      <c r="I88" s="58">
        <f>ROUND(F88*H88,2)</f>
        <v>552813.1</v>
      </c>
      <c r="J88" s="6"/>
      <c r="K88" s="224">
        <v>0.5</v>
      </c>
      <c r="L88" s="6"/>
      <c r="M88" s="6"/>
      <c r="N88" s="6"/>
      <c r="O88" s="6"/>
      <c r="P88" s="6"/>
      <c r="Q88" s="6"/>
    </row>
    <row r="89" spans="1:17" s="7" customFormat="1" x14ac:dyDescent="0.2">
      <c r="A89" s="375" t="s">
        <v>418</v>
      </c>
      <c r="B89" s="375" t="s">
        <v>98</v>
      </c>
      <c r="C89" s="375" t="s">
        <v>390</v>
      </c>
      <c r="D89" s="377" t="s">
        <v>393</v>
      </c>
      <c r="E89" s="48" t="s">
        <v>101</v>
      </c>
      <c r="F89" s="376">
        <f t="shared" si="6"/>
        <v>2060.4290000000001</v>
      </c>
      <c r="G89" s="279">
        <v>32.840000000000003</v>
      </c>
      <c r="H89" s="58">
        <f>ROUND((1+K$3)*G89,2)</f>
        <v>41.05</v>
      </c>
      <c r="I89" s="58">
        <f>ROUND(F89*H89,2)</f>
        <v>84580.61</v>
      </c>
      <c r="J89" s="6"/>
      <c r="K89" s="224">
        <v>0.05</v>
      </c>
      <c r="L89" s="6"/>
      <c r="M89" s="6"/>
      <c r="N89" s="6"/>
      <c r="O89" s="6"/>
      <c r="P89" s="6"/>
      <c r="Q89" s="6"/>
    </row>
    <row r="90" spans="1:17" s="7" customFormat="1" x14ac:dyDescent="0.2">
      <c r="A90" s="56"/>
      <c r="B90" s="48"/>
      <c r="C90" s="48"/>
      <c r="D90" s="266"/>
      <c r="E90" s="48"/>
      <c r="F90" s="376"/>
      <c r="G90" s="279"/>
      <c r="H90" s="57"/>
      <c r="I90" s="57"/>
      <c r="J90" s="6"/>
      <c r="K90" s="540">
        <f>SUM(K86:K89)</f>
        <v>1</v>
      </c>
      <c r="L90" s="6"/>
      <c r="M90" s="6"/>
      <c r="N90" s="6"/>
      <c r="O90" s="6"/>
      <c r="P90" s="6"/>
      <c r="Q90" s="6"/>
    </row>
    <row r="91" spans="1:17" s="7" customFormat="1" ht="15" x14ac:dyDescent="0.25">
      <c r="A91" s="162" t="s">
        <v>563</v>
      </c>
      <c r="B91" s="48"/>
      <c r="C91" s="48"/>
      <c r="D91" s="280" t="s">
        <v>385</v>
      </c>
      <c r="E91" s="48"/>
      <c r="F91" s="376"/>
      <c r="G91" s="279"/>
      <c r="H91" s="57"/>
      <c r="I91" s="177">
        <f>SUM(I92:I93)</f>
        <v>533000.19999999995</v>
      </c>
      <c r="J91" s="539">
        <f>I91/I64</f>
        <v>0.13243826995540403</v>
      </c>
      <c r="K91" s="147">
        <f>I91/I64</f>
        <v>0.13243826995540403</v>
      </c>
      <c r="L91" s="6"/>
      <c r="M91" s="6"/>
      <c r="N91" s="6"/>
      <c r="O91" s="6"/>
      <c r="P91" s="6"/>
      <c r="Q91" s="6"/>
    </row>
    <row r="92" spans="1:17" s="7" customFormat="1" ht="14.25" customHeight="1" x14ac:dyDescent="0.2">
      <c r="A92" s="56" t="s">
        <v>419</v>
      </c>
      <c r="B92" s="48" t="s">
        <v>98</v>
      </c>
      <c r="C92" s="48">
        <v>5622</v>
      </c>
      <c r="D92" s="266" t="s">
        <v>660</v>
      </c>
      <c r="E92" s="48" t="s">
        <v>101</v>
      </c>
      <c r="F92" s="376">
        <f>F66*0.92</f>
        <v>13491.993200000001</v>
      </c>
      <c r="G92" s="58">
        <v>2.13</v>
      </c>
      <c r="H92" s="57">
        <f>ROUND((1+K$3)*G92,2)</f>
        <v>2.66</v>
      </c>
      <c r="I92" s="57">
        <f>ROUND(F92*H92,2)</f>
        <v>35888.699999999997</v>
      </c>
      <c r="J92" s="6"/>
      <c r="K92" s="6"/>
      <c r="L92" s="6"/>
      <c r="M92" s="6"/>
      <c r="N92" s="6"/>
      <c r="O92" s="6"/>
      <c r="P92" s="6"/>
      <c r="Q92" s="6"/>
    </row>
    <row r="93" spans="1:17" s="7" customFormat="1" ht="28.5" x14ac:dyDescent="0.2">
      <c r="A93" s="375" t="s">
        <v>420</v>
      </c>
      <c r="B93" s="48" t="s">
        <v>98</v>
      </c>
      <c r="C93" s="48" t="s">
        <v>122</v>
      </c>
      <c r="D93" s="266" t="s">
        <v>123</v>
      </c>
      <c r="E93" s="48" t="s">
        <v>113</v>
      </c>
      <c r="F93" s="376">
        <f>'QUANTITATIVOS DE REDE'!K148</f>
        <v>26150</v>
      </c>
      <c r="G93" s="58">
        <v>15.21</v>
      </c>
      <c r="H93" s="57">
        <f>ROUND((1+K$3)*G93,2)</f>
        <v>19.010000000000002</v>
      </c>
      <c r="I93" s="57">
        <f>ROUND(F93*H93,2)</f>
        <v>497111.5</v>
      </c>
      <c r="J93" s="6"/>
      <c r="K93" s="6"/>
      <c r="L93" s="6"/>
      <c r="M93" s="6"/>
      <c r="N93" s="6"/>
      <c r="O93" s="6"/>
      <c r="P93" s="6"/>
      <c r="Q93" s="6"/>
    </row>
    <row r="94" spans="1:17" s="7" customFormat="1" x14ac:dyDescent="0.2">
      <c r="A94" s="375"/>
      <c r="B94" s="374"/>
      <c r="C94" s="374"/>
      <c r="D94" s="266"/>
      <c r="E94" s="374"/>
      <c r="F94" s="376"/>
      <c r="G94" s="376"/>
      <c r="H94" s="57"/>
      <c r="I94" s="57"/>
      <c r="J94" s="6"/>
      <c r="K94" s="6"/>
      <c r="L94" s="6"/>
      <c r="M94" s="6"/>
      <c r="N94" s="6"/>
      <c r="O94" s="6"/>
      <c r="P94" s="6"/>
      <c r="Q94" s="6"/>
    </row>
    <row r="95" spans="1:17" s="7" customFormat="1" x14ac:dyDescent="0.2">
      <c r="A95" s="48"/>
      <c r="B95" s="48"/>
      <c r="C95" s="48"/>
      <c r="D95" s="266"/>
      <c r="E95" s="48"/>
      <c r="F95" s="376"/>
      <c r="G95" s="58"/>
      <c r="H95" s="57"/>
      <c r="I95" s="57"/>
      <c r="J95" s="6"/>
      <c r="K95" s="6"/>
      <c r="L95" s="6"/>
      <c r="M95" s="6"/>
      <c r="N95" s="6"/>
      <c r="O95" s="6"/>
      <c r="P95" s="6"/>
      <c r="Q95" s="6"/>
    </row>
    <row r="96" spans="1:17" s="7" customFormat="1" ht="15" x14ac:dyDescent="0.25">
      <c r="A96" s="52" t="s">
        <v>982</v>
      </c>
      <c r="B96" s="48"/>
      <c r="C96" s="48"/>
      <c r="D96" s="280" t="s">
        <v>388</v>
      </c>
      <c r="E96" s="48"/>
      <c r="F96" s="376"/>
      <c r="G96" s="58"/>
      <c r="H96" s="57"/>
      <c r="I96" s="177">
        <f>SUM(I97:I98)</f>
        <v>6165.32</v>
      </c>
      <c r="J96" s="539">
        <f>I96/I64</f>
        <v>1.5319399777363153E-3</v>
      </c>
      <c r="K96" s="147">
        <f>I96/I64</f>
        <v>1.5319399777363153E-3</v>
      </c>
      <c r="L96" s="6"/>
      <c r="M96" s="6"/>
      <c r="N96" s="6"/>
      <c r="O96" s="6"/>
      <c r="P96" s="6"/>
      <c r="Q96" s="6"/>
    </row>
    <row r="97" spans="1:17" s="7" customFormat="1" ht="28.5" x14ac:dyDescent="0.2">
      <c r="A97" s="48" t="s">
        <v>821</v>
      </c>
      <c r="B97" s="48" t="s">
        <v>98</v>
      </c>
      <c r="C97" s="48" t="s">
        <v>822</v>
      </c>
      <c r="D97" s="266" t="s">
        <v>823</v>
      </c>
      <c r="E97" s="48" t="s">
        <v>113</v>
      </c>
      <c r="F97" s="376">
        <f>F93-F80-F79-F78-F77-F76-F75</f>
        <v>716.06435681000585</v>
      </c>
      <c r="G97" s="58">
        <v>4.58</v>
      </c>
      <c r="H97" s="57">
        <f>ROUND((1+K$3)*G97,2)</f>
        <v>5.73</v>
      </c>
      <c r="I97" s="57">
        <f>ROUND(F97*H97,2)</f>
        <v>4103.05</v>
      </c>
      <c r="J97" s="6"/>
      <c r="K97" s="6"/>
      <c r="L97" s="6"/>
      <c r="M97" s="6"/>
      <c r="N97" s="6"/>
      <c r="O97" s="6"/>
      <c r="P97" s="6"/>
      <c r="Q97" s="6"/>
    </row>
    <row r="98" spans="1:17" s="7" customFormat="1" ht="14.25" customHeight="1" x14ac:dyDescent="0.2">
      <c r="A98" s="374" t="s">
        <v>421</v>
      </c>
      <c r="B98" s="48" t="s">
        <v>98</v>
      </c>
      <c r="C98" s="48" t="s">
        <v>124</v>
      </c>
      <c r="D98" s="266" t="s">
        <v>125</v>
      </c>
      <c r="E98" s="48" t="s">
        <v>113</v>
      </c>
      <c r="F98" s="376">
        <f>F97</f>
        <v>716.06435681000585</v>
      </c>
      <c r="G98" s="58">
        <v>2.2999999999999998</v>
      </c>
      <c r="H98" s="57">
        <f>ROUND((1+K$3)*G98,2)</f>
        <v>2.88</v>
      </c>
      <c r="I98" s="57">
        <f>ROUND(F98*H98,2)</f>
        <v>2062.27</v>
      </c>
      <c r="J98" s="6"/>
      <c r="K98" s="6"/>
      <c r="L98" s="6"/>
      <c r="M98" s="6"/>
      <c r="N98" s="6"/>
      <c r="O98" s="6"/>
      <c r="P98" s="6"/>
      <c r="Q98" s="6"/>
    </row>
    <row r="99" spans="1:17" s="7" customFormat="1" x14ac:dyDescent="0.2">
      <c r="A99" s="48"/>
      <c r="B99" s="48"/>
      <c r="C99" s="48"/>
      <c r="D99" s="266"/>
      <c r="E99" s="48"/>
      <c r="F99" s="376"/>
      <c r="G99" s="279"/>
      <c r="H99" s="57"/>
      <c r="I99" s="57"/>
      <c r="J99" s="6"/>
      <c r="K99" s="6"/>
      <c r="L99" s="6"/>
      <c r="M99" s="6"/>
      <c r="N99" s="6"/>
      <c r="O99" s="6"/>
      <c r="P99" s="6"/>
      <c r="Q99" s="6"/>
    </row>
    <row r="100" spans="1:17" s="7" customFormat="1" ht="15" x14ac:dyDescent="0.25">
      <c r="A100" s="52" t="s">
        <v>564</v>
      </c>
      <c r="B100" s="48"/>
      <c r="C100" s="48"/>
      <c r="D100" s="280" t="s">
        <v>381</v>
      </c>
      <c r="E100" s="48"/>
      <c r="F100" s="376"/>
      <c r="G100" s="279"/>
      <c r="H100" s="57"/>
      <c r="I100" s="177">
        <f>SUM(I101:I103)</f>
        <v>33559.1</v>
      </c>
      <c r="J100" s="539">
        <f>I100/I64</f>
        <v>8.3386631848550892E-3</v>
      </c>
      <c r="K100" s="147"/>
      <c r="L100" s="6"/>
      <c r="M100" s="6"/>
      <c r="N100" s="6"/>
      <c r="O100" s="6"/>
      <c r="P100" s="6"/>
      <c r="Q100" s="6"/>
    </row>
    <row r="101" spans="1:17" s="7" customFormat="1" x14ac:dyDescent="0.2">
      <c r="A101" s="48" t="s">
        <v>422</v>
      </c>
      <c r="B101" s="48" t="s">
        <v>98</v>
      </c>
      <c r="C101" s="48" t="s">
        <v>126</v>
      </c>
      <c r="D101" s="266" t="s">
        <v>127</v>
      </c>
      <c r="E101" s="48" t="s">
        <v>97</v>
      </c>
      <c r="F101" s="376">
        <v>100</v>
      </c>
      <c r="G101" s="58">
        <v>4.22</v>
      </c>
      <c r="H101" s="57">
        <f>ROUND((1+K$3)*G101,2)</f>
        <v>5.28</v>
      </c>
      <c r="I101" s="57">
        <f>ROUND(F101*H101,2)</f>
        <v>528</v>
      </c>
      <c r="J101" s="6"/>
      <c r="K101" s="6"/>
      <c r="L101" s="6"/>
      <c r="M101" s="6"/>
      <c r="N101" s="6"/>
      <c r="O101" s="6"/>
      <c r="P101" s="6"/>
      <c r="Q101" s="6"/>
    </row>
    <row r="102" spans="1:17" s="7" customFormat="1" x14ac:dyDescent="0.2">
      <c r="A102" s="374" t="s">
        <v>423</v>
      </c>
      <c r="B102" s="48" t="s">
        <v>98</v>
      </c>
      <c r="C102" s="48" t="s">
        <v>128</v>
      </c>
      <c r="D102" s="266" t="s">
        <v>129</v>
      </c>
      <c r="E102" s="48" t="s">
        <v>113</v>
      </c>
      <c r="F102" s="376">
        <v>250</v>
      </c>
      <c r="G102" s="58">
        <v>72.31</v>
      </c>
      <c r="H102" s="57">
        <f>ROUND((1+K$3)*G102,2)</f>
        <v>90.39</v>
      </c>
      <c r="I102" s="57">
        <f>ROUND(F102*H102,2)</f>
        <v>22597.5</v>
      </c>
      <c r="J102" s="6"/>
      <c r="K102" s="6"/>
      <c r="L102" s="6"/>
      <c r="M102" s="6"/>
      <c r="N102" s="6"/>
      <c r="O102" s="6"/>
      <c r="P102" s="6"/>
      <c r="Q102" s="6"/>
    </row>
    <row r="103" spans="1:17" s="7" customFormat="1" ht="14.25" customHeight="1" x14ac:dyDescent="0.2">
      <c r="A103" s="374" t="s">
        <v>424</v>
      </c>
      <c r="B103" s="48" t="s">
        <v>98</v>
      </c>
      <c r="C103" s="48" t="s">
        <v>396</v>
      </c>
      <c r="D103" s="266" t="s">
        <v>397</v>
      </c>
      <c r="E103" s="48" t="s">
        <v>107</v>
      </c>
      <c r="F103" s="376">
        <v>160</v>
      </c>
      <c r="G103" s="58">
        <v>52.17</v>
      </c>
      <c r="H103" s="57">
        <f>ROUND((1+K$3)*G103,2)</f>
        <v>65.209999999999994</v>
      </c>
      <c r="I103" s="57">
        <f>ROUND(F103*H103,2)</f>
        <v>10433.6</v>
      </c>
      <c r="J103" s="6"/>
      <c r="K103" s="6"/>
      <c r="L103" s="6"/>
      <c r="M103" s="6"/>
      <c r="N103" s="6"/>
      <c r="O103" s="6"/>
      <c r="P103" s="6"/>
      <c r="Q103" s="6"/>
    </row>
    <row r="104" spans="1:17" s="7" customFormat="1" x14ac:dyDescent="0.2">
      <c r="A104" s="48"/>
      <c r="B104" s="48"/>
      <c r="C104" s="48"/>
      <c r="D104" s="283"/>
      <c r="E104" s="48"/>
      <c r="F104" s="376"/>
      <c r="G104" s="279"/>
      <c r="H104" s="57"/>
      <c r="I104" s="57"/>
      <c r="J104" s="6"/>
      <c r="K104" s="6"/>
      <c r="L104" s="6"/>
      <c r="M104" s="6"/>
      <c r="N104" s="6"/>
      <c r="O104" s="6"/>
      <c r="P104" s="6"/>
      <c r="Q104" s="6"/>
    </row>
    <row r="105" spans="1:17" s="7" customFormat="1" ht="15" x14ac:dyDescent="0.25">
      <c r="A105" s="52" t="s">
        <v>565</v>
      </c>
      <c r="B105" s="48"/>
      <c r="C105" s="48"/>
      <c r="D105" s="284" t="s">
        <v>382</v>
      </c>
      <c r="E105" s="48"/>
      <c r="F105" s="376"/>
      <c r="G105" s="279"/>
      <c r="H105" s="57"/>
      <c r="I105" s="177">
        <f>SUM(I106:I119)</f>
        <v>391775.73</v>
      </c>
      <c r="J105" s="539">
        <f>I105/I64</f>
        <v>9.7347242818512036E-2</v>
      </c>
      <c r="K105" s="147"/>
      <c r="L105" s="6"/>
      <c r="M105" s="6"/>
      <c r="N105" s="6"/>
      <c r="O105" s="6"/>
      <c r="P105" s="6"/>
      <c r="Q105" s="6"/>
    </row>
    <row r="106" spans="1:17" s="7" customFormat="1" ht="42.75" x14ac:dyDescent="0.2">
      <c r="A106" s="48" t="s">
        <v>425</v>
      </c>
      <c r="B106" s="48" t="s">
        <v>98</v>
      </c>
      <c r="C106" s="48" t="s">
        <v>372</v>
      </c>
      <c r="D106" s="266" t="s">
        <v>373</v>
      </c>
      <c r="E106" s="48" t="s">
        <v>10</v>
      </c>
      <c r="F106" s="376">
        <v>86</v>
      </c>
      <c r="G106" s="285">
        <v>1019.09</v>
      </c>
      <c r="H106" s="57">
        <f t="shared" ref="H106:H116" si="7">ROUND((1+K$3)*G106,2)</f>
        <v>1273.8599999999999</v>
      </c>
      <c r="I106" s="57">
        <f t="shared" ref="I106:I116" si="8">ROUND(F106*H106,2)</f>
        <v>109551.96</v>
      </c>
      <c r="J106" s="6"/>
      <c r="K106" s="6"/>
      <c r="L106" s="6"/>
      <c r="M106" s="6"/>
      <c r="N106" s="6"/>
      <c r="O106" s="6"/>
      <c r="P106" s="6"/>
      <c r="Q106" s="6"/>
    </row>
    <row r="107" spans="1:17" s="7" customFormat="1" ht="42.75" x14ac:dyDescent="0.2">
      <c r="A107" s="374" t="s">
        <v>426</v>
      </c>
      <c r="B107" s="48" t="s">
        <v>98</v>
      </c>
      <c r="C107" s="48" t="s">
        <v>495</v>
      </c>
      <c r="D107" s="266" t="s">
        <v>491</v>
      </c>
      <c r="E107" s="48" t="s">
        <v>10</v>
      </c>
      <c r="F107" s="376">
        <v>24</v>
      </c>
      <c r="G107" s="285">
        <v>1126.21</v>
      </c>
      <c r="H107" s="57">
        <f t="shared" si="7"/>
        <v>1407.76</v>
      </c>
      <c r="I107" s="57">
        <f t="shared" si="8"/>
        <v>33786.239999999998</v>
      </c>
      <c r="J107" s="6"/>
      <c r="K107" s="6"/>
      <c r="L107" s="6"/>
      <c r="M107" s="6"/>
      <c r="N107" s="6"/>
      <c r="O107" s="6"/>
      <c r="P107" s="6"/>
      <c r="Q107" s="6"/>
    </row>
    <row r="108" spans="1:17" s="7" customFormat="1" ht="42.75" x14ac:dyDescent="0.2">
      <c r="A108" s="374" t="s">
        <v>427</v>
      </c>
      <c r="B108" s="48" t="s">
        <v>98</v>
      </c>
      <c r="C108" s="48" t="s">
        <v>371</v>
      </c>
      <c r="D108" s="266" t="s">
        <v>375</v>
      </c>
      <c r="E108" s="48" t="s">
        <v>10</v>
      </c>
      <c r="F108" s="376">
        <v>12</v>
      </c>
      <c r="G108" s="285">
        <v>1217.42</v>
      </c>
      <c r="H108" s="57">
        <f t="shared" si="7"/>
        <v>1521.78</v>
      </c>
      <c r="I108" s="57">
        <f t="shared" si="8"/>
        <v>18261.36</v>
      </c>
      <c r="J108" s="6"/>
      <c r="K108" s="6"/>
      <c r="L108" s="6"/>
      <c r="M108" s="6"/>
      <c r="N108" s="6"/>
      <c r="O108" s="6"/>
      <c r="P108" s="6"/>
      <c r="Q108" s="6"/>
    </row>
    <row r="109" spans="1:17" s="7" customFormat="1" ht="42.75" x14ac:dyDescent="0.2">
      <c r="A109" s="374" t="s">
        <v>431</v>
      </c>
      <c r="B109" s="48" t="s">
        <v>98</v>
      </c>
      <c r="C109" s="48" t="s">
        <v>496</v>
      </c>
      <c r="D109" s="266" t="s">
        <v>492</v>
      </c>
      <c r="E109" s="48" t="s">
        <v>10</v>
      </c>
      <c r="F109" s="376">
        <v>13</v>
      </c>
      <c r="G109" s="285">
        <v>1222.9000000000001</v>
      </c>
      <c r="H109" s="57">
        <f t="shared" si="7"/>
        <v>1528.63</v>
      </c>
      <c r="I109" s="57">
        <f t="shared" si="8"/>
        <v>19872.189999999999</v>
      </c>
      <c r="J109" s="6"/>
      <c r="K109" s="6"/>
      <c r="L109" s="6"/>
      <c r="M109" s="6"/>
      <c r="N109" s="6"/>
      <c r="O109" s="6"/>
      <c r="P109" s="6"/>
      <c r="Q109" s="6"/>
    </row>
    <row r="110" spans="1:17" s="7" customFormat="1" ht="42.75" x14ac:dyDescent="0.2">
      <c r="A110" s="374" t="s">
        <v>432</v>
      </c>
      <c r="B110" s="48" t="s">
        <v>98</v>
      </c>
      <c r="C110" s="48" t="s">
        <v>591</v>
      </c>
      <c r="D110" s="266" t="s">
        <v>592</v>
      </c>
      <c r="E110" s="48" t="s">
        <v>10</v>
      </c>
      <c r="F110" s="376">
        <v>15</v>
      </c>
      <c r="G110" s="285">
        <v>1240.0899999999999</v>
      </c>
      <c r="H110" s="57">
        <f t="shared" si="7"/>
        <v>1550.11</v>
      </c>
      <c r="I110" s="57">
        <f t="shared" si="8"/>
        <v>23251.65</v>
      </c>
      <c r="J110" s="6"/>
      <c r="K110" s="6"/>
      <c r="L110" s="6"/>
      <c r="M110" s="6"/>
      <c r="N110" s="6"/>
      <c r="O110" s="6"/>
      <c r="P110" s="6"/>
      <c r="Q110" s="6"/>
    </row>
    <row r="111" spans="1:17" s="7" customFormat="1" ht="42.75" x14ac:dyDescent="0.2">
      <c r="A111" s="374" t="s">
        <v>499</v>
      </c>
      <c r="B111" s="48" t="s">
        <v>98</v>
      </c>
      <c r="C111" s="48" t="s">
        <v>368</v>
      </c>
      <c r="D111" s="266" t="s">
        <v>376</v>
      </c>
      <c r="E111" s="48" t="s">
        <v>10</v>
      </c>
      <c r="F111" s="376">
        <v>19</v>
      </c>
      <c r="G111" s="285">
        <v>1378.48</v>
      </c>
      <c r="H111" s="57">
        <f t="shared" si="7"/>
        <v>1723.1</v>
      </c>
      <c r="I111" s="57">
        <f t="shared" si="8"/>
        <v>32738.9</v>
      </c>
      <c r="J111" s="6"/>
      <c r="K111" s="6"/>
      <c r="L111" s="6"/>
      <c r="M111" s="6"/>
      <c r="N111" s="6"/>
      <c r="O111" s="6"/>
      <c r="P111" s="6"/>
      <c r="Q111" s="6"/>
    </row>
    <row r="112" spans="1:17" s="7" customFormat="1" ht="42.75" x14ac:dyDescent="0.2">
      <c r="A112" s="374" t="s">
        <v>500</v>
      </c>
      <c r="B112" s="48" t="s">
        <v>98</v>
      </c>
      <c r="C112" s="48" t="s">
        <v>497</v>
      </c>
      <c r="D112" s="266" t="s">
        <v>493</v>
      </c>
      <c r="E112" s="48" t="s">
        <v>10</v>
      </c>
      <c r="F112" s="376">
        <v>16</v>
      </c>
      <c r="G112" s="285">
        <v>1463.02</v>
      </c>
      <c r="H112" s="57">
        <f t="shared" si="7"/>
        <v>1828.78</v>
      </c>
      <c r="I112" s="57">
        <f t="shared" si="8"/>
        <v>29260.48</v>
      </c>
      <c r="J112" s="6"/>
      <c r="K112" s="6"/>
      <c r="L112" s="6"/>
      <c r="M112" s="6"/>
      <c r="N112" s="6"/>
      <c r="O112" s="6"/>
      <c r="P112" s="6"/>
      <c r="Q112" s="6"/>
    </row>
    <row r="113" spans="1:17" s="7" customFormat="1" ht="42.75" x14ac:dyDescent="0.2">
      <c r="A113" s="374" t="s">
        <v>593</v>
      </c>
      <c r="B113" s="48" t="s">
        <v>98</v>
      </c>
      <c r="C113" s="48" t="s">
        <v>369</v>
      </c>
      <c r="D113" s="266" t="s">
        <v>374</v>
      </c>
      <c r="E113" s="48" t="s">
        <v>10</v>
      </c>
      <c r="F113" s="376">
        <v>21</v>
      </c>
      <c r="G113" s="285">
        <v>1601.4</v>
      </c>
      <c r="H113" s="57">
        <f t="shared" si="7"/>
        <v>2001.75</v>
      </c>
      <c r="I113" s="57">
        <f t="shared" si="8"/>
        <v>42036.75</v>
      </c>
      <c r="J113" s="6"/>
      <c r="K113" s="6"/>
      <c r="L113" s="6"/>
      <c r="M113" s="6"/>
      <c r="N113" s="6"/>
      <c r="O113" s="6"/>
      <c r="P113" s="6"/>
      <c r="Q113" s="6"/>
    </row>
    <row r="114" spans="1:17" s="7" customFormat="1" ht="42.75" x14ac:dyDescent="0.2">
      <c r="A114" s="374" t="s">
        <v>594</v>
      </c>
      <c r="B114" s="48" t="s">
        <v>98</v>
      </c>
      <c r="C114" s="48" t="s">
        <v>498</v>
      </c>
      <c r="D114" s="266" t="s">
        <v>494</v>
      </c>
      <c r="E114" s="48" t="s">
        <v>10</v>
      </c>
      <c r="F114" s="376">
        <v>14</v>
      </c>
      <c r="G114" s="285">
        <v>1739.79</v>
      </c>
      <c r="H114" s="57">
        <f t="shared" si="7"/>
        <v>2174.7399999999998</v>
      </c>
      <c r="I114" s="57">
        <f t="shared" si="8"/>
        <v>30446.36</v>
      </c>
      <c r="J114" s="6"/>
      <c r="K114" s="6"/>
      <c r="L114" s="6"/>
      <c r="M114" s="6"/>
      <c r="N114" s="6"/>
      <c r="O114" s="6"/>
      <c r="P114" s="6"/>
      <c r="Q114" s="6"/>
    </row>
    <row r="115" spans="1:17" s="7" customFormat="1" ht="42.75" x14ac:dyDescent="0.2">
      <c r="A115" s="374" t="s">
        <v>595</v>
      </c>
      <c r="B115" s="48" t="s">
        <v>98</v>
      </c>
      <c r="C115" s="48" t="s">
        <v>370</v>
      </c>
      <c r="D115" s="266" t="s">
        <v>377</v>
      </c>
      <c r="E115" s="48" t="s">
        <v>10</v>
      </c>
      <c r="F115" s="376">
        <v>6</v>
      </c>
      <c r="G115" s="285">
        <v>1835.16</v>
      </c>
      <c r="H115" s="57">
        <f t="shared" si="7"/>
        <v>2293.9499999999998</v>
      </c>
      <c r="I115" s="57">
        <f t="shared" si="8"/>
        <v>13763.7</v>
      </c>
      <c r="J115" s="6"/>
      <c r="K115" s="6"/>
      <c r="L115" s="6"/>
      <c r="M115" s="6"/>
      <c r="N115" s="6"/>
      <c r="O115" s="6"/>
      <c r="P115" s="6"/>
      <c r="Q115" s="6"/>
    </row>
    <row r="116" spans="1:17" s="7" customFormat="1" ht="42.75" x14ac:dyDescent="0.2">
      <c r="A116" s="374" t="s">
        <v>604</v>
      </c>
      <c r="B116" s="48" t="s">
        <v>98</v>
      </c>
      <c r="C116" s="56" t="s">
        <v>600</v>
      </c>
      <c r="D116" s="266" t="s">
        <v>601</v>
      </c>
      <c r="E116" s="48" t="s">
        <v>10</v>
      </c>
      <c r="F116" s="376">
        <v>11</v>
      </c>
      <c r="G116" s="277">
        <v>1973.9</v>
      </c>
      <c r="H116" s="58">
        <f t="shared" si="7"/>
        <v>2467.38</v>
      </c>
      <c r="I116" s="58">
        <f t="shared" si="8"/>
        <v>27141.18</v>
      </c>
      <c r="J116" s="6"/>
      <c r="K116" s="6"/>
      <c r="L116" s="6"/>
      <c r="M116" s="6"/>
      <c r="N116" s="6"/>
      <c r="O116" s="6"/>
      <c r="P116" s="6"/>
      <c r="Q116" s="6"/>
    </row>
    <row r="117" spans="1:17" s="7" customFormat="1" ht="42.75" x14ac:dyDescent="0.2">
      <c r="A117" s="374" t="s">
        <v>605</v>
      </c>
      <c r="B117" s="48" t="s">
        <v>98</v>
      </c>
      <c r="C117" s="56" t="s">
        <v>599</v>
      </c>
      <c r="D117" s="266" t="s">
        <v>598</v>
      </c>
      <c r="E117" s="48"/>
      <c r="F117" s="376">
        <v>1</v>
      </c>
      <c r="G117" s="277">
        <v>2205.0500000000002</v>
      </c>
      <c r="H117" s="58">
        <f>ROUND((1+K$3)*G117,2)</f>
        <v>2756.31</v>
      </c>
      <c r="I117" s="58">
        <f>ROUND(F117*H117,2)</f>
        <v>2756.31</v>
      </c>
      <c r="J117" s="6"/>
      <c r="K117" s="6"/>
      <c r="L117" s="6"/>
      <c r="M117" s="6"/>
      <c r="N117" s="6"/>
      <c r="O117" s="6"/>
      <c r="P117" s="6"/>
      <c r="Q117" s="6"/>
    </row>
    <row r="118" spans="1:17" s="7" customFormat="1" ht="42.75" x14ac:dyDescent="0.2">
      <c r="A118" s="374" t="s">
        <v>606</v>
      </c>
      <c r="B118" s="48" t="s">
        <v>98</v>
      </c>
      <c r="C118" s="56" t="s">
        <v>596</v>
      </c>
      <c r="D118" s="270" t="s">
        <v>597</v>
      </c>
      <c r="E118" s="56" t="s">
        <v>10</v>
      </c>
      <c r="F118" s="376">
        <v>2</v>
      </c>
      <c r="G118" s="277">
        <v>2342.5</v>
      </c>
      <c r="H118" s="58">
        <f>ROUND((1+K$3)*G118,2)</f>
        <v>2928.13</v>
      </c>
      <c r="I118" s="58">
        <f>ROUND(F118*H118,2)</f>
        <v>5856.26</v>
      </c>
      <c r="J118" s="6"/>
      <c r="K118" s="6"/>
      <c r="L118" s="6"/>
      <c r="M118" s="6"/>
      <c r="N118" s="6"/>
      <c r="O118" s="6"/>
      <c r="P118" s="6"/>
      <c r="Q118" s="6"/>
    </row>
    <row r="119" spans="1:17" s="7" customFormat="1" ht="42.75" x14ac:dyDescent="0.2">
      <c r="A119" s="374" t="s">
        <v>607</v>
      </c>
      <c r="B119" s="48" t="s">
        <v>98</v>
      </c>
      <c r="C119" s="56" t="s">
        <v>602</v>
      </c>
      <c r="D119" s="270" t="s">
        <v>603</v>
      </c>
      <c r="E119" s="56"/>
      <c r="F119" s="376">
        <v>1</v>
      </c>
      <c r="G119" s="277">
        <v>2441.91</v>
      </c>
      <c r="H119" s="58">
        <f>ROUND((1+K$3)*G119,2)</f>
        <v>3052.39</v>
      </c>
      <c r="I119" s="58">
        <f>ROUND(F119*H119,2)</f>
        <v>3052.39</v>
      </c>
      <c r="J119" s="6"/>
      <c r="K119" s="6"/>
      <c r="L119" s="6"/>
      <c r="M119" s="6"/>
      <c r="N119" s="6"/>
      <c r="O119" s="6"/>
      <c r="P119" s="6"/>
      <c r="Q119" s="6"/>
    </row>
    <row r="120" spans="1:17" s="7" customFormat="1" x14ac:dyDescent="0.2">
      <c r="A120" s="48"/>
      <c r="B120" s="48"/>
      <c r="C120" s="48"/>
      <c r="D120" s="266"/>
      <c r="E120" s="48"/>
      <c r="F120" s="376"/>
      <c r="G120" s="285"/>
      <c r="H120" s="57"/>
      <c r="I120" s="57"/>
      <c r="J120" s="6"/>
      <c r="K120" s="6"/>
      <c r="L120" s="6"/>
      <c r="M120" s="6"/>
      <c r="N120" s="6"/>
      <c r="O120" s="6"/>
      <c r="P120" s="6"/>
      <c r="Q120" s="6"/>
    </row>
    <row r="121" spans="1:17" s="7" customFormat="1" ht="15" x14ac:dyDescent="0.25">
      <c r="A121" s="52" t="s">
        <v>566</v>
      </c>
      <c r="B121" s="48"/>
      <c r="C121" s="48"/>
      <c r="D121" s="280" t="s">
        <v>383</v>
      </c>
      <c r="E121" s="48"/>
      <c r="F121" s="376"/>
      <c r="G121" s="285"/>
      <c r="H121" s="57"/>
      <c r="I121" s="177">
        <f>SUM(I122:I123)</f>
        <v>445904.92</v>
      </c>
      <c r="J121" s="539">
        <f>I121/I64</f>
        <v>0.11079709945587794</v>
      </c>
      <c r="K121" s="147">
        <f>I121/I64</f>
        <v>0.11079709945587794</v>
      </c>
      <c r="L121" s="6"/>
      <c r="M121" s="6"/>
      <c r="N121" s="6"/>
      <c r="O121" s="6"/>
      <c r="P121" s="6"/>
      <c r="Q121" s="6"/>
    </row>
    <row r="122" spans="1:17" s="7" customFormat="1" x14ac:dyDescent="0.2">
      <c r="A122" s="48" t="s">
        <v>428</v>
      </c>
      <c r="B122" s="48" t="s">
        <v>98</v>
      </c>
      <c r="C122" s="48" t="s">
        <v>130</v>
      </c>
      <c r="D122" s="266" t="s">
        <v>131</v>
      </c>
      <c r="E122" s="48" t="s">
        <v>107</v>
      </c>
      <c r="F122" s="376">
        <f>F66</f>
        <v>14665.210000000001</v>
      </c>
      <c r="G122" s="277">
        <v>2.25</v>
      </c>
      <c r="H122" s="57">
        <f>ROUND((1+K$3)*G122,2)</f>
        <v>2.81</v>
      </c>
      <c r="I122" s="57">
        <f>ROUND(F122*H122,2)</f>
        <v>41209.24</v>
      </c>
      <c r="J122" s="6"/>
      <c r="K122" s="6"/>
      <c r="L122" s="6"/>
      <c r="M122" s="6"/>
      <c r="N122" s="6"/>
      <c r="O122" s="6"/>
      <c r="P122" s="6"/>
      <c r="Q122" s="6"/>
    </row>
    <row r="123" spans="1:17" s="43" customFormat="1" ht="14.25" customHeight="1" x14ac:dyDescent="0.2">
      <c r="A123" s="374" t="s">
        <v>974</v>
      </c>
      <c r="B123" s="56" t="s">
        <v>306</v>
      </c>
      <c r="C123" s="275" t="s">
        <v>156</v>
      </c>
      <c r="D123" s="270" t="s">
        <v>528</v>
      </c>
      <c r="E123" s="56" t="s">
        <v>110</v>
      </c>
      <c r="F123" s="376">
        <v>1</v>
      </c>
      <c r="G123" s="277">
        <f>'COMPOSIÇÕES DE CUSTO'!I45</f>
        <v>361335.43</v>
      </c>
      <c r="H123" s="58">
        <f>ROUND((1+K$5)*G123,2)</f>
        <v>404695.68</v>
      </c>
      <c r="I123" s="376">
        <f>ROUND(F123*H123,2)</f>
        <v>404695.68</v>
      </c>
      <c r="J123" s="42"/>
      <c r="K123" s="42"/>
      <c r="L123" s="42"/>
      <c r="M123" s="42"/>
      <c r="N123" s="42"/>
      <c r="O123" s="42"/>
      <c r="P123" s="42"/>
      <c r="Q123" s="42"/>
    </row>
    <row r="124" spans="1:17" s="55" customFormat="1" x14ac:dyDescent="0.2">
      <c r="A124" s="48"/>
      <c r="B124" s="56"/>
      <c r="C124" s="275"/>
      <c r="D124" s="283"/>
      <c r="E124" s="286"/>
      <c r="F124" s="376"/>
      <c r="G124" s="288"/>
      <c r="H124" s="287"/>
      <c r="I124" s="287"/>
      <c r="J124" s="54"/>
      <c r="K124" s="54"/>
      <c r="L124" s="54"/>
      <c r="M124" s="54"/>
      <c r="N124" s="54"/>
      <c r="O124" s="54"/>
      <c r="P124" s="54"/>
      <c r="Q124" s="54"/>
    </row>
    <row r="125" spans="1:17" s="55" customFormat="1" ht="15" x14ac:dyDescent="0.25">
      <c r="A125" s="52" t="s">
        <v>981</v>
      </c>
      <c r="B125" s="56"/>
      <c r="C125" s="275"/>
      <c r="D125" s="284" t="s">
        <v>387</v>
      </c>
      <c r="E125" s="286"/>
      <c r="F125" s="376"/>
      <c r="G125" s="288"/>
      <c r="H125" s="287"/>
      <c r="I125" s="321">
        <f>SUM(I126:I129)</f>
        <v>520181.68</v>
      </c>
      <c r="J125" s="539">
        <f>I125/I64</f>
        <v>0.12925316306015569</v>
      </c>
      <c r="K125" s="147">
        <f>I125/I64</f>
        <v>0.12925316306015569</v>
      </c>
      <c r="L125" s="54"/>
      <c r="M125" s="54"/>
      <c r="N125" s="54"/>
      <c r="O125" s="54"/>
      <c r="P125" s="54"/>
      <c r="Q125" s="54"/>
    </row>
    <row r="126" spans="1:17" s="55" customFormat="1" ht="28.5" x14ac:dyDescent="0.2">
      <c r="A126" s="48" t="s">
        <v>429</v>
      </c>
      <c r="B126" s="56" t="s">
        <v>98</v>
      </c>
      <c r="C126" s="275" t="s">
        <v>400</v>
      </c>
      <c r="D126" s="283" t="s">
        <v>401</v>
      </c>
      <c r="E126" s="286" t="s">
        <v>101</v>
      </c>
      <c r="F126" s="376">
        <f>F132*0.9*1.5</f>
        <v>769.5</v>
      </c>
      <c r="G126" s="288">
        <v>9.69</v>
      </c>
      <c r="H126" s="287">
        <f>ROUND((1+K$3)*G126,2)</f>
        <v>12.11</v>
      </c>
      <c r="I126" s="287">
        <f>ROUND(F126*H126,2)</f>
        <v>9318.65</v>
      </c>
      <c r="J126" s="54"/>
      <c r="K126" s="54"/>
      <c r="L126" s="54"/>
      <c r="M126" s="54"/>
      <c r="N126" s="54"/>
      <c r="O126" s="54"/>
      <c r="P126" s="54"/>
      <c r="Q126" s="54"/>
    </row>
    <row r="127" spans="1:17" s="55" customFormat="1" ht="14.25" customHeight="1" x14ac:dyDescent="0.2">
      <c r="A127" s="374" t="s">
        <v>433</v>
      </c>
      <c r="B127" s="56" t="s">
        <v>98</v>
      </c>
      <c r="C127" s="275" t="s">
        <v>398</v>
      </c>
      <c r="D127" s="283" t="s">
        <v>399</v>
      </c>
      <c r="E127" s="286" t="s">
        <v>101</v>
      </c>
      <c r="F127" s="376">
        <f>F126</f>
        <v>769.5</v>
      </c>
      <c r="G127" s="288">
        <v>24.92</v>
      </c>
      <c r="H127" s="287">
        <f>ROUND((1+K$3)*G127,2)</f>
        <v>31.15</v>
      </c>
      <c r="I127" s="287">
        <f>ROUND(F127*H127,2)</f>
        <v>23969.93</v>
      </c>
      <c r="J127" s="54"/>
      <c r="K127" s="54"/>
      <c r="L127" s="54"/>
      <c r="M127" s="54"/>
      <c r="N127" s="54"/>
      <c r="O127" s="54"/>
      <c r="P127" s="54"/>
      <c r="Q127" s="54"/>
    </row>
    <row r="128" spans="1:17" s="55" customFormat="1" ht="28.5" x14ac:dyDescent="0.2">
      <c r="A128" s="374" t="s">
        <v>824</v>
      </c>
      <c r="B128" s="56" t="s">
        <v>98</v>
      </c>
      <c r="C128" s="275">
        <v>72949</v>
      </c>
      <c r="D128" s="283" t="s">
        <v>608</v>
      </c>
      <c r="E128" s="286" t="s">
        <v>101</v>
      </c>
      <c r="F128" s="376">
        <f>'QUANTITATIVOS DE REDE'!K151</f>
        <v>8458.0478974158195</v>
      </c>
      <c r="G128" s="288">
        <v>19.04</v>
      </c>
      <c r="H128" s="287">
        <f>ROUND((1+K$3)*G128,2)</f>
        <v>23.8</v>
      </c>
      <c r="I128" s="287">
        <f>ROUND(F128*H128,2)</f>
        <v>201301.54</v>
      </c>
      <c r="J128" s="54"/>
      <c r="K128" s="54"/>
      <c r="L128" s="54"/>
      <c r="M128" s="54"/>
      <c r="N128" s="54"/>
      <c r="O128" s="54"/>
      <c r="P128" s="54"/>
      <c r="Q128" s="54"/>
    </row>
    <row r="129" spans="1:17" s="43" customFormat="1" ht="28.5" x14ac:dyDescent="0.2">
      <c r="A129" s="374" t="s">
        <v>434</v>
      </c>
      <c r="B129" s="56" t="s">
        <v>306</v>
      </c>
      <c r="C129" s="378" t="s">
        <v>460</v>
      </c>
      <c r="D129" s="270" t="s">
        <v>609</v>
      </c>
      <c r="E129" s="56" t="s">
        <v>101</v>
      </c>
      <c r="F129" s="376">
        <f>'QUANTITATIVOS DE REDE'!K154</f>
        <v>9557.9503393842333</v>
      </c>
      <c r="G129" s="277">
        <f>'COMPOSIÇÕES DE CUSTO'!I51</f>
        <v>23.900000000000002</v>
      </c>
      <c r="H129" s="58">
        <f>ROUND((1+K$3)*G129,2)</f>
        <v>29.88</v>
      </c>
      <c r="I129" s="58">
        <f>ROUND(F129*H129,2)</f>
        <v>285591.56</v>
      </c>
      <c r="J129" s="42"/>
      <c r="K129" s="42"/>
      <c r="L129" s="42"/>
      <c r="M129" s="42"/>
      <c r="N129" s="42"/>
      <c r="O129" s="42"/>
      <c r="P129" s="42"/>
      <c r="Q129" s="42"/>
    </row>
    <row r="130" spans="1:17" s="43" customFormat="1" x14ac:dyDescent="0.2">
      <c r="A130" s="48"/>
      <c r="B130" s="56"/>
      <c r="C130" s="275"/>
      <c r="D130" s="270"/>
      <c r="E130" s="56"/>
      <c r="F130" s="376"/>
      <c r="G130" s="277"/>
      <c r="H130" s="58"/>
      <c r="I130" s="58"/>
      <c r="J130" s="42"/>
      <c r="K130" s="42"/>
      <c r="L130" s="42"/>
      <c r="M130" s="42"/>
      <c r="N130" s="42"/>
      <c r="O130" s="42"/>
      <c r="P130" s="42"/>
      <c r="Q130" s="42"/>
    </row>
    <row r="131" spans="1:17" s="43" customFormat="1" ht="15" x14ac:dyDescent="0.2">
      <c r="A131" s="363" t="s">
        <v>980</v>
      </c>
      <c r="B131" s="364"/>
      <c r="C131" s="365"/>
      <c r="D131" s="367" t="s">
        <v>890</v>
      </c>
      <c r="E131" s="368"/>
      <c r="F131" s="376"/>
      <c r="G131" s="370"/>
      <c r="H131" s="369"/>
      <c r="I131" s="371">
        <f>SUM(I132:I132)</f>
        <v>428127</v>
      </c>
      <c r="J131" s="539">
        <f>I131/I64</f>
        <v>0.10637969591980878</v>
      </c>
      <c r="K131" s="42"/>
      <c r="L131" s="42"/>
      <c r="M131" s="42"/>
      <c r="N131" s="42"/>
      <c r="O131" s="42"/>
      <c r="P131" s="42"/>
      <c r="Q131" s="42"/>
    </row>
    <row r="132" spans="1:17" s="43" customFormat="1" ht="57" customHeight="1" x14ac:dyDescent="0.2">
      <c r="A132" s="374" t="s">
        <v>891</v>
      </c>
      <c r="B132" s="364" t="s">
        <v>98</v>
      </c>
      <c r="C132" s="365" t="s">
        <v>892</v>
      </c>
      <c r="D132" s="366" t="s">
        <v>893</v>
      </c>
      <c r="E132" s="368" t="s">
        <v>10</v>
      </c>
      <c r="F132" s="376">
        <v>570</v>
      </c>
      <c r="G132" s="370">
        <v>600.88</v>
      </c>
      <c r="H132" s="381">
        <f>ROUND((1+K$3)*G132,2)</f>
        <v>751.1</v>
      </c>
      <c r="I132" s="381">
        <f>F132*H132</f>
        <v>428127</v>
      </c>
      <c r="J132" s="42"/>
      <c r="K132" s="42"/>
      <c r="L132" s="42"/>
      <c r="M132" s="42"/>
      <c r="N132" s="42"/>
      <c r="O132" s="42"/>
      <c r="P132" s="42"/>
      <c r="Q132" s="42"/>
    </row>
    <row r="133" spans="1:17" s="373" customFormat="1" ht="14.25" customHeight="1" x14ac:dyDescent="0.2">
      <c r="A133" s="374"/>
      <c r="B133" s="375"/>
      <c r="C133" s="378"/>
      <c r="D133" s="379"/>
      <c r="E133" s="527"/>
      <c r="F133" s="376"/>
      <c r="G133" s="382"/>
      <c r="H133" s="381"/>
      <c r="I133" s="381"/>
      <c r="J133" s="372"/>
      <c r="K133" s="372"/>
      <c r="L133" s="372"/>
      <c r="M133" s="372"/>
      <c r="N133" s="372"/>
      <c r="O133" s="372"/>
      <c r="P133" s="372"/>
      <c r="Q133" s="372"/>
    </row>
    <row r="134" spans="1:17" s="373" customFormat="1" ht="14.25" customHeight="1" x14ac:dyDescent="0.2">
      <c r="A134" s="593" t="s">
        <v>273</v>
      </c>
      <c r="B134" s="593"/>
      <c r="C134" s="593"/>
      <c r="D134" s="594" t="s">
        <v>1597</v>
      </c>
      <c r="E134" s="595"/>
      <c r="F134" s="376"/>
      <c r="G134" s="596"/>
      <c r="H134" s="596"/>
      <c r="I134" s="597">
        <f>0.5*SUM(I136:I168)</f>
        <v>138615.96</v>
      </c>
      <c r="J134" s="372"/>
      <c r="K134" s="372"/>
      <c r="L134" s="372"/>
      <c r="M134" s="372"/>
      <c r="N134" s="372"/>
      <c r="O134" s="372"/>
      <c r="P134" s="372"/>
      <c r="Q134" s="372"/>
    </row>
    <row r="135" spans="1:17" s="373" customFormat="1" x14ac:dyDescent="0.2">
      <c r="A135" s="595"/>
      <c r="B135" s="595"/>
      <c r="C135" s="598"/>
      <c r="D135" s="599"/>
      <c r="E135" s="595"/>
      <c r="F135" s="376"/>
      <c r="G135" s="600"/>
      <c r="H135" s="596"/>
      <c r="I135" s="596"/>
      <c r="J135" s="372"/>
      <c r="K135" s="372"/>
      <c r="L135" s="372"/>
      <c r="M135" s="372"/>
      <c r="N135" s="372"/>
      <c r="O135" s="372"/>
      <c r="P135" s="372"/>
      <c r="Q135" s="372"/>
    </row>
    <row r="136" spans="1:17" s="55" customFormat="1" ht="15" x14ac:dyDescent="0.2">
      <c r="A136" s="593" t="s">
        <v>275</v>
      </c>
      <c r="B136" s="595"/>
      <c r="C136" s="598"/>
      <c r="D136" s="594" t="s">
        <v>1595</v>
      </c>
      <c r="E136" s="595"/>
      <c r="F136" s="376"/>
      <c r="G136" s="600"/>
      <c r="H136" s="596"/>
      <c r="I136" s="597">
        <f>SUM(I137:I155)</f>
        <v>63146.180000000008</v>
      </c>
      <c r="J136" s="539">
        <f>I136/I134</f>
        <v>0.45554768729372874</v>
      </c>
      <c r="K136" s="152">
        <f>I136/11</f>
        <v>5740.561818181819</v>
      </c>
      <c r="M136" s="54">
        <v>11</v>
      </c>
      <c r="N136" s="54"/>
      <c r="O136" s="54"/>
      <c r="P136" s="54"/>
      <c r="Q136" s="54"/>
    </row>
    <row r="137" spans="1:17" s="55" customFormat="1" ht="28.5" x14ac:dyDescent="0.2">
      <c r="A137" s="595" t="s">
        <v>975</v>
      </c>
      <c r="B137" s="595" t="s">
        <v>98</v>
      </c>
      <c r="C137" s="595" t="s">
        <v>0</v>
      </c>
      <c r="D137" s="599" t="s">
        <v>786</v>
      </c>
      <c r="E137" s="595" t="s">
        <v>101</v>
      </c>
      <c r="F137" s="376">
        <v>25</v>
      </c>
      <c r="G137" s="596">
        <v>5.89</v>
      </c>
      <c r="H137" s="596">
        <f t="shared" ref="H137:H148" si="9">ROUND((1+K$3)*G137,2)</f>
        <v>7.36</v>
      </c>
      <c r="I137" s="596">
        <f t="shared" ref="I137:I155" si="10">ROUND(F137*H137,2)</f>
        <v>184</v>
      </c>
      <c r="J137" s="54"/>
      <c r="K137" s="148"/>
      <c r="L137" s="718">
        <f>F137/$M$136</f>
        <v>2.2727272727272729</v>
      </c>
      <c r="M137" s="54"/>
      <c r="N137" s="54"/>
      <c r="O137" s="54"/>
      <c r="P137" s="54"/>
      <c r="Q137" s="54"/>
    </row>
    <row r="138" spans="1:17" s="313" customFormat="1" ht="28.5" customHeight="1" x14ac:dyDescent="0.2">
      <c r="A138" s="595" t="s">
        <v>976</v>
      </c>
      <c r="B138" s="595" t="s">
        <v>98</v>
      </c>
      <c r="C138" s="595" t="s">
        <v>136</v>
      </c>
      <c r="D138" s="601" t="s">
        <v>137</v>
      </c>
      <c r="E138" s="595" t="s">
        <v>113</v>
      </c>
      <c r="F138" s="376">
        <v>40.29</v>
      </c>
      <c r="G138" s="596">
        <v>4.3899999999999997</v>
      </c>
      <c r="H138" s="596">
        <f t="shared" si="9"/>
        <v>5.49</v>
      </c>
      <c r="I138" s="596">
        <f>ROUND(F138*H138,2)</f>
        <v>221.19</v>
      </c>
      <c r="J138" s="311"/>
      <c r="K138" s="312"/>
      <c r="L138" s="718">
        <f t="shared" ref="L138:L155" si="11">F138/$M$136</f>
        <v>3.6627272727272726</v>
      </c>
      <c r="M138" s="311"/>
      <c r="N138" s="311"/>
      <c r="O138" s="311"/>
      <c r="P138" s="311"/>
      <c r="Q138" s="311"/>
    </row>
    <row r="139" spans="1:17" s="313" customFormat="1" ht="28.5" x14ac:dyDescent="0.2">
      <c r="A139" s="595" t="s">
        <v>977</v>
      </c>
      <c r="B139" s="595" t="s">
        <v>98</v>
      </c>
      <c r="C139" s="598" t="s">
        <v>114</v>
      </c>
      <c r="D139" s="601" t="s">
        <v>115</v>
      </c>
      <c r="E139" s="595" t="s">
        <v>113</v>
      </c>
      <c r="F139" s="376">
        <v>7.1099999999999994</v>
      </c>
      <c r="G139" s="596">
        <v>22.62</v>
      </c>
      <c r="H139" s="596">
        <f t="shared" si="9"/>
        <v>28.28</v>
      </c>
      <c r="I139" s="596">
        <f>ROUND(F139*H139,2)</f>
        <v>201.07</v>
      </c>
      <c r="J139" s="311"/>
      <c r="K139" s="314"/>
      <c r="L139" s="718">
        <f t="shared" si="11"/>
        <v>0.64636363636363636</v>
      </c>
      <c r="M139" s="311"/>
      <c r="N139" s="311"/>
      <c r="O139" s="311"/>
      <c r="P139" s="311"/>
      <c r="Q139" s="311"/>
    </row>
    <row r="140" spans="1:17" s="313" customFormat="1" ht="28.5" customHeight="1" x14ac:dyDescent="0.2">
      <c r="A140" s="595" t="s">
        <v>978</v>
      </c>
      <c r="B140" s="595" t="s">
        <v>98</v>
      </c>
      <c r="C140" s="595" t="s">
        <v>17</v>
      </c>
      <c r="D140" s="599" t="s">
        <v>404</v>
      </c>
      <c r="E140" s="595" t="s">
        <v>113</v>
      </c>
      <c r="F140" s="376">
        <v>7.1059999999999999</v>
      </c>
      <c r="G140" s="596">
        <v>6.09</v>
      </c>
      <c r="H140" s="596">
        <f t="shared" si="9"/>
        <v>7.61</v>
      </c>
      <c r="I140" s="596">
        <f>ROUND(F140*H140,2)</f>
        <v>54.08</v>
      </c>
      <c r="J140" s="311"/>
      <c r="K140" s="314"/>
      <c r="L140" s="718">
        <f t="shared" si="11"/>
        <v>0.64600000000000002</v>
      </c>
      <c r="M140" s="311"/>
      <c r="N140" s="311"/>
      <c r="O140" s="311"/>
      <c r="P140" s="311"/>
      <c r="Q140" s="311"/>
    </row>
    <row r="141" spans="1:17" s="55" customFormat="1" ht="28.5" x14ac:dyDescent="0.2">
      <c r="A141" s="595" t="s">
        <v>979</v>
      </c>
      <c r="B141" s="595" t="s">
        <v>98</v>
      </c>
      <c r="C141" s="595" t="s">
        <v>116</v>
      </c>
      <c r="D141" s="599" t="s">
        <v>117</v>
      </c>
      <c r="E141" s="595" t="s">
        <v>113</v>
      </c>
      <c r="F141" s="376">
        <v>1.2539999999999998</v>
      </c>
      <c r="G141" s="596">
        <v>29.08</v>
      </c>
      <c r="H141" s="596">
        <f t="shared" si="9"/>
        <v>36.35</v>
      </c>
      <c r="I141" s="596">
        <f t="shared" si="10"/>
        <v>45.58</v>
      </c>
      <c r="J141" s="54"/>
      <c r="K141" s="148"/>
      <c r="L141" s="718">
        <f t="shared" si="11"/>
        <v>0.11399999999999998</v>
      </c>
      <c r="M141" s="54"/>
      <c r="N141" s="54"/>
      <c r="O141" s="54"/>
      <c r="P141" s="54"/>
      <c r="Q141" s="54"/>
    </row>
    <row r="142" spans="1:17" s="7" customFormat="1" ht="14.25" customHeight="1" x14ac:dyDescent="0.2">
      <c r="A142" s="595" t="s">
        <v>1062</v>
      </c>
      <c r="B142" s="595" t="s">
        <v>98</v>
      </c>
      <c r="C142" s="595">
        <v>5622</v>
      </c>
      <c r="D142" s="599" t="s">
        <v>660</v>
      </c>
      <c r="E142" s="595" t="s">
        <v>101</v>
      </c>
      <c r="F142" s="376">
        <v>25.84</v>
      </c>
      <c r="G142" s="596">
        <v>2.13</v>
      </c>
      <c r="H142" s="596">
        <f t="shared" si="9"/>
        <v>2.66</v>
      </c>
      <c r="I142" s="596">
        <f>ROUND(F142*H142,2)</f>
        <v>68.73</v>
      </c>
      <c r="J142" s="6"/>
      <c r="K142" s="6"/>
      <c r="L142" s="718">
        <f t="shared" si="11"/>
        <v>2.3490909090909091</v>
      </c>
      <c r="M142" s="6"/>
      <c r="N142" s="6"/>
      <c r="O142" s="6"/>
      <c r="P142" s="6"/>
      <c r="Q142" s="6"/>
    </row>
    <row r="143" spans="1:17" s="55" customFormat="1" ht="28.5" x14ac:dyDescent="0.2">
      <c r="A143" s="595" t="s">
        <v>1063</v>
      </c>
      <c r="B143" s="595" t="s">
        <v>98</v>
      </c>
      <c r="C143" s="595" t="s">
        <v>122</v>
      </c>
      <c r="D143" s="599" t="s">
        <v>123</v>
      </c>
      <c r="E143" s="595" t="s">
        <v>113</v>
      </c>
      <c r="F143" s="376">
        <v>29.1</v>
      </c>
      <c r="G143" s="596">
        <v>15.21</v>
      </c>
      <c r="H143" s="596">
        <f t="shared" si="9"/>
        <v>19.010000000000002</v>
      </c>
      <c r="I143" s="596">
        <f t="shared" si="10"/>
        <v>553.19000000000005</v>
      </c>
      <c r="J143" s="54"/>
      <c r="K143" s="148"/>
      <c r="L143" s="718">
        <f t="shared" si="11"/>
        <v>2.6454545454545455</v>
      </c>
      <c r="M143" s="54"/>
      <c r="N143" s="54"/>
      <c r="O143" s="54"/>
      <c r="P143" s="54"/>
      <c r="Q143" s="54"/>
    </row>
    <row r="144" spans="1:17" s="55" customFormat="1" ht="15" x14ac:dyDescent="0.2">
      <c r="A144" s="595" t="s">
        <v>1064</v>
      </c>
      <c r="B144" s="595" t="s">
        <v>98</v>
      </c>
      <c r="C144" s="595" t="s">
        <v>439</v>
      </c>
      <c r="D144" s="599" t="s">
        <v>440</v>
      </c>
      <c r="E144" s="595" t="s">
        <v>113</v>
      </c>
      <c r="F144" s="376">
        <v>26.66</v>
      </c>
      <c r="G144" s="596">
        <v>25.85</v>
      </c>
      <c r="H144" s="596">
        <f t="shared" si="9"/>
        <v>32.31</v>
      </c>
      <c r="I144" s="596">
        <f t="shared" si="10"/>
        <v>861.38</v>
      </c>
      <c r="J144" s="54"/>
      <c r="K144" s="148"/>
      <c r="L144" s="718">
        <f t="shared" si="11"/>
        <v>2.4236363636363638</v>
      </c>
      <c r="M144" s="54"/>
      <c r="N144" s="54"/>
      <c r="O144" s="54"/>
      <c r="P144" s="54"/>
      <c r="Q144" s="54"/>
    </row>
    <row r="145" spans="1:17" s="55" customFormat="1" ht="15" x14ac:dyDescent="0.2">
      <c r="A145" s="595" t="s">
        <v>1066</v>
      </c>
      <c r="B145" s="595" t="s">
        <v>98</v>
      </c>
      <c r="C145" s="595" t="s">
        <v>3</v>
      </c>
      <c r="D145" s="599" t="s">
        <v>4</v>
      </c>
      <c r="E145" s="595" t="s">
        <v>113</v>
      </c>
      <c r="F145" s="376">
        <v>1.3</v>
      </c>
      <c r="G145" s="596">
        <v>72.459999999999994</v>
      </c>
      <c r="H145" s="596">
        <f t="shared" si="9"/>
        <v>90.58</v>
      </c>
      <c r="I145" s="596">
        <f t="shared" si="10"/>
        <v>117.75</v>
      </c>
      <c r="J145" s="54"/>
      <c r="K145" s="148"/>
      <c r="L145" s="718">
        <f t="shared" si="11"/>
        <v>0.11818181818181818</v>
      </c>
      <c r="M145" s="54"/>
      <c r="N145" s="54"/>
      <c r="O145" s="54"/>
      <c r="P145" s="54"/>
      <c r="Q145" s="54"/>
    </row>
    <row r="146" spans="1:17" s="55" customFormat="1" ht="15" x14ac:dyDescent="0.2">
      <c r="A146" s="595" t="s">
        <v>1369</v>
      </c>
      <c r="B146" s="595" t="s">
        <v>98</v>
      </c>
      <c r="C146" s="595" t="s">
        <v>72</v>
      </c>
      <c r="D146" s="599" t="s">
        <v>21</v>
      </c>
      <c r="E146" s="595" t="s">
        <v>113</v>
      </c>
      <c r="F146" s="376">
        <v>1.3</v>
      </c>
      <c r="G146" s="596">
        <v>254.4</v>
      </c>
      <c r="H146" s="596">
        <f t="shared" si="9"/>
        <v>318</v>
      </c>
      <c r="I146" s="596">
        <f t="shared" si="10"/>
        <v>413.4</v>
      </c>
      <c r="J146" s="54"/>
      <c r="K146" s="148"/>
      <c r="L146" s="718">
        <f t="shared" si="11"/>
        <v>0.11818181818181818</v>
      </c>
      <c r="M146" s="54"/>
      <c r="N146" s="54"/>
      <c r="O146" s="54"/>
      <c r="P146" s="54"/>
      <c r="Q146" s="54"/>
    </row>
    <row r="147" spans="1:17" s="55" customFormat="1" ht="28.5" x14ac:dyDescent="0.2">
      <c r="A147" s="595" t="s">
        <v>1370</v>
      </c>
      <c r="B147" s="595" t="s">
        <v>98</v>
      </c>
      <c r="C147" s="595" t="s">
        <v>78</v>
      </c>
      <c r="D147" s="599" t="s">
        <v>79</v>
      </c>
      <c r="E147" s="595" t="s">
        <v>101</v>
      </c>
      <c r="F147" s="376">
        <v>72.739999999999995</v>
      </c>
      <c r="G147" s="596">
        <v>79.58</v>
      </c>
      <c r="H147" s="596">
        <f t="shared" si="9"/>
        <v>99.48</v>
      </c>
      <c r="I147" s="596">
        <f t="shared" si="10"/>
        <v>7236.18</v>
      </c>
      <c r="J147" s="54"/>
      <c r="K147" s="148"/>
      <c r="L147" s="718">
        <f t="shared" si="11"/>
        <v>6.6127272727272723</v>
      </c>
      <c r="M147" s="54"/>
      <c r="N147" s="54"/>
      <c r="O147" s="54"/>
      <c r="P147" s="54"/>
      <c r="Q147" s="54"/>
    </row>
    <row r="148" spans="1:17" s="313" customFormat="1" ht="28.5" x14ac:dyDescent="0.2">
      <c r="A148" s="595" t="s">
        <v>1371</v>
      </c>
      <c r="B148" s="595" t="s">
        <v>98</v>
      </c>
      <c r="C148" s="595" t="s">
        <v>787</v>
      </c>
      <c r="D148" s="601" t="s">
        <v>788</v>
      </c>
      <c r="E148" s="595" t="s">
        <v>113</v>
      </c>
      <c r="F148" s="376">
        <v>9.4499999999999993</v>
      </c>
      <c r="G148" s="596">
        <v>304.17</v>
      </c>
      <c r="H148" s="596">
        <f t="shared" si="9"/>
        <v>380.21</v>
      </c>
      <c r="I148" s="596">
        <f t="shared" si="10"/>
        <v>3592.98</v>
      </c>
      <c r="J148" s="311"/>
      <c r="K148" s="312"/>
      <c r="L148" s="718">
        <f t="shared" si="11"/>
        <v>0.85909090909090902</v>
      </c>
      <c r="M148" s="311"/>
      <c r="N148" s="311"/>
      <c r="O148" s="311"/>
      <c r="P148" s="311"/>
      <c r="Q148" s="311"/>
    </row>
    <row r="149" spans="1:17" s="55" customFormat="1" ht="14.25" customHeight="1" x14ac:dyDescent="0.2">
      <c r="A149" s="595" t="s">
        <v>1372</v>
      </c>
      <c r="B149" s="595" t="s">
        <v>306</v>
      </c>
      <c r="C149" s="598" t="s">
        <v>157</v>
      </c>
      <c r="D149" s="599" t="s">
        <v>1178</v>
      </c>
      <c r="E149" s="595" t="s">
        <v>10</v>
      </c>
      <c r="F149" s="376">
        <v>1</v>
      </c>
      <c r="G149" s="600">
        <f>'COMPOSIÇÕES DE CUSTO'!I57</f>
        <v>13953.587999999998</v>
      </c>
      <c r="H149" s="596">
        <f>ROUND((1+K$5)*G149,2)</f>
        <v>15628.02</v>
      </c>
      <c r="I149" s="596">
        <f t="shared" si="10"/>
        <v>15628.02</v>
      </c>
      <c r="J149" s="54"/>
      <c r="K149" s="148"/>
      <c r="L149" s="718">
        <f t="shared" si="11"/>
        <v>9.0909090909090912E-2</v>
      </c>
      <c r="M149" s="54"/>
      <c r="N149" s="54"/>
      <c r="O149" s="54"/>
      <c r="P149" s="54"/>
      <c r="Q149" s="54"/>
    </row>
    <row r="150" spans="1:17" s="55" customFormat="1" ht="14.25" customHeight="1" x14ac:dyDescent="0.2">
      <c r="A150" s="595" t="s">
        <v>1373</v>
      </c>
      <c r="B150" s="595" t="s">
        <v>306</v>
      </c>
      <c r="C150" s="598" t="s">
        <v>158</v>
      </c>
      <c r="D150" s="599" t="s">
        <v>1175</v>
      </c>
      <c r="E150" s="595" t="s">
        <v>10</v>
      </c>
      <c r="F150" s="376">
        <v>1</v>
      </c>
      <c r="G150" s="600">
        <f>'COMPOSIÇÕES DE CUSTO'!I97</f>
        <v>1288.6500000000001</v>
      </c>
      <c r="H150" s="596">
        <f t="shared" ref="H150:H155" si="12">ROUND((1+K$3)*G150,2)</f>
        <v>1610.81</v>
      </c>
      <c r="I150" s="596">
        <f t="shared" si="10"/>
        <v>1610.81</v>
      </c>
      <c r="J150" s="54"/>
      <c r="K150" s="148"/>
      <c r="L150" s="718">
        <f t="shared" si="11"/>
        <v>9.0909090909090912E-2</v>
      </c>
      <c r="M150" s="54"/>
      <c r="N150" s="54"/>
      <c r="O150" s="54"/>
      <c r="P150" s="54"/>
      <c r="Q150" s="54"/>
    </row>
    <row r="151" spans="1:17" s="373" customFormat="1" ht="28.5" customHeight="1" x14ac:dyDescent="0.2">
      <c r="A151" s="595" t="s">
        <v>1374</v>
      </c>
      <c r="B151" s="595" t="s">
        <v>9</v>
      </c>
      <c r="C151" s="595"/>
      <c r="D151" s="599" t="s">
        <v>996</v>
      </c>
      <c r="E151" s="595" t="s">
        <v>10</v>
      </c>
      <c r="F151" s="376">
        <v>2</v>
      </c>
      <c r="G151" s="600">
        <v>3079</v>
      </c>
      <c r="H151" s="596">
        <f>ROUND((1+K$5)*G151,2)</f>
        <v>3448.48</v>
      </c>
      <c r="I151" s="596">
        <f t="shared" si="10"/>
        <v>6896.96</v>
      </c>
      <c r="J151" s="372"/>
      <c r="K151" s="538"/>
      <c r="L151" s="718">
        <f t="shared" si="11"/>
        <v>0.18181818181818182</v>
      </c>
      <c r="M151" s="372"/>
      <c r="N151" s="372"/>
      <c r="O151" s="372"/>
      <c r="P151" s="372"/>
      <c r="Q151" s="372"/>
    </row>
    <row r="152" spans="1:17" s="55" customFormat="1" ht="15" x14ac:dyDescent="0.2">
      <c r="A152" s="595" t="s">
        <v>1375</v>
      </c>
      <c r="B152" s="595" t="s">
        <v>98</v>
      </c>
      <c r="C152" s="595" t="s">
        <v>163</v>
      </c>
      <c r="D152" s="599" t="s">
        <v>164</v>
      </c>
      <c r="E152" s="595" t="s">
        <v>10</v>
      </c>
      <c r="F152" s="376">
        <v>2</v>
      </c>
      <c r="G152" s="600">
        <v>95.76</v>
      </c>
      <c r="H152" s="596">
        <f t="shared" si="12"/>
        <v>119.7</v>
      </c>
      <c r="I152" s="596">
        <f t="shared" si="10"/>
        <v>239.4</v>
      </c>
      <c r="J152" s="54"/>
      <c r="K152" s="148"/>
      <c r="L152" s="718">
        <f t="shared" si="11"/>
        <v>0.18181818181818182</v>
      </c>
      <c r="M152" s="54"/>
      <c r="N152" s="54"/>
      <c r="O152" s="54"/>
      <c r="P152" s="54"/>
      <c r="Q152" s="54"/>
    </row>
    <row r="153" spans="1:17" s="55" customFormat="1" ht="14.25" customHeight="1" x14ac:dyDescent="0.2">
      <c r="A153" s="595" t="s">
        <v>1376</v>
      </c>
      <c r="B153" s="595" t="s">
        <v>306</v>
      </c>
      <c r="C153" s="598" t="s">
        <v>677</v>
      </c>
      <c r="D153" s="599" t="s">
        <v>501</v>
      </c>
      <c r="E153" s="595" t="s">
        <v>10</v>
      </c>
      <c r="F153" s="376">
        <v>1</v>
      </c>
      <c r="G153" s="600">
        <f>'COMPOSIÇÕES DE CUSTO'!I399</f>
        <v>2917.65</v>
      </c>
      <c r="H153" s="596">
        <f t="shared" si="12"/>
        <v>3647.06</v>
      </c>
      <c r="I153" s="602">
        <f t="shared" si="10"/>
        <v>3647.06</v>
      </c>
      <c r="J153" s="54"/>
      <c r="K153" s="148"/>
      <c r="L153" s="718">
        <f t="shared" si="11"/>
        <v>9.0909090909090912E-2</v>
      </c>
      <c r="M153" s="54"/>
      <c r="N153" s="54"/>
      <c r="O153" s="54"/>
      <c r="P153" s="54"/>
      <c r="Q153" s="54"/>
    </row>
    <row r="154" spans="1:17" s="373" customFormat="1" ht="14.25" customHeight="1" x14ac:dyDescent="0.2">
      <c r="A154" s="595" t="s">
        <v>1377</v>
      </c>
      <c r="B154" s="595" t="s">
        <v>306</v>
      </c>
      <c r="C154" s="595" t="s">
        <v>1173</v>
      </c>
      <c r="D154" s="599" t="s">
        <v>1176</v>
      </c>
      <c r="E154" s="595" t="s">
        <v>10</v>
      </c>
      <c r="F154" s="376">
        <v>1</v>
      </c>
      <c r="G154" s="600">
        <f>'INSTALAÇÕES ELÉTRICAS ELT-002'!I28</f>
        <v>16398.57</v>
      </c>
      <c r="H154" s="596">
        <f t="shared" ref="H154" si="13">ROUND((1+K$3)*G154,2)</f>
        <v>20498.21</v>
      </c>
      <c r="I154" s="596">
        <f t="shared" ref="I154" si="14">ROUND(F154*H154,2)</f>
        <v>20498.21</v>
      </c>
      <c r="J154" s="372"/>
      <c r="K154" s="538"/>
      <c r="L154" s="718">
        <f t="shared" si="11"/>
        <v>9.0909090909090912E-2</v>
      </c>
      <c r="M154" s="372"/>
      <c r="N154" s="372"/>
      <c r="O154" s="372"/>
      <c r="P154" s="372"/>
      <c r="Q154" s="372"/>
    </row>
    <row r="155" spans="1:17" s="55" customFormat="1" ht="42.75" x14ac:dyDescent="0.2">
      <c r="A155" s="595" t="s">
        <v>1564</v>
      </c>
      <c r="B155" s="595" t="s">
        <v>306</v>
      </c>
      <c r="C155" s="598" t="s">
        <v>159</v>
      </c>
      <c r="D155" s="599" t="s">
        <v>790</v>
      </c>
      <c r="E155" s="595" t="s">
        <v>10</v>
      </c>
      <c r="F155" s="376">
        <v>1</v>
      </c>
      <c r="G155" s="600">
        <f>'COMPOSIÇÕES DE CUSTO'!I101</f>
        <v>860.94999999999982</v>
      </c>
      <c r="H155" s="596">
        <f t="shared" si="12"/>
        <v>1076.19</v>
      </c>
      <c r="I155" s="596">
        <f t="shared" si="10"/>
        <v>1076.19</v>
      </c>
      <c r="J155" s="54"/>
      <c r="K155" s="148"/>
      <c r="L155" s="718">
        <f t="shared" si="11"/>
        <v>9.0909090909090912E-2</v>
      </c>
      <c r="M155" s="54"/>
      <c r="N155" s="54"/>
      <c r="O155" s="54"/>
      <c r="P155" s="54"/>
      <c r="Q155" s="54"/>
    </row>
    <row r="156" spans="1:17" s="55" customFormat="1" ht="15" x14ac:dyDescent="0.2">
      <c r="A156" s="595"/>
      <c r="B156" s="595"/>
      <c r="C156" s="598"/>
      <c r="D156" s="599"/>
      <c r="E156" s="595"/>
      <c r="F156" s="376"/>
      <c r="G156" s="600"/>
      <c r="H156" s="596"/>
      <c r="I156" s="596"/>
      <c r="J156" s="54"/>
      <c r="K156" s="148"/>
      <c r="L156" s="54"/>
      <c r="M156" s="54"/>
      <c r="N156" s="54"/>
      <c r="O156" s="54"/>
      <c r="P156" s="54"/>
      <c r="Q156" s="54"/>
    </row>
    <row r="157" spans="1:17" s="55" customFormat="1" x14ac:dyDescent="0.2">
      <c r="A157" s="595"/>
      <c r="B157" s="595"/>
      <c r="C157" s="595"/>
      <c r="D157" s="599"/>
      <c r="E157" s="595"/>
      <c r="F157" s="376"/>
      <c r="G157" s="596"/>
      <c r="H157" s="596"/>
      <c r="I157" s="596"/>
      <c r="J157" s="54"/>
      <c r="K157" s="152"/>
      <c r="L157" s="54"/>
      <c r="M157" s="54"/>
      <c r="N157" s="54"/>
      <c r="O157" s="54"/>
      <c r="P157" s="54"/>
      <c r="Q157" s="54"/>
    </row>
    <row r="158" spans="1:17" s="55" customFormat="1" ht="15" x14ac:dyDescent="0.2">
      <c r="A158" s="593" t="s">
        <v>277</v>
      </c>
      <c r="B158" s="593"/>
      <c r="C158" s="593"/>
      <c r="D158" s="594" t="s">
        <v>1596</v>
      </c>
      <c r="E158" s="595"/>
      <c r="F158" s="376"/>
      <c r="G158" s="596"/>
      <c r="H158" s="596"/>
      <c r="I158" s="597">
        <f>SUM(I159:I168)</f>
        <v>75469.78</v>
      </c>
      <c r="J158" s="539">
        <f>I158/I134</f>
        <v>0.54445231270627137</v>
      </c>
      <c r="K158" s="49">
        <f>I158/11</f>
        <v>6860.8890909090906</v>
      </c>
      <c r="L158" s="6"/>
      <c r="M158" s="6"/>
      <c r="N158" s="6"/>
      <c r="O158" s="54"/>
      <c r="P158" s="54"/>
      <c r="Q158" s="54"/>
    </row>
    <row r="159" spans="1:17" s="313" customFormat="1" ht="28.5" customHeight="1" x14ac:dyDescent="0.2">
      <c r="A159" s="595" t="s">
        <v>983</v>
      </c>
      <c r="B159" s="595" t="s">
        <v>98</v>
      </c>
      <c r="C159" s="595" t="s">
        <v>136</v>
      </c>
      <c r="D159" s="601" t="s">
        <v>137</v>
      </c>
      <c r="E159" s="595" t="s">
        <v>113</v>
      </c>
      <c r="F159" s="376">
        <f>302.4*0.65</f>
        <v>196.56</v>
      </c>
      <c r="G159" s="596">
        <v>4.3899999999999997</v>
      </c>
      <c r="H159" s="596">
        <f>ROUND((1+K$3)*G159,2)</f>
        <v>5.49</v>
      </c>
      <c r="I159" s="596">
        <f>ROUND(F159*H159,2)</f>
        <v>1079.1099999999999</v>
      </c>
      <c r="J159" s="311"/>
      <c r="K159" s="312"/>
      <c r="L159" s="311"/>
      <c r="M159" s="311"/>
      <c r="N159" s="311"/>
      <c r="O159" s="311"/>
      <c r="P159" s="311"/>
      <c r="Q159" s="311"/>
    </row>
    <row r="160" spans="1:17" s="313" customFormat="1" ht="28.5" x14ac:dyDescent="0.2">
      <c r="A160" s="595" t="s">
        <v>984</v>
      </c>
      <c r="B160" s="595" t="s">
        <v>98</v>
      </c>
      <c r="C160" s="598" t="s">
        <v>114</v>
      </c>
      <c r="D160" s="601" t="s">
        <v>115</v>
      </c>
      <c r="E160" s="595" t="s">
        <v>113</v>
      </c>
      <c r="F160" s="376">
        <f>302.4*0.15</f>
        <v>45.359999999999992</v>
      </c>
      <c r="G160" s="596">
        <v>22.62</v>
      </c>
      <c r="H160" s="596">
        <f>ROUND((1+K$3)*G160,2)</f>
        <v>28.28</v>
      </c>
      <c r="I160" s="596">
        <f t="shared" ref="I160:I168" si="15">ROUND(F160*H160,2)</f>
        <v>1282.78</v>
      </c>
      <c r="J160" s="311"/>
      <c r="K160" s="314"/>
      <c r="L160" s="311"/>
      <c r="M160" s="311"/>
      <c r="N160" s="311"/>
      <c r="O160" s="311"/>
      <c r="P160" s="311"/>
      <c r="Q160" s="311"/>
    </row>
    <row r="161" spans="1:17" s="7" customFormat="1" ht="28.5" customHeight="1" x14ac:dyDescent="0.2">
      <c r="A161" s="595" t="s">
        <v>985</v>
      </c>
      <c r="B161" s="595" t="s">
        <v>98</v>
      </c>
      <c r="C161" s="595" t="s">
        <v>17</v>
      </c>
      <c r="D161" s="599" t="s">
        <v>404</v>
      </c>
      <c r="E161" s="595" t="s">
        <v>113</v>
      </c>
      <c r="F161" s="376">
        <f>302.4*0.2</f>
        <v>60.48</v>
      </c>
      <c r="G161" s="596">
        <v>6.09</v>
      </c>
      <c r="H161" s="596">
        <f t="shared" ref="H161" si="16">ROUND((1+K$3)*G161,2)</f>
        <v>7.61</v>
      </c>
      <c r="I161" s="596">
        <f t="shared" si="15"/>
        <v>460.25</v>
      </c>
      <c r="J161" s="6"/>
      <c r="K161" s="6"/>
      <c r="L161" s="6"/>
      <c r="M161" s="6"/>
      <c r="N161" s="6"/>
      <c r="O161" s="6"/>
      <c r="P161" s="6"/>
      <c r="Q161" s="6"/>
    </row>
    <row r="162" spans="1:17" s="313" customFormat="1" ht="28.5" x14ac:dyDescent="0.2">
      <c r="A162" s="595" t="s">
        <v>986</v>
      </c>
      <c r="B162" s="595" t="s">
        <v>98</v>
      </c>
      <c r="C162" s="598" t="s">
        <v>122</v>
      </c>
      <c r="D162" s="601" t="s">
        <v>123</v>
      </c>
      <c r="E162" s="595" t="s">
        <v>113</v>
      </c>
      <c r="F162" s="376">
        <f>F159+F160+F161</f>
        <v>302.39999999999998</v>
      </c>
      <c r="G162" s="596">
        <v>15.21</v>
      </c>
      <c r="H162" s="596">
        <f>ROUND((1+K$3)*G162,2)</f>
        <v>19.010000000000002</v>
      </c>
      <c r="I162" s="596">
        <f t="shared" si="15"/>
        <v>5748.62</v>
      </c>
      <c r="J162" s="311"/>
      <c r="K162" s="312"/>
      <c r="L162" s="311"/>
      <c r="M162" s="311"/>
      <c r="N162" s="311"/>
      <c r="O162" s="311"/>
      <c r="P162" s="311"/>
      <c r="Q162" s="311"/>
    </row>
    <row r="163" spans="1:17" s="313" customFormat="1" ht="28.5" x14ac:dyDescent="0.2">
      <c r="A163" s="595" t="s">
        <v>987</v>
      </c>
      <c r="B163" s="595" t="s">
        <v>98</v>
      </c>
      <c r="C163" s="598" t="s">
        <v>931</v>
      </c>
      <c r="D163" s="601" t="s">
        <v>930</v>
      </c>
      <c r="E163" s="595" t="s">
        <v>107</v>
      </c>
      <c r="F163" s="376">
        <v>480</v>
      </c>
      <c r="G163" s="596">
        <v>1.68</v>
      </c>
      <c r="H163" s="596">
        <f>ROUND((1+K$3)*G163,2)</f>
        <v>2.1</v>
      </c>
      <c r="I163" s="596">
        <f t="shared" ref="I163" si="17">ROUND(F163*H163,2)</f>
        <v>1008</v>
      </c>
      <c r="J163" s="311"/>
      <c r="K163" s="312"/>
      <c r="L163" s="311"/>
      <c r="M163" s="311"/>
      <c r="N163" s="311"/>
      <c r="O163" s="311"/>
      <c r="P163" s="311"/>
      <c r="Q163" s="311"/>
    </row>
    <row r="164" spans="1:17" s="313" customFormat="1" ht="14.25" customHeight="1" x14ac:dyDescent="0.2">
      <c r="A164" s="595" t="s">
        <v>988</v>
      </c>
      <c r="B164" s="595" t="s">
        <v>306</v>
      </c>
      <c r="C164" s="598" t="s">
        <v>461</v>
      </c>
      <c r="D164" s="601" t="s">
        <v>791</v>
      </c>
      <c r="E164" s="595" t="s">
        <v>10</v>
      </c>
      <c r="F164" s="376">
        <v>1</v>
      </c>
      <c r="G164" s="596">
        <f>'COMPOSIÇÕES DE CUSTO'!I113</f>
        <v>36321</v>
      </c>
      <c r="H164" s="596">
        <f>ROUND((1+K$5)*G164,2)</f>
        <v>40679.519999999997</v>
      </c>
      <c r="I164" s="596">
        <f t="shared" si="15"/>
        <v>40679.519999999997</v>
      </c>
      <c r="J164" s="311"/>
      <c r="K164" s="312"/>
      <c r="L164" s="311"/>
      <c r="M164" s="311"/>
      <c r="N164" s="311"/>
      <c r="O164" s="311"/>
      <c r="P164" s="311"/>
      <c r="Q164" s="311"/>
    </row>
    <row r="165" spans="1:17" s="313" customFormat="1" ht="28.5" x14ac:dyDescent="0.2">
      <c r="A165" s="595" t="s">
        <v>989</v>
      </c>
      <c r="B165" s="595" t="s">
        <v>98</v>
      </c>
      <c r="C165" s="595" t="s">
        <v>78</v>
      </c>
      <c r="D165" s="601" t="s">
        <v>79</v>
      </c>
      <c r="E165" s="595" t="s">
        <v>101</v>
      </c>
      <c r="F165" s="376">
        <v>20.74</v>
      </c>
      <c r="G165" s="596">
        <v>79.58</v>
      </c>
      <c r="H165" s="596">
        <f>ROUND((1+K$3)*G165,2)</f>
        <v>99.48</v>
      </c>
      <c r="I165" s="596">
        <f t="shared" si="15"/>
        <v>2063.2199999999998</v>
      </c>
      <c r="J165" s="311"/>
      <c r="K165" s="312"/>
      <c r="L165" s="311"/>
      <c r="M165" s="311"/>
      <c r="N165" s="311"/>
      <c r="O165" s="311"/>
      <c r="P165" s="311"/>
      <c r="Q165" s="311"/>
    </row>
    <row r="166" spans="1:17" s="313" customFormat="1" ht="28.5" x14ac:dyDescent="0.2">
      <c r="A166" s="595" t="s">
        <v>990</v>
      </c>
      <c r="B166" s="595" t="s">
        <v>98</v>
      </c>
      <c r="C166" s="595" t="s">
        <v>787</v>
      </c>
      <c r="D166" s="601" t="s">
        <v>788</v>
      </c>
      <c r="E166" s="595" t="s">
        <v>113</v>
      </c>
      <c r="F166" s="376">
        <v>3.65</v>
      </c>
      <c r="G166" s="596">
        <v>304.17</v>
      </c>
      <c r="H166" s="596">
        <f>ROUND((1+K$3)*G166,2)</f>
        <v>380.21</v>
      </c>
      <c r="I166" s="596">
        <f t="shared" si="15"/>
        <v>1387.77</v>
      </c>
      <c r="J166" s="311"/>
      <c r="K166" s="312"/>
      <c r="L166" s="311"/>
      <c r="M166" s="311"/>
      <c r="N166" s="311"/>
      <c r="O166" s="311"/>
      <c r="P166" s="311"/>
      <c r="Q166" s="311"/>
    </row>
    <row r="167" spans="1:17" s="313" customFormat="1" ht="28.5" x14ac:dyDescent="0.2">
      <c r="A167" s="595" t="s">
        <v>991</v>
      </c>
      <c r="B167" s="595" t="s">
        <v>98</v>
      </c>
      <c r="C167" s="598">
        <v>72949</v>
      </c>
      <c r="D167" s="599" t="s">
        <v>608</v>
      </c>
      <c r="E167" s="595" t="s">
        <v>101</v>
      </c>
      <c r="F167" s="376">
        <f>(480)*0.8</f>
        <v>384</v>
      </c>
      <c r="G167" s="600">
        <v>19.04</v>
      </c>
      <c r="H167" s="596">
        <f>ROUND((1+K$3)*G167,2)</f>
        <v>23.8</v>
      </c>
      <c r="I167" s="596">
        <f t="shared" si="15"/>
        <v>9139.2000000000007</v>
      </c>
      <c r="J167" s="311"/>
      <c r="K167" s="312"/>
      <c r="L167" s="311"/>
      <c r="M167" s="311"/>
      <c r="N167" s="311"/>
      <c r="O167" s="311"/>
      <c r="P167" s="311"/>
      <c r="Q167" s="311"/>
    </row>
    <row r="168" spans="1:17" s="313" customFormat="1" ht="28.5" x14ac:dyDescent="0.2">
      <c r="A168" s="595" t="s">
        <v>992</v>
      </c>
      <c r="B168" s="595" t="s">
        <v>306</v>
      </c>
      <c r="C168" s="598" t="s">
        <v>460</v>
      </c>
      <c r="D168" s="599" t="s">
        <v>609</v>
      </c>
      <c r="E168" s="595" t="s">
        <v>101</v>
      </c>
      <c r="F168" s="376">
        <f>F167*1.1</f>
        <v>422.40000000000003</v>
      </c>
      <c r="G168" s="600">
        <f>'COMPOSIÇÕES DE CUSTO'!I51</f>
        <v>23.900000000000002</v>
      </c>
      <c r="H168" s="596">
        <f>ROUND((1+K$3)*G168,2)</f>
        <v>29.88</v>
      </c>
      <c r="I168" s="596">
        <f t="shared" si="15"/>
        <v>12621.31</v>
      </c>
      <c r="J168" s="311"/>
      <c r="K168" s="312"/>
      <c r="L168" s="311"/>
      <c r="M168" s="311"/>
      <c r="N168" s="311"/>
      <c r="O168" s="311"/>
      <c r="P168" s="311"/>
      <c r="Q168" s="311"/>
    </row>
    <row r="169" spans="1:17" s="43" customFormat="1" x14ac:dyDescent="0.2">
      <c r="A169" s="48"/>
      <c r="B169" s="56"/>
      <c r="C169" s="275"/>
      <c r="D169" s="270"/>
      <c r="E169" s="56"/>
      <c r="F169" s="376"/>
      <c r="G169" s="277"/>
      <c r="H169" s="58"/>
      <c r="I169" s="58"/>
      <c r="J169" s="42"/>
      <c r="K169" s="42"/>
      <c r="L169" s="42"/>
      <c r="M169" s="42"/>
      <c r="N169" s="42"/>
      <c r="O169" s="42"/>
      <c r="P169" s="42"/>
      <c r="Q169" s="42"/>
    </row>
    <row r="170" spans="1:17" ht="15" x14ac:dyDescent="0.2">
      <c r="A170" s="263" t="s">
        <v>282</v>
      </c>
      <c r="B170" s="205"/>
      <c r="C170" s="205"/>
      <c r="D170" s="273" t="s">
        <v>70</v>
      </c>
      <c r="E170" s="210"/>
      <c r="F170" s="211"/>
      <c r="G170" s="211"/>
      <c r="H170" s="211"/>
      <c r="I170" s="274">
        <f>I172+I180+I205+I225+I252+I272+I300+I317+I351+I380</f>
        <v>849481.16</v>
      </c>
      <c r="J170" s="4"/>
      <c r="K170" s="4"/>
      <c r="L170" s="4"/>
      <c r="M170" s="4"/>
      <c r="N170" s="4"/>
      <c r="O170" s="4"/>
      <c r="P170" s="4"/>
      <c r="Q170" s="4"/>
    </row>
    <row r="171" spans="1:17" ht="5.0999999999999996" customHeight="1" x14ac:dyDescent="0.2">
      <c r="A171" s="282"/>
      <c r="B171" s="363"/>
      <c r="C171" s="363"/>
      <c r="D171" s="280"/>
      <c r="E171" s="374"/>
      <c r="F171" s="57"/>
      <c r="G171" s="376"/>
      <c r="H171" s="57"/>
      <c r="I171" s="281"/>
      <c r="J171" s="4"/>
      <c r="K171" s="4"/>
      <c r="L171" s="4"/>
      <c r="M171" s="4"/>
      <c r="N171" s="4"/>
      <c r="O171" s="4"/>
      <c r="P171" s="4"/>
      <c r="Q171" s="4"/>
    </row>
    <row r="172" spans="1:17" s="7" customFormat="1" ht="15" x14ac:dyDescent="0.2">
      <c r="A172" s="263" t="s">
        <v>324</v>
      </c>
      <c r="B172" s="205"/>
      <c r="C172" s="205"/>
      <c r="D172" s="273" t="s">
        <v>161</v>
      </c>
      <c r="E172" s="210"/>
      <c r="F172" s="211"/>
      <c r="G172" s="211"/>
      <c r="H172" s="211"/>
      <c r="I172" s="274">
        <f>SUM(I173:I177)</f>
        <v>36908.03</v>
      </c>
      <c r="J172" s="6"/>
      <c r="K172" s="6"/>
      <c r="L172" s="6"/>
      <c r="M172" s="6"/>
      <c r="N172" s="6"/>
      <c r="O172" s="6"/>
      <c r="P172" s="6"/>
      <c r="Q172" s="6"/>
    </row>
    <row r="173" spans="1:17" s="7" customFormat="1" ht="28.5" x14ac:dyDescent="0.2">
      <c r="A173" s="265" t="s">
        <v>1378</v>
      </c>
      <c r="B173" s="48" t="s">
        <v>98</v>
      </c>
      <c r="C173" s="48">
        <v>73672</v>
      </c>
      <c r="D173" s="270" t="s">
        <v>162</v>
      </c>
      <c r="E173" s="56" t="s">
        <v>101</v>
      </c>
      <c r="F173" s="376">
        <v>5427.65</v>
      </c>
      <c r="G173" s="58">
        <v>0.38</v>
      </c>
      <c r="H173" s="57">
        <f>ROUND((1+K$3)*G173,2)</f>
        <v>0.48</v>
      </c>
      <c r="I173" s="267">
        <f>ROUND(F173*H173,2)</f>
        <v>2605.27</v>
      </c>
      <c r="J173" s="6"/>
      <c r="K173" s="6" t="s">
        <v>443</v>
      </c>
      <c r="L173" s="49" t="e">
        <f>#REF!+#REF!</f>
        <v>#REF!</v>
      </c>
      <c r="M173" s="6"/>
      <c r="N173" s="6"/>
      <c r="O173" s="6"/>
      <c r="P173" s="6"/>
      <c r="Q173" s="6"/>
    </row>
    <row r="174" spans="1:17" s="7" customFormat="1" ht="14.25" customHeight="1" x14ac:dyDescent="0.2">
      <c r="A174" s="265" t="s">
        <v>1379</v>
      </c>
      <c r="B174" s="56" t="s">
        <v>98</v>
      </c>
      <c r="C174" s="56">
        <v>72841</v>
      </c>
      <c r="D174" s="270" t="s">
        <v>776</v>
      </c>
      <c r="E174" s="56" t="s">
        <v>18</v>
      </c>
      <c r="F174" s="376">
        <f>F173*0.15*1.5*4</f>
        <v>4884.8849999999993</v>
      </c>
      <c r="G174" s="58">
        <v>0.7</v>
      </c>
      <c r="H174" s="58">
        <f>ROUND((1+K$3)*G174,2)</f>
        <v>0.88</v>
      </c>
      <c r="I174" s="271">
        <f>ROUND(F174*H174,2)</f>
        <v>4298.7</v>
      </c>
      <c r="J174" s="6"/>
      <c r="K174" s="6"/>
      <c r="L174" s="6"/>
      <c r="M174" s="6"/>
      <c r="N174" s="6"/>
      <c r="O174" s="6"/>
      <c r="P174" s="6"/>
      <c r="Q174" s="6"/>
    </row>
    <row r="175" spans="1:17" s="7" customFormat="1" ht="28.5" x14ac:dyDescent="0.2">
      <c r="A175" s="265" t="s">
        <v>1380</v>
      </c>
      <c r="B175" s="48" t="s">
        <v>98</v>
      </c>
      <c r="C175" s="48" t="s">
        <v>441</v>
      </c>
      <c r="D175" s="270" t="s">
        <v>442</v>
      </c>
      <c r="E175" s="56" t="s">
        <v>101</v>
      </c>
      <c r="F175" s="376">
        <f>F173/5</f>
        <v>1085.53</v>
      </c>
      <c r="G175" s="58">
        <v>2.27</v>
      </c>
      <c r="H175" s="57">
        <f>ROUND((1+K$3)*G175,2)</f>
        <v>2.84</v>
      </c>
      <c r="I175" s="267">
        <f>ROUND(F175*H175,2)</f>
        <v>3082.91</v>
      </c>
      <c r="J175" s="6"/>
      <c r="K175" s="6" t="s">
        <v>444</v>
      </c>
      <c r="L175" s="53" t="e">
        <f>#REF!</f>
        <v>#REF!</v>
      </c>
      <c r="M175" s="6"/>
      <c r="N175" s="6"/>
      <c r="O175" s="6"/>
      <c r="P175" s="6"/>
      <c r="Q175" s="6"/>
    </row>
    <row r="176" spans="1:17" s="7" customFormat="1" ht="28.5" x14ac:dyDescent="0.2">
      <c r="A176" s="265" t="s">
        <v>1381</v>
      </c>
      <c r="B176" s="374" t="s">
        <v>98</v>
      </c>
      <c r="C176" s="374" t="s">
        <v>822</v>
      </c>
      <c r="D176" s="266" t="s">
        <v>823</v>
      </c>
      <c r="E176" s="374" t="s">
        <v>113</v>
      </c>
      <c r="F176" s="376">
        <f>F173*0.5</f>
        <v>2713.8249999999998</v>
      </c>
      <c r="G176" s="376">
        <v>4.58</v>
      </c>
      <c r="H176" s="57">
        <f t="shared" ref="H176:H177" si="18">ROUND((1+K$3)*G176,2)</f>
        <v>5.73</v>
      </c>
      <c r="I176" s="57">
        <f t="shared" ref="I176:I177" si="19">ROUND(F176*H176,2)</f>
        <v>15550.22</v>
      </c>
      <c r="J176" s="6"/>
      <c r="K176" s="6"/>
      <c r="L176" s="6"/>
      <c r="M176" s="6"/>
      <c r="N176" s="6"/>
      <c r="O176" s="6"/>
      <c r="P176" s="6"/>
      <c r="Q176" s="6"/>
    </row>
    <row r="177" spans="1:17" s="7" customFormat="1" ht="28.5" x14ac:dyDescent="0.2">
      <c r="A177" s="265" t="s">
        <v>1382</v>
      </c>
      <c r="B177" s="374" t="s">
        <v>98</v>
      </c>
      <c r="C177" s="374" t="s">
        <v>933</v>
      </c>
      <c r="D177" s="266" t="s">
        <v>932</v>
      </c>
      <c r="E177" s="374" t="s">
        <v>113</v>
      </c>
      <c r="F177" s="376">
        <f>F176</f>
        <v>2713.8249999999998</v>
      </c>
      <c r="G177" s="376">
        <v>3.35</v>
      </c>
      <c r="H177" s="57">
        <f t="shared" si="18"/>
        <v>4.1900000000000004</v>
      </c>
      <c r="I177" s="57">
        <f t="shared" si="19"/>
        <v>11370.93</v>
      </c>
      <c r="J177" s="6"/>
      <c r="K177" s="6"/>
      <c r="L177" s="6"/>
      <c r="M177" s="6"/>
      <c r="N177" s="6"/>
      <c r="O177" s="6"/>
      <c r="P177" s="6"/>
      <c r="Q177" s="6"/>
    </row>
    <row r="178" spans="1:17" s="7" customFormat="1" x14ac:dyDescent="0.2">
      <c r="A178" s="265"/>
      <c r="B178" s="374"/>
      <c r="C178" s="374"/>
      <c r="D178" s="266"/>
      <c r="E178" s="374"/>
      <c r="F178" s="376"/>
      <c r="G178" s="376"/>
      <c r="H178" s="57"/>
      <c r="I178" s="552"/>
      <c r="J178" s="6"/>
      <c r="K178" s="6"/>
      <c r="L178" s="6"/>
      <c r="M178" s="6"/>
      <c r="N178" s="6"/>
      <c r="O178" s="6"/>
      <c r="P178" s="6"/>
      <c r="Q178" s="6"/>
    </row>
    <row r="179" spans="1:17" s="7" customFormat="1" x14ac:dyDescent="0.2">
      <c r="A179" s="265"/>
      <c r="B179" s="48"/>
      <c r="C179" s="48"/>
      <c r="D179" s="290"/>
      <c r="E179" s="48"/>
      <c r="F179" s="57"/>
      <c r="G179" s="58"/>
      <c r="H179" s="57"/>
      <c r="I179" s="267"/>
      <c r="J179" s="6"/>
      <c r="K179" s="6"/>
      <c r="L179" s="6"/>
      <c r="M179" s="6"/>
      <c r="N179" s="6"/>
      <c r="O179" s="6"/>
      <c r="P179" s="6"/>
      <c r="Q179" s="6"/>
    </row>
    <row r="180" spans="1:17" s="7" customFormat="1" ht="15" x14ac:dyDescent="0.2">
      <c r="A180" s="263" t="s">
        <v>325</v>
      </c>
      <c r="B180" s="205"/>
      <c r="C180" s="205"/>
      <c r="D180" s="273" t="s">
        <v>5</v>
      </c>
      <c r="E180" s="210"/>
      <c r="F180" s="211"/>
      <c r="G180" s="211"/>
      <c r="H180" s="211"/>
      <c r="I180" s="274">
        <f>SUM(I181:I200)</f>
        <v>11254.910000000002</v>
      </c>
      <c r="J180" s="6"/>
      <c r="K180" s="6"/>
      <c r="L180" s="6"/>
      <c r="M180" s="6"/>
      <c r="N180" s="6"/>
      <c r="O180" s="6"/>
      <c r="P180" s="6"/>
      <c r="Q180" s="6"/>
    </row>
    <row r="181" spans="1:17" s="7" customFormat="1" ht="28.5" x14ac:dyDescent="0.2">
      <c r="A181" s="265" t="s">
        <v>1383</v>
      </c>
      <c r="B181" s="286" t="s">
        <v>98</v>
      </c>
      <c r="C181" s="286" t="s">
        <v>0</v>
      </c>
      <c r="D181" s="270" t="s">
        <v>1</v>
      </c>
      <c r="E181" s="56" t="s">
        <v>101</v>
      </c>
      <c r="F181" s="376">
        <v>29.1</v>
      </c>
      <c r="G181" s="287">
        <v>5.89</v>
      </c>
      <c r="H181" s="57">
        <f>ROUND((1+K$3)*G181,2)</f>
        <v>7.36</v>
      </c>
      <c r="I181" s="267">
        <f>ROUND(F181*H181,2)</f>
        <v>214.18</v>
      </c>
      <c r="J181" s="6"/>
      <c r="K181" s="6"/>
      <c r="L181" s="6"/>
      <c r="M181" s="6"/>
      <c r="N181" s="6"/>
      <c r="O181" s="6"/>
      <c r="P181" s="6"/>
      <c r="Q181" s="6"/>
    </row>
    <row r="182" spans="1:17" s="7" customFormat="1" ht="28.5" customHeight="1" x14ac:dyDescent="0.2">
      <c r="A182" s="265" t="s">
        <v>1384</v>
      </c>
      <c r="B182" s="286" t="s">
        <v>98</v>
      </c>
      <c r="C182" s="286">
        <v>3070</v>
      </c>
      <c r="D182" s="270" t="s">
        <v>629</v>
      </c>
      <c r="E182" s="56" t="s">
        <v>113</v>
      </c>
      <c r="F182" s="376">
        <v>27.54</v>
      </c>
      <c r="G182" s="287">
        <v>5.86</v>
      </c>
      <c r="H182" s="57">
        <f t="shared" ref="H182:H192" si="20">ROUND((1+K$3)*G182,2)</f>
        <v>7.33</v>
      </c>
      <c r="I182" s="267">
        <f t="shared" ref="I182:I192" si="21">ROUND(F182*H182,2)</f>
        <v>201.87</v>
      </c>
      <c r="J182" s="6"/>
      <c r="K182" s="6"/>
      <c r="L182" s="6">
        <v>27.54</v>
      </c>
      <c r="M182" s="6"/>
      <c r="N182" s="6"/>
      <c r="O182" s="6"/>
      <c r="P182" s="6"/>
      <c r="Q182" s="6"/>
    </row>
    <row r="183" spans="1:17" s="7" customFormat="1" x14ac:dyDescent="0.2">
      <c r="A183" s="265" t="s">
        <v>1385</v>
      </c>
      <c r="B183" s="286" t="s">
        <v>98</v>
      </c>
      <c r="C183" s="48">
        <v>5622</v>
      </c>
      <c r="D183" s="266" t="s">
        <v>660</v>
      </c>
      <c r="E183" s="56" t="s">
        <v>101</v>
      </c>
      <c r="F183" s="376">
        <v>29.1</v>
      </c>
      <c r="G183" s="287">
        <v>2.13</v>
      </c>
      <c r="H183" s="57">
        <f t="shared" si="20"/>
        <v>2.66</v>
      </c>
      <c r="I183" s="267">
        <f t="shared" si="21"/>
        <v>77.41</v>
      </c>
      <c r="J183" s="6"/>
      <c r="K183" s="6"/>
      <c r="L183" s="6">
        <v>29.1</v>
      </c>
      <c r="M183" s="6"/>
      <c r="N183" s="6"/>
      <c r="O183" s="6"/>
      <c r="P183" s="6"/>
      <c r="Q183" s="6"/>
    </row>
    <row r="184" spans="1:17" s="7" customFormat="1" ht="28.5" x14ac:dyDescent="0.2">
      <c r="A184" s="265" t="s">
        <v>1386</v>
      </c>
      <c r="B184" s="286" t="s">
        <v>98</v>
      </c>
      <c r="C184" s="286" t="s">
        <v>122</v>
      </c>
      <c r="D184" s="270" t="s">
        <v>123</v>
      </c>
      <c r="E184" s="56" t="s">
        <v>113</v>
      </c>
      <c r="F184" s="376">
        <v>9.18</v>
      </c>
      <c r="G184" s="287">
        <v>15.21</v>
      </c>
      <c r="H184" s="57">
        <f t="shared" si="20"/>
        <v>19.010000000000002</v>
      </c>
      <c r="I184" s="267">
        <f t="shared" si="21"/>
        <v>174.51</v>
      </c>
      <c r="J184" s="6"/>
      <c r="K184" s="6"/>
      <c r="L184" s="6">
        <v>9.18</v>
      </c>
      <c r="M184" s="6"/>
      <c r="N184" s="6"/>
      <c r="O184" s="6"/>
      <c r="P184" s="6"/>
      <c r="Q184" s="6"/>
    </row>
    <row r="185" spans="1:17" s="43" customFormat="1" ht="28.5" x14ac:dyDescent="0.2">
      <c r="A185" s="265" t="s">
        <v>1387</v>
      </c>
      <c r="B185" s="56" t="s">
        <v>98</v>
      </c>
      <c r="C185" s="56" t="s">
        <v>770</v>
      </c>
      <c r="D185" s="107" t="s">
        <v>769</v>
      </c>
      <c r="E185" s="56" t="s">
        <v>113</v>
      </c>
      <c r="F185" s="376">
        <f>F182-F184</f>
        <v>18.36</v>
      </c>
      <c r="G185" s="58">
        <v>3.88</v>
      </c>
      <c r="H185" s="58">
        <f t="shared" si="20"/>
        <v>4.8499999999999996</v>
      </c>
      <c r="I185" s="271">
        <f t="shared" si="21"/>
        <v>89.05</v>
      </c>
      <c r="J185" s="42"/>
      <c r="K185" s="42"/>
      <c r="L185" s="42"/>
      <c r="M185" s="42"/>
      <c r="N185" s="42"/>
      <c r="O185" s="42"/>
      <c r="P185" s="42"/>
      <c r="Q185" s="42"/>
    </row>
    <row r="186" spans="1:17" s="7" customFormat="1" ht="14.25" customHeight="1" x14ac:dyDescent="0.2">
      <c r="A186" s="265" t="s">
        <v>1388</v>
      </c>
      <c r="B186" s="286" t="s">
        <v>98</v>
      </c>
      <c r="C186" s="286">
        <v>72841</v>
      </c>
      <c r="D186" s="270" t="s">
        <v>403</v>
      </c>
      <c r="E186" s="56" t="s">
        <v>18</v>
      </c>
      <c r="F186" s="376">
        <f>F185</f>
        <v>18.36</v>
      </c>
      <c r="G186" s="287">
        <v>0.7</v>
      </c>
      <c r="H186" s="57">
        <f t="shared" si="20"/>
        <v>0.88</v>
      </c>
      <c r="I186" s="267">
        <f t="shared" si="21"/>
        <v>16.16</v>
      </c>
      <c r="J186" s="6"/>
      <c r="K186" s="6"/>
      <c r="L186" s="6">
        <v>18.36</v>
      </c>
      <c r="M186" s="6"/>
      <c r="N186" s="6"/>
      <c r="O186" s="6"/>
      <c r="P186" s="6"/>
      <c r="Q186" s="6"/>
    </row>
    <row r="187" spans="1:17" s="7" customFormat="1" ht="14.25" customHeight="1" x14ac:dyDescent="0.2">
      <c r="A187" s="265" t="s">
        <v>1389</v>
      </c>
      <c r="B187" s="286" t="s">
        <v>98</v>
      </c>
      <c r="C187" s="286" t="s">
        <v>124</v>
      </c>
      <c r="D187" s="270" t="s">
        <v>125</v>
      </c>
      <c r="E187" s="56" t="s">
        <v>113</v>
      </c>
      <c r="F187" s="376">
        <f>F186</f>
        <v>18.36</v>
      </c>
      <c r="G187" s="287">
        <v>2.2999999999999998</v>
      </c>
      <c r="H187" s="57">
        <f t="shared" si="20"/>
        <v>2.88</v>
      </c>
      <c r="I187" s="267">
        <f t="shared" si="21"/>
        <v>52.88</v>
      </c>
      <c r="J187" s="6"/>
      <c r="K187" s="6"/>
      <c r="L187" s="6"/>
      <c r="M187" s="6"/>
      <c r="N187" s="6"/>
      <c r="O187" s="6"/>
      <c r="P187" s="6"/>
      <c r="Q187" s="6"/>
    </row>
    <row r="188" spans="1:17" s="7" customFormat="1" x14ac:dyDescent="0.2">
      <c r="A188" s="265" t="s">
        <v>1390</v>
      </c>
      <c r="B188" s="286" t="s">
        <v>98</v>
      </c>
      <c r="C188" s="286" t="s">
        <v>3</v>
      </c>
      <c r="D188" s="270" t="s">
        <v>4</v>
      </c>
      <c r="E188" s="56" t="s">
        <v>113</v>
      </c>
      <c r="F188" s="376">
        <v>1.4</v>
      </c>
      <c r="G188" s="287">
        <v>72.459999999999994</v>
      </c>
      <c r="H188" s="57">
        <f t="shared" si="20"/>
        <v>90.58</v>
      </c>
      <c r="I188" s="267">
        <f t="shared" si="21"/>
        <v>126.81</v>
      </c>
      <c r="J188" s="6"/>
      <c r="K188" s="6"/>
      <c r="L188" s="6">
        <v>18.36</v>
      </c>
      <c r="M188" s="6"/>
      <c r="N188" s="6"/>
      <c r="O188" s="6"/>
      <c r="P188" s="6"/>
      <c r="Q188" s="6"/>
    </row>
    <row r="189" spans="1:17" s="7" customFormat="1" x14ac:dyDescent="0.2">
      <c r="A189" s="265" t="s">
        <v>1391</v>
      </c>
      <c r="B189" s="286" t="s">
        <v>98</v>
      </c>
      <c r="C189" s="286" t="s">
        <v>72</v>
      </c>
      <c r="D189" s="270" t="s">
        <v>21</v>
      </c>
      <c r="E189" s="56" t="s">
        <v>113</v>
      </c>
      <c r="F189" s="376">
        <v>1.4</v>
      </c>
      <c r="G189" s="287">
        <v>254.4</v>
      </c>
      <c r="H189" s="57">
        <f t="shared" si="20"/>
        <v>318</v>
      </c>
      <c r="I189" s="267">
        <f t="shared" si="21"/>
        <v>445.2</v>
      </c>
      <c r="J189" s="6"/>
      <c r="K189" s="6"/>
      <c r="L189" s="6">
        <v>18.36</v>
      </c>
      <c r="M189" s="6"/>
      <c r="N189" s="6"/>
      <c r="O189" s="6"/>
      <c r="P189" s="6"/>
      <c r="Q189" s="6"/>
    </row>
    <row r="190" spans="1:17" s="7" customFormat="1" ht="28.5" x14ac:dyDescent="0.2">
      <c r="A190" s="265" t="s">
        <v>1392</v>
      </c>
      <c r="B190" s="286" t="s">
        <v>98</v>
      </c>
      <c r="C190" s="286" t="s">
        <v>165</v>
      </c>
      <c r="D190" s="270" t="s">
        <v>572</v>
      </c>
      <c r="E190" s="56" t="s">
        <v>113</v>
      </c>
      <c r="F190" s="376">
        <v>2.84</v>
      </c>
      <c r="G190" s="287">
        <v>383.69</v>
      </c>
      <c r="H190" s="57">
        <f t="shared" si="20"/>
        <v>479.61</v>
      </c>
      <c r="I190" s="267">
        <f t="shared" si="21"/>
        <v>1362.09</v>
      </c>
      <c r="J190" s="6"/>
      <c r="K190" s="6"/>
      <c r="L190" s="6"/>
      <c r="M190" s="6"/>
      <c r="N190" s="6"/>
      <c r="O190" s="6"/>
      <c r="P190" s="6"/>
      <c r="Q190" s="6"/>
    </row>
    <row r="191" spans="1:17" s="7" customFormat="1" ht="28.5" x14ac:dyDescent="0.2">
      <c r="A191" s="265" t="s">
        <v>1393</v>
      </c>
      <c r="B191" s="286" t="s">
        <v>98</v>
      </c>
      <c r="C191" s="286" t="s">
        <v>78</v>
      </c>
      <c r="D191" s="270" t="s">
        <v>79</v>
      </c>
      <c r="E191" s="56" t="s">
        <v>101</v>
      </c>
      <c r="F191" s="376">
        <v>4.2</v>
      </c>
      <c r="G191" s="287">
        <v>79.58</v>
      </c>
      <c r="H191" s="57">
        <f t="shared" si="20"/>
        <v>99.48</v>
      </c>
      <c r="I191" s="267">
        <f t="shared" si="21"/>
        <v>417.82</v>
      </c>
      <c r="J191" s="6"/>
      <c r="K191" s="6"/>
      <c r="L191" s="6"/>
      <c r="M191" s="6"/>
      <c r="N191" s="6"/>
      <c r="O191" s="6"/>
      <c r="P191" s="6"/>
      <c r="Q191" s="6"/>
    </row>
    <row r="192" spans="1:17" s="7" customFormat="1" ht="28.5" x14ac:dyDescent="0.2">
      <c r="A192" s="265" t="s">
        <v>1394</v>
      </c>
      <c r="B192" s="286" t="s">
        <v>98</v>
      </c>
      <c r="C192" s="286" t="s">
        <v>167</v>
      </c>
      <c r="D192" s="270" t="s">
        <v>573</v>
      </c>
      <c r="E192" s="56" t="s">
        <v>2</v>
      </c>
      <c r="F192" s="376">
        <v>227.2</v>
      </c>
      <c r="G192" s="287">
        <v>6.37</v>
      </c>
      <c r="H192" s="57">
        <f t="shared" si="20"/>
        <v>7.96</v>
      </c>
      <c r="I192" s="267">
        <f t="shared" si="21"/>
        <v>1808.51</v>
      </c>
      <c r="J192" s="6"/>
      <c r="K192" s="6"/>
      <c r="L192" s="6">
        <v>1.4</v>
      </c>
      <c r="M192" s="6"/>
      <c r="N192" s="6"/>
      <c r="O192" s="6"/>
      <c r="P192" s="6"/>
      <c r="Q192" s="6"/>
    </row>
    <row r="193" spans="1:27" s="55" customFormat="1" ht="42.75" x14ac:dyDescent="0.2">
      <c r="A193" s="265" t="s">
        <v>1395</v>
      </c>
      <c r="B193" s="286" t="s">
        <v>98</v>
      </c>
      <c r="C193" s="286" t="s">
        <v>6</v>
      </c>
      <c r="D193" s="270" t="s">
        <v>7</v>
      </c>
      <c r="E193" s="56" t="s">
        <v>101</v>
      </c>
      <c r="F193" s="376">
        <v>21.96</v>
      </c>
      <c r="G193" s="287">
        <v>44.58</v>
      </c>
      <c r="H193" s="57">
        <f t="shared" ref="H193:H200" si="22">ROUND((1+K$3)*G193,2)</f>
        <v>55.73</v>
      </c>
      <c r="I193" s="289">
        <f t="shared" ref="I193:I200" si="23">ROUND(F193*H193,2)</f>
        <v>1223.83</v>
      </c>
      <c r="J193" s="54"/>
      <c r="K193" s="54"/>
      <c r="L193" s="54">
        <v>4.2</v>
      </c>
      <c r="M193" s="54"/>
      <c r="N193" s="54"/>
      <c r="O193" s="54"/>
      <c r="P193" s="54"/>
      <c r="Q193" s="54"/>
    </row>
    <row r="194" spans="1:27" s="7" customFormat="1" ht="14.25" customHeight="1" x14ac:dyDescent="0.2">
      <c r="A194" s="265" t="s">
        <v>1396</v>
      </c>
      <c r="B194" s="48" t="s">
        <v>98</v>
      </c>
      <c r="C194" s="48">
        <v>6045</v>
      </c>
      <c r="D194" s="270" t="s">
        <v>661</v>
      </c>
      <c r="E194" s="56" t="s">
        <v>113</v>
      </c>
      <c r="F194" s="376">
        <v>0.48</v>
      </c>
      <c r="G194" s="58">
        <v>277.52999999999997</v>
      </c>
      <c r="H194" s="57">
        <f t="shared" si="22"/>
        <v>346.91</v>
      </c>
      <c r="I194" s="267">
        <f t="shared" si="23"/>
        <v>166.52</v>
      </c>
      <c r="J194" s="6"/>
      <c r="K194" s="6"/>
      <c r="L194" s="6">
        <v>227.2</v>
      </c>
      <c r="M194" s="6"/>
      <c r="N194" s="6"/>
      <c r="O194" s="6"/>
      <c r="P194" s="6"/>
      <c r="Q194" s="6"/>
    </row>
    <row r="195" spans="1:27" s="55" customFormat="1" x14ac:dyDescent="0.2">
      <c r="A195" s="265" t="s">
        <v>1397</v>
      </c>
      <c r="B195" s="286" t="s">
        <v>98</v>
      </c>
      <c r="C195" s="291" t="s">
        <v>50</v>
      </c>
      <c r="D195" s="270" t="s">
        <v>53</v>
      </c>
      <c r="E195" s="56" t="s">
        <v>101</v>
      </c>
      <c r="F195" s="376">
        <v>32.94</v>
      </c>
      <c r="G195" s="287">
        <v>3.16</v>
      </c>
      <c r="H195" s="57">
        <f t="shared" si="22"/>
        <v>3.95</v>
      </c>
      <c r="I195" s="289">
        <f t="shared" si="23"/>
        <v>130.11000000000001</v>
      </c>
      <c r="J195" s="54"/>
      <c r="K195" s="54"/>
      <c r="L195" s="54">
        <v>2.84</v>
      </c>
      <c r="M195" s="54"/>
      <c r="N195" s="54"/>
      <c r="O195" s="54"/>
      <c r="P195" s="54"/>
      <c r="Q195" s="54"/>
    </row>
    <row r="196" spans="1:27" s="7" customFormat="1" ht="28.5" x14ac:dyDescent="0.2">
      <c r="A196" s="265" t="s">
        <v>1398</v>
      </c>
      <c r="B196" s="48" t="s">
        <v>98</v>
      </c>
      <c r="C196" s="48" t="s">
        <v>448</v>
      </c>
      <c r="D196" s="270" t="s">
        <v>449</v>
      </c>
      <c r="E196" s="56" t="s">
        <v>101</v>
      </c>
      <c r="F196" s="376">
        <f>F195</f>
        <v>32.94</v>
      </c>
      <c r="G196" s="58">
        <v>18.100000000000001</v>
      </c>
      <c r="H196" s="57">
        <f t="shared" si="22"/>
        <v>22.63</v>
      </c>
      <c r="I196" s="267">
        <f t="shared" si="23"/>
        <v>745.43</v>
      </c>
      <c r="J196" s="6"/>
      <c r="K196" s="6"/>
      <c r="L196" s="6">
        <v>2.84</v>
      </c>
      <c r="M196" s="6"/>
      <c r="N196" s="6"/>
      <c r="O196" s="6"/>
      <c r="P196" s="6"/>
      <c r="Q196" s="6"/>
    </row>
    <row r="197" spans="1:27" s="7" customFormat="1" ht="28.5" customHeight="1" x14ac:dyDescent="0.2">
      <c r="A197" s="265" t="s">
        <v>1399</v>
      </c>
      <c r="B197" s="286" t="s">
        <v>98</v>
      </c>
      <c r="C197" s="286" t="s">
        <v>662</v>
      </c>
      <c r="D197" s="270" t="s">
        <v>663</v>
      </c>
      <c r="E197" s="56" t="s">
        <v>101</v>
      </c>
      <c r="F197" s="58">
        <v>65</v>
      </c>
      <c r="G197" s="287">
        <v>14.99</v>
      </c>
      <c r="H197" s="57">
        <f>ROUND((1+K$3)*G197,2)</f>
        <v>18.739999999999998</v>
      </c>
      <c r="I197" s="267">
        <f t="shared" si="23"/>
        <v>1218.0999999999999</v>
      </c>
      <c r="J197" s="6"/>
      <c r="K197" s="6"/>
      <c r="L197" s="6"/>
      <c r="M197" s="6"/>
      <c r="N197" s="6"/>
      <c r="O197" s="6"/>
      <c r="P197" s="6"/>
      <c r="Q197" s="6"/>
    </row>
    <row r="198" spans="1:27" s="55" customFormat="1" x14ac:dyDescent="0.2">
      <c r="A198" s="265" t="s">
        <v>1400</v>
      </c>
      <c r="B198" s="56" t="s">
        <v>98</v>
      </c>
      <c r="C198" s="275" t="s">
        <v>626</v>
      </c>
      <c r="D198" s="270" t="s">
        <v>627</v>
      </c>
      <c r="E198" s="56" t="s">
        <v>101</v>
      </c>
      <c r="F198" s="376">
        <v>0.37</v>
      </c>
      <c r="G198" s="376">
        <v>192.49</v>
      </c>
      <c r="H198" s="58">
        <f t="shared" si="22"/>
        <v>240.61</v>
      </c>
      <c r="I198" s="271">
        <f t="shared" si="23"/>
        <v>89.03</v>
      </c>
      <c r="J198" s="54"/>
      <c r="K198" s="54"/>
      <c r="L198" s="54">
        <v>21.96</v>
      </c>
      <c r="M198" s="54"/>
      <c r="N198" s="54"/>
      <c r="O198" s="54"/>
      <c r="P198" s="54"/>
      <c r="Q198" s="54"/>
    </row>
    <row r="199" spans="1:27" s="43" customFormat="1" ht="28.5" x14ac:dyDescent="0.2">
      <c r="A199" s="265" t="s">
        <v>1401</v>
      </c>
      <c r="B199" s="56" t="s">
        <v>306</v>
      </c>
      <c r="C199" s="378" t="s">
        <v>179</v>
      </c>
      <c r="D199" s="270" t="s">
        <v>445</v>
      </c>
      <c r="E199" s="56" t="s">
        <v>10</v>
      </c>
      <c r="F199" s="376">
        <v>4</v>
      </c>
      <c r="G199" s="376">
        <f>'COMPOSIÇÕES DE CUSTO'!I118</f>
        <v>281.44</v>
      </c>
      <c r="H199" s="58">
        <f t="shared" si="22"/>
        <v>351.8</v>
      </c>
      <c r="I199" s="271">
        <f t="shared" si="23"/>
        <v>1407.2</v>
      </c>
      <c r="J199" s="42"/>
      <c r="K199" s="42"/>
      <c r="L199" s="42">
        <v>0.48</v>
      </c>
      <c r="M199" s="42"/>
      <c r="N199" s="42"/>
      <c r="O199" s="42"/>
      <c r="P199" s="42"/>
      <c r="Q199" s="42"/>
    </row>
    <row r="200" spans="1:27" s="43" customFormat="1" ht="14.25" customHeight="1" x14ac:dyDescent="0.2">
      <c r="A200" s="265" t="s">
        <v>1402</v>
      </c>
      <c r="B200" s="56" t="s">
        <v>306</v>
      </c>
      <c r="C200" s="378" t="s">
        <v>170</v>
      </c>
      <c r="D200" s="270" t="s">
        <v>625</v>
      </c>
      <c r="E200" s="56" t="s">
        <v>10</v>
      </c>
      <c r="F200" s="376">
        <v>1</v>
      </c>
      <c r="G200" s="376">
        <f>'COMPOSIÇÕES DE CUSTO'!I124</f>
        <v>1030.56</v>
      </c>
      <c r="H200" s="58">
        <f t="shared" si="22"/>
        <v>1288.2</v>
      </c>
      <c r="I200" s="271">
        <f t="shared" si="23"/>
        <v>1288.2</v>
      </c>
      <c r="J200" s="42"/>
      <c r="K200" s="42"/>
      <c r="L200" s="42"/>
      <c r="M200" s="42"/>
      <c r="N200" s="42"/>
      <c r="O200" s="42"/>
      <c r="P200" s="42"/>
      <c r="Q200" s="42"/>
    </row>
    <row r="201" spans="1:27" s="373" customFormat="1" ht="14.25" customHeight="1" x14ac:dyDescent="0.2">
      <c r="A201" s="265"/>
      <c r="B201" s="375"/>
      <c r="C201" s="378"/>
      <c r="D201" s="377"/>
      <c r="E201" s="375"/>
      <c r="F201" s="376"/>
      <c r="G201" s="376"/>
      <c r="H201" s="376"/>
      <c r="I201" s="271"/>
      <c r="J201" s="372"/>
      <c r="K201" s="372"/>
      <c r="L201" s="372"/>
      <c r="M201" s="372"/>
      <c r="N201" s="372"/>
      <c r="O201" s="372"/>
      <c r="P201" s="372"/>
      <c r="Q201" s="372"/>
    </row>
    <row r="202" spans="1:27" s="373" customFormat="1" ht="14.25" customHeight="1" x14ac:dyDescent="0.2">
      <c r="A202" s="265"/>
      <c r="B202" s="375"/>
      <c r="C202" s="378"/>
      <c r="D202" s="377"/>
      <c r="E202" s="375"/>
      <c r="F202" s="376"/>
      <c r="G202" s="376"/>
      <c r="H202" s="376"/>
      <c r="I202" s="271"/>
      <c r="J202" s="372"/>
      <c r="K202" s="372"/>
      <c r="L202" s="372"/>
      <c r="M202" s="372"/>
      <c r="N202" s="372"/>
      <c r="O202" s="372"/>
      <c r="P202" s="372"/>
      <c r="Q202" s="372"/>
    </row>
    <row r="203" spans="1:27" s="373" customFormat="1" ht="14.25" customHeight="1" x14ac:dyDescent="0.2">
      <c r="A203" s="265"/>
      <c r="B203" s="375"/>
      <c r="C203" s="378"/>
      <c r="D203" s="377"/>
      <c r="E203" s="375"/>
      <c r="F203" s="376"/>
      <c r="G203" s="376"/>
      <c r="H203" s="376"/>
      <c r="I203" s="271"/>
      <c r="J203" s="372"/>
      <c r="K203" s="372"/>
      <c r="L203" s="372"/>
      <c r="M203" s="372"/>
      <c r="N203" s="372"/>
      <c r="O203" s="372"/>
      <c r="P203" s="372"/>
      <c r="Q203" s="372"/>
    </row>
    <row r="204" spans="1:27" s="10" customFormat="1" ht="15" x14ac:dyDescent="0.2">
      <c r="A204" s="265"/>
      <c r="B204" s="52"/>
      <c r="C204" s="52"/>
      <c r="D204" s="266"/>
      <c r="E204" s="48"/>
      <c r="F204" s="57"/>
      <c r="G204" s="58"/>
      <c r="H204" s="57"/>
      <c r="I204" s="267"/>
      <c r="J204" s="54"/>
      <c r="K204" s="54"/>
      <c r="L204" s="54"/>
      <c r="M204" s="54"/>
      <c r="N204" s="54"/>
      <c r="O204" s="54"/>
      <c r="P204" s="54"/>
      <c r="Q204" s="54"/>
      <c r="R204" s="55"/>
      <c r="S204" s="55"/>
      <c r="T204" s="55"/>
      <c r="U204" s="55"/>
      <c r="V204" s="55"/>
      <c r="W204" s="55"/>
      <c r="X204" s="55"/>
      <c r="Y204" s="55"/>
      <c r="Z204" s="55"/>
      <c r="AA204" s="55"/>
    </row>
    <row r="205" spans="1:27" s="10" customFormat="1" ht="15" x14ac:dyDescent="0.2">
      <c r="A205" s="263" t="s">
        <v>326</v>
      </c>
      <c r="B205" s="205"/>
      <c r="C205" s="205"/>
      <c r="D205" s="273" t="s">
        <v>138</v>
      </c>
      <c r="E205" s="210"/>
      <c r="F205" s="211"/>
      <c r="G205" s="211"/>
      <c r="H205" s="211"/>
      <c r="I205" s="274">
        <f>SUM(I206:I223)</f>
        <v>51898.71</v>
      </c>
      <c r="J205" s="54"/>
      <c r="K205" s="54"/>
      <c r="L205" s="54"/>
      <c r="M205" s="54"/>
      <c r="N205" s="54"/>
      <c r="O205" s="54"/>
      <c r="P205" s="54"/>
      <c r="Q205" s="54"/>
      <c r="R205" s="55"/>
      <c r="S205" s="55"/>
      <c r="T205" s="55"/>
      <c r="U205" s="55"/>
      <c r="V205" s="55"/>
      <c r="W205" s="55"/>
      <c r="X205" s="55"/>
      <c r="Y205" s="55"/>
      <c r="Z205" s="55"/>
      <c r="AA205" s="55"/>
    </row>
    <row r="206" spans="1:27" s="55" customFormat="1" ht="28.5" x14ac:dyDescent="0.2">
      <c r="A206" s="586" t="s">
        <v>1403</v>
      </c>
      <c r="B206" s="586" t="s">
        <v>98</v>
      </c>
      <c r="C206" s="586" t="s">
        <v>0</v>
      </c>
      <c r="D206" s="587" t="s">
        <v>786</v>
      </c>
      <c r="E206" s="586" t="s">
        <v>101</v>
      </c>
      <c r="F206" s="588">
        <f>25</f>
        <v>25</v>
      </c>
      <c r="G206" s="588">
        <v>5.89</v>
      </c>
      <c r="H206" s="588">
        <f t="shared" ref="H206:H217" si="24">ROUND((1+K$3)*G206,2)</f>
        <v>7.36</v>
      </c>
      <c r="I206" s="588">
        <f t="shared" ref="I206" si="25">ROUND(F206*H206,2)</f>
        <v>184</v>
      </c>
      <c r="J206" s="54"/>
      <c r="K206" s="148"/>
      <c r="L206" s="54"/>
      <c r="M206" s="54"/>
      <c r="N206" s="54"/>
      <c r="O206" s="54"/>
      <c r="P206" s="54"/>
      <c r="Q206" s="54"/>
    </row>
    <row r="207" spans="1:27" s="313" customFormat="1" ht="28.5" customHeight="1" x14ac:dyDescent="0.2">
      <c r="A207" s="586" t="s">
        <v>1404</v>
      </c>
      <c r="B207" s="586" t="s">
        <v>98</v>
      </c>
      <c r="C207" s="586" t="s">
        <v>136</v>
      </c>
      <c r="D207" s="589" t="s">
        <v>137</v>
      </c>
      <c r="E207" s="586" t="s">
        <v>113</v>
      </c>
      <c r="F207" s="588">
        <f>47.4*0.85</f>
        <v>40.29</v>
      </c>
      <c r="G207" s="588">
        <v>4.3899999999999997</v>
      </c>
      <c r="H207" s="588">
        <f t="shared" si="24"/>
        <v>5.49</v>
      </c>
      <c r="I207" s="588">
        <f>ROUND(F207*H207,2)</f>
        <v>221.19</v>
      </c>
      <c r="J207" s="311"/>
      <c r="K207" s="312"/>
      <c r="L207" s="311"/>
      <c r="M207" s="311"/>
      <c r="N207" s="311"/>
      <c r="O207" s="311"/>
      <c r="P207" s="311"/>
      <c r="Q207" s="311"/>
    </row>
    <row r="208" spans="1:27" s="313" customFormat="1" ht="28.5" x14ac:dyDescent="0.2">
      <c r="A208" s="586" t="s">
        <v>1405</v>
      </c>
      <c r="B208" s="586" t="s">
        <v>98</v>
      </c>
      <c r="C208" s="590" t="s">
        <v>114</v>
      </c>
      <c r="D208" s="589" t="s">
        <v>115</v>
      </c>
      <c r="E208" s="586" t="s">
        <v>113</v>
      </c>
      <c r="F208" s="588">
        <f>47.4*0.15</f>
        <v>7.1099999999999994</v>
      </c>
      <c r="G208" s="588">
        <v>22.62</v>
      </c>
      <c r="H208" s="588">
        <f t="shared" si="24"/>
        <v>28.28</v>
      </c>
      <c r="I208" s="588">
        <f>ROUND(F208*H208,2)</f>
        <v>201.07</v>
      </c>
      <c r="J208" s="311"/>
      <c r="K208" s="314"/>
      <c r="L208" s="311"/>
      <c r="M208" s="311"/>
      <c r="N208" s="311"/>
      <c r="O208" s="311"/>
      <c r="P208" s="311"/>
      <c r="Q208" s="311"/>
    </row>
    <row r="209" spans="1:17" s="313" customFormat="1" ht="28.5" customHeight="1" x14ac:dyDescent="0.2">
      <c r="A209" s="586" t="s">
        <v>1406</v>
      </c>
      <c r="B209" s="586" t="s">
        <v>98</v>
      </c>
      <c r="C209" s="586" t="s">
        <v>17</v>
      </c>
      <c r="D209" s="587" t="s">
        <v>404</v>
      </c>
      <c r="E209" s="586" t="s">
        <v>113</v>
      </c>
      <c r="F209" s="588">
        <f>8.36*0.85</f>
        <v>7.105999999999999</v>
      </c>
      <c r="G209" s="588">
        <v>6.09</v>
      </c>
      <c r="H209" s="588">
        <f t="shared" si="24"/>
        <v>7.61</v>
      </c>
      <c r="I209" s="588">
        <f>ROUND(F209*H209,2)</f>
        <v>54.08</v>
      </c>
      <c r="J209" s="311"/>
      <c r="K209" s="314"/>
      <c r="L209" s="311"/>
      <c r="M209" s="311"/>
      <c r="N209" s="311"/>
      <c r="O209" s="311"/>
      <c r="P209" s="311"/>
      <c r="Q209" s="311"/>
    </row>
    <row r="210" spans="1:17" s="55" customFormat="1" ht="28.5" x14ac:dyDescent="0.2">
      <c r="A210" s="586" t="s">
        <v>1407</v>
      </c>
      <c r="B210" s="586" t="s">
        <v>98</v>
      </c>
      <c r="C210" s="586" t="s">
        <v>116</v>
      </c>
      <c r="D210" s="587" t="s">
        <v>117</v>
      </c>
      <c r="E210" s="586" t="s">
        <v>113</v>
      </c>
      <c r="F210" s="588">
        <f>8.36*0.15</f>
        <v>1.2539999999999998</v>
      </c>
      <c r="G210" s="588">
        <v>29.08</v>
      </c>
      <c r="H210" s="588">
        <f t="shared" si="24"/>
        <v>36.35</v>
      </c>
      <c r="I210" s="588">
        <f t="shared" ref="I210" si="26">ROUND(F210*H210,2)</f>
        <v>45.58</v>
      </c>
      <c r="J210" s="54"/>
      <c r="K210" s="148"/>
      <c r="L210" s="54"/>
      <c r="M210" s="54"/>
      <c r="N210" s="54"/>
      <c r="O210" s="54"/>
      <c r="P210" s="54"/>
      <c r="Q210" s="54"/>
    </row>
    <row r="211" spans="1:17" s="7" customFormat="1" ht="14.25" customHeight="1" x14ac:dyDescent="0.2">
      <c r="A211" s="586" t="s">
        <v>1408</v>
      </c>
      <c r="B211" s="586" t="s">
        <v>98</v>
      </c>
      <c r="C211" s="586">
        <v>5622</v>
      </c>
      <c r="D211" s="587" t="s">
        <v>660</v>
      </c>
      <c r="E211" s="586" t="s">
        <v>101</v>
      </c>
      <c r="F211" s="588">
        <f>51.68/2</f>
        <v>25.84</v>
      </c>
      <c r="G211" s="588">
        <v>2.13</v>
      </c>
      <c r="H211" s="588">
        <f t="shared" si="24"/>
        <v>2.66</v>
      </c>
      <c r="I211" s="588">
        <f>ROUND(F211*H211,2)</f>
        <v>68.73</v>
      </c>
      <c r="J211" s="6"/>
      <c r="K211" s="6"/>
      <c r="L211" s="6"/>
      <c r="M211" s="6"/>
      <c r="N211" s="6"/>
      <c r="O211" s="6"/>
      <c r="P211" s="6"/>
      <c r="Q211" s="6"/>
    </row>
    <row r="212" spans="1:17" s="55" customFormat="1" ht="28.5" x14ac:dyDescent="0.2">
      <c r="A212" s="586" t="s">
        <v>1409</v>
      </c>
      <c r="B212" s="586" t="s">
        <v>98</v>
      </c>
      <c r="C212" s="586" t="s">
        <v>122</v>
      </c>
      <c r="D212" s="587" t="s">
        <v>123</v>
      </c>
      <c r="E212" s="586" t="s">
        <v>113</v>
      </c>
      <c r="F212" s="588">
        <f>55.76-26.66</f>
        <v>29.099999999999998</v>
      </c>
      <c r="G212" s="588">
        <v>15.21</v>
      </c>
      <c r="H212" s="588">
        <f t="shared" si="24"/>
        <v>19.010000000000002</v>
      </c>
      <c r="I212" s="588">
        <f t="shared" ref="I212:I223" si="27">ROUND(F212*H212,2)</f>
        <v>553.19000000000005</v>
      </c>
      <c r="J212" s="54"/>
      <c r="K212" s="148"/>
      <c r="L212" s="54"/>
      <c r="M212" s="54"/>
      <c r="N212" s="54"/>
      <c r="O212" s="54"/>
      <c r="P212" s="54"/>
      <c r="Q212" s="54"/>
    </row>
    <row r="213" spans="1:17" s="55" customFormat="1" ht="15" x14ac:dyDescent="0.2">
      <c r="A213" s="586" t="s">
        <v>1410</v>
      </c>
      <c r="B213" s="586" t="s">
        <v>98</v>
      </c>
      <c r="C213" s="586" t="s">
        <v>439</v>
      </c>
      <c r="D213" s="587" t="s">
        <v>440</v>
      </c>
      <c r="E213" s="586" t="s">
        <v>113</v>
      </c>
      <c r="F213" s="588">
        <f>55.76-F212</f>
        <v>26.66</v>
      </c>
      <c r="G213" s="588">
        <v>25.85</v>
      </c>
      <c r="H213" s="588">
        <f t="shared" si="24"/>
        <v>32.31</v>
      </c>
      <c r="I213" s="588">
        <f t="shared" si="27"/>
        <v>861.38</v>
      </c>
      <c r="J213" s="54"/>
      <c r="K213" s="148"/>
      <c r="L213" s="54"/>
      <c r="M213" s="54"/>
      <c r="N213" s="54"/>
      <c r="O213" s="54"/>
      <c r="P213" s="54"/>
      <c r="Q213" s="54"/>
    </row>
    <row r="214" spans="1:17" s="55" customFormat="1" ht="15" x14ac:dyDescent="0.2">
      <c r="A214" s="586" t="s">
        <v>1411</v>
      </c>
      <c r="B214" s="586" t="s">
        <v>98</v>
      </c>
      <c r="C214" s="586" t="s">
        <v>3</v>
      </c>
      <c r="D214" s="587" t="s">
        <v>4</v>
      </c>
      <c r="E214" s="586" t="s">
        <v>113</v>
      </c>
      <c r="F214" s="588">
        <f>1.3</f>
        <v>1.3</v>
      </c>
      <c r="G214" s="588">
        <v>72.459999999999994</v>
      </c>
      <c r="H214" s="588">
        <f t="shared" si="24"/>
        <v>90.58</v>
      </c>
      <c r="I214" s="588">
        <f t="shared" si="27"/>
        <v>117.75</v>
      </c>
      <c r="J214" s="54"/>
      <c r="K214" s="148"/>
      <c r="L214" s="54"/>
      <c r="M214" s="54"/>
      <c r="N214" s="54"/>
      <c r="O214" s="54"/>
      <c r="P214" s="54"/>
      <c r="Q214" s="54"/>
    </row>
    <row r="215" spans="1:17" s="55" customFormat="1" ht="15" x14ac:dyDescent="0.2">
      <c r="A215" s="586" t="s">
        <v>1412</v>
      </c>
      <c r="B215" s="586" t="s">
        <v>98</v>
      </c>
      <c r="C215" s="586" t="s">
        <v>72</v>
      </c>
      <c r="D215" s="587" t="s">
        <v>21</v>
      </c>
      <c r="E215" s="586" t="s">
        <v>113</v>
      </c>
      <c r="F215" s="588">
        <f>1.3</f>
        <v>1.3</v>
      </c>
      <c r="G215" s="588">
        <v>254.4</v>
      </c>
      <c r="H215" s="588">
        <f t="shared" si="24"/>
        <v>318</v>
      </c>
      <c r="I215" s="588">
        <f t="shared" si="27"/>
        <v>413.4</v>
      </c>
      <c r="J215" s="54"/>
      <c r="K215" s="148"/>
      <c r="L215" s="54"/>
      <c r="M215" s="54"/>
      <c r="N215" s="54"/>
      <c r="O215" s="54"/>
      <c r="P215" s="54"/>
      <c r="Q215" s="54"/>
    </row>
    <row r="216" spans="1:17" s="55" customFormat="1" ht="28.5" x14ac:dyDescent="0.2">
      <c r="A216" s="586" t="s">
        <v>1413</v>
      </c>
      <c r="B216" s="586" t="s">
        <v>98</v>
      </c>
      <c r="C216" s="586" t="s">
        <v>78</v>
      </c>
      <c r="D216" s="587" t="s">
        <v>79</v>
      </c>
      <c r="E216" s="586" t="s">
        <v>101</v>
      </c>
      <c r="F216" s="588">
        <f>72.74</f>
        <v>72.739999999999995</v>
      </c>
      <c r="G216" s="588">
        <v>79.58</v>
      </c>
      <c r="H216" s="588">
        <f t="shared" si="24"/>
        <v>99.48</v>
      </c>
      <c r="I216" s="588">
        <f t="shared" si="27"/>
        <v>7236.18</v>
      </c>
      <c r="J216" s="54"/>
      <c r="K216" s="148"/>
      <c r="L216" s="54"/>
      <c r="M216" s="54"/>
      <c r="N216" s="54"/>
      <c r="O216" s="54"/>
      <c r="P216" s="54"/>
      <c r="Q216" s="54"/>
    </row>
    <row r="217" spans="1:17" s="313" customFormat="1" ht="28.5" x14ac:dyDescent="0.2">
      <c r="A217" s="586" t="s">
        <v>1414</v>
      </c>
      <c r="B217" s="586" t="s">
        <v>98</v>
      </c>
      <c r="C217" s="586" t="s">
        <v>787</v>
      </c>
      <c r="D217" s="589" t="s">
        <v>788</v>
      </c>
      <c r="E217" s="586" t="s">
        <v>113</v>
      </c>
      <c r="F217" s="588">
        <f>9.45</f>
        <v>9.4499999999999993</v>
      </c>
      <c r="G217" s="588">
        <v>304.17</v>
      </c>
      <c r="H217" s="588">
        <f t="shared" si="24"/>
        <v>380.21</v>
      </c>
      <c r="I217" s="588">
        <f t="shared" si="27"/>
        <v>3592.98</v>
      </c>
      <c r="J217" s="311"/>
      <c r="K217" s="312"/>
      <c r="L217" s="311"/>
      <c r="M217" s="311"/>
      <c r="N217" s="311"/>
      <c r="O217" s="311"/>
      <c r="P217" s="311"/>
      <c r="Q217" s="311"/>
    </row>
    <row r="218" spans="1:17" s="55" customFormat="1" ht="14.25" customHeight="1" x14ac:dyDescent="0.2">
      <c r="A218" s="586" t="s">
        <v>1415</v>
      </c>
      <c r="B218" s="586" t="s">
        <v>306</v>
      </c>
      <c r="C218" s="590" t="s">
        <v>171</v>
      </c>
      <c r="D218" s="587" t="s">
        <v>789</v>
      </c>
      <c r="E218" s="586" t="s">
        <v>10</v>
      </c>
      <c r="F218" s="588">
        <v>1</v>
      </c>
      <c r="G218" s="591">
        <f>'COMPOSIÇÕES DE CUSTO'!I129</f>
        <v>6875.3860000000004</v>
      </c>
      <c r="H218" s="588">
        <f>ROUND((1+K$5)*G218,2)</f>
        <v>7700.43</v>
      </c>
      <c r="I218" s="588">
        <f t="shared" si="27"/>
        <v>7700.43</v>
      </c>
      <c r="J218" s="54"/>
      <c r="K218" s="148"/>
      <c r="L218" s="54"/>
      <c r="M218" s="54"/>
      <c r="N218" s="54"/>
      <c r="O218" s="54"/>
      <c r="P218" s="54"/>
      <c r="Q218" s="54"/>
    </row>
    <row r="219" spans="1:17" s="55" customFormat="1" ht="14.25" customHeight="1" x14ac:dyDescent="0.2">
      <c r="A219" s="586" t="s">
        <v>1416</v>
      </c>
      <c r="B219" s="586" t="s">
        <v>306</v>
      </c>
      <c r="C219" s="590" t="s">
        <v>172</v>
      </c>
      <c r="D219" s="587" t="s">
        <v>632</v>
      </c>
      <c r="E219" s="586" t="s">
        <v>10</v>
      </c>
      <c r="F219" s="588">
        <v>1</v>
      </c>
      <c r="G219" s="591">
        <f>'COMPOSIÇÕES DE CUSTO'!I155</f>
        <v>937.2</v>
      </c>
      <c r="H219" s="588">
        <f t="shared" ref="H219:H223" si="28">ROUND((1+K$3)*G219,2)</f>
        <v>1171.5</v>
      </c>
      <c r="I219" s="588">
        <f t="shared" si="27"/>
        <v>1171.5</v>
      </c>
      <c r="J219" s="54"/>
      <c r="K219" s="148"/>
      <c r="L219" s="54"/>
      <c r="M219" s="54"/>
      <c r="N219" s="54"/>
      <c r="O219" s="54"/>
      <c r="P219" s="54"/>
      <c r="Q219" s="54"/>
    </row>
    <row r="220" spans="1:17" s="55" customFormat="1" ht="28.5" customHeight="1" x14ac:dyDescent="0.2">
      <c r="A220" s="586" t="s">
        <v>1417</v>
      </c>
      <c r="B220" s="586" t="s">
        <v>98</v>
      </c>
      <c r="C220" s="586">
        <v>751</v>
      </c>
      <c r="D220" s="587" t="s">
        <v>996</v>
      </c>
      <c r="E220" s="586" t="s">
        <v>10</v>
      </c>
      <c r="F220" s="588">
        <v>2</v>
      </c>
      <c r="G220" s="591">
        <v>3079</v>
      </c>
      <c r="H220" s="588">
        <f>ROUND((1+K$5)*G220,2)</f>
        <v>3448.48</v>
      </c>
      <c r="I220" s="588">
        <f t="shared" si="27"/>
        <v>6896.96</v>
      </c>
      <c r="J220" s="54"/>
      <c r="K220" s="148"/>
      <c r="L220" s="54"/>
      <c r="M220" s="54"/>
      <c r="N220" s="54"/>
      <c r="O220" s="54"/>
      <c r="P220" s="54"/>
      <c r="Q220" s="54"/>
    </row>
    <row r="221" spans="1:17" s="55" customFormat="1" ht="15" x14ac:dyDescent="0.2">
      <c r="A221" s="586" t="s">
        <v>1418</v>
      </c>
      <c r="B221" s="586" t="s">
        <v>98</v>
      </c>
      <c r="C221" s="586" t="s">
        <v>163</v>
      </c>
      <c r="D221" s="587" t="s">
        <v>164</v>
      </c>
      <c r="E221" s="586" t="s">
        <v>10</v>
      </c>
      <c r="F221" s="588">
        <v>2</v>
      </c>
      <c r="G221" s="591">
        <v>95.76</v>
      </c>
      <c r="H221" s="588">
        <f t="shared" si="28"/>
        <v>119.7</v>
      </c>
      <c r="I221" s="588">
        <f t="shared" si="27"/>
        <v>239.4</v>
      </c>
      <c r="J221" s="54"/>
      <c r="K221" s="148"/>
      <c r="L221" s="54"/>
      <c r="M221" s="54"/>
      <c r="N221" s="54"/>
      <c r="O221" s="54"/>
      <c r="P221" s="54"/>
      <c r="Q221" s="54"/>
    </row>
    <row r="222" spans="1:17" s="55" customFormat="1" ht="14.25" customHeight="1" x14ac:dyDescent="0.2">
      <c r="A222" s="586" t="s">
        <v>1419</v>
      </c>
      <c r="B222" s="586" t="s">
        <v>306</v>
      </c>
      <c r="C222" s="590" t="s">
        <v>677</v>
      </c>
      <c r="D222" s="587" t="s">
        <v>501</v>
      </c>
      <c r="E222" s="586" t="s">
        <v>10</v>
      </c>
      <c r="F222" s="588">
        <v>1</v>
      </c>
      <c r="G222" s="591">
        <f>'COMPOSIÇÕES DE CUSTO'!I399</f>
        <v>2917.65</v>
      </c>
      <c r="H222" s="588">
        <f t="shared" si="28"/>
        <v>3647.06</v>
      </c>
      <c r="I222" s="592">
        <f t="shared" si="27"/>
        <v>3647.06</v>
      </c>
      <c r="J222" s="54"/>
      <c r="K222" s="148"/>
      <c r="L222" s="54"/>
      <c r="M222" s="54"/>
      <c r="N222" s="54"/>
      <c r="O222" s="54"/>
      <c r="P222" s="54"/>
      <c r="Q222" s="54"/>
    </row>
    <row r="223" spans="1:17" s="373" customFormat="1" ht="14.25" customHeight="1" x14ac:dyDescent="0.2">
      <c r="A223" s="586" t="s">
        <v>1565</v>
      </c>
      <c r="B223" s="586" t="s">
        <v>306</v>
      </c>
      <c r="C223" s="586" t="s">
        <v>1174</v>
      </c>
      <c r="D223" s="587" t="s">
        <v>1566</v>
      </c>
      <c r="E223" s="586" t="s">
        <v>10</v>
      </c>
      <c r="F223" s="588">
        <v>1</v>
      </c>
      <c r="G223" s="591">
        <f>'INSTALAÇÕES ELÉTRICAS ELT-003'!I20+'INSTALAÇÕES ELÉTRICAS ELT-003'!I22</f>
        <v>14955.060000000001</v>
      </c>
      <c r="H223" s="588">
        <f t="shared" si="28"/>
        <v>18693.830000000002</v>
      </c>
      <c r="I223" s="588">
        <f t="shared" si="27"/>
        <v>18693.830000000002</v>
      </c>
      <c r="J223" s="372"/>
      <c r="K223" s="538"/>
      <c r="L223" s="372"/>
      <c r="M223" s="372"/>
      <c r="N223" s="372"/>
      <c r="O223" s="372"/>
      <c r="P223" s="372"/>
      <c r="Q223" s="372"/>
    </row>
    <row r="224" spans="1:17" s="55" customFormat="1" ht="15" x14ac:dyDescent="0.2">
      <c r="A224" s="268"/>
      <c r="B224" s="292"/>
      <c r="C224" s="292"/>
      <c r="D224" s="283"/>
      <c r="E224" s="286"/>
      <c r="F224" s="287"/>
      <c r="G224" s="287"/>
      <c r="H224" s="57"/>
      <c r="I224" s="267"/>
      <c r="J224" s="54"/>
      <c r="K224" s="54"/>
      <c r="L224" s="54"/>
      <c r="M224" s="54"/>
      <c r="N224" s="54"/>
      <c r="O224" s="54"/>
      <c r="P224" s="54"/>
      <c r="Q224" s="54"/>
    </row>
    <row r="225" spans="1:17" s="7" customFormat="1" ht="15" x14ac:dyDescent="0.2">
      <c r="A225" s="263" t="s">
        <v>327</v>
      </c>
      <c r="B225" s="205"/>
      <c r="C225" s="205"/>
      <c r="D225" s="273" t="s">
        <v>11</v>
      </c>
      <c r="E225" s="210"/>
      <c r="F225" s="211"/>
      <c r="G225" s="211"/>
      <c r="H225" s="211"/>
      <c r="I225" s="274">
        <f>SUM(I226:I249)</f>
        <v>270062.65000000002</v>
      </c>
      <c r="J225" s="6"/>
      <c r="K225" s="6"/>
      <c r="L225" s="6"/>
      <c r="M225" s="6"/>
      <c r="N225" s="6"/>
      <c r="O225" s="6"/>
      <c r="P225" s="6"/>
      <c r="Q225" s="6"/>
    </row>
    <row r="226" spans="1:17" s="7" customFormat="1" ht="28.5" x14ac:dyDescent="0.2">
      <c r="A226" s="265" t="s">
        <v>1420</v>
      </c>
      <c r="B226" s="48" t="s">
        <v>98</v>
      </c>
      <c r="C226" s="48" t="s">
        <v>0</v>
      </c>
      <c r="D226" s="283" t="s">
        <v>1</v>
      </c>
      <c r="E226" s="48" t="s">
        <v>101</v>
      </c>
      <c r="F226" s="376">
        <v>90.88</v>
      </c>
      <c r="G226" s="376">
        <v>5.89</v>
      </c>
      <c r="H226" s="57">
        <f t="shared" ref="H226:H247" si="29">ROUND((1+K$3)*G226,2)</f>
        <v>7.36</v>
      </c>
      <c r="I226" s="267">
        <f t="shared" ref="I226:I234" si="30">ROUND(F226*H226,2)</f>
        <v>668.88</v>
      </c>
      <c r="J226" s="6"/>
      <c r="K226" s="6"/>
      <c r="L226" s="6"/>
      <c r="M226" s="6"/>
      <c r="N226" s="6"/>
      <c r="O226" s="6"/>
      <c r="P226" s="6"/>
      <c r="Q226" s="6"/>
    </row>
    <row r="227" spans="1:17" s="7" customFormat="1" ht="28.5" x14ac:dyDescent="0.2">
      <c r="A227" s="265" t="s">
        <v>1421</v>
      </c>
      <c r="B227" s="48" t="s">
        <v>98</v>
      </c>
      <c r="C227" s="48" t="s">
        <v>114</v>
      </c>
      <c r="D227" s="283" t="s">
        <v>115</v>
      </c>
      <c r="E227" s="48" t="s">
        <v>113</v>
      </c>
      <c r="F227" s="376">
        <v>130.4</v>
      </c>
      <c r="G227" s="376">
        <v>22.62</v>
      </c>
      <c r="H227" s="57">
        <f t="shared" si="29"/>
        <v>28.28</v>
      </c>
      <c r="I227" s="267">
        <f t="shared" si="30"/>
        <v>3687.71</v>
      </c>
      <c r="J227" s="6"/>
      <c r="K227" s="6"/>
      <c r="L227" s="6"/>
      <c r="M227" s="6"/>
      <c r="N227" s="6"/>
      <c r="O227" s="6"/>
      <c r="P227" s="6"/>
      <c r="Q227" s="6"/>
    </row>
    <row r="228" spans="1:17" s="7" customFormat="1" ht="14.25" customHeight="1" x14ac:dyDescent="0.2">
      <c r="A228" s="265" t="s">
        <v>1422</v>
      </c>
      <c r="B228" s="56" t="s">
        <v>98</v>
      </c>
      <c r="C228" s="48">
        <v>5622</v>
      </c>
      <c r="D228" s="266" t="s">
        <v>660</v>
      </c>
      <c r="E228" s="56" t="s">
        <v>101</v>
      </c>
      <c r="F228" s="376">
        <v>86.94</v>
      </c>
      <c r="G228" s="376">
        <v>2.13</v>
      </c>
      <c r="H228" s="57">
        <f t="shared" si="29"/>
        <v>2.66</v>
      </c>
      <c r="I228" s="267">
        <f t="shared" si="30"/>
        <v>231.26</v>
      </c>
      <c r="J228" s="6"/>
      <c r="K228" s="6"/>
      <c r="L228" s="6"/>
      <c r="M228" s="6"/>
      <c r="N228" s="6"/>
      <c r="O228" s="6"/>
      <c r="P228" s="6"/>
      <c r="Q228" s="6"/>
    </row>
    <row r="229" spans="1:17" s="7" customFormat="1" ht="28.5" x14ac:dyDescent="0.2">
      <c r="A229" s="265" t="s">
        <v>1423</v>
      </c>
      <c r="B229" s="48" t="s">
        <v>98</v>
      </c>
      <c r="C229" s="48" t="s">
        <v>122</v>
      </c>
      <c r="D229" s="283" t="s">
        <v>123</v>
      </c>
      <c r="E229" s="48" t="s">
        <v>113</v>
      </c>
      <c r="F229" s="376">
        <v>27.75</v>
      </c>
      <c r="G229" s="376">
        <v>15.21</v>
      </c>
      <c r="H229" s="57">
        <f t="shared" si="29"/>
        <v>19.010000000000002</v>
      </c>
      <c r="I229" s="267">
        <f t="shared" si="30"/>
        <v>527.53</v>
      </c>
      <c r="J229" s="6"/>
      <c r="K229" s="6"/>
      <c r="L229" s="6"/>
      <c r="M229" s="6"/>
      <c r="N229" s="6"/>
      <c r="O229" s="6"/>
      <c r="P229" s="6"/>
      <c r="Q229" s="6"/>
    </row>
    <row r="230" spans="1:17" s="7" customFormat="1" x14ac:dyDescent="0.2">
      <c r="A230" s="265" t="s">
        <v>1424</v>
      </c>
      <c r="B230" s="56" t="s">
        <v>98</v>
      </c>
      <c r="C230" s="56" t="s">
        <v>439</v>
      </c>
      <c r="D230" s="270" t="s">
        <v>440</v>
      </c>
      <c r="E230" s="56" t="s">
        <v>113</v>
      </c>
      <c r="F230" s="376">
        <f>F227-F229</f>
        <v>102.65</v>
      </c>
      <c r="G230" s="376">
        <v>25.85</v>
      </c>
      <c r="H230" s="57">
        <f t="shared" si="29"/>
        <v>32.31</v>
      </c>
      <c r="I230" s="271">
        <f t="shared" si="30"/>
        <v>3316.62</v>
      </c>
      <c r="J230" s="6"/>
      <c r="K230" s="6"/>
      <c r="L230" s="6"/>
      <c r="M230" s="6"/>
      <c r="N230" s="6"/>
      <c r="O230" s="6"/>
      <c r="P230" s="6"/>
      <c r="Q230" s="6"/>
    </row>
    <row r="231" spans="1:17" s="7" customFormat="1" x14ac:dyDescent="0.2">
      <c r="A231" s="265" t="s">
        <v>1425</v>
      </c>
      <c r="B231" s="56" t="s">
        <v>98</v>
      </c>
      <c r="C231" s="56" t="s">
        <v>177</v>
      </c>
      <c r="D231" s="270" t="s">
        <v>178</v>
      </c>
      <c r="E231" s="56" t="s">
        <v>107</v>
      </c>
      <c r="F231" s="376">
        <v>20</v>
      </c>
      <c r="G231" s="376">
        <v>24.75</v>
      </c>
      <c r="H231" s="57">
        <f t="shared" si="29"/>
        <v>30.94</v>
      </c>
      <c r="I231" s="271">
        <f t="shared" si="30"/>
        <v>618.79999999999995</v>
      </c>
      <c r="J231" s="6"/>
      <c r="K231" s="6"/>
      <c r="L231" s="6"/>
      <c r="M231" s="6"/>
      <c r="N231" s="6"/>
      <c r="O231" s="6"/>
      <c r="P231" s="6"/>
      <c r="Q231" s="6"/>
    </row>
    <row r="232" spans="1:17" s="7" customFormat="1" x14ac:dyDescent="0.2">
      <c r="A232" s="265" t="s">
        <v>1426</v>
      </c>
      <c r="B232" s="48" t="s">
        <v>98</v>
      </c>
      <c r="C232" s="48" t="s">
        <v>3</v>
      </c>
      <c r="D232" s="266" t="s">
        <v>4</v>
      </c>
      <c r="E232" s="48" t="s">
        <v>113</v>
      </c>
      <c r="F232" s="376">
        <v>43.47</v>
      </c>
      <c r="G232" s="376">
        <v>72.459999999999994</v>
      </c>
      <c r="H232" s="57">
        <f t="shared" si="29"/>
        <v>90.58</v>
      </c>
      <c r="I232" s="267">
        <f t="shared" si="30"/>
        <v>3937.51</v>
      </c>
      <c r="J232" s="6"/>
      <c r="K232" s="6"/>
      <c r="L232" s="6"/>
      <c r="M232" s="6"/>
      <c r="N232" s="6"/>
      <c r="O232" s="6"/>
      <c r="P232" s="6"/>
      <c r="Q232" s="6"/>
    </row>
    <row r="233" spans="1:17" s="7" customFormat="1" x14ac:dyDescent="0.2">
      <c r="A233" s="265" t="s">
        <v>1427</v>
      </c>
      <c r="B233" s="48" t="s">
        <v>98</v>
      </c>
      <c r="C233" s="48" t="s">
        <v>72</v>
      </c>
      <c r="D233" s="266" t="s">
        <v>21</v>
      </c>
      <c r="E233" s="48" t="s">
        <v>113</v>
      </c>
      <c r="F233" s="376">
        <v>4.3499999999999996</v>
      </c>
      <c r="G233" s="376">
        <v>254.4</v>
      </c>
      <c r="H233" s="57">
        <f t="shared" si="29"/>
        <v>318</v>
      </c>
      <c r="I233" s="267">
        <f t="shared" si="30"/>
        <v>1383.3</v>
      </c>
      <c r="J233" s="6"/>
      <c r="K233" s="6"/>
      <c r="L233" s="6"/>
      <c r="M233" s="6"/>
      <c r="N233" s="6"/>
      <c r="O233" s="6"/>
      <c r="P233" s="6"/>
      <c r="Q233" s="6"/>
    </row>
    <row r="234" spans="1:17" s="7" customFormat="1" ht="28.5" x14ac:dyDescent="0.2">
      <c r="A234" s="265" t="s">
        <v>1428</v>
      </c>
      <c r="B234" s="56" t="s">
        <v>98</v>
      </c>
      <c r="C234" s="56" t="s">
        <v>78</v>
      </c>
      <c r="D234" s="270" t="s">
        <v>79</v>
      </c>
      <c r="E234" s="56" t="s">
        <v>101</v>
      </c>
      <c r="F234" s="376">
        <v>558.35</v>
      </c>
      <c r="G234" s="376">
        <v>79.58</v>
      </c>
      <c r="H234" s="58">
        <f t="shared" si="29"/>
        <v>99.48</v>
      </c>
      <c r="I234" s="271">
        <f t="shared" si="30"/>
        <v>55544.66</v>
      </c>
      <c r="J234" s="6"/>
      <c r="K234" s="6"/>
      <c r="L234" s="6"/>
      <c r="M234" s="6"/>
      <c r="N234" s="6"/>
      <c r="O234" s="6"/>
      <c r="P234" s="6"/>
      <c r="Q234" s="6"/>
    </row>
    <row r="235" spans="1:17" s="7" customFormat="1" ht="57" x14ac:dyDescent="0.2">
      <c r="A235" s="265" t="s">
        <v>1429</v>
      </c>
      <c r="B235" s="48" t="s">
        <v>98</v>
      </c>
      <c r="C235" s="48">
        <v>73685</v>
      </c>
      <c r="D235" s="266" t="s">
        <v>630</v>
      </c>
      <c r="E235" s="48" t="s">
        <v>113</v>
      </c>
      <c r="F235" s="376">
        <v>558.35</v>
      </c>
      <c r="G235" s="376">
        <v>20.29</v>
      </c>
      <c r="H235" s="57">
        <f t="shared" si="29"/>
        <v>25.36</v>
      </c>
      <c r="I235" s="267">
        <f t="shared" ref="I235:I247" si="31">ROUND(F235*H235,2)</f>
        <v>14159.76</v>
      </c>
      <c r="J235" s="6"/>
      <c r="K235" s="6"/>
      <c r="L235" s="6"/>
      <c r="M235" s="6"/>
      <c r="N235" s="6"/>
      <c r="O235" s="6"/>
      <c r="P235" s="6"/>
      <c r="Q235" s="6"/>
    </row>
    <row r="236" spans="1:17" s="7" customFormat="1" ht="28.5" x14ac:dyDescent="0.2">
      <c r="A236" s="265" t="s">
        <v>1430</v>
      </c>
      <c r="B236" s="56" t="s">
        <v>98</v>
      </c>
      <c r="C236" s="56" t="s">
        <v>167</v>
      </c>
      <c r="D236" s="270" t="s">
        <v>168</v>
      </c>
      <c r="E236" s="56" t="s">
        <v>2</v>
      </c>
      <c r="F236" s="376">
        <v>7566</v>
      </c>
      <c r="G236" s="376">
        <v>6.37</v>
      </c>
      <c r="H236" s="58">
        <f t="shared" si="29"/>
        <v>7.96</v>
      </c>
      <c r="I236" s="271">
        <f t="shared" si="31"/>
        <v>60225.36</v>
      </c>
      <c r="J236" s="6"/>
      <c r="K236" s="6"/>
      <c r="L236" s="6"/>
      <c r="M236" s="6"/>
      <c r="N236" s="6"/>
      <c r="O236" s="6"/>
      <c r="P236" s="6"/>
      <c r="Q236" s="6"/>
    </row>
    <row r="237" spans="1:17" s="7" customFormat="1" ht="28.5" x14ac:dyDescent="0.2">
      <c r="A237" s="265" t="s">
        <v>1431</v>
      </c>
      <c r="B237" s="56" t="s">
        <v>98</v>
      </c>
      <c r="C237" s="56" t="s">
        <v>165</v>
      </c>
      <c r="D237" s="270" t="s">
        <v>166</v>
      </c>
      <c r="E237" s="56" t="s">
        <v>113</v>
      </c>
      <c r="F237" s="376">
        <v>73.459999999999994</v>
      </c>
      <c r="G237" s="376">
        <v>383.69</v>
      </c>
      <c r="H237" s="58">
        <f t="shared" si="29"/>
        <v>479.61</v>
      </c>
      <c r="I237" s="271">
        <f t="shared" si="31"/>
        <v>35232.15</v>
      </c>
      <c r="J237" s="6"/>
      <c r="K237" s="6"/>
      <c r="L237" s="6"/>
      <c r="M237" s="6"/>
      <c r="N237" s="6"/>
      <c r="O237" s="6"/>
      <c r="P237" s="6"/>
      <c r="Q237" s="6"/>
    </row>
    <row r="238" spans="1:17" s="7" customFormat="1" ht="28.5" customHeight="1" x14ac:dyDescent="0.2">
      <c r="A238" s="265" t="s">
        <v>1432</v>
      </c>
      <c r="B238" s="48" t="s">
        <v>98</v>
      </c>
      <c r="C238" s="286" t="s">
        <v>662</v>
      </c>
      <c r="D238" s="270" t="s">
        <v>663</v>
      </c>
      <c r="E238" s="48" t="s">
        <v>101</v>
      </c>
      <c r="F238" s="376">
        <v>163.1</v>
      </c>
      <c r="G238" s="376">
        <v>14.99</v>
      </c>
      <c r="H238" s="57">
        <f t="shared" si="29"/>
        <v>18.739999999999998</v>
      </c>
      <c r="I238" s="267">
        <f t="shared" si="31"/>
        <v>3056.49</v>
      </c>
      <c r="J238" s="6"/>
      <c r="K238" s="6"/>
      <c r="L238" s="6"/>
      <c r="M238" s="6"/>
      <c r="N238" s="6"/>
      <c r="O238" s="6"/>
      <c r="P238" s="6"/>
      <c r="Q238" s="6"/>
    </row>
    <row r="239" spans="1:17" s="7" customFormat="1" ht="28.5" x14ac:dyDescent="0.2">
      <c r="A239" s="265" t="s">
        <v>1433</v>
      </c>
      <c r="B239" s="56" t="s">
        <v>98</v>
      </c>
      <c r="C239" s="56">
        <v>72131</v>
      </c>
      <c r="D239" s="270" t="s">
        <v>169</v>
      </c>
      <c r="E239" s="56" t="s">
        <v>101</v>
      </c>
      <c r="F239" s="376">
        <v>26.45</v>
      </c>
      <c r="G239" s="277">
        <v>52.11</v>
      </c>
      <c r="H239" s="57">
        <f t="shared" si="29"/>
        <v>65.14</v>
      </c>
      <c r="I239" s="271">
        <f t="shared" si="31"/>
        <v>1722.95</v>
      </c>
      <c r="J239" s="6"/>
      <c r="K239" s="6"/>
      <c r="L239" s="6"/>
      <c r="M239" s="6"/>
      <c r="N239" s="6"/>
      <c r="O239" s="6"/>
      <c r="P239" s="6"/>
      <c r="Q239" s="6"/>
    </row>
    <row r="240" spans="1:17" s="7" customFormat="1" ht="28.5" x14ac:dyDescent="0.2">
      <c r="A240" s="265" t="s">
        <v>1434</v>
      </c>
      <c r="B240" s="56" t="s">
        <v>98</v>
      </c>
      <c r="C240" s="56">
        <v>5968</v>
      </c>
      <c r="D240" s="270" t="s">
        <v>664</v>
      </c>
      <c r="E240" s="56" t="s">
        <v>101</v>
      </c>
      <c r="F240" s="376">
        <v>24</v>
      </c>
      <c r="G240" s="277">
        <v>22.52</v>
      </c>
      <c r="H240" s="57">
        <f t="shared" si="29"/>
        <v>28.15</v>
      </c>
      <c r="I240" s="271">
        <f t="shared" si="31"/>
        <v>675.6</v>
      </c>
      <c r="J240" s="6"/>
      <c r="K240" s="6"/>
      <c r="L240" s="6"/>
      <c r="M240" s="6"/>
      <c r="N240" s="6"/>
      <c r="O240" s="6"/>
      <c r="P240" s="6"/>
      <c r="Q240" s="6"/>
    </row>
    <row r="241" spans="1:17" ht="15.95" customHeight="1" x14ac:dyDescent="0.2">
      <c r="A241" s="265" t="s">
        <v>1435</v>
      </c>
      <c r="B241" s="375" t="s">
        <v>9</v>
      </c>
      <c r="C241" s="375"/>
      <c r="D241" s="388" t="s">
        <v>949</v>
      </c>
      <c r="E241" s="202" t="s">
        <v>107</v>
      </c>
      <c r="F241" s="551">
        <v>48</v>
      </c>
      <c r="G241" s="389">
        <v>21.4</v>
      </c>
      <c r="H241" s="386">
        <f t="shared" ref="H241" si="32">ROUND(G241*(100+J$7)/100,2)</f>
        <v>21.4</v>
      </c>
      <c r="I241" s="390">
        <f t="shared" si="31"/>
        <v>1027.2</v>
      </c>
      <c r="J241" s="3"/>
      <c r="K241" s="4"/>
      <c r="L241" s="4"/>
      <c r="M241" s="4"/>
      <c r="N241" s="4"/>
      <c r="O241" s="4"/>
      <c r="P241" s="4"/>
      <c r="Q241" s="4"/>
    </row>
    <row r="242" spans="1:17" s="7" customFormat="1" x14ac:dyDescent="0.2">
      <c r="A242" s="265" t="s">
        <v>1436</v>
      </c>
      <c r="B242" s="56" t="s">
        <v>98</v>
      </c>
      <c r="C242" s="56" t="s">
        <v>436</v>
      </c>
      <c r="D242" s="270" t="s">
        <v>437</v>
      </c>
      <c r="E242" s="56" t="s">
        <v>107</v>
      </c>
      <c r="F242" s="376">
        <v>2.6</v>
      </c>
      <c r="G242" s="278">
        <v>177.43</v>
      </c>
      <c r="H242" s="57">
        <f t="shared" si="29"/>
        <v>221.79</v>
      </c>
      <c r="I242" s="271">
        <f t="shared" si="31"/>
        <v>576.65</v>
      </c>
      <c r="J242" s="6"/>
      <c r="K242" s="6"/>
      <c r="L242" s="6"/>
      <c r="M242" s="6"/>
      <c r="N242" s="6"/>
      <c r="O242" s="6"/>
      <c r="P242" s="6"/>
      <c r="Q242" s="6"/>
    </row>
    <row r="243" spans="1:17" s="43" customFormat="1" ht="14.25" customHeight="1" x14ac:dyDescent="0.2">
      <c r="A243" s="265" t="s">
        <v>1437</v>
      </c>
      <c r="B243" s="56" t="s">
        <v>306</v>
      </c>
      <c r="C243" s="378" t="s">
        <v>173</v>
      </c>
      <c r="D243" s="270" t="s">
        <v>438</v>
      </c>
      <c r="E243" s="56" t="s">
        <v>10</v>
      </c>
      <c r="F243" s="376">
        <v>1</v>
      </c>
      <c r="G243" s="277">
        <f>'COMPOSIÇÕES DE CUSTO'!I159</f>
        <v>12696.47</v>
      </c>
      <c r="H243" s="58">
        <f>ROUND((1+K$3)*G243,2)</f>
        <v>15870.59</v>
      </c>
      <c r="I243" s="271">
        <f>ROUND(F243*H243,2)</f>
        <v>15870.59</v>
      </c>
      <c r="J243" s="42"/>
      <c r="K243" s="42"/>
      <c r="L243" s="42"/>
      <c r="M243" s="42"/>
      <c r="N243" s="42"/>
      <c r="O243" s="42"/>
      <c r="P243" s="42"/>
      <c r="Q243" s="42"/>
    </row>
    <row r="244" spans="1:17" s="43" customFormat="1" ht="28.5" x14ac:dyDescent="0.2">
      <c r="A244" s="265" t="s">
        <v>1438</v>
      </c>
      <c r="B244" s="56" t="s">
        <v>306</v>
      </c>
      <c r="C244" s="378" t="s">
        <v>174</v>
      </c>
      <c r="D244" s="270" t="s">
        <v>636</v>
      </c>
      <c r="E244" s="56" t="s">
        <v>10</v>
      </c>
      <c r="F244" s="376">
        <v>72</v>
      </c>
      <c r="G244" s="277">
        <f>'COMPOSIÇÕES DE CUSTO'!I175</f>
        <v>113.03</v>
      </c>
      <c r="H244" s="58">
        <f t="shared" si="29"/>
        <v>141.29</v>
      </c>
      <c r="I244" s="271">
        <f t="shared" si="31"/>
        <v>10172.879999999999</v>
      </c>
      <c r="J244" s="42"/>
      <c r="K244" s="42"/>
      <c r="L244" s="42"/>
      <c r="M244" s="42"/>
      <c r="N244" s="42"/>
      <c r="O244" s="42"/>
      <c r="P244" s="42"/>
      <c r="Q244" s="42"/>
    </row>
    <row r="245" spans="1:17" s="43" customFormat="1" ht="14.25" customHeight="1" x14ac:dyDescent="0.2">
      <c r="A245" s="265" t="s">
        <v>1439</v>
      </c>
      <c r="B245" s="56" t="s">
        <v>306</v>
      </c>
      <c r="C245" s="378" t="s">
        <v>310</v>
      </c>
      <c r="D245" s="270" t="s">
        <v>637</v>
      </c>
      <c r="E245" s="56" t="s">
        <v>10</v>
      </c>
      <c r="F245" s="376">
        <v>48</v>
      </c>
      <c r="G245" s="277">
        <f>'COMPOSIÇÕES DE CUSTO'!I182</f>
        <v>27.24</v>
      </c>
      <c r="H245" s="58">
        <f>ROUND((1+K$3)*G245,2)</f>
        <v>34.049999999999997</v>
      </c>
      <c r="I245" s="271">
        <f>ROUND(F245*H245,2)</f>
        <v>1634.4</v>
      </c>
      <c r="J245" s="42"/>
      <c r="K245" s="42"/>
      <c r="L245" s="42"/>
      <c r="M245" s="42"/>
      <c r="N245" s="42"/>
      <c r="O245" s="42"/>
      <c r="P245" s="42"/>
      <c r="Q245" s="42"/>
    </row>
    <row r="246" spans="1:17" s="43" customFormat="1" ht="42.75" x14ac:dyDescent="0.2">
      <c r="A246" s="265" t="s">
        <v>1440</v>
      </c>
      <c r="B246" s="56" t="s">
        <v>306</v>
      </c>
      <c r="C246" s="378" t="s">
        <v>189</v>
      </c>
      <c r="D246" s="270" t="s">
        <v>639</v>
      </c>
      <c r="E246" s="56" t="s">
        <v>10</v>
      </c>
      <c r="F246" s="376">
        <v>36</v>
      </c>
      <c r="G246" s="277">
        <f>'COMPOSIÇÕES DE CUSTO'!I189</f>
        <v>147.09</v>
      </c>
      <c r="H246" s="58">
        <f t="shared" si="29"/>
        <v>183.86</v>
      </c>
      <c r="I246" s="271">
        <f t="shared" si="31"/>
        <v>6618.96</v>
      </c>
      <c r="J246" s="42"/>
      <c r="K246" s="42"/>
      <c r="L246" s="42"/>
      <c r="M246" s="42"/>
      <c r="N246" s="42"/>
      <c r="O246" s="42"/>
      <c r="P246" s="42"/>
      <c r="Q246" s="42"/>
    </row>
    <row r="247" spans="1:17" s="43" customFormat="1" ht="42.75" x14ac:dyDescent="0.2">
      <c r="A247" s="265" t="s">
        <v>1441</v>
      </c>
      <c r="B247" s="56" t="s">
        <v>306</v>
      </c>
      <c r="C247" s="378" t="s">
        <v>190</v>
      </c>
      <c r="D247" s="270" t="s">
        <v>640</v>
      </c>
      <c r="E247" s="56" t="s">
        <v>10</v>
      </c>
      <c r="F247" s="376">
        <v>18</v>
      </c>
      <c r="G247" s="277">
        <f>'COMPOSIÇÕES DE CUSTO'!I195</f>
        <v>248.92000000000002</v>
      </c>
      <c r="H247" s="58">
        <f t="shared" si="29"/>
        <v>311.14999999999998</v>
      </c>
      <c r="I247" s="271">
        <f t="shared" si="31"/>
        <v>5600.7</v>
      </c>
      <c r="J247" s="42"/>
      <c r="K247" s="42"/>
      <c r="L247" s="42"/>
      <c r="M247" s="42"/>
      <c r="N247" s="42"/>
      <c r="O247" s="42"/>
      <c r="P247" s="42"/>
      <c r="Q247" s="42"/>
    </row>
    <row r="248" spans="1:17" s="43" customFormat="1" ht="14.25" customHeight="1" x14ac:dyDescent="0.2">
      <c r="A248" s="265" t="s">
        <v>1442</v>
      </c>
      <c r="B248" s="56" t="s">
        <v>306</v>
      </c>
      <c r="C248" s="378" t="s">
        <v>462</v>
      </c>
      <c r="D248" s="270" t="s">
        <v>644</v>
      </c>
      <c r="E248" s="56" t="s">
        <v>10</v>
      </c>
      <c r="F248" s="376">
        <v>1</v>
      </c>
      <c r="G248" s="277">
        <f>'COMPOSIÇÕES DE CUSTO'!I201</f>
        <v>31928.74</v>
      </c>
      <c r="H248" s="58">
        <f>ROUND((1+K$5)*G248,2)</f>
        <v>35760.19</v>
      </c>
      <c r="I248" s="271">
        <f>ROUND(F248*H248,2)</f>
        <v>35760.19</v>
      </c>
      <c r="J248" s="42"/>
      <c r="K248" s="42"/>
      <c r="L248" s="42"/>
      <c r="M248" s="42"/>
      <c r="N248" s="42"/>
      <c r="O248" s="42"/>
      <c r="P248" s="42"/>
      <c r="Q248" s="42"/>
    </row>
    <row r="249" spans="1:17" s="43" customFormat="1" ht="14.25" customHeight="1" x14ac:dyDescent="0.2">
      <c r="A249" s="265" t="s">
        <v>1443</v>
      </c>
      <c r="B249" s="56" t="s">
        <v>306</v>
      </c>
      <c r="C249" s="378" t="s">
        <v>511</v>
      </c>
      <c r="D249" s="270" t="s">
        <v>643</v>
      </c>
      <c r="E249" s="56" t="s">
        <v>10</v>
      </c>
      <c r="F249" s="376">
        <v>1</v>
      </c>
      <c r="G249" s="277">
        <f>'COMPOSIÇÕES DE CUSTO'!I242</f>
        <v>6250</v>
      </c>
      <c r="H249" s="58">
        <f>ROUND((1+K$3)*G249,2)</f>
        <v>7812.5</v>
      </c>
      <c r="I249" s="271">
        <f>ROUND(F249*H249,2)</f>
        <v>7812.5</v>
      </c>
      <c r="J249" s="42"/>
      <c r="K249" s="42"/>
      <c r="L249" s="42"/>
      <c r="M249" s="42"/>
      <c r="N249" s="42"/>
      <c r="O249" s="42"/>
      <c r="P249" s="42"/>
      <c r="Q249" s="42"/>
    </row>
    <row r="250" spans="1:17" s="373" customFormat="1" ht="14.25" customHeight="1" x14ac:dyDescent="0.2">
      <c r="A250" s="265"/>
      <c r="B250" s="375"/>
      <c r="C250" s="378"/>
      <c r="D250" s="377"/>
      <c r="E250" s="375"/>
      <c r="F250" s="376"/>
      <c r="G250" s="277"/>
      <c r="H250" s="376"/>
      <c r="I250" s="271"/>
      <c r="J250" s="372"/>
      <c r="K250" s="372"/>
      <c r="L250" s="372"/>
      <c r="M250" s="372"/>
      <c r="N250" s="372"/>
      <c r="O250" s="372"/>
      <c r="P250" s="372"/>
      <c r="Q250" s="372"/>
    </row>
    <row r="251" spans="1:17" s="43" customFormat="1" x14ac:dyDescent="0.2">
      <c r="A251" s="265"/>
      <c r="B251" s="48"/>
      <c r="C251" s="48"/>
      <c r="D251" s="283"/>
      <c r="E251" s="48"/>
      <c r="F251" s="57"/>
      <c r="G251" s="58"/>
      <c r="H251" s="57"/>
      <c r="I251" s="267"/>
      <c r="J251" s="42"/>
      <c r="K251" s="42"/>
      <c r="L251" s="42"/>
      <c r="M251" s="42"/>
      <c r="N251" s="42"/>
      <c r="O251" s="42"/>
      <c r="P251" s="42"/>
      <c r="Q251" s="42"/>
    </row>
    <row r="252" spans="1:17" s="7" customFormat="1" ht="15" x14ac:dyDescent="0.2">
      <c r="A252" s="263" t="s">
        <v>328</v>
      </c>
      <c r="B252" s="205"/>
      <c r="C252" s="205"/>
      <c r="D252" s="273" t="s">
        <v>58</v>
      </c>
      <c r="E252" s="210"/>
      <c r="F252" s="211"/>
      <c r="G252" s="211"/>
      <c r="H252" s="211"/>
      <c r="I252" s="274">
        <f>SUM(I253:I270)</f>
        <v>199848.8</v>
      </c>
      <c r="J252" s="6"/>
      <c r="K252" s="6"/>
      <c r="L252" s="6"/>
      <c r="M252" s="6"/>
      <c r="N252" s="6"/>
      <c r="O252" s="6"/>
      <c r="P252" s="6"/>
      <c r="Q252" s="6"/>
    </row>
    <row r="253" spans="1:17" s="7" customFormat="1" ht="28.5" x14ac:dyDescent="0.2">
      <c r="A253" s="268" t="s">
        <v>1444</v>
      </c>
      <c r="B253" s="56" t="s">
        <v>98</v>
      </c>
      <c r="C253" s="275" t="s">
        <v>0</v>
      </c>
      <c r="D253" s="270" t="s">
        <v>1</v>
      </c>
      <c r="E253" s="56" t="s">
        <v>101</v>
      </c>
      <c r="F253" s="376">
        <v>130.19</v>
      </c>
      <c r="G253" s="277">
        <v>5.89</v>
      </c>
      <c r="H253" s="58">
        <f t="shared" ref="H253:H259" si="33">ROUND((1+K$3)*G253,2)</f>
        <v>7.36</v>
      </c>
      <c r="I253" s="271">
        <f t="shared" ref="I253:I259" si="34">ROUND(F253*H253,2)</f>
        <v>958.2</v>
      </c>
      <c r="J253" s="6"/>
      <c r="K253" s="6"/>
      <c r="L253" s="6"/>
      <c r="M253" s="6"/>
      <c r="N253" s="6"/>
      <c r="O253" s="6"/>
      <c r="P253" s="6"/>
      <c r="Q253" s="6"/>
    </row>
    <row r="254" spans="1:17" s="7" customFormat="1" ht="28.5" x14ac:dyDescent="0.2">
      <c r="A254" s="268" t="s">
        <v>1445</v>
      </c>
      <c r="B254" s="56" t="s">
        <v>98</v>
      </c>
      <c r="C254" s="378">
        <v>83338</v>
      </c>
      <c r="D254" s="377" t="s">
        <v>950</v>
      </c>
      <c r="E254" s="56" t="s">
        <v>113</v>
      </c>
      <c r="F254" s="376">
        <v>266.22000000000003</v>
      </c>
      <c r="G254" s="277">
        <v>2.36</v>
      </c>
      <c r="H254" s="58">
        <f t="shared" si="33"/>
        <v>2.95</v>
      </c>
      <c r="I254" s="271">
        <f t="shared" si="34"/>
        <v>785.35</v>
      </c>
      <c r="J254" s="6"/>
      <c r="K254" s="6"/>
      <c r="L254" s="6"/>
      <c r="M254" s="6"/>
      <c r="N254" s="6"/>
      <c r="O254" s="6"/>
      <c r="P254" s="6"/>
      <c r="Q254" s="6"/>
    </row>
    <row r="255" spans="1:17" s="7" customFormat="1" x14ac:dyDescent="0.2">
      <c r="A255" s="268" t="s">
        <v>1446</v>
      </c>
      <c r="B255" s="56" t="s">
        <v>98</v>
      </c>
      <c r="C255" s="48">
        <v>5622</v>
      </c>
      <c r="D255" s="266" t="s">
        <v>660</v>
      </c>
      <c r="E255" s="56" t="s">
        <v>101</v>
      </c>
      <c r="F255" s="376">
        <v>150</v>
      </c>
      <c r="G255" s="277">
        <v>2.13</v>
      </c>
      <c r="H255" s="58">
        <f t="shared" si="33"/>
        <v>2.66</v>
      </c>
      <c r="I255" s="271">
        <f t="shared" si="34"/>
        <v>399</v>
      </c>
      <c r="J255" s="6"/>
      <c r="K255" s="6"/>
      <c r="L255" s="6"/>
      <c r="M255" s="6"/>
      <c r="N255" s="6"/>
      <c r="O255" s="6"/>
      <c r="P255" s="6"/>
      <c r="Q255" s="6"/>
    </row>
    <row r="256" spans="1:17" s="7" customFormat="1" x14ac:dyDescent="0.2">
      <c r="A256" s="268" t="s">
        <v>1447</v>
      </c>
      <c r="B256" s="56" t="s">
        <v>98</v>
      </c>
      <c r="C256" s="56" t="s">
        <v>177</v>
      </c>
      <c r="D256" s="270" t="s">
        <v>178</v>
      </c>
      <c r="E256" s="56" t="s">
        <v>107</v>
      </c>
      <c r="F256" s="376">
        <v>20</v>
      </c>
      <c r="G256" s="376">
        <v>24.75</v>
      </c>
      <c r="H256" s="58">
        <f t="shared" si="33"/>
        <v>30.94</v>
      </c>
      <c r="I256" s="271">
        <f t="shared" si="34"/>
        <v>618.79999999999995</v>
      </c>
      <c r="J256" s="6"/>
      <c r="K256" s="6"/>
      <c r="L256" s="6"/>
      <c r="M256" s="6"/>
      <c r="N256" s="6"/>
      <c r="O256" s="6"/>
      <c r="P256" s="6"/>
      <c r="Q256" s="6"/>
    </row>
    <row r="257" spans="1:17" s="7" customFormat="1" x14ac:dyDescent="0.2">
      <c r="A257" s="268" t="s">
        <v>1448</v>
      </c>
      <c r="B257" s="56" t="s">
        <v>98</v>
      </c>
      <c r="C257" s="275" t="s">
        <v>3</v>
      </c>
      <c r="D257" s="270" t="s">
        <v>4</v>
      </c>
      <c r="E257" s="56" t="s">
        <v>113</v>
      </c>
      <c r="F257" s="376">
        <v>15</v>
      </c>
      <c r="G257" s="277">
        <v>72.459999999999994</v>
      </c>
      <c r="H257" s="58">
        <f t="shared" si="33"/>
        <v>90.58</v>
      </c>
      <c r="I257" s="271">
        <f t="shared" si="34"/>
        <v>1358.7</v>
      </c>
      <c r="J257" s="6"/>
      <c r="K257" s="6"/>
      <c r="L257" s="6"/>
      <c r="M257" s="6"/>
      <c r="N257" s="6"/>
      <c r="O257" s="6"/>
      <c r="P257" s="6"/>
      <c r="Q257" s="6"/>
    </row>
    <row r="258" spans="1:17" s="7" customFormat="1" x14ac:dyDescent="0.2">
      <c r="A258" s="268" t="s">
        <v>1449</v>
      </c>
      <c r="B258" s="56" t="s">
        <v>98</v>
      </c>
      <c r="C258" s="275" t="s">
        <v>72</v>
      </c>
      <c r="D258" s="270" t="s">
        <v>21</v>
      </c>
      <c r="E258" s="56" t="s">
        <v>113</v>
      </c>
      <c r="F258" s="376">
        <v>6.51</v>
      </c>
      <c r="G258" s="277">
        <v>254.4</v>
      </c>
      <c r="H258" s="58">
        <f t="shared" si="33"/>
        <v>318</v>
      </c>
      <c r="I258" s="271">
        <f t="shared" si="34"/>
        <v>2070.1799999999998</v>
      </c>
      <c r="J258" s="6"/>
      <c r="K258" s="6"/>
      <c r="L258" s="6"/>
      <c r="M258" s="6"/>
      <c r="N258" s="6"/>
      <c r="O258" s="6"/>
      <c r="P258" s="6"/>
      <c r="Q258" s="6"/>
    </row>
    <row r="259" spans="1:17" s="7" customFormat="1" ht="28.5" x14ac:dyDescent="0.2">
      <c r="A259" s="268" t="s">
        <v>1450</v>
      </c>
      <c r="B259" s="56" t="s">
        <v>98</v>
      </c>
      <c r="C259" s="56" t="s">
        <v>122</v>
      </c>
      <c r="D259" s="270" t="s">
        <v>123</v>
      </c>
      <c r="E259" s="56" t="s">
        <v>113</v>
      </c>
      <c r="F259" s="376">
        <v>177.48</v>
      </c>
      <c r="G259" s="376">
        <v>15.21</v>
      </c>
      <c r="H259" s="58">
        <f t="shared" si="33"/>
        <v>19.010000000000002</v>
      </c>
      <c r="I259" s="271">
        <f t="shared" si="34"/>
        <v>3373.89</v>
      </c>
      <c r="J259" s="6"/>
      <c r="K259" s="6"/>
      <c r="L259" s="6"/>
      <c r="M259" s="6"/>
      <c r="N259" s="6"/>
      <c r="O259" s="6"/>
      <c r="P259" s="6"/>
      <c r="Q259" s="6"/>
    </row>
    <row r="260" spans="1:17" s="7" customFormat="1" x14ac:dyDescent="0.2">
      <c r="A260" s="268" t="s">
        <v>1451</v>
      </c>
      <c r="B260" s="56" t="s">
        <v>98</v>
      </c>
      <c r="C260" s="56" t="s">
        <v>439</v>
      </c>
      <c r="D260" s="270" t="s">
        <v>440</v>
      </c>
      <c r="E260" s="56" t="s">
        <v>113</v>
      </c>
      <c r="F260" s="376">
        <f>F254-F259</f>
        <v>88.740000000000038</v>
      </c>
      <c r="G260" s="376">
        <v>25.85</v>
      </c>
      <c r="H260" s="58">
        <f t="shared" ref="H260:H268" si="35">ROUND((1+K$3)*G260,2)</f>
        <v>32.31</v>
      </c>
      <c r="I260" s="271">
        <f t="shared" ref="I260:I266" si="36">ROUND(F260*H260,2)</f>
        <v>2867.19</v>
      </c>
      <c r="J260" s="6"/>
      <c r="K260" s="6"/>
      <c r="L260" s="6"/>
      <c r="M260" s="6"/>
      <c r="N260" s="6"/>
      <c r="O260" s="6"/>
      <c r="P260" s="6"/>
      <c r="Q260" s="6"/>
    </row>
    <row r="261" spans="1:17" s="7" customFormat="1" ht="28.5" x14ac:dyDescent="0.2">
      <c r="A261" s="268" t="s">
        <v>1452</v>
      </c>
      <c r="B261" s="56" t="s">
        <v>98</v>
      </c>
      <c r="C261" s="56" t="s">
        <v>78</v>
      </c>
      <c r="D261" s="270" t="s">
        <v>79</v>
      </c>
      <c r="E261" s="56" t="s">
        <v>101</v>
      </c>
      <c r="F261" s="376">
        <v>355.18</v>
      </c>
      <c r="G261" s="376">
        <v>79.58</v>
      </c>
      <c r="H261" s="58">
        <f t="shared" si="35"/>
        <v>99.48</v>
      </c>
      <c r="I261" s="271">
        <f t="shared" si="36"/>
        <v>35333.31</v>
      </c>
      <c r="J261" s="6"/>
      <c r="K261" s="6"/>
      <c r="L261" s="6"/>
      <c r="M261" s="6"/>
      <c r="N261" s="6"/>
      <c r="O261" s="6"/>
      <c r="P261" s="6"/>
      <c r="Q261" s="6"/>
    </row>
    <row r="262" spans="1:17" s="7" customFormat="1" ht="57" x14ac:dyDescent="0.2">
      <c r="A262" s="268" t="s">
        <v>1453</v>
      </c>
      <c r="B262" s="56" t="s">
        <v>98</v>
      </c>
      <c r="C262" s="56">
        <v>73685</v>
      </c>
      <c r="D262" s="270" t="s">
        <v>630</v>
      </c>
      <c r="E262" s="56" t="s">
        <v>113</v>
      </c>
      <c r="F262" s="376">
        <v>272.5</v>
      </c>
      <c r="G262" s="376">
        <v>20.29</v>
      </c>
      <c r="H262" s="58">
        <f t="shared" si="35"/>
        <v>25.36</v>
      </c>
      <c r="I262" s="271">
        <f t="shared" si="36"/>
        <v>6910.6</v>
      </c>
      <c r="J262" s="6"/>
      <c r="K262" s="6"/>
      <c r="L262" s="6"/>
      <c r="M262" s="6"/>
      <c r="N262" s="6"/>
      <c r="O262" s="6"/>
      <c r="P262" s="6"/>
      <c r="Q262" s="6"/>
    </row>
    <row r="263" spans="1:17" s="7" customFormat="1" ht="28.5" x14ac:dyDescent="0.2">
      <c r="A263" s="268" t="s">
        <v>1454</v>
      </c>
      <c r="B263" s="56" t="s">
        <v>98</v>
      </c>
      <c r="C263" s="56" t="s">
        <v>167</v>
      </c>
      <c r="D263" s="270" t="s">
        <v>168</v>
      </c>
      <c r="E263" s="56" t="s">
        <v>2</v>
      </c>
      <c r="F263" s="376">
        <v>8393</v>
      </c>
      <c r="G263" s="376">
        <v>6.37</v>
      </c>
      <c r="H263" s="58">
        <f t="shared" si="35"/>
        <v>7.96</v>
      </c>
      <c r="I263" s="271">
        <f t="shared" si="36"/>
        <v>66808.28</v>
      </c>
      <c r="J263" s="6"/>
      <c r="K263" s="6"/>
      <c r="L263" s="6"/>
      <c r="M263" s="6"/>
      <c r="N263" s="6"/>
      <c r="O263" s="6"/>
      <c r="P263" s="6"/>
      <c r="Q263" s="6"/>
    </row>
    <row r="264" spans="1:17" s="7" customFormat="1" ht="28.5" x14ac:dyDescent="0.2">
      <c r="A264" s="268" t="s">
        <v>1455</v>
      </c>
      <c r="B264" s="56" t="s">
        <v>98</v>
      </c>
      <c r="C264" s="56" t="s">
        <v>165</v>
      </c>
      <c r="D264" s="270" t="s">
        <v>166</v>
      </c>
      <c r="E264" s="56" t="s">
        <v>113</v>
      </c>
      <c r="F264" s="376">
        <v>83.93</v>
      </c>
      <c r="G264" s="376">
        <v>383.69</v>
      </c>
      <c r="H264" s="58">
        <f t="shared" si="35"/>
        <v>479.61</v>
      </c>
      <c r="I264" s="271">
        <f t="shared" si="36"/>
        <v>40253.67</v>
      </c>
      <c r="J264" s="6"/>
      <c r="K264" s="6"/>
      <c r="L264" s="6"/>
      <c r="M264" s="6"/>
      <c r="N264" s="6"/>
      <c r="O264" s="6"/>
      <c r="P264" s="6"/>
      <c r="Q264" s="6"/>
    </row>
    <row r="265" spans="1:17" s="7" customFormat="1" ht="30" customHeight="1" x14ac:dyDescent="0.2">
      <c r="A265" s="268" t="s">
        <v>1456</v>
      </c>
      <c r="B265" s="56" t="s">
        <v>98</v>
      </c>
      <c r="C265" s="286" t="s">
        <v>662</v>
      </c>
      <c r="D265" s="270" t="s">
        <v>663</v>
      </c>
      <c r="E265" s="56" t="s">
        <v>101</v>
      </c>
      <c r="F265" s="376">
        <v>502.23</v>
      </c>
      <c r="G265" s="376">
        <v>14.99</v>
      </c>
      <c r="H265" s="58">
        <f t="shared" si="35"/>
        <v>18.739999999999998</v>
      </c>
      <c r="I265" s="271">
        <f t="shared" si="36"/>
        <v>9411.7900000000009</v>
      </c>
      <c r="J265" s="6"/>
      <c r="K265" s="6"/>
      <c r="L265" s="6"/>
      <c r="M265" s="6"/>
      <c r="N265" s="6"/>
      <c r="O265" s="6"/>
      <c r="P265" s="6"/>
      <c r="Q265" s="6"/>
    </row>
    <row r="266" spans="1:17" s="7" customFormat="1" x14ac:dyDescent="0.2">
      <c r="A266" s="268" t="s">
        <v>1457</v>
      </c>
      <c r="B266" s="56" t="s">
        <v>98</v>
      </c>
      <c r="C266" s="56" t="s">
        <v>22</v>
      </c>
      <c r="D266" s="270" t="s">
        <v>23</v>
      </c>
      <c r="E266" s="56" t="s">
        <v>113</v>
      </c>
      <c r="F266" s="376">
        <v>81.97</v>
      </c>
      <c r="G266" s="376">
        <v>92.49</v>
      </c>
      <c r="H266" s="58">
        <f t="shared" si="35"/>
        <v>115.61</v>
      </c>
      <c r="I266" s="271">
        <f t="shared" si="36"/>
        <v>9476.5499999999993</v>
      </c>
      <c r="J266" s="6"/>
      <c r="K266" s="6"/>
      <c r="L266" s="6"/>
      <c r="M266" s="6"/>
      <c r="N266" s="6"/>
      <c r="O266" s="6"/>
      <c r="P266" s="6"/>
      <c r="Q266" s="6"/>
    </row>
    <row r="267" spans="1:17" s="7" customFormat="1" x14ac:dyDescent="0.2">
      <c r="A267" s="268" t="s">
        <v>1458</v>
      </c>
      <c r="B267" s="56" t="s">
        <v>98</v>
      </c>
      <c r="C267" s="56">
        <v>73631</v>
      </c>
      <c r="D267" s="270" t="s">
        <v>435</v>
      </c>
      <c r="E267" s="56" t="s">
        <v>101</v>
      </c>
      <c r="F267" s="376">
        <v>43.56</v>
      </c>
      <c r="G267" s="376">
        <v>224.94</v>
      </c>
      <c r="H267" s="58">
        <f t="shared" si="35"/>
        <v>281.18</v>
      </c>
      <c r="I267" s="271">
        <f>ROUND(F267*H267,2)</f>
        <v>12248.2</v>
      </c>
      <c r="J267" s="6"/>
      <c r="K267" s="6"/>
      <c r="L267" s="6"/>
      <c r="M267" s="6"/>
      <c r="N267" s="6"/>
      <c r="O267" s="6"/>
      <c r="P267" s="6"/>
      <c r="Q267" s="6"/>
    </row>
    <row r="268" spans="1:17" s="7" customFormat="1" x14ac:dyDescent="0.2">
      <c r="A268" s="268" t="s">
        <v>1459</v>
      </c>
      <c r="B268" s="56" t="s">
        <v>98</v>
      </c>
      <c r="C268" s="56" t="s">
        <v>436</v>
      </c>
      <c r="D268" s="270" t="s">
        <v>437</v>
      </c>
      <c r="E268" s="56" t="s">
        <v>107</v>
      </c>
      <c r="F268" s="376">
        <v>1.8</v>
      </c>
      <c r="G268" s="376">
        <v>177.43</v>
      </c>
      <c r="H268" s="58">
        <f t="shared" si="35"/>
        <v>221.79</v>
      </c>
      <c r="I268" s="271">
        <f>ROUND(F268*H268,2)</f>
        <v>399.22</v>
      </c>
      <c r="J268" s="6"/>
      <c r="K268" s="6"/>
      <c r="L268" s="6"/>
      <c r="M268" s="6"/>
      <c r="N268" s="6"/>
      <c r="O268" s="6"/>
      <c r="P268" s="6"/>
      <c r="Q268" s="6"/>
    </row>
    <row r="269" spans="1:17" s="43" customFormat="1" ht="14.25" customHeight="1" x14ac:dyDescent="0.2">
      <c r="A269" s="268" t="s">
        <v>1460</v>
      </c>
      <c r="B269" s="56" t="s">
        <v>306</v>
      </c>
      <c r="C269" s="378" t="s">
        <v>513</v>
      </c>
      <c r="D269" s="270" t="s">
        <v>650</v>
      </c>
      <c r="E269" s="56" t="s">
        <v>10</v>
      </c>
      <c r="F269" s="376">
        <v>1</v>
      </c>
      <c r="G269" s="277">
        <f>'COMPOSIÇÕES DE CUSTO'!I247</f>
        <v>3153.23</v>
      </c>
      <c r="H269" s="58">
        <f>ROUND((1+K$5)*G269,2)</f>
        <v>3531.62</v>
      </c>
      <c r="I269" s="271">
        <f>ROUND(F269*H269,2)</f>
        <v>3531.62</v>
      </c>
      <c r="J269" s="42"/>
      <c r="K269" s="42"/>
      <c r="L269" s="42"/>
      <c r="M269" s="42"/>
      <c r="N269" s="42"/>
      <c r="O269" s="42"/>
      <c r="P269" s="42"/>
      <c r="Q269" s="42"/>
    </row>
    <row r="270" spans="1:17" s="43" customFormat="1" ht="14.25" customHeight="1" x14ac:dyDescent="0.2">
      <c r="A270" s="268" t="s">
        <v>1461</v>
      </c>
      <c r="B270" s="56" t="s">
        <v>306</v>
      </c>
      <c r="C270" s="378" t="s">
        <v>514</v>
      </c>
      <c r="D270" s="270" t="s">
        <v>651</v>
      </c>
      <c r="E270" s="56" t="s">
        <v>10</v>
      </c>
      <c r="F270" s="376">
        <v>1</v>
      </c>
      <c r="G270" s="277">
        <f>'COMPOSIÇÕES DE CUSTO'!I255</f>
        <v>2435.4</v>
      </c>
      <c r="H270" s="58">
        <f>ROUND((1+K$3)*G270,2)</f>
        <v>3044.25</v>
      </c>
      <c r="I270" s="271">
        <f>ROUND(F270*H270,2)</f>
        <v>3044.25</v>
      </c>
      <c r="J270" s="42"/>
      <c r="K270" s="42"/>
      <c r="L270" s="42"/>
      <c r="M270" s="42"/>
      <c r="N270" s="42"/>
      <c r="O270" s="42"/>
      <c r="P270" s="42"/>
      <c r="Q270" s="42"/>
    </row>
    <row r="271" spans="1:17" s="7" customFormat="1" x14ac:dyDescent="0.2">
      <c r="A271" s="265"/>
      <c r="B271" s="56"/>
      <c r="C271" s="275"/>
      <c r="D271" s="283"/>
      <c r="E271" s="286"/>
      <c r="F271" s="58"/>
      <c r="G271" s="288"/>
      <c r="H271" s="57"/>
      <c r="I271" s="267"/>
      <c r="J271" s="6"/>
      <c r="K271" s="6"/>
      <c r="L271" s="6"/>
      <c r="M271" s="6"/>
      <c r="N271" s="6"/>
      <c r="O271" s="6"/>
      <c r="P271" s="6"/>
      <c r="Q271" s="6"/>
    </row>
    <row r="272" spans="1:17" s="7" customFormat="1" ht="15" x14ac:dyDescent="0.2">
      <c r="A272" s="263" t="s">
        <v>329</v>
      </c>
      <c r="B272" s="205"/>
      <c r="C272" s="205"/>
      <c r="D272" s="273" t="s">
        <v>653</v>
      </c>
      <c r="E272" s="210"/>
      <c r="F272" s="211"/>
      <c r="G272" s="211"/>
      <c r="H272" s="211"/>
      <c r="I272" s="274">
        <f>SUM(I273:I296)</f>
        <v>94830.54</v>
      </c>
      <c r="J272" s="6"/>
      <c r="K272" s="6"/>
      <c r="L272" s="6"/>
      <c r="M272" s="6"/>
      <c r="N272" s="6"/>
      <c r="O272" s="6"/>
      <c r="P272" s="6"/>
      <c r="Q272" s="6"/>
    </row>
    <row r="273" spans="1:17" s="7" customFormat="1" ht="28.5" x14ac:dyDescent="0.2">
      <c r="A273" s="201" t="s">
        <v>1462</v>
      </c>
      <c r="B273" s="202" t="s">
        <v>98</v>
      </c>
      <c r="C273" s="202" t="s">
        <v>0</v>
      </c>
      <c r="D273" s="203" t="s">
        <v>1</v>
      </c>
      <c r="E273" s="202" t="s">
        <v>101</v>
      </c>
      <c r="F273" s="376">
        <v>195.84</v>
      </c>
      <c r="G273" s="376">
        <v>5.89</v>
      </c>
      <c r="H273" s="57">
        <f t="shared" ref="H273:H296" si="37">ROUND((1+K$3)*G273,2)</f>
        <v>7.36</v>
      </c>
      <c r="I273" s="267">
        <f t="shared" ref="I273:I296" si="38">ROUND(F273*H273,2)</f>
        <v>1441.38</v>
      </c>
      <c r="J273" s="6"/>
      <c r="K273" s="6"/>
      <c r="L273" s="6"/>
      <c r="M273" s="6"/>
      <c r="N273" s="6"/>
      <c r="O273" s="6"/>
      <c r="P273" s="6"/>
      <c r="Q273" s="6"/>
    </row>
    <row r="274" spans="1:17" s="7" customFormat="1" ht="27.75" customHeight="1" x14ac:dyDescent="0.2">
      <c r="A274" s="201" t="s">
        <v>1463</v>
      </c>
      <c r="B274" s="380" t="s">
        <v>98</v>
      </c>
      <c r="C274" s="380">
        <v>3070</v>
      </c>
      <c r="D274" s="377" t="s">
        <v>629</v>
      </c>
      <c r="E274" s="375" t="s">
        <v>113</v>
      </c>
      <c r="F274" s="376">
        <v>229.56</v>
      </c>
      <c r="G274" s="376">
        <v>5.86</v>
      </c>
      <c r="H274" s="57">
        <f t="shared" si="37"/>
        <v>7.33</v>
      </c>
      <c r="I274" s="267">
        <f t="shared" si="38"/>
        <v>1682.67</v>
      </c>
      <c r="J274" s="6"/>
      <c r="K274" s="6"/>
      <c r="L274" s="6"/>
      <c r="M274" s="6"/>
      <c r="N274" s="6"/>
      <c r="O274" s="6"/>
      <c r="P274" s="6"/>
      <c r="Q274" s="6"/>
    </row>
    <row r="275" spans="1:17" s="7" customFormat="1" ht="28.5" x14ac:dyDescent="0.2">
      <c r="A275" s="201" t="s">
        <v>1464</v>
      </c>
      <c r="B275" s="48" t="s">
        <v>98</v>
      </c>
      <c r="C275" s="48" t="s">
        <v>114</v>
      </c>
      <c r="D275" s="283" t="s">
        <v>115</v>
      </c>
      <c r="E275" s="48" t="s">
        <v>113</v>
      </c>
      <c r="F275" s="376">
        <v>25.51</v>
      </c>
      <c r="G275" s="376">
        <v>22.62</v>
      </c>
      <c r="H275" s="57">
        <f t="shared" si="37"/>
        <v>28.28</v>
      </c>
      <c r="I275" s="267">
        <f t="shared" si="38"/>
        <v>721.42</v>
      </c>
      <c r="J275" s="6"/>
      <c r="K275" s="6"/>
      <c r="L275" s="6"/>
      <c r="M275" s="6"/>
      <c r="N275" s="6"/>
      <c r="O275" s="6"/>
      <c r="P275" s="6"/>
      <c r="Q275" s="6"/>
    </row>
    <row r="276" spans="1:17" s="7" customFormat="1" x14ac:dyDescent="0.2">
      <c r="A276" s="201" t="s">
        <v>1465</v>
      </c>
      <c r="B276" s="380" t="s">
        <v>98</v>
      </c>
      <c r="C276" s="374">
        <v>5622</v>
      </c>
      <c r="D276" s="266" t="s">
        <v>660</v>
      </c>
      <c r="E276" s="375" t="s">
        <v>101</v>
      </c>
      <c r="F276" s="376">
        <v>192.98</v>
      </c>
      <c r="G276" s="376">
        <v>2.13</v>
      </c>
      <c r="H276" s="57">
        <f t="shared" si="37"/>
        <v>2.66</v>
      </c>
      <c r="I276" s="267">
        <f t="shared" si="38"/>
        <v>513.33000000000004</v>
      </c>
      <c r="J276" s="6"/>
      <c r="K276" s="6"/>
      <c r="L276" s="6"/>
      <c r="M276" s="6"/>
      <c r="N276" s="6"/>
      <c r="O276" s="6"/>
      <c r="P276" s="6"/>
      <c r="Q276" s="6"/>
    </row>
    <row r="277" spans="1:17" s="43" customFormat="1" ht="28.5" x14ac:dyDescent="0.2">
      <c r="A277" s="201" t="s">
        <v>1466</v>
      </c>
      <c r="B277" s="202" t="s">
        <v>98</v>
      </c>
      <c r="C277" s="202" t="s">
        <v>122</v>
      </c>
      <c r="D277" s="203" t="s">
        <v>123</v>
      </c>
      <c r="E277" s="202" t="s">
        <v>113</v>
      </c>
      <c r="F277" s="376">
        <v>35.78</v>
      </c>
      <c r="G277" s="376">
        <v>15.21</v>
      </c>
      <c r="H277" s="57">
        <f t="shared" si="37"/>
        <v>19.010000000000002</v>
      </c>
      <c r="I277" s="267">
        <f t="shared" si="38"/>
        <v>680.18</v>
      </c>
      <c r="J277" s="42"/>
      <c r="K277" s="42"/>
      <c r="L277" s="42"/>
      <c r="M277" s="42"/>
      <c r="N277" s="42"/>
      <c r="O277" s="42"/>
      <c r="P277" s="42"/>
      <c r="Q277" s="42"/>
    </row>
    <row r="278" spans="1:17" s="7" customFormat="1" ht="28.5" x14ac:dyDescent="0.2">
      <c r="A278" s="201" t="s">
        <v>1467</v>
      </c>
      <c r="B278" s="56" t="s">
        <v>98</v>
      </c>
      <c r="C278" s="56" t="s">
        <v>770</v>
      </c>
      <c r="D278" s="107" t="s">
        <v>769</v>
      </c>
      <c r="E278" s="56" t="s">
        <v>113</v>
      </c>
      <c r="F278" s="376">
        <v>2219.29</v>
      </c>
      <c r="G278" s="376">
        <v>3.88</v>
      </c>
      <c r="H278" s="58">
        <f t="shared" si="37"/>
        <v>4.8499999999999996</v>
      </c>
      <c r="I278" s="271">
        <f t="shared" si="38"/>
        <v>10763.56</v>
      </c>
      <c r="J278" s="6"/>
      <c r="K278" s="6"/>
      <c r="L278" s="6"/>
      <c r="M278" s="6"/>
      <c r="N278" s="6"/>
      <c r="O278" s="6"/>
      <c r="P278" s="6"/>
      <c r="Q278" s="6"/>
    </row>
    <row r="279" spans="1:17" s="7" customFormat="1" ht="28.5" x14ac:dyDescent="0.2">
      <c r="A279" s="201" t="s">
        <v>1468</v>
      </c>
      <c r="B279" s="202" t="s">
        <v>98</v>
      </c>
      <c r="C279" s="202">
        <v>72841</v>
      </c>
      <c r="D279" s="203" t="s">
        <v>403</v>
      </c>
      <c r="E279" s="202" t="s">
        <v>18</v>
      </c>
      <c r="F279" s="376">
        <f>F278</f>
        <v>2219.29</v>
      </c>
      <c r="G279" s="376">
        <v>0.7</v>
      </c>
      <c r="H279" s="57">
        <f t="shared" si="37"/>
        <v>0.88</v>
      </c>
      <c r="I279" s="267">
        <f t="shared" si="38"/>
        <v>1952.98</v>
      </c>
      <c r="J279" s="6"/>
      <c r="K279" s="6"/>
      <c r="L279" s="6"/>
      <c r="M279" s="6"/>
      <c r="N279" s="6"/>
      <c r="O279" s="6"/>
      <c r="P279" s="6"/>
      <c r="Q279" s="6"/>
    </row>
    <row r="280" spans="1:17" s="7" customFormat="1" ht="14.25" customHeight="1" x14ac:dyDescent="0.2">
      <c r="A280" s="201" t="s">
        <v>1469</v>
      </c>
      <c r="B280" s="202" t="s">
        <v>98</v>
      </c>
      <c r="C280" s="202" t="s">
        <v>124</v>
      </c>
      <c r="D280" s="203" t="s">
        <v>125</v>
      </c>
      <c r="E280" s="202" t="s">
        <v>113</v>
      </c>
      <c r="F280" s="376">
        <f>F278</f>
        <v>2219.29</v>
      </c>
      <c r="G280" s="376">
        <v>2.2999999999999998</v>
      </c>
      <c r="H280" s="57">
        <f t="shared" si="37"/>
        <v>2.88</v>
      </c>
      <c r="I280" s="267">
        <f t="shared" si="38"/>
        <v>6391.56</v>
      </c>
      <c r="J280" s="6"/>
      <c r="K280" s="6"/>
      <c r="L280" s="6"/>
      <c r="M280" s="6"/>
      <c r="N280" s="6"/>
      <c r="O280" s="6"/>
      <c r="P280" s="6"/>
      <c r="Q280" s="6"/>
    </row>
    <row r="281" spans="1:17" s="7" customFormat="1" ht="28.5" x14ac:dyDescent="0.2">
      <c r="A281" s="201" t="s">
        <v>1470</v>
      </c>
      <c r="B281" s="202" t="s">
        <v>98</v>
      </c>
      <c r="C281" s="202" t="s">
        <v>165</v>
      </c>
      <c r="D281" s="203" t="s">
        <v>572</v>
      </c>
      <c r="E281" s="202" t="s">
        <v>113</v>
      </c>
      <c r="F281" s="376">
        <v>31.03</v>
      </c>
      <c r="G281" s="376">
        <v>383.69</v>
      </c>
      <c r="H281" s="57">
        <f t="shared" si="37"/>
        <v>479.61</v>
      </c>
      <c r="I281" s="267">
        <f t="shared" si="38"/>
        <v>14882.3</v>
      </c>
      <c r="J281" s="6"/>
      <c r="K281" s="6"/>
      <c r="L281" s="6"/>
      <c r="M281" s="6"/>
      <c r="N281" s="6"/>
      <c r="O281" s="6"/>
      <c r="P281" s="6"/>
      <c r="Q281" s="6"/>
    </row>
    <row r="282" spans="1:17" s="7" customFormat="1" ht="28.5" x14ac:dyDescent="0.2">
      <c r="A282" s="201" t="s">
        <v>1471</v>
      </c>
      <c r="B282" s="202" t="s">
        <v>98</v>
      </c>
      <c r="C282" s="202" t="s">
        <v>78</v>
      </c>
      <c r="D282" s="203" t="s">
        <v>79</v>
      </c>
      <c r="E282" s="202" t="s">
        <v>101</v>
      </c>
      <c r="F282" s="376">
        <v>33.15</v>
      </c>
      <c r="G282" s="376">
        <v>79.58</v>
      </c>
      <c r="H282" s="57">
        <f t="shared" si="37"/>
        <v>99.48</v>
      </c>
      <c r="I282" s="267">
        <f t="shared" si="38"/>
        <v>3297.76</v>
      </c>
      <c r="J282" s="6"/>
      <c r="K282" s="6"/>
      <c r="L282" s="6"/>
      <c r="M282" s="6"/>
      <c r="N282" s="6"/>
      <c r="O282" s="6"/>
      <c r="P282" s="6"/>
      <c r="Q282" s="6"/>
    </row>
    <row r="283" spans="1:17" s="7" customFormat="1" ht="28.5" x14ac:dyDescent="0.2">
      <c r="A283" s="201" t="s">
        <v>1472</v>
      </c>
      <c r="B283" s="202" t="s">
        <v>98</v>
      </c>
      <c r="C283" s="202" t="s">
        <v>167</v>
      </c>
      <c r="D283" s="203" t="s">
        <v>573</v>
      </c>
      <c r="E283" s="202" t="s">
        <v>2</v>
      </c>
      <c r="F283" s="376">
        <v>1657.5</v>
      </c>
      <c r="G283" s="376">
        <v>6.37</v>
      </c>
      <c r="H283" s="57">
        <f t="shared" si="37"/>
        <v>7.96</v>
      </c>
      <c r="I283" s="267">
        <f t="shared" si="38"/>
        <v>13193.7</v>
      </c>
      <c r="J283" s="6"/>
      <c r="K283" s="6"/>
      <c r="L283" s="6"/>
      <c r="M283" s="6"/>
      <c r="N283" s="6"/>
      <c r="O283" s="6"/>
      <c r="P283" s="6"/>
      <c r="Q283" s="6"/>
    </row>
    <row r="284" spans="1:17" s="7" customFormat="1" ht="28.5" x14ac:dyDescent="0.2">
      <c r="A284" s="201" t="s">
        <v>1473</v>
      </c>
      <c r="B284" s="202" t="s">
        <v>98</v>
      </c>
      <c r="C284" s="202" t="s">
        <v>6</v>
      </c>
      <c r="D284" s="203" t="s">
        <v>574</v>
      </c>
      <c r="E284" s="202" t="s">
        <v>101</v>
      </c>
      <c r="F284" s="376">
        <v>82.89</v>
      </c>
      <c r="G284" s="376">
        <v>44.58</v>
      </c>
      <c r="H284" s="57">
        <f t="shared" si="37"/>
        <v>55.73</v>
      </c>
      <c r="I284" s="267">
        <f t="shared" si="38"/>
        <v>4619.46</v>
      </c>
      <c r="J284" s="6"/>
      <c r="K284" s="6"/>
      <c r="L284" s="6"/>
      <c r="M284" s="6"/>
      <c r="N284" s="6"/>
      <c r="O284" s="6"/>
      <c r="P284" s="6"/>
      <c r="Q284" s="6"/>
    </row>
    <row r="285" spans="1:17" s="7" customFormat="1" x14ac:dyDescent="0.2">
      <c r="A285" s="201" t="s">
        <v>1474</v>
      </c>
      <c r="B285" s="56" t="s">
        <v>98</v>
      </c>
      <c r="C285" s="56">
        <v>6045</v>
      </c>
      <c r="D285" s="107" t="s">
        <v>661</v>
      </c>
      <c r="E285" s="56" t="s">
        <v>113</v>
      </c>
      <c r="F285" s="376">
        <v>1.5</v>
      </c>
      <c r="G285" s="376">
        <v>277.52999999999997</v>
      </c>
      <c r="H285" s="57">
        <f t="shared" si="37"/>
        <v>346.91</v>
      </c>
      <c r="I285" s="267">
        <f t="shared" si="38"/>
        <v>520.37</v>
      </c>
      <c r="J285" s="6"/>
      <c r="K285" s="6"/>
      <c r="L285" s="6"/>
      <c r="M285" s="6"/>
      <c r="N285" s="6"/>
      <c r="O285" s="6"/>
      <c r="P285" s="6"/>
      <c r="Q285" s="6"/>
    </row>
    <row r="286" spans="1:17" s="7" customFormat="1" ht="14.25" customHeight="1" x14ac:dyDescent="0.2">
      <c r="A286" s="201" t="s">
        <v>1475</v>
      </c>
      <c r="B286" s="202" t="s">
        <v>98</v>
      </c>
      <c r="C286" s="202" t="s">
        <v>396</v>
      </c>
      <c r="D286" s="203" t="s">
        <v>397</v>
      </c>
      <c r="E286" s="202" t="s">
        <v>107</v>
      </c>
      <c r="F286" s="376">
        <v>114</v>
      </c>
      <c r="G286" s="376">
        <v>52.17</v>
      </c>
      <c r="H286" s="57">
        <f t="shared" si="37"/>
        <v>65.209999999999994</v>
      </c>
      <c r="I286" s="267">
        <f t="shared" si="38"/>
        <v>7433.94</v>
      </c>
      <c r="J286" s="6"/>
      <c r="K286" s="6"/>
      <c r="L286" s="6"/>
      <c r="M286" s="6"/>
      <c r="N286" s="6"/>
      <c r="O286" s="6"/>
      <c r="P286" s="6"/>
      <c r="Q286" s="6"/>
    </row>
    <row r="287" spans="1:17" s="7" customFormat="1" x14ac:dyDescent="0.2">
      <c r="A287" s="201" t="s">
        <v>1476</v>
      </c>
      <c r="B287" s="56" t="s">
        <v>98</v>
      </c>
      <c r="C287" s="56" t="s">
        <v>12</v>
      </c>
      <c r="D287" s="107" t="s">
        <v>13</v>
      </c>
      <c r="E287" s="56" t="s">
        <v>107</v>
      </c>
      <c r="F287" s="376">
        <v>15</v>
      </c>
      <c r="G287" s="376">
        <v>1.97</v>
      </c>
      <c r="H287" s="57">
        <f t="shared" si="37"/>
        <v>2.46</v>
      </c>
      <c r="I287" s="267">
        <f t="shared" si="38"/>
        <v>36.9</v>
      </c>
      <c r="J287" s="6"/>
      <c r="K287" s="6"/>
      <c r="L287" s="6"/>
      <c r="M287" s="6"/>
      <c r="N287" s="6"/>
      <c r="O287" s="6"/>
      <c r="P287" s="6"/>
      <c r="Q287" s="6"/>
    </row>
    <row r="288" spans="1:17" s="7" customFormat="1" x14ac:dyDescent="0.2">
      <c r="A288" s="201" t="s">
        <v>1477</v>
      </c>
      <c r="B288" s="375" t="s">
        <v>98</v>
      </c>
      <c r="C288" s="375" t="s">
        <v>973</v>
      </c>
      <c r="D288" s="107" t="s">
        <v>972</v>
      </c>
      <c r="E288" s="375" t="s">
        <v>107</v>
      </c>
      <c r="F288" s="376">
        <v>4</v>
      </c>
      <c r="G288" s="376">
        <v>12.67</v>
      </c>
      <c r="H288" s="57">
        <f t="shared" ref="H288" si="39">ROUND((1+K$3)*G288,2)</f>
        <v>15.84</v>
      </c>
      <c r="I288" s="267">
        <f t="shared" ref="I288" si="40">ROUND(F288*H288,2)</f>
        <v>63.36</v>
      </c>
      <c r="J288" s="6"/>
      <c r="K288" s="6"/>
      <c r="L288" s="6"/>
      <c r="M288" s="6"/>
      <c r="N288" s="6"/>
      <c r="O288" s="6"/>
      <c r="P288" s="6"/>
      <c r="Q288" s="6"/>
    </row>
    <row r="289" spans="1:17" s="7" customFormat="1" x14ac:dyDescent="0.2">
      <c r="A289" s="201" t="s">
        <v>1478</v>
      </c>
      <c r="B289" s="56" t="s">
        <v>98</v>
      </c>
      <c r="C289" s="56" t="s">
        <v>575</v>
      </c>
      <c r="D289" s="107" t="s">
        <v>576</v>
      </c>
      <c r="E289" s="56" t="s">
        <v>113</v>
      </c>
      <c r="F289" s="376">
        <v>92.25</v>
      </c>
      <c r="G289" s="376">
        <v>37.54</v>
      </c>
      <c r="H289" s="57">
        <f t="shared" si="37"/>
        <v>46.93</v>
      </c>
      <c r="I289" s="267">
        <f t="shared" si="38"/>
        <v>4329.29</v>
      </c>
      <c r="J289" s="6"/>
      <c r="K289" s="6"/>
      <c r="L289" s="6"/>
      <c r="M289" s="6"/>
      <c r="N289" s="6"/>
      <c r="O289" s="6"/>
      <c r="P289" s="6"/>
      <c r="Q289" s="6"/>
    </row>
    <row r="290" spans="1:17" s="7" customFormat="1" x14ac:dyDescent="0.2">
      <c r="A290" s="201" t="s">
        <v>1479</v>
      </c>
      <c r="B290" s="56" t="s">
        <v>98</v>
      </c>
      <c r="C290" s="56" t="s">
        <v>577</v>
      </c>
      <c r="D290" s="107" t="s">
        <v>578</v>
      </c>
      <c r="E290" s="56" t="s">
        <v>113</v>
      </c>
      <c r="F290" s="376">
        <v>46.13</v>
      </c>
      <c r="G290" s="376">
        <v>34.28</v>
      </c>
      <c r="H290" s="57">
        <f t="shared" si="37"/>
        <v>42.85</v>
      </c>
      <c r="I290" s="267">
        <f t="shared" si="38"/>
        <v>1976.67</v>
      </c>
      <c r="J290" s="6"/>
      <c r="K290" s="6"/>
      <c r="L290" s="6"/>
      <c r="M290" s="6"/>
      <c r="N290" s="6"/>
      <c r="O290" s="6"/>
      <c r="P290" s="6"/>
      <c r="Q290" s="6"/>
    </row>
    <row r="291" spans="1:17" s="7" customFormat="1" x14ac:dyDescent="0.2">
      <c r="A291" s="201" t="s">
        <v>1480</v>
      </c>
      <c r="B291" s="202" t="s">
        <v>98</v>
      </c>
      <c r="C291" s="202">
        <v>72132</v>
      </c>
      <c r="D291" s="203" t="s">
        <v>579</v>
      </c>
      <c r="E291" s="202" t="s">
        <v>101</v>
      </c>
      <c r="F291" s="376">
        <v>304.8</v>
      </c>
      <c r="G291" s="376">
        <v>26.79</v>
      </c>
      <c r="H291" s="57">
        <f t="shared" si="37"/>
        <v>33.49</v>
      </c>
      <c r="I291" s="267">
        <f t="shared" si="38"/>
        <v>10207.75</v>
      </c>
      <c r="J291" s="6"/>
      <c r="K291" s="6"/>
      <c r="L291" s="6"/>
      <c r="M291" s="6"/>
      <c r="N291" s="6"/>
      <c r="O291" s="6"/>
      <c r="P291" s="6"/>
      <c r="Q291" s="6"/>
    </row>
    <row r="292" spans="1:17" s="43" customFormat="1" ht="28.5" x14ac:dyDescent="0.2">
      <c r="A292" s="201" t="s">
        <v>1481</v>
      </c>
      <c r="B292" s="202" t="s">
        <v>98</v>
      </c>
      <c r="C292" s="202">
        <v>10698</v>
      </c>
      <c r="D292" s="203" t="s">
        <v>581</v>
      </c>
      <c r="E292" s="202" t="s">
        <v>101</v>
      </c>
      <c r="F292" s="376">
        <v>4.5999999999999996</v>
      </c>
      <c r="G292" s="376">
        <v>49.37</v>
      </c>
      <c r="H292" s="58">
        <f>ROUND((1+K$3)*G292,2)</f>
        <v>61.71</v>
      </c>
      <c r="I292" s="271">
        <f>ROUND(F292*H292,2)</f>
        <v>283.87</v>
      </c>
      <c r="J292" s="42"/>
      <c r="K292" s="42"/>
      <c r="L292" s="42"/>
      <c r="M292" s="42"/>
      <c r="N292" s="42"/>
      <c r="O292" s="42"/>
      <c r="P292" s="42"/>
      <c r="Q292" s="42"/>
    </row>
    <row r="293" spans="1:17" s="43" customFormat="1" ht="42.75" x14ac:dyDescent="0.2">
      <c r="A293" s="201" t="s">
        <v>1482</v>
      </c>
      <c r="B293" s="202" t="s">
        <v>306</v>
      </c>
      <c r="C293" s="202" t="s">
        <v>582</v>
      </c>
      <c r="D293" s="203" t="s">
        <v>580</v>
      </c>
      <c r="E293" s="202" t="s">
        <v>10</v>
      </c>
      <c r="F293" s="376">
        <v>4</v>
      </c>
      <c r="G293" s="376">
        <f>'COMPOSIÇÕES DE CUSTO'!I260</f>
        <v>358.90999999999997</v>
      </c>
      <c r="H293" s="58">
        <f t="shared" si="37"/>
        <v>448.64</v>
      </c>
      <c r="I293" s="271">
        <f t="shared" si="38"/>
        <v>1794.56</v>
      </c>
      <c r="J293" s="42"/>
      <c r="K293" s="42"/>
      <c r="L293" s="42"/>
      <c r="M293" s="42"/>
      <c r="N293" s="42"/>
      <c r="O293" s="42"/>
      <c r="P293" s="42"/>
      <c r="Q293" s="42"/>
    </row>
    <row r="294" spans="1:17" s="43" customFormat="1" ht="42.75" x14ac:dyDescent="0.2">
      <c r="A294" s="201" t="s">
        <v>1483</v>
      </c>
      <c r="B294" s="202" t="s">
        <v>306</v>
      </c>
      <c r="C294" s="202" t="s">
        <v>666</v>
      </c>
      <c r="D294" s="203" t="s">
        <v>665</v>
      </c>
      <c r="E294" s="202" t="s">
        <v>10</v>
      </c>
      <c r="F294" s="376">
        <v>1</v>
      </c>
      <c r="G294" s="376">
        <f>'COMPOSIÇÕES DE CUSTO'!I266</f>
        <v>574.33999999999992</v>
      </c>
      <c r="H294" s="58">
        <f t="shared" si="37"/>
        <v>717.93</v>
      </c>
      <c r="I294" s="271">
        <f t="shared" si="38"/>
        <v>717.93</v>
      </c>
      <c r="J294" s="42"/>
      <c r="K294" s="42"/>
      <c r="L294" s="42"/>
      <c r="M294" s="42"/>
      <c r="N294" s="42"/>
      <c r="O294" s="42"/>
      <c r="P294" s="42"/>
      <c r="Q294" s="42"/>
    </row>
    <row r="295" spans="1:17" s="43" customFormat="1" ht="14.25" customHeight="1" x14ac:dyDescent="0.2">
      <c r="A295" s="201" t="s">
        <v>1484</v>
      </c>
      <c r="B295" s="56" t="s">
        <v>306</v>
      </c>
      <c r="C295" s="202" t="s">
        <v>667</v>
      </c>
      <c r="D295" s="107" t="s">
        <v>583</v>
      </c>
      <c r="E295" s="56" t="s">
        <v>110</v>
      </c>
      <c r="F295" s="376">
        <v>1</v>
      </c>
      <c r="G295" s="376">
        <f>'COMPOSIÇÕES DE CUSTO'!I272</f>
        <v>5982.6799999999994</v>
      </c>
      <c r="H295" s="58">
        <f>ROUND((1+K$5)*G295,2)</f>
        <v>6700.6</v>
      </c>
      <c r="I295" s="271">
        <f t="shared" si="38"/>
        <v>6700.6</v>
      </c>
      <c r="J295" s="42"/>
      <c r="K295" s="42"/>
      <c r="L295" s="42"/>
      <c r="M295" s="42"/>
      <c r="N295" s="42"/>
      <c r="O295" s="42"/>
      <c r="P295" s="42"/>
      <c r="Q295" s="42"/>
    </row>
    <row r="296" spans="1:17" s="7" customFormat="1" ht="14.25" customHeight="1" x14ac:dyDescent="0.2">
      <c r="A296" s="201" t="s">
        <v>1485</v>
      </c>
      <c r="B296" s="56" t="s">
        <v>306</v>
      </c>
      <c r="C296" s="202" t="s">
        <v>668</v>
      </c>
      <c r="D296" s="107" t="s">
        <v>584</v>
      </c>
      <c r="E296" s="56" t="s">
        <v>10</v>
      </c>
      <c r="F296" s="376">
        <v>1</v>
      </c>
      <c r="G296" s="376">
        <f>'COMPOSIÇÕES DE CUSTO'!I280</f>
        <v>499.99999999999994</v>
      </c>
      <c r="H296" s="58">
        <f t="shared" si="37"/>
        <v>625</v>
      </c>
      <c r="I296" s="271">
        <f t="shared" si="38"/>
        <v>625</v>
      </c>
      <c r="J296" s="6"/>
      <c r="K296" s="6"/>
      <c r="L296" s="6"/>
      <c r="M296" s="6"/>
      <c r="N296" s="6"/>
      <c r="O296" s="6"/>
      <c r="P296" s="6"/>
      <c r="Q296" s="6"/>
    </row>
    <row r="297" spans="1:17" s="7" customFormat="1" ht="14.25" customHeight="1" x14ac:dyDescent="0.2">
      <c r="A297" s="553"/>
      <c r="B297" s="375"/>
      <c r="C297" s="202"/>
      <c r="D297" s="107"/>
      <c r="E297" s="375"/>
      <c r="F297" s="376"/>
      <c r="G297" s="376"/>
      <c r="H297" s="376"/>
      <c r="I297" s="271"/>
      <c r="J297" s="6"/>
      <c r="K297" s="6"/>
      <c r="L297" s="6"/>
      <c r="M297" s="6"/>
      <c r="N297" s="6"/>
      <c r="O297" s="6"/>
      <c r="P297" s="6"/>
      <c r="Q297" s="6"/>
    </row>
    <row r="298" spans="1:17" s="7" customFormat="1" ht="14.25" customHeight="1" x14ac:dyDescent="0.2">
      <c r="A298" s="553"/>
      <c r="B298" s="375"/>
      <c r="C298" s="202"/>
      <c r="D298" s="107"/>
      <c r="E298" s="375"/>
      <c r="F298" s="376"/>
      <c r="G298" s="376"/>
      <c r="H298" s="376"/>
      <c r="I298" s="271"/>
      <c r="J298" s="6"/>
      <c r="K298" s="6"/>
      <c r="L298" s="6"/>
      <c r="M298" s="6"/>
      <c r="N298" s="6"/>
      <c r="O298" s="6"/>
      <c r="P298" s="6"/>
      <c r="Q298" s="6"/>
    </row>
    <row r="299" spans="1:17" s="7" customFormat="1" x14ac:dyDescent="0.2">
      <c r="A299" s="265"/>
      <c r="B299" s="48"/>
      <c r="C299" s="48"/>
      <c r="D299" s="283"/>
      <c r="E299" s="48"/>
      <c r="F299" s="57"/>
      <c r="G299" s="58"/>
      <c r="H299" s="57"/>
      <c r="I299" s="267"/>
      <c r="J299" s="6"/>
      <c r="K299" s="6"/>
      <c r="L299" s="6"/>
      <c r="M299" s="6"/>
      <c r="N299" s="6"/>
      <c r="O299" s="6"/>
      <c r="P299" s="6"/>
      <c r="Q299" s="6"/>
    </row>
    <row r="300" spans="1:17" s="7" customFormat="1" ht="15" x14ac:dyDescent="0.2">
      <c r="A300" s="263" t="s">
        <v>330</v>
      </c>
      <c r="B300" s="205"/>
      <c r="C300" s="205"/>
      <c r="D300" s="273" t="s">
        <v>73</v>
      </c>
      <c r="E300" s="210"/>
      <c r="F300" s="211"/>
      <c r="G300" s="211"/>
      <c r="H300" s="211"/>
      <c r="I300" s="274">
        <f>SUM(I301:I315)</f>
        <v>13320.65</v>
      </c>
      <c r="J300" s="6"/>
      <c r="K300" s="6"/>
      <c r="L300" s="6"/>
      <c r="M300" s="6"/>
      <c r="N300" s="6"/>
      <c r="O300" s="6"/>
      <c r="P300" s="6"/>
      <c r="Q300" s="6"/>
    </row>
    <row r="301" spans="1:17" s="55" customFormat="1" ht="28.5" x14ac:dyDescent="0.2">
      <c r="A301" s="265" t="s">
        <v>1486</v>
      </c>
      <c r="B301" s="48" t="s">
        <v>98</v>
      </c>
      <c r="C301" s="48" t="s">
        <v>0</v>
      </c>
      <c r="D301" s="270" t="s">
        <v>1</v>
      </c>
      <c r="E301" s="48" t="s">
        <v>101</v>
      </c>
      <c r="F301" s="376">
        <v>29.1</v>
      </c>
      <c r="G301" s="376">
        <v>5.89</v>
      </c>
      <c r="H301" s="57">
        <f t="shared" ref="H301:H315" si="41">ROUND((1+K$3)*G301,2)</f>
        <v>7.36</v>
      </c>
      <c r="I301" s="267">
        <f t="shared" ref="I301:I315" si="42">ROUND(F301*H301,2)</f>
        <v>214.18</v>
      </c>
      <c r="J301" s="54"/>
      <c r="K301" s="54"/>
      <c r="L301" s="54"/>
      <c r="M301" s="54"/>
      <c r="N301" s="54"/>
      <c r="O301" s="54"/>
      <c r="P301" s="54"/>
      <c r="Q301" s="54"/>
    </row>
    <row r="302" spans="1:17" s="55" customFormat="1" ht="14.25" customHeight="1" x14ac:dyDescent="0.2">
      <c r="A302" s="265" t="s">
        <v>1487</v>
      </c>
      <c r="B302" s="286" t="s">
        <v>98</v>
      </c>
      <c r="C302" s="286" t="s">
        <v>114</v>
      </c>
      <c r="D302" s="283" t="s">
        <v>115</v>
      </c>
      <c r="E302" s="286" t="s">
        <v>113</v>
      </c>
      <c r="F302" s="376">
        <v>27.54</v>
      </c>
      <c r="G302" s="376">
        <v>22.62</v>
      </c>
      <c r="H302" s="57">
        <f t="shared" si="41"/>
        <v>28.28</v>
      </c>
      <c r="I302" s="267">
        <f t="shared" si="42"/>
        <v>778.83</v>
      </c>
      <c r="J302" s="54"/>
      <c r="K302" s="54"/>
      <c r="L302" s="54"/>
      <c r="M302" s="54"/>
      <c r="N302" s="54"/>
      <c r="O302" s="54"/>
      <c r="P302" s="54"/>
      <c r="Q302" s="54"/>
    </row>
    <row r="303" spans="1:17" s="55" customFormat="1" x14ac:dyDescent="0.2">
      <c r="A303" s="265" t="s">
        <v>1488</v>
      </c>
      <c r="B303" s="286" t="s">
        <v>98</v>
      </c>
      <c r="C303" s="48">
        <v>5622</v>
      </c>
      <c r="D303" s="266" t="s">
        <v>660</v>
      </c>
      <c r="E303" s="286" t="s">
        <v>101</v>
      </c>
      <c r="F303" s="376">
        <v>29.1</v>
      </c>
      <c r="G303" s="376">
        <v>2.13</v>
      </c>
      <c r="H303" s="57">
        <f t="shared" si="41"/>
        <v>2.66</v>
      </c>
      <c r="I303" s="267">
        <f t="shared" si="42"/>
        <v>77.41</v>
      </c>
      <c r="J303" s="54"/>
      <c r="K303" s="54"/>
      <c r="L303" s="54"/>
      <c r="M303" s="54"/>
      <c r="N303" s="54"/>
      <c r="O303" s="54"/>
      <c r="P303" s="54"/>
      <c r="Q303" s="54"/>
    </row>
    <row r="304" spans="1:17" s="373" customFormat="1" ht="28.5" x14ac:dyDescent="0.2">
      <c r="A304" s="265" t="s">
        <v>1489</v>
      </c>
      <c r="B304" s="202" t="s">
        <v>98</v>
      </c>
      <c r="C304" s="202" t="s">
        <v>122</v>
      </c>
      <c r="D304" s="383" t="s">
        <v>123</v>
      </c>
      <c r="E304" s="202" t="s">
        <v>113</v>
      </c>
      <c r="F304" s="376">
        <v>9.18</v>
      </c>
      <c r="G304" s="376">
        <v>15.21</v>
      </c>
      <c r="H304" s="57">
        <f t="shared" si="41"/>
        <v>19.010000000000002</v>
      </c>
      <c r="I304" s="267">
        <f t="shared" si="42"/>
        <v>174.51</v>
      </c>
      <c r="J304" s="372"/>
      <c r="K304" s="372"/>
      <c r="L304" s="372"/>
      <c r="M304" s="372"/>
      <c r="N304" s="372"/>
      <c r="O304" s="372"/>
      <c r="P304" s="372"/>
      <c r="Q304" s="372"/>
    </row>
    <row r="305" spans="1:17" s="7" customFormat="1" ht="28.5" x14ac:dyDescent="0.2">
      <c r="A305" s="265" t="s">
        <v>1490</v>
      </c>
      <c r="B305" s="375" t="s">
        <v>98</v>
      </c>
      <c r="C305" s="375" t="s">
        <v>770</v>
      </c>
      <c r="D305" s="107" t="s">
        <v>769</v>
      </c>
      <c r="E305" s="375" t="s">
        <v>113</v>
      </c>
      <c r="F305" s="376">
        <v>18.36</v>
      </c>
      <c r="G305" s="376">
        <v>3.88</v>
      </c>
      <c r="H305" s="376">
        <f t="shared" si="41"/>
        <v>4.8499999999999996</v>
      </c>
      <c r="I305" s="271">
        <f t="shared" si="42"/>
        <v>89.05</v>
      </c>
      <c r="J305" s="6"/>
      <c r="K305" s="6"/>
      <c r="L305" s="6"/>
      <c r="M305" s="6"/>
      <c r="N305" s="6"/>
      <c r="O305" s="6"/>
      <c r="P305" s="6"/>
      <c r="Q305" s="6"/>
    </row>
    <row r="306" spans="1:17" s="7" customFormat="1" ht="28.5" x14ac:dyDescent="0.2">
      <c r="A306" s="265" t="s">
        <v>1491</v>
      </c>
      <c r="B306" s="202" t="s">
        <v>98</v>
      </c>
      <c r="C306" s="202">
        <v>72841</v>
      </c>
      <c r="D306" s="383" t="s">
        <v>403</v>
      </c>
      <c r="E306" s="202" t="s">
        <v>18</v>
      </c>
      <c r="F306" s="376">
        <f>F305</f>
        <v>18.36</v>
      </c>
      <c r="G306" s="376">
        <v>0.7</v>
      </c>
      <c r="H306" s="57">
        <f t="shared" si="41"/>
        <v>0.88</v>
      </c>
      <c r="I306" s="267">
        <f t="shared" si="42"/>
        <v>16.16</v>
      </c>
      <c r="J306" s="6"/>
      <c r="K306" s="6"/>
      <c r="L306" s="6"/>
      <c r="M306" s="6"/>
      <c r="N306" s="6"/>
      <c r="O306" s="6"/>
      <c r="P306" s="6"/>
      <c r="Q306" s="6"/>
    </row>
    <row r="307" spans="1:17" s="7" customFormat="1" ht="14.25" customHeight="1" x14ac:dyDescent="0.2">
      <c r="A307" s="265" t="s">
        <v>1492</v>
      </c>
      <c r="B307" s="202" t="s">
        <v>98</v>
      </c>
      <c r="C307" s="202" t="s">
        <v>124</v>
      </c>
      <c r="D307" s="383" t="s">
        <v>125</v>
      </c>
      <c r="E307" s="202" t="s">
        <v>113</v>
      </c>
      <c r="F307" s="376">
        <f>F305</f>
        <v>18.36</v>
      </c>
      <c r="G307" s="376">
        <v>2.2999999999999998</v>
      </c>
      <c r="H307" s="57">
        <f t="shared" si="41"/>
        <v>2.88</v>
      </c>
      <c r="I307" s="267">
        <f t="shared" si="42"/>
        <v>52.88</v>
      </c>
      <c r="J307" s="6"/>
      <c r="K307" s="6"/>
      <c r="L307" s="6"/>
      <c r="M307" s="6"/>
      <c r="N307" s="6"/>
      <c r="O307" s="6"/>
      <c r="P307" s="6"/>
      <c r="Q307" s="6"/>
    </row>
    <row r="308" spans="1:17" s="55" customFormat="1" x14ac:dyDescent="0.2">
      <c r="A308" s="265" t="s">
        <v>1493</v>
      </c>
      <c r="B308" s="286" t="s">
        <v>98</v>
      </c>
      <c r="C308" s="286" t="s">
        <v>3</v>
      </c>
      <c r="D308" s="283" t="s">
        <v>4</v>
      </c>
      <c r="E308" s="286" t="s">
        <v>113</v>
      </c>
      <c r="F308" s="376">
        <v>1.4</v>
      </c>
      <c r="G308" s="376">
        <v>72.459999999999994</v>
      </c>
      <c r="H308" s="57">
        <f t="shared" si="41"/>
        <v>90.58</v>
      </c>
      <c r="I308" s="267">
        <f t="shared" si="42"/>
        <v>126.81</v>
      </c>
      <c r="J308" s="54"/>
      <c r="K308" s="54"/>
      <c r="L308" s="54"/>
      <c r="M308" s="54"/>
      <c r="N308" s="54"/>
      <c r="O308" s="54"/>
      <c r="P308" s="54"/>
      <c r="Q308" s="54"/>
    </row>
    <row r="309" spans="1:17" s="7" customFormat="1" x14ac:dyDescent="0.2">
      <c r="A309" s="265" t="s">
        <v>1494</v>
      </c>
      <c r="B309" s="286" t="s">
        <v>98</v>
      </c>
      <c r="C309" s="286" t="s">
        <v>72</v>
      </c>
      <c r="D309" s="283" t="s">
        <v>21</v>
      </c>
      <c r="E309" s="286" t="s">
        <v>113</v>
      </c>
      <c r="F309" s="376">
        <v>1.4</v>
      </c>
      <c r="G309" s="376">
        <v>254.4</v>
      </c>
      <c r="H309" s="57">
        <f t="shared" si="41"/>
        <v>318</v>
      </c>
      <c r="I309" s="267">
        <f t="shared" si="42"/>
        <v>445.2</v>
      </c>
      <c r="J309" s="6"/>
      <c r="K309" s="6"/>
      <c r="L309" s="6"/>
      <c r="M309" s="6"/>
      <c r="N309" s="6"/>
      <c r="O309" s="6"/>
      <c r="P309" s="6"/>
      <c r="Q309" s="6"/>
    </row>
    <row r="310" spans="1:17" s="7" customFormat="1" ht="28.5" x14ac:dyDescent="0.2">
      <c r="A310" s="265" t="s">
        <v>1495</v>
      </c>
      <c r="B310" s="48" t="s">
        <v>98</v>
      </c>
      <c r="C310" s="48" t="s">
        <v>78</v>
      </c>
      <c r="D310" s="270" t="s">
        <v>79</v>
      </c>
      <c r="E310" s="48" t="s">
        <v>101</v>
      </c>
      <c r="F310" s="376">
        <v>4.2</v>
      </c>
      <c r="G310" s="376">
        <v>79.58</v>
      </c>
      <c r="H310" s="57">
        <f t="shared" si="41"/>
        <v>99.48</v>
      </c>
      <c r="I310" s="267">
        <f t="shared" si="42"/>
        <v>417.82</v>
      </c>
      <c r="J310" s="6"/>
      <c r="K310" s="6"/>
      <c r="L310" s="6"/>
      <c r="M310" s="6"/>
      <c r="N310" s="6"/>
      <c r="O310" s="6"/>
      <c r="P310" s="6"/>
      <c r="Q310" s="6"/>
    </row>
    <row r="311" spans="1:17" s="7" customFormat="1" ht="28.5" x14ac:dyDescent="0.2">
      <c r="A311" s="265" t="s">
        <v>1496</v>
      </c>
      <c r="B311" s="48" t="s">
        <v>98</v>
      </c>
      <c r="C311" s="48" t="s">
        <v>167</v>
      </c>
      <c r="D311" s="270" t="s">
        <v>168</v>
      </c>
      <c r="E311" s="48" t="s">
        <v>2</v>
      </c>
      <c r="F311" s="376">
        <v>227.2</v>
      </c>
      <c r="G311" s="376">
        <v>6.37</v>
      </c>
      <c r="H311" s="57">
        <f t="shared" si="41"/>
        <v>7.96</v>
      </c>
      <c r="I311" s="267">
        <f t="shared" si="42"/>
        <v>1808.51</v>
      </c>
      <c r="J311" s="6"/>
      <c r="K311" s="6"/>
      <c r="L311" s="6"/>
      <c r="M311" s="6"/>
      <c r="N311" s="6"/>
      <c r="O311" s="6"/>
      <c r="P311" s="6"/>
      <c r="Q311" s="6"/>
    </row>
    <row r="312" spans="1:17" s="7" customFormat="1" ht="28.5" x14ac:dyDescent="0.2">
      <c r="A312" s="265" t="s">
        <v>1497</v>
      </c>
      <c r="B312" s="48" t="s">
        <v>98</v>
      </c>
      <c r="C312" s="48" t="s">
        <v>165</v>
      </c>
      <c r="D312" s="270" t="s">
        <v>166</v>
      </c>
      <c r="E312" s="48" t="s">
        <v>113</v>
      </c>
      <c r="F312" s="376">
        <v>2.84</v>
      </c>
      <c r="G312" s="376">
        <v>383.69</v>
      </c>
      <c r="H312" s="57">
        <f t="shared" si="41"/>
        <v>479.61</v>
      </c>
      <c r="I312" s="267">
        <f t="shared" si="42"/>
        <v>1362.09</v>
      </c>
      <c r="J312" s="6"/>
      <c r="K312" s="6"/>
      <c r="L312" s="6"/>
      <c r="M312" s="6"/>
      <c r="N312" s="6"/>
      <c r="O312" s="6"/>
      <c r="P312" s="6"/>
      <c r="Q312" s="6"/>
    </row>
    <row r="313" spans="1:17" s="43" customFormat="1" ht="28.5" x14ac:dyDescent="0.2">
      <c r="A313" s="265" t="s">
        <v>1498</v>
      </c>
      <c r="B313" s="48" t="s">
        <v>9</v>
      </c>
      <c r="C313" s="269"/>
      <c r="D313" s="270" t="s">
        <v>490</v>
      </c>
      <c r="E313" s="286" t="s">
        <v>110</v>
      </c>
      <c r="F313" s="376">
        <v>1</v>
      </c>
      <c r="G313" s="376">
        <v>4250</v>
      </c>
      <c r="H313" s="58">
        <f>ROUND((1+K$5)*G313,2)</f>
        <v>4760</v>
      </c>
      <c r="I313" s="271">
        <f t="shared" si="42"/>
        <v>4760</v>
      </c>
      <c r="J313" s="42"/>
      <c r="K313" s="42"/>
      <c r="L313" s="42"/>
      <c r="M313" s="42"/>
      <c r="N313" s="42"/>
      <c r="O313" s="42"/>
      <c r="P313" s="42"/>
      <c r="Q313" s="42"/>
    </row>
    <row r="314" spans="1:17" s="43" customFormat="1" ht="14.25" customHeight="1" x14ac:dyDescent="0.2">
      <c r="A314" s="265" t="s">
        <v>1499</v>
      </c>
      <c r="B314" s="56" t="s">
        <v>306</v>
      </c>
      <c r="C314" s="378" t="s">
        <v>670</v>
      </c>
      <c r="D314" s="270" t="str">
        <f>'COMPOSIÇÕES DE CUSTO'!D285</f>
        <v>FORNECIMENTO DO MATERIAL HIDRÁULICO DO QUEIMADOR DE GÁS</v>
      </c>
      <c r="E314" s="56" t="s">
        <v>10</v>
      </c>
      <c r="F314" s="376">
        <v>1</v>
      </c>
      <c r="G314" s="277">
        <f>'COMPOSIÇÕES DE CUSTO'!I285</f>
        <v>2414.5700000000002</v>
      </c>
      <c r="H314" s="58">
        <f>ROUND((1+K$5)*G314,2)</f>
        <v>2704.32</v>
      </c>
      <c r="I314" s="271">
        <f t="shared" si="42"/>
        <v>2704.32</v>
      </c>
      <c r="J314" s="42"/>
      <c r="K314" s="42"/>
      <c r="L314" s="42"/>
      <c r="M314" s="42"/>
      <c r="N314" s="42"/>
      <c r="O314" s="42"/>
      <c r="P314" s="42"/>
      <c r="Q314" s="42"/>
    </row>
    <row r="315" spans="1:17" s="43" customFormat="1" ht="14.25" customHeight="1" x14ac:dyDescent="0.2">
      <c r="A315" s="265" t="s">
        <v>1500</v>
      </c>
      <c r="B315" s="56" t="s">
        <v>306</v>
      </c>
      <c r="C315" s="378" t="s">
        <v>671</v>
      </c>
      <c r="D315" s="270" t="str">
        <f>'COMPOSIÇÕES DE CUSTO'!D300</f>
        <v>APLICAÇÃO DO MATERIAL HIDRÁULICO DO QUEIMADOR DE BIOGÁS</v>
      </c>
      <c r="E315" s="56" t="s">
        <v>10</v>
      </c>
      <c r="F315" s="376">
        <v>1</v>
      </c>
      <c r="G315" s="277">
        <f>'COMPOSIÇÕES DE CUSTO'!I300</f>
        <v>234.3</v>
      </c>
      <c r="H315" s="58">
        <f t="shared" si="41"/>
        <v>292.88</v>
      </c>
      <c r="I315" s="271">
        <f t="shared" si="42"/>
        <v>292.88</v>
      </c>
      <c r="J315" s="44"/>
      <c r="K315" s="45"/>
      <c r="L315" s="44"/>
      <c r="M315" s="44"/>
      <c r="N315" s="44"/>
      <c r="O315" s="44"/>
      <c r="P315" s="44"/>
      <c r="Q315" s="44"/>
    </row>
    <row r="316" spans="1:17" s="43" customFormat="1" ht="15" x14ac:dyDescent="0.2">
      <c r="A316" s="268"/>
      <c r="B316" s="52"/>
      <c r="C316" s="52"/>
      <c r="D316" s="270"/>
      <c r="E316" s="56"/>
      <c r="F316" s="58"/>
      <c r="G316" s="58"/>
      <c r="H316" s="57"/>
      <c r="I316" s="267"/>
      <c r="J316" s="44"/>
      <c r="K316" s="45"/>
      <c r="L316" s="44"/>
      <c r="M316" s="44"/>
      <c r="N316" s="44"/>
      <c r="O316" s="44"/>
      <c r="P316" s="44"/>
      <c r="Q316" s="44"/>
    </row>
    <row r="317" spans="1:17" s="43" customFormat="1" ht="15" x14ac:dyDescent="0.2">
      <c r="A317" s="263" t="s">
        <v>331</v>
      </c>
      <c r="B317" s="205"/>
      <c r="C317" s="210"/>
      <c r="D317" s="273" t="s">
        <v>25</v>
      </c>
      <c r="E317" s="210"/>
      <c r="F317" s="211"/>
      <c r="G317" s="211"/>
      <c r="H317" s="211"/>
      <c r="I317" s="274">
        <f>SUM(I318:I349)</f>
        <v>28684.840000000007</v>
      </c>
      <c r="J317" s="44"/>
      <c r="K317" s="45"/>
      <c r="L317" s="44"/>
      <c r="M317" s="44"/>
      <c r="N317" s="44"/>
      <c r="O317" s="44"/>
      <c r="P317" s="44"/>
      <c r="Q317" s="44"/>
    </row>
    <row r="318" spans="1:17" s="43" customFormat="1" ht="28.5" customHeight="1" x14ac:dyDescent="0.2">
      <c r="A318" s="265" t="s">
        <v>1501</v>
      </c>
      <c r="B318" s="48" t="s">
        <v>98</v>
      </c>
      <c r="C318" s="48" t="s">
        <v>0</v>
      </c>
      <c r="D318" s="283" t="s">
        <v>1</v>
      </c>
      <c r="E318" s="48" t="s">
        <v>101</v>
      </c>
      <c r="F318" s="376">
        <v>17</v>
      </c>
      <c r="G318" s="376">
        <v>5.89</v>
      </c>
      <c r="H318" s="57">
        <f t="shared" ref="H318:H345" si="43">ROUND((1+K$3)*G318,2)</f>
        <v>7.36</v>
      </c>
      <c r="I318" s="267">
        <f t="shared" ref="I318:I349" si="44">ROUND(F318*H318,2)</f>
        <v>125.12</v>
      </c>
      <c r="J318" s="44"/>
      <c r="K318" s="45"/>
      <c r="L318" s="44"/>
      <c r="M318" s="44"/>
      <c r="N318" s="44"/>
      <c r="O318" s="44"/>
      <c r="P318" s="44"/>
      <c r="Q318" s="44"/>
    </row>
    <row r="319" spans="1:17" s="43" customFormat="1" ht="14.25" customHeight="1" x14ac:dyDescent="0.2">
      <c r="A319" s="265" t="s">
        <v>1502</v>
      </c>
      <c r="B319" s="48" t="s">
        <v>98</v>
      </c>
      <c r="C319" s="48" t="s">
        <v>136</v>
      </c>
      <c r="D319" s="266" t="s">
        <v>137</v>
      </c>
      <c r="E319" s="48" t="s">
        <v>113</v>
      </c>
      <c r="F319" s="376">
        <v>6</v>
      </c>
      <c r="G319" s="376">
        <v>4.3899999999999997</v>
      </c>
      <c r="H319" s="57">
        <f t="shared" si="43"/>
        <v>5.49</v>
      </c>
      <c r="I319" s="267">
        <f t="shared" si="44"/>
        <v>32.94</v>
      </c>
      <c r="J319" s="44"/>
      <c r="K319" s="45"/>
      <c r="L319" s="44"/>
      <c r="M319" s="44"/>
      <c r="N319" s="44"/>
      <c r="O319" s="44"/>
      <c r="P319" s="44"/>
      <c r="Q319" s="44"/>
    </row>
    <row r="320" spans="1:17" s="43" customFormat="1" ht="14.25" customHeight="1" x14ac:dyDescent="0.2">
      <c r="A320" s="265" t="s">
        <v>1503</v>
      </c>
      <c r="B320" s="56" t="s">
        <v>98</v>
      </c>
      <c r="C320" s="56">
        <v>5622</v>
      </c>
      <c r="D320" s="270" t="s">
        <v>660</v>
      </c>
      <c r="E320" s="56" t="s">
        <v>101</v>
      </c>
      <c r="F320" s="376">
        <v>20.52</v>
      </c>
      <c r="G320" s="278">
        <v>2.13</v>
      </c>
      <c r="H320" s="58">
        <f t="shared" si="43"/>
        <v>2.66</v>
      </c>
      <c r="I320" s="271">
        <f t="shared" si="44"/>
        <v>54.58</v>
      </c>
      <c r="J320" s="44"/>
      <c r="K320" s="45"/>
      <c r="L320" s="44"/>
      <c r="M320" s="44"/>
      <c r="N320" s="44"/>
      <c r="O320" s="44"/>
      <c r="P320" s="44"/>
      <c r="Q320" s="44"/>
    </row>
    <row r="321" spans="1:17" s="43" customFormat="1" ht="14.25" customHeight="1" x14ac:dyDescent="0.2">
      <c r="A321" s="265" t="s">
        <v>1504</v>
      </c>
      <c r="B321" s="48" t="s">
        <v>98</v>
      </c>
      <c r="C321" s="48" t="s">
        <v>122</v>
      </c>
      <c r="D321" s="266" t="s">
        <v>52</v>
      </c>
      <c r="E321" s="48" t="s">
        <v>113</v>
      </c>
      <c r="F321" s="376">
        <v>26.3</v>
      </c>
      <c r="G321" s="376">
        <v>15.21</v>
      </c>
      <c r="H321" s="57">
        <f t="shared" si="43"/>
        <v>19.010000000000002</v>
      </c>
      <c r="I321" s="267">
        <f t="shared" si="44"/>
        <v>499.96</v>
      </c>
      <c r="J321" s="44"/>
      <c r="K321" s="45"/>
      <c r="L321" s="44"/>
      <c r="M321" s="44"/>
      <c r="N321" s="44"/>
      <c r="O321" s="44"/>
      <c r="P321" s="44"/>
      <c r="Q321" s="44"/>
    </row>
    <row r="322" spans="1:17" s="43" customFormat="1" ht="14.25" customHeight="1" x14ac:dyDescent="0.2">
      <c r="A322" s="265" t="s">
        <v>1505</v>
      </c>
      <c r="B322" s="48" t="s">
        <v>98</v>
      </c>
      <c r="C322" s="48" t="s">
        <v>439</v>
      </c>
      <c r="D322" s="266" t="s">
        <v>440</v>
      </c>
      <c r="E322" s="48" t="s">
        <v>113</v>
      </c>
      <c r="F322" s="376">
        <v>5.99</v>
      </c>
      <c r="G322" s="376">
        <v>25.85</v>
      </c>
      <c r="H322" s="57">
        <f t="shared" si="43"/>
        <v>32.31</v>
      </c>
      <c r="I322" s="267">
        <f t="shared" si="44"/>
        <v>193.54</v>
      </c>
      <c r="J322" s="44"/>
      <c r="K322" s="45"/>
      <c r="L322" s="44"/>
      <c r="M322" s="44"/>
      <c r="N322" s="44"/>
      <c r="O322" s="44"/>
      <c r="P322" s="44"/>
      <c r="Q322" s="44"/>
    </row>
    <row r="323" spans="1:17" s="43" customFormat="1" x14ac:dyDescent="0.2">
      <c r="A323" s="265" t="s">
        <v>1506</v>
      </c>
      <c r="B323" s="56" t="s">
        <v>98</v>
      </c>
      <c r="C323" s="56">
        <v>83532</v>
      </c>
      <c r="D323" s="270" t="s">
        <v>743</v>
      </c>
      <c r="E323" s="56" t="s">
        <v>113</v>
      </c>
      <c r="F323" s="376">
        <v>3.2</v>
      </c>
      <c r="G323" s="376">
        <v>384.07</v>
      </c>
      <c r="H323" s="58">
        <f t="shared" si="43"/>
        <v>480.09</v>
      </c>
      <c r="I323" s="271">
        <f t="shared" si="44"/>
        <v>1536.29</v>
      </c>
      <c r="J323" s="44"/>
      <c r="K323" s="45"/>
      <c r="L323" s="44"/>
      <c r="M323" s="44"/>
      <c r="N323" s="44"/>
      <c r="O323" s="44"/>
      <c r="P323" s="44"/>
      <c r="Q323" s="44"/>
    </row>
    <row r="324" spans="1:17" s="43" customFormat="1" ht="14.25" customHeight="1" x14ac:dyDescent="0.2">
      <c r="A324" s="265" t="s">
        <v>1507</v>
      </c>
      <c r="B324" s="48" t="s">
        <v>98</v>
      </c>
      <c r="C324" s="48" t="s">
        <v>3</v>
      </c>
      <c r="D324" s="266" t="s">
        <v>4</v>
      </c>
      <c r="E324" s="48" t="s">
        <v>113</v>
      </c>
      <c r="F324" s="376">
        <v>2.19</v>
      </c>
      <c r="G324" s="376">
        <v>72.459999999999994</v>
      </c>
      <c r="H324" s="57">
        <f t="shared" si="43"/>
        <v>90.58</v>
      </c>
      <c r="I324" s="267">
        <f t="shared" si="44"/>
        <v>198.37</v>
      </c>
      <c r="J324" s="44"/>
      <c r="K324" s="45"/>
      <c r="L324" s="44"/>
      <c r="M324" s="44"/>
      <c r="N324" s="44"/>
      <c r="O324" s="44"/>
      <c r="P324" s="44"/>
      <c r="Q324" s="44"/>
    </row>
    <row r="325" spans="1:17" s="43" customFormat="1" ht="14.25" customHeight="1" x14ac:dyDescent="0.2">
      <c r="A325" s="265" t="s">
        <v>1508</v>
      </c>
      <c r="B325" s="48" t="s">
        <v>98</v>
      </c>
      <c r="C325" s="48" t="s">
        <v>195</v>
      </c>
      <c r="D325" s="266" t="s">
        <v>196</v>
      </c>
      <c r="E325" s="48" t="s">
        <v>101</v>
      </c>
      <c r="F325" s="376">
        <v>28.52</v>
      </c>
      <c r="G325" s="376">
        <v>49.6</v>
      </c>
      <c r="H325" s="57">
        <f t="shared" si="43"/>
        <v>62</v>
      </c>
      <c r="I325" s="271">
        <f t="shared" si="44"/>
        <v>1768.24</v>
      </c>
      <c r="J325" s="44"/>
      <c r="K325" s="45"/>
      <c r="L325" s="44"/>
      <c r="M325" s="44"/>
      <c r="N325" s="44"/>
      <c r="O325" s="44"/>
      <c r="P325" s="44"/>
      <c r="Q325" s="44"/>
    </row>
    <row r="326" spans="1:17" s="43" customFormat="1" ht="14.25" customHeight="1" x14ac:dyDescent="0.2">
      <c r="A326" s="265" t="s">
        <v>1509</v>
      </c>
      <c r="B326" s="48" t="s">
        <v>98</v>
      </c>
      <c r="C326" s="56" t="s">
        <v>193</v>
      </c>
      <c r="D326" s="270" t="s">
        <v>194</v>
      </c>
      <c r="E326" s="56" t="s">
        <v>101</v>
      </c>
      <c r="F326" s="376">
        <v>28.52</v>
      </c>
      <c r="G326" s="376">
        <v>37.630000000000003</v>
      </c>
      <c r="H326" s="57">
        <f t="shared" si="43"/>
        <v>47.04</v>
      </c>
      <c r="I326" s="271">
        <f t="shared" si="44"/>
        <v>1341.58</v>
      </c>
      <c r="J326" s="44"/>
      <c r="K326" s="45"/>
      <c r="L326" s="44"/>
      <c r="M326" s="44"/>
      <c r="N326" s="44"/>
      <c r="O326" s="44"/>
      <c r="P326" s="44"/>
      <c r="Q326" s="44"/>
    </row>
    <row r="327" spans="1:17" s="43" customFormat="1" ht="14.25" customHeight="1" x14ac:dyDescent="0.2">
      <c r="A327" s="265" t="s">
        <v>1510</v>
      </c>
      <c r="B327" s="48" t="s">
        <v>98</v>
      </c>
      <c r="C327" s="56">
        <v>6045</v>
      </c>
      <c r="D327" s="107" t="s">
        <v>661</v>
      </c>
      <c r="E327" s="48" t="s">
        <v>113</v>
      </c>
      <c r="F327" s="376">
        <v>0.73</v>
      </c>
      <c r="G327" s="376">
        <v>277.52999999999997</v>
      </c>
      <c r="H327" s="57">
        <f t="shared" si="43"/>
        <v>346.91</v>
      </c>
      <c r="I327" s="267">
        <f t="shared" si="44"/>
        <v>253.24</v>
      </c>
      <c r="J327" s="44"/>
      <c r="K327" s="45"/>
      <c r="L327" s="44"/>
      <c r="M327" s="44"/>
      <c r="N327" s="44"/>
      <c r="O327" s="44"/>
      <c r="P327" s="44"/>
      <c r="Q327" s="44"/>
    </row>
    <row r="328" spans="1:17" s="180" customFormat="1" ht="14.25" customHeight="1" x14ac:dyDescent="0.2">
      <c r="A328" s="265" t="s">
        <v>1511</v>
      </c>
      <c r="B328" s="56" t="s">
        <v>98</v>
      </c>
      <c r="C328" s="56">
        <v>73346</v>
      </c>
      <c r="D328" s="270" t="s">
        <v>744</v>
      </c>
      <c r="E328" s="56" t="s">
        <v>113</v>
      </c>
      <c r="F328" s="376">
        <v>1.82</v>
      </c>
      <c r="G328" s="376">
        <v>1406.79</v>
      </c>
      <c r="H328" s="58">
        <f t="shared" si="43"/>
        <v>1758.49</v>
      </c>
      <c r="I328" s="271">
        <f t="shared" si="44"/>
        <v>3200.45</v>
      </c>
      <c r="J328" s="179"/>
      <c r="K328" s="179"/>
      <c r="L328" s="179"/>
      <c r="M328" s="179"/>
      <c r="N328" s="179"/>
      <c r="O328" s="179"/>
      <c r="P328" s="179"/>
      <c r="Q328" s="179"/>
    </row>
    <row r="329" spans="1:17" s="43" customFormat="1" ht="28.5" x14ac:dyDescent="0.2">
      <c r="A329" s="265" t="s">
        <v>1512</v>
      </c>
      <c r="B329" s="56" t="s">
        <v>98</v>
      </c>
      <c r="C329" s="56" t="s">
        <v>167</v>
      </c>
      <c r="D329" s="107" t="s">
        <v>168</v>
      </c>
      <c r="E329" s="56" t="s">
        <v>2</v>
      </c>
      <c r="F329" s="376">
        <v>22.5</v>
      </c>
      <c r="G329" s="376">
        <v>6.37</v>
      </c>
      <c r="H329" s="58">
        <f t="shared" si="43"/>
        <v>7.96</v>
      </c>
      <c r="I329" s="271">
        <f t="shared" si="44"/>
        <v>179.1</v>
      </c>
      <c r="J329" s="44"/>
      <c r="K329" s="45"/>
      <c r="L329" s="44"/>
      <c r="M329" s="44"/>
      <c r="N329" s="44"/>
      <c r="O329" s="44"/>
      <c r="P329" s="44"/>
      <c r="Q329" s="44"/>
    </row>
    <row r="330" spans="1:17" s="43" customFormat="1" ht="28.5" x14ac:dyDescent="0.2">
      <c r="A330" s="265" t="s">
        <v>1513</v>
      </c>
      <c r="B330" s="48" t="s">
        <v>98</v>
      </c>
      <c r="C330" s="48" t="s">
        <v>78</v>
      </c>
      <c r="D330" s="266" t="s">
        <v>79</v>
      </c>
      <c r="E330" s="48" t="s">
        <v>101</v>
      </c>
      <c r="F330" s="376">
        <v>13.32</v>
      </c>
      <c r="G330" s="376">
        <v>79.58</v>
      </c>
      <c r="H330" s="57">
        <f t="shared" si="43"/>
        <v>99.48</v>
      </c>
      <c r="I330" s="267">
        <f t="shared" si="44"/>
        <v>1325.07</v>
      </c>
      <c r="J330" s="44"/>
      <c r="K330" s="45"/>
      <c r="L330" s="44"/>
      <c r="M330" s="44"/>
      <c r="N330" s="44"/>
      <c r="O330" s="44"/>
      <c r="P330" s="44"/>
      <c r="Q330" s="44"/>
    </row>
    <row r="331" spans="1:17" s="43" customFormat="1" x14ac:dyDescent="0.2">
      <c r="A331" s="265" t="s">
        <v>1514</v>
      </c>
      <c r="B331" s="48" t="s">
        <v>98</v>
      </c>
      <c r="C331" s="286" t="s">
        <v>503</v>
      </c>
      <c r="D331" s="266" t="s">
        <v>504</v>
      </c>
      <c r="E331" s="48" t="s">
        <v>101</v>
      </c>
      <c r="F331" s="376">
        <v>1.68</v>
      </c>
      <c r="G331" s="376">
        <v>177.84</v>
      </c>
      <c r="H331" s="57">
        <f t="shared" si="43"/>
        <v>222.3</v>
      </c>
      <c r="I331" s="267">
        <f t="shared" si="44"/>
        <v>373.46</v>
      </c>
      <c r="J331" s="44"/>
      <c r="K331" s="45"/>
      <c r="L331" s="44"/>
      <c r="M331" s="44"/>
      <c r="N331" s="44"/>
      <c r="O331" s="44"/>
      <c r="P331" s="44"/>
      <c r="Q331" s="44"/>
    </row>
    <row r="332" spans="1:17" s="43" customFormat="1" x14ac:dyDescent="0.2">
      <c r="A332" s="265" t="s">
        <v>1515</v>
      </c>
      <c r="B332" s="48" t="s">
        <v>98</v>
      </c>
      <c r="C332" s="286" t="s">
        <v>746</v>
      </c>
      <c r="D332" s="266" t="s">
        <v>745</v>
      </c>
      <c r="E332" s="48" t="s">
        <v>110</v>
      </c>
      <c r="F332" s="376">
        <v>1.827</v>
      </c>
      <c r="G332" s="376">
        <v>198.73</v>
      </c>
      <c r="H332" s="57">
        <f t="shared" si="43"/>
        <v>248.41</v>
      </c>
      <c r="I332" s="267">
        <f t="shared" si="44"/>
        <v>453.85</v>
      </c>
      <c r="J332" s="44"/>
      <c r="K332" s="45"/>
      <c r="L332" s="44"/>
      <c r="M332" s="44"/>
      <c r="N332" s="44"/>
      <c r="O332" s="44"/>
      <c r="P332" s="44"/>
      <c r="Q332" s="44"/>
    </row>
    <row r="333" spans="1:17" s="43" customFormat="1" x14ac:dyDescent="0.2">
      <c r="A333" s="265" t="s">
        <v>1516</v>
      </c>
      <c r="B333" s="56" t="s">
        <v>98</v>
      </c>
      <c r="C333" s="56">
        <v>6103</v>
      </c>
      <c r="D333" s="270" t="s">
        <v>180</v>
      </c>
      <c r="E333" s="56" t="s">
        <v>101</v>
      </c>
      <c r="F333" s="376">
        <v>1</v>
      </c>
      <c r="G333" s="376">
        <v>224.6</v>
      </c>
      <c r="H333" s="57">
        <f t="shared" si="43"/>
        <v>280.75</v>
      </c>
      <c r="I333" s="271">
        <f t="shared" si="44"/>
        <v>280.75</v>
      </c>
      <c r="J333" s="44"/>
      <c r="K333" s="45">
        <v>1</v>
      </c>
      <c r="L333" s="44"/>
      <c r="M333" s="44"/>
      <c r="N333" s="44"/>
      <c r="O333" s="44"/>
      <c r="P333" s="44"/>
      <c r="Q333" s="44"/>
    </row>
    <row r="334" spans="1:17" s="43" customFormat="1" x14ac:dyDescent="0.2">
      <c r="A334" s="265" t="s">
        <v>1517</v>
      </c>
      <c r="B334" s="56" t="s">
        <v>98</v>
      </c>
      <c r="C334" s="56">
        <v>72117</v>
      </c>
      <c r="D334" s="270" t="s">
        <v>452</v>
      </c>
      <c r="E334" s="56" t="s">
        <v>101</v>
      </c>
      <c r="F334" s="376">
        <v>1</v>
      </c>
      <c r="G334" s="277">
        <v>56.88</v>
      </c>
      <c r="H334" s="57">
        <f t="shared" si="43"/>
        <v>71.099999999999994</v>
      </c>
      <c r="I334" s="271">
        <f t="shared" si="44"/>
        <v>71.099999999999994</v>
      </c>
      <c r="J334" s="44"/>
      <c r="K334" s="45"/>
      <c r="L334" s="44"/>
      <c r="M334" s="44"/>
      <c r="N334" s="44"/>
      <c r="O334" s="44"/>
      <c r="P334" s="44"/>
      <c r="Q334" s="44"/>
    </row>
    <row r="335" spans="1:17" s="43" customFormat="1" x14ac:dyDescent="0.2">
      <c r="A335" s="265" t="s">
        <v>1518</v>
      </c>
      <c r="B335" s="48" t="s">
        <v>98</v>
      </c>
      <c r="C335" s="48">
        <v>73685</v>
      </c>
      <c r="D335" s="266" t="s">
        <v>8</v>
      </c>
      <c r="E335" s="48" t="s">
        <v>113</v>
      </c>
      <c r="F335" s="376">
        <v>1.18</v>
      </c>
      <c r="G335" s="376">
        <v>20.29</v>
      </c>
      <c r="H335" s="57">
        <f t="shared" si="43"/>
        <v>25.36</v>
      </c>
      <c r="I335" s="267">
        <f t="shared" si="44"/>
        <v>29.92</v>
      </c>
      <c r="J335" s="44"/>
      <c r="K335" s="45"/>
      <c r="L335" s="44"/>
      <c r="M335" s="44"/>
      <c r="N335" s="44"/>
      <c r="O335" s="44"/>
      <c r="P335" s="44"/>
      <c r="Q335" s="44"/>
    </row>
    <row r="336" spans="1:17" s="43" customFormat="1" x14ac:dyDescent="0.2">
      <c r="A336" s="265" t="s">
        <v>1519</v>
      </c>
      <c r="B336" s="48" t="s">
        <v>98</v>
      </c>
      <c r="C336" s="48" t="s">
        <v>14</v>
      </c>
      <c r="D336" s="266" t="s">
        <v>363</v>
      </c>
      <c r="E336" s="48" t="s">
        <v>101</v>
      </c>
      <c r="F336" s="376">
        <v>52.06</v>
      </c>
      <c r="G336" s="376">
        <v>55.6</v>
      </c>
      <c r="H336" s="57">
        <f t="shared" si="43"/>
        <v>69.5</v>
      </c>
      <c r="I336" s="267">
        <f t="shared" si="44"/>
        <v>3618.17</v>
      </c>
      <c r="J336" s="44"/>
      <c r="K336" s="45"/>
      <c r="L336" s="44"/>
      <c r="M336" s="44"/>
      <c r="N336" s="44"/>
      <c r="O336" s="44"/>
      <c r="P336" s="44"/>
      <c r="Q336" s="44"/>
    </row>
    <row r="337" spans="1:17" s="7" customFormat="1" ht="14.25" customHeight="1" x14ac:dyDescent="0.2">
      <c r="A337" s="265" t="s">
        <v>1520</v>
      </c>
      <c r="B337" s="48" t="s">
        <v>98</v>
      </c>
      <c r="C337" s="48" t="s">
        <v>50</v>
      </c>
      <c r="D337" s="266" t="s">
        <v>53</v>
      </c>
      <c r="E337" s="48" t="s">
        <v>101</v>
      </c>
      <c r="F337" s="376">
        <v>104.12</v>
      </c>
      <c r="G337" s="376">
        <v>3.16</v>
      </c>
      <c r="H337" s="57">
        <f t="shared" si="43"/>
        <v>3.95</v>
      </c>
      <c r="I337" s="267">
        <f t="shared" si="44"/>
        <v>411.27</v>
      </c>
      <c r="J337" s="6"/>
      <c r="K337" s="6"/>
      <c r="L337" s="6"/>
      <c r="M337" s="6"/>
      <c r="N337" s="6"/>
      <c r="O337" s="6"/>
      <c r="P337" s="6"/>
      <c r="Q337" s="6"/>
    </row>
    <row r="338" spans="1:17" s="43" customFormat="1" ht="14.25" customHeight="1" x14ac:dyDescent="0.2">
      <c r="A338" s="265" t="s">
        <v>1521</v>
      </c>
      <c r="B338" s="48" t="s">
        <v>98</v>
      </c>
      <c r="C338" s="48" t="s">
        <v>15</v>
      </c>
      <c r="D338" s="283" t="s">
        <v>16</v>
      </c>
      <c r="E338" s="48" t="s">
        <v>101</v>
      </c>
      <c r="F338" s="376">
        <v>96.18</v>
      </c>
      <c r="G338" s="376">
        <v>10.96</v>
      </c>
      <c r="H338" s="57">
        <f t="shared" si="43"/>
        <v>13.7</v>
      </c>
      <c r="I338" s="267">
        <f t="shared" si="44"/>
        <v>1317.67</v>
      </c>
      <c r="J338" s="44"/>
      <c r="K338" s="45"/>
      <c r="L338" s="44"/>
      <c r="M338" s="44"/>
      <c r="N338" s="44"/>
      <c r="O338" s="44"/>
      <c r="P338" s="44"/>
      <c r="Q338" s="44"/>
    </row>
    <row r="339" spans="1:17" s="7" customFormat="1" x14ac:dyDescent="0.2">
      <c r="A339" s="265" t="s">
        <v>1522</v>
      </c>
      <c r="B339" s="48" t="s">
        <v>98</v>
      </c>
      <c r="C339" s="48" t="s">
        <v>51</v>
      </c>
      <c r="D339" s="283" t="s">
        <v>54</v>
      </c>
      <c r="E339" s="48" t="s">
        <v>101</v>
      </c>
      <c r="F339" s="376">
        <v>96.18</v>
      </c>
      <c r="G339" s="376">
        <v>6.53</v>
      </c>
      <c r="H339" s="57">
        <f t="shared" si="43"/>
        <v>8.16</v>
      </c>
      <c r="I339" s="267">
        <f t="shared" si="44"/>
        <v>784.83</v>
      </c>
      <c r="J339" s="6"/>
      <c r="K339" s="6"/>
      <c r="L339" s="6"/>
      <c r="M339" s="6"/>
      <c r="N339" s="6"/>
      <c r="O339" s="6"/>
      <c r="P339" s="6"/>
      <c r="Q339" s="6"/>
    </row>
    <row r="340" spans="1:17" s="43" customFormat="1" x14ac:dyDescent="0.2">
      <c r="A340" s="265" t="s">
        <v>1523</v>
      </c>
      <c r="B340" s="48" t="s">
        <v>98</v>
      </c>
      <c r="C340" s="48">
        <v>5999</v>
      </c>
      <c r="D340" s="283" t="s">
        <v>55</v>
      </c>
      <c r="E340" s="48" t="s">
        <v>101</v>
      </c>
      <c r="F340" s="376">
        <v>7.94</v>
      </c>
      <c r="G340" s="376">
        <v>27.89</v>
      </c>
      <c r="H340" s="57">
        <f t="shared" si="43"/>
        <v>34.86</v>
      </c>
      <c r="I340" s="267">
        <f t="shared" si="44"/>
        <v>276.79000000000002</v>
      </c>
      <c r="J340" s="44"/>
      <c r="K340" s="45"/>
      <c r="L340" s="44"/>
      <c r="M340" s="44"/>
      <c r="N340" s="44"/>
      <c r="O340" s="44"/>
      <c r="P340" s="44"/>
      <c r="Q340" s="44"/>
    </row>
    <row r="341" spans="1:17" s="43" customFormat="1" ht="28.5" x14ac:dyDescent="0.2">
      <c r="A341" s="265" t="s">
        <v>1524</v>
      </c>
      <c r="B341" s="48" t="s">
        <v>98</v>
      </c>
      <c r="C341" s="48" t="s">
        <v>59</v>
      </c>
      <c r="D341" s="266" t="s">
        <v>57</v>
      </c>
      <c r="E341" s="48" t="s">
        <v>101</v>
      </c>
      <c r="F341" s="376">
        <v>1</v>
      </c>
      <c r="G341" s="376">
        <v>22.66</v>
      </c>
      <c r="H341" s="57">
        <f t="shared" si="43"/>
        <v>28.33</v>
      </c>
      <c r="I341" s="267">
        <f t="shared" si="44"/>
        <v>28.33</v>
      </c>
      <c r="J341" s="44"/>
      <c r="K341" s="45"/>
      <c r="L341" s="44"/>
      <c r="M341" s="44"/>
      <c r="N341" s="44"/>
      <c r="O341" s="44"/>
      <c r="P341" s="44"/>
      <c r="Q341" s="44"/>
    </row>
    <row r="342" spans="1:17" s="43" customFormat="1" ht="42.75" x14ac:dyDescent="0.2">
      <c r="A342" s="265" t="s">
        <v>1525</v>
      </c>
      <c r="B342" s="48" t="s">
        <v>98</v>
      </c>
      <c r="C342" s="286">
        <v>6021</v>
      </c>
      <c r="D342" s="266" t="s">
        <v>747</v>
      </c>
      <c r="E342" s="48" t="s">
        <v>110</v>
      </c>
      <c r="F342" s="376">
        <v>1</v>
      </c>
      <c r="G342" s="376">
        <v>136.69</v>
      </c>
      <c r="H342" s="57">
        <f t="shared" si="43"/>
        <v>170.86</v>
      </c>
      <c r="I342" s="267">
        <f t="shared" si="44"/>
        <v>170.86</v>
      </c>
      <c r="J342" s="44"/>
      <c r="K342" s="45"/>
      <c r="L342" s="44"/>
      <c r="M342" s="44"/>
      <c r="N342" s="44"/>
      <c r="O342" s="44"/>
      <c r="P342" s="44"/>
      <c r="Q342" s="44"/>
    </row>
    <row r="343" spans="1:17" s="43" customFormat="1" ht="28.5" x14ac:dyDescent="0.2">
      <c r="A343" s="265" t="s">
        <v>1526</v>
      </c>
      <c r="B343" s="48" t="s">
        <v>98</v>
      </c>
      <c r="C343" s="286">
        <v>6009</v>
      </c>
      <c r="D343" s="266" t="s">
        <v>748</v>
      </c>
      <c r="E343" s="48" t="s">
        <v>110</v>
      </c>
      <c r="F343" s="376">
        <v>1</v>
      </c>
      <c r="G343" s="376">
        <v>125.39</v>
      </c>
      <c r="H343" s="57">
        <f t="shared" si="43"/>
        <v>156.74</v>
      </c>
      <c r="I343" s="267">
        <f t="shared" si="44"/>
        <v>156.74</v>
      </c>
      <c r="J343" s="44"/>
      <c r="K343" s="45"/>
      <c r="L343" s="44"/>
      <c r="M343" s="44"/>
      <c r="N343" s="44"/>
      <c r="O343" s="44"/>
      <c r="P343" s="44"/>
      <c r="Q343" s="44"/>
    </row>
    <row r="344" spans="1:17" s="43" customFormat="1" ht="28.5" x14ac:dyDescent="0.2">
      <c r="A344" s="265" t="s">
        <v>1527</v>
      </c>
      <c r="B344" s="48" t="s">
        <v>98</v>
      </c>
      <c r="C344" s="286">
        <v>11955</v>
      </c>
      <c r="D344" s="266" t="s">
        <v>197</v>
      </c>
      <c r="E344" s="48" t="s">
        <v>110</v>
      </c>
      <c r="F344" s="376">
        <v>4</v>
      </c>
      <c r="G344" s="376">
        <v>1.1299999999999999</v>
      </c>
      <c r="H344" s="57">
        <f t="shared" si="43"/>
        <v>1.41</v>
      </c>
      <c r="I344" s="267">
        <f t="shared" si="44"/>
        <v>5.64</v>
      </c>
      <c r="J344" s="44"/>
      <c r="K344" s="45"/>
      <c r="L344" s="44"/>
      <c r="M344" s="44"/>
      <c r="N344" s="44"/>
      <c r="O344" s="44"/>
      <c r="P344" s="44"/>
      <c r="Q344" s="44"/>
    </row>
    <row r="345" spans="1:17" s="43" customFormat="1" x14ac:dyDescent="0.2">
      <c r="A345" s="265" t="s">
        <v>1528</v>
      </c>
      <c r="B345" s="48" t="s">
        <v>98</v>
      </c>
      <c r="C345" s="286">
        <v>20271</v>
      </c>
      <c r="D345" s="266" t="s">
        <v>198</v>
      </c>
      <c r="E345" s="48" t="s">
        <v>110</v>
      </c>
      <c r="F345" s="376">
        <v>1</v>
      </c>
      <c r="G345" s="376">
        <v>160.38</v>
      </c>
      <c r="H345" s="57">
        <f t="shared" si="43"/>
        <v>200.48</v>
      </c>
      <c r="I345" s="267">
        <f t="shared" si="44"/>
        <v>200.48</v>
      </c>
      <c r="J345" s="42"/>
      <c r="K345" s="42"/>
      <c r="L345" s="42"/>
      <c r="M345" s="42"/>
      <c r="N345" s="42"/>
      <c r="O345" s="42"/>
      <c r="P345" s="42"/>
      <c r="Q345" s="42"/>
    </row>
    <row r="346" spans="1:17" s="373" customFormat="1" ht="14.25" customHeight="1" x14ac:dyDescent="0.2">
      <c r="A346" s="265" t="s">
        <v>1529</v>
      </c>
      <c r="B346" s="375" t="s">
        <v>306</v>
      </c>
      <c r="C346" s="375" t="s">
        <v>1174</v>
      </c>
      <c r="D346" s="377" t="s">
        <v>1567</v>
      </c>
      <c r="E346" s="375" t="s">
        <v>110</v>
      </c>
      <c r="F346" s="376">
        <v>1</v>
      </c>
      <c r="G346" s="376">
        <f>'INSTALAÇÕES ELÉTRICAS ELT-003'!I16</f>
        <v>3110.0600000000004</v>
      </c>
      <c r="H346" s="57">
        <f t="shared" ref="H346:H347" si="45">ROUND((1+K$3)*G346,2)</f>
        <v>3887.58</v>
      </c>
      <c r="I346" s="267">
        <f t="shared" ref="I346:I347" si="46">ROUND(F346*H346,2)</f>
        <v>3887.58</v>
      </c>
      <c r="J346" s="372"/>
      <c r="K346" s="372"/>
      <c r="L346" s="372"/>
      <c r="M346" s="372"/>
      <c r="N346" s="372"/>
      <c r="O346" s="372"/>
      <c r="P346" s="372"/>
      <c r="Q346" s="372"/>
    </row>
    <row r="347" spans="1:17" s="373" customFormat="1" ht="14.25" customHeight="1" x14ac:dyDescent="0.2">
      <c r="A347" s="265" t="s">
        <v>1530</v>
      </c>
      <c r="B347" s="375" t="s">
        <v>306</v>
      </c>
      <c r="C347" s="375" t="s">
        <v>1174</v>
      </c>
      <c r="D347" s="377" t="s">
        <v>1568</v>
      </c>
      <c r="E347" s="375" t="s">
        <v>110</v>
      </c>
      <c r="F347" s="376">
        <v>1</v>
      </c>
      <c r="G347" s="376">
        <f>'INSTALAÇÕES ELÉTRICAS ELT-003'!I18</f>
        <v>2320.3000000000002</v>
      </c>
      <c r="H347" s="57">
        <f t="shared" si="45"/>
        <v>2900.38</v>
      </c>
      <c r="I347" s="267">
        <f t="shared" si="46"/>
        <v>2900.38</v>
      </c>
      <c r="J347" s="372"/>
      <c r="K347" s="372"/>
      <c r="L347" s="372"/>
      <c r="M347" s="372"/>
      <c r="N347" s="372"/>
      <c r="O347" s="372"/>
      <c r="P347" s="372"/>
      <c r="Q347" s="372"/>
    </row>
    <row r="348" spans="1:17" s="43" customFormat="1" ht="14.25" customHeight="1" x14ac:dyDescent="0.2">
      <c r="A348" s="265" t="s">
        <v>1571</v>
      </c>
      <c r="B348" s="56" t="s">
        <v>306</v>
      </c>
      <c r="C348" s="378" t="s">
        <v>672</v>
      </c>
      <c r="D348" s="270" t="s">
        <v>699</v>
      </c>
      <c r="E348" s="56" t="s">
        <v>110</v>
      </c>
      <c r="F348" s="376">
        <v>1</v>
      </c>
      <c r="G348" s="277">
        <f>'COMPOSIÇÕES DE CUSTO'!I304</f>
        <v>1123.7</v>
      </c>
      <c r="H348" s="58">
        <f>ROUND((1+K$5)*G348,2)</f>
        <v>1258.54</v>
      </c>
      <c r="I348" s="271">
        <f t="shared" si="44"/>
        <v>1258.54</v>
      </c>
      <c r="J348" s="42"/>
      <c r="K348" s="42"/>
      <c r="L348" s="42"/>
      <c r="M348" s="42"/>
      <c r="N348" s="42"/>
      <c r="O348" s="42"/>
      <c r="P348" s="42"/>
      <c r="Q348" s="42"/>
    </row>
    <row r="349" spans="1:17" s="43" customFormat="1" ht="14.25" customHeight="1" x14ac:dyDescent="0.2">
      <c r="A349" s="265" t="s">
        <v>1572</v>
      </c>
      <c r="B349" s="56" t="s">
        <v>306</v>
      </c>
      <c r="C349" s="378" t="s">
        <v>674</v>
      </c>
      <c r="D349" s="270" t="s">
        <v>673</v>
      </c>
      <c r="E349" s="56" t="s">
        <v>110</v>
      </c>
      <c r="F349" s="376">
        <v>1</v>
      </c>
      <c r="G349" s="277">
        <f>'COMPOSIÇÕES DE CUSTO'!I348</f>
        <v>1400</v>
      </c>
      <c r="H349" s="58">
        <f>ROUND((1+K$3)*G349,2)</f>
        <v>1750</v>
      </c>
      <c r="I349" s="271">
        <f t="shared" si="44"/>
        <v>1750</v>
      </c>
      <c r="J349" s="44"/>
      <c r="K349" s="45"/>
      <c r="L349" s="44"/>
      <c r="M349" s="44"/>
      <c r="N349" s="44"/>
      <c r="O349" s="44"/>
      <c r="P349" s="44"/>
      <c r="Q349" s="44"/>
    </row>
    <row r="350" spans="1:17" s="7" customFormat="1" x14ac:dyDescent="0.2">
      <c r="A350" s="265"/>
      <c r="B350" s="48"/>
      <c r="C350" s="48"/>
      <c r="D350" s="266"/>
      <c r="E350" s="48"/>
      <c r="F350" s="57"/>
      <c r="G350" s="285"/>
      <c r="H350" s="57"/>
      <c r="I350" s="267"/>
      <c r="J350" s="8"/>
      <c r="K350" s="8"/>
      <c r="L350" s="8"/>
      <c r="M350" s="8"/>
      <c r="N350" s="8"/>
      <c r="O350" s="8"/>
      <c r="P350" s="8"/>
      <c r="Q350" s="8"/>
    </row>
    <row r="351" spans="1:17" s="7" customFormat="1" ht="15" x14ac:dyDescent="0.2">
      <c r="A351" s="263" t="s">
        <v>332</v>
      </c>
      <c r="B351" s="205"/>
      <c r="C351" s="205"/>
      <c r="D351" s="273" t="s">
        <v>319</v>
      </c>
      <c r="E351" s="210"/>
      <c r="F351" s="211"/>
      <c r="G351" s="211"/>
      <c r="H351" s="211"/>
      <c r="I351" s="274">
        <f>SUM(I352:I375)</f>
        <v>63197.440000000002</v>
      </c>
      <c r="J351" s="8"/>
      <c r="K351" s="9"/>
      <c r="L351" s="8"/>
      <c r="M351" s="8"/>
      <c r="N351" s="8"/>
      <c r="O351" s="8"/>
      <c r="P351" s="8"/>
      <c r="Q351" s="8"/>
    </row>
    <row r="352" spans="1:17" s="7" customFormat="1" ht="28.5" x14ac:dyDescent="0.2">
      <c r="A352" s="265" t="s">
        <v>1531</v>
      </c>
      <c r="B352" s="48" t="s">
        <v>98</v>
      </c>
      <c r="C352" s="48">
        <v>73679</v>
      </c>
      <c r="D352" s="266" t="s">
        <v>134</v>
      </c>
      <c r="E352" s="48" t="s">
        <v>107</v>
      </c>
      <c r="F352" s="376">
        <f>15+11+25+35+365+1</f>
        <v>452</v>
      </c>
      <c r="G352" s="376">
        <v>0.56000000000000005</v>
      </c>
      <c r="H352" s="57">
        <f t="shared" ref="H352:H375" si="47">ROUND((1+K$3)*G352,2)</f>
        <v>0.7</v>
      </c>
      <c r="I352" s="267">
        <f t="shared" ref="I352:I375" si="48">ROUND(F352*H352,2)</f>
        <v>316.39999999999998</v>
      </c>
      <c r="J352" s="6"/>
      <c r="K352" s="6"/>
      <c r="L352" s="6"/>
      <c r="M352" s="6"/>
      <c r="N352" s="6"/>
      <c r="O352" s="6"/>
      <c r="P352" s="6"/>
      <c r="Q352" s="6"/>
    </row>
    <row r="353" spans="1:17" s="7" customFormat="1" ht="28.5" customHeight="1" x14ac:dyDescent="0.2">
      <c r="A353" s="265" t="s">
        <v>1532</v>
      </c>
      <c r="B353" s="48" t="s">
        <v>98</v>
      </c>
      <c r="C353" s="48" t="s">
        <v>136</v>
      </c>
      <c r="D353" s="266" t="s">
        <v>137</v>
      </c>
      <c r="E353" s="48" t="s">
        <v>113</v>
      </c>
      <c r="F353" s="376">
        <f>F352*0.8*0.7</f>
        <v>253.12</v>
      </c>
      <c r="G353" s="376">
        <v>4.3899999999999997</v>
      </c>
      <c r="H353" s="57">
        <f t="shared" si="47"/>
        <v>5.49</v>
      </c>
      <c r="I353" s="267">
        <f t="shared" si="48"/>
        <v>1389.63</v>
      </c>
      <c r="J353" s="6"/>
      <c r="K353" s="6"/>
      <c r="L353" s="6"/>
      <c r="M353" s="6"/>
      <c r="N353" s="6"/>
      <c r="O353" s="6"/>
      <c r="P353" s="6"/>
      <c r="Q353" s="6"/>
    </row>
    <row r="354" spans="1:17" s="7" customFormat="1" ht="14.25" customHeight="1" x14ac:dyDescent="0.2">
      <c r="A354" s="265" t="s">
        <v>1533</v>
      </c>
      <c r="B354" s="48" t="s">
        <v>98</v>
      </c>
      <c r="C354" s="48" t="s">
        <v>114</v>
      </c>
      <c r="D354" s="266" t="s">
        <v>115</v>
      </c>
      <c r="E354" s="48" t="s">
        <v>113</v>
      </c>
      <c r="F354" s="376">
        <f>F353*0.15</f>
        <v>37.967999999999996</v>
      </c>
      <c r="G354" s="376">
        <v>22.62</v>
      </c>
      <c r="H354" s="57">
        <f t="shared" si="47"/>
        <v>28.28</v>
      </c>
      <c r="I354" s="267">
        <f t="shared" si="48"/>
        <v>1073.74</v>
      </c>
      <c r="J354" s="8"/>
      <c r="K354" s="9"/>
      <c r="L354" s="8"/>
      <c r="M354" s="8"/>
      <c r="N354" s="8"/>
      <c r="O354" s="8"/>
      <c r="P354" s="8"/>
      <c r="Q354" s="8"/>
    </row>
    <row r="355" spans="1:17" s="7" customFormat="1" x14ac:dyDescent="0.2">
      <c r="A355" s="265" t="s">
        <v>1534</v>
      </c>
      <c r="B355" s="48" t="s">
        <v>98</v>
      </c>
      <c r="C355" s="56">
        <v>5622</v>
      </c>
      <c r="D355" s="270" t="s">
        <v>660</v>
      </c>
      <c r="E355" s="48" t="s">
        <v>101</v>
      </c>
      <c r="F355" s="376">
        <f>F352*0.8</f>
        <v>361.6</v>
      </c>
      <c r="G355" s="376">
        <v>2.13</v>
      </c>
      <c r="H355" s="57">
        <f t="shared" si="47"/>
        <v>2.66</v>
      </c>
      <c r="I355" s="267">
        <f t="shared" si="48"/>
        <v>961.86</v>
      </c>
      <c r="J355" s="6"/>
      <c r="K355" s="6"/>
      <c r="L355" s="6"/>
      <c r="M355" s="6"/>
      <c r="N355" s="6"/>
      <c r="O355" s="6"/>
      <c r="P355" s="6"/>
      <c r="Q355" s="6"/>
    </row>
    <row r="356" spans="1:17" s="43" customFormat="1" ht="28.5" x14ac:dyDescent="0.2">
      <c r="A356" s="265" t="s">
        <v>1535</v>
      </c>
      <c r="B356" s="48" t="s">
        <v>98</v>
      </c>
      <c r="C356" s="48" t="s">
        <v>122</v>
      </c>
      <c r="D356" s="266" t="s">
        <v>123</v>
      </c>
      <c r="E356" s="48" t="s">
        <v>113</v>
      </c>
      <c r="F356" s="376">
        <f>F353+F354</f>
        <v>291.08800000000002</v>
      </c>
      <c r="G356" s="376">
        <v>15.21</v>
      </c>
      <c r="H356" s="57">
        <f t="shared" si="47"/>
        <v>19.010000000000002</v>
      </c>
      <c r="I356" s="267">
        <f t="shared" si="48"/>
        <v>5533.58</v>
      </c>
      <c r="J356" s="44"/>
      <c r="K356" s="45"/>
      <c r="L356" s="44"/>
      <c r="M356" s="44"/>
      <c r="N356" s="44"/>
      <c r="O356" s="44"/>
      <c r="P356" s="44"/>
      <c r="Q356" s="44"/>
    </row>
    <row r="357" spans="1:17" s="373" customFormat="1" ht="28.5" x14ac:dyDescent="0.2">
      <c r="A357" s="265" t="s">
        <v>1536</v>
      </c>
      <c r="B357" s="374" t="s">
        <v>98</v>
      </c>
      <c r="C357" s="374" t="s">
        <v>951</v>
      </c>
      <c r="D357" s="266" t="s">
        <v>952</v>
      </c>
      <c r="E357" s="374" t="s">
        <v>10</v>
      </c>
      <c r="F357" s="376">
        <v>1</v>
      </c>
      <c r="G357" s="376">
        <v>174.95</v>
      </c>
      <c r="H357" s="57">
        <f t="shared" ref="H357:H359" si="49">ROUND((1+K$3)*G357,2)</f>
        <v>218.69</v>
      </c>
      <c r="I357" s="267">
        <f t="shared" ref="I357:I359" si="50">ROUND(F357*H357,2)</f>
        <v>218.69</v>
      </c>
      <c r="J357" s="44"/>
      <c r="K357" s="45"/>
      <c r="L357" s="44"/>
      <c r="M357" s="44"/>
      <c r="N357" s="44"/>
      <c r="O357" s="44"/>
      <c r="P357" s="44"/>
      <c r="Q357" s="44"/>
    </row>
    <row r="358" spans="1:17" s="373" customFormat="1" ht="28.5" x14ac:dyDescent="0.2">
      <c r="A358" s="265" t="s">
        <v>1537</v>
      </c>
      <c r="B358" s="374" t="s">
        <v>98</v>
      </c>
      <c r="C358" s="374" t="s">
        <v>954</v>
      </c>
      <c r="D358" s="266" t="s">
        <v>953</v>
      </c>
      <c r="E358" s="374"/>
      <c r="F358" s="376">
        <v>1</v>
      </c>
      <c r="G358" s="376">
        <v>199.64</v>
      </c>
      <c r="H358" s="57">
        <f t="shared" si="49"/>
        <v>249.55</v>
      </c>
      <c r="I358" s="267">
        <f t="shared" si="50"/>
        <v>249.55</v>
      </c>
      <c r="J358" s="44"/>
      <c r="K358" s="45"/>
      <c r="L358" s="44"/>
      <c r="M358" s="44"/>
      <c r="N358" s="44"/>
      <c r="O358" s="44"/>
      <c r="P358" s="44"/>
      <c r="Q358" s="44"/>
    </row>
    <row r="359" spans="1:17" s="373" customFormat="1" ht="28.5" customHeight="1" x14ac:dyDescent="0.2">
      <c r="A359" s="265" t="s">
        <v>1538</v>
      </c>
      <c r="B359" s="374" t="s">
        <v>98</v>
      </c>
      <c r="C359" s="374" t="s">
        <v>956</v>
      </c>
      <c r="D359" s="266" t="s">
        <v>955</v>
      </c>
      <c r="E359" s="374"/>
      <c r="F359" s="376">
        <v>2</v>
      </c>
      <c r="G359" s="376">
        <v>1122.32</v>
      </c>
      <c r="H359" s="57">
        <f t="shared" si="49"/>
        <v>1402.9</v>
      </c>
      <c r="I359" s="267">
        <f t="shared" si="50"/>
        <v>2805.8</v>
      </c>
      <c r="J359" s="44"/>
      <c r="K359" s="45"/>
      <c r="L359" s="44"/>
      <c r="M359" s="44"/>
      <c r="N359" s="44"/>
      <c r="O359" s="44"/>
      <c r="P359" s="44"/>
      <c r="Q359" s="44"/>
    </row>
    <row r="360" spans="1:17" s="373" customFormat="1" ht="28.5" customHeight="1" x14ac:dyDescent="0.2">
      <c r="A360" s="265" t="s">
        <v>1539</v>
      </c>
      <c r="B360" s="374" t="s">
        <v>98</v>
      </c>
      <c r="C360" s="374" t="s">
        <v>958</v>
      </c>
      <c r="D360" s="266" t="s">
        <v>957</v>
      </c>
      <c r="E360" s="374"/>
      <c r="F360" s="376">
        <v>1</v>
      </c>
      <c r="G360" s="376">
        <v>713.39</v>
      </c>
      <c r="H360" s="57">
        <f t="shared" ref="H360:H362" si="51">ROUND((1+K$3)*G360,2)</f>
        <v>891.74</v>
      </c>
      <c r="I360" s="267">
        <f t="shared" ref="I360:I362" si="52">ROUND(F360*H360,2)</f>
        <v>891.74</v>
      </c>
      <c r="J360" s="44"/>
      <c r="K360" s="45"/>
      <c r="L360" s="44"/>
      <c r="M360" s="44"/>
      <c r="N360" s="44"/>
      <c r="O360" s="44"/>
      <c r="P360" s="44"/>
      <c r="Q360" s="44"/>
    </row>
    <row r="361" spans="1:17" s="373" customFormat="1" ht="28.5" customHeight="1" x14ac:dyDescent="0.2">
      <c r="A361" s="265" t="s">
        <v>1540</v>
      </c>
      <c r="B361" s="374" t="s">
        <v>98</v>
      </c>
      <c r="C361" s="374" t="s">
        <v>960</v>
      </c>
      <c r="D361" s="266" t="s">
        <v>959</v>
      </c>
      <c r="E361" s="374"/>
      <c r="F361" s="376">
        <v>1</v>
      </c>
      <c r="G361" s="376">
        <v>904.66</v>
      </c>
      <c r="H361" s="57">
        <f t="shared" si="51"/>
        <v>1130.83</v>
      </c>
      <c r="I361" s="267">
        <f t="shared" si="52"/>
        <v>1130.83</v>
      </c>
      <c r="J361" s="44"/>
      <c r="K361" s="45"/>
      <c r="L361" s="44"/>
      <c r="M361" s="44"/>
      <c r="N361" s="44"/>
      <c r="O361" s="44"/>
      <c r="P361" s="44"/>
      <c r="Q361" s="44"/>
    </row>
    <row r="362" spans="1:17" s="373" customFormat="1" ht="28.5" customHeight="1" x14ac:dyDescent="0.2">
      <c r="A362" s="265" t="s">
        <v>1541</v>
      </c>
      <c r="B362" s="374" t="s">
        <v>98</v>
      </c>
      <c r="C362" s="374" t="s">
        <v>962</v>
      </c>
      <c r="D362" s="266" t="s">
        <v>961</v>
      </c>
      <c r="E362" s="374"/>
      <c r="F362" s="376">
        <v>1</v>
      </c>
      <c r="G362" s="376">
        <v>975.47</v>
      </c>
      <c r="H362" s="57">
        <f t="shared" si="51"/>
        <v>1219.3399999999999</v>
      </c>
      <c r="I362" s="267">
        <f t="shared" si="52"/>
        <v>1219.3399999999999</v>
      </c>
      <c r="J362" s="44"/>
      <c r="K362" s="45"/>
      <c r="L362" s="44"/>
      <c r="M362" s="44"/>
      <c r="N362" s="44"/>
      <c r="O362" s="44"/>
      <c r="P362" s="44"/>
      <c r="Q362" s="44"/>
    </row>
    <row r="363" spans="1:17" s="7" customFormat="1" ht="14.25" customHeight="1" x14ac:dyDescent="0.2">
      <c r="A363" s="265" t="s">
        <v>1542</v>
      </c>
      <c r="B363" s="56" t="s">
        <v>306</v>
      </c>
      <c r="C363" s="378" t="s">
        <v>675</v>
      </c>
      <c r="D363" s="270" t="s">
        <v>459</v>
      </c>
      <c r="E363" s="56" t="s">
        <v>110</v>
      </c>
      <c r="F363" s="376">
        <v>1</v>
      </c>
      <c r="G363" s="277">
        <f>'COMPOSIÇÕES DE CUSTO'!I353</f>
        <v>932.07</v>
      </c>
      <c r="H363" s="58">
        <f t="shared" si="47"/>
        <v>1165.0899999999999</v>
      </c>
      <c r="I363" s="271">
        <f t="shared" si="48"/>
        <v>1165.0899999999999</v>
      </c>
      <c r="J363" s="8"/>
      <c r="K363" s="9"/>
      <c r="L363" s="8"/>
      <c r="M363" s="8"/>
      <c r="N363" s="8"/>
      <c r="O363" s="8"/>
      <c r="P363" s="8"/>
      <c r="Q363" s="8"/>
    </row>
    <row r="364" spans="1:17" s="7" customFormat="1" x14ac:dyDescent="0.2">
      <c r="A364" s="265" t="s">
        <v>1543</v>
      </c>
      <c r="B364" s="56" t="s">
        <v>98</v>
      </c>
      <c r="C364" s="56" t="s">
        <v>160</v>
      </c>
      <c r="D364" s="270" t="s">
        <v>19</v>
      </c>
      <c r="E364" s="56" t="s">
        <v>107</v>
      </c>
      <c r="F364" s="376">
        <f>24+45</f>
        <v>69</v>
      </c>
      <c r="G364" s="376">
        <v>0.84</v>
      </c>
      <c r="H364" s="57">
        <f t="shared" si="47"/>
        <v>1.05</v>
      </c>
      <c r="I364" s="271">
        <f t="shared" si="48"/>
        <v>72.45</v>
      </c>
      <c r="J364" s="8"/>
      <c r="K364" s="9"/>
      <c r="L364" s="8"/>
      <c r="M364" s="8"/>
      <c r="N364" s="8"/>
      <c r="O364" s="8"/>
      <c r="P364" s="8"/>
      <c r="Q364" s="8"/>
    </row>
    <row r="365" spans="1:17" s="7" customFormat="1" x14ac:dyDescent="0.2">
      <c r="A365" s="265" t="s">
        <v>1544</v>
      </c>
      <c r="B365" s="56" t="s">
        <v>98</v>
      </c>
      <c r="C365" s="56" t="s">
        <v>130</v>
      </c>
      <c r="D365" s="270" t="s">
        <v>131</v>
      </c>
      <c r="E365" s="56" t="s">
        <v>107</v>
      </c>
      <c r="F365" s="376">
        <f>11+25+365+1+15+35</f>
        <v>452</v>
      </c>
      <c r="G365" s="376">
        <v>2.25</v>
      </c>
      <c r="H365" s="57">
        <f t="shared" si="47"/>
        <v>2.81</v>
      </c>
      <c r="I365" s="271">
        <f t="shared" si="48"/>
        <v>1270.1199999999999</v>
      </c>
      <c r="J365" s="8"/>
      <c r="K365" s="9"/>
      <c r="L365" s="8"/>
      <c r="M365" s="8"/>
      <c r="N365" s="8"/>
      <c r="O365" s="8"/>
      <c r="P365" s="8"/>
      <c r="Q365" s="8"/>
    </row>
    <row r="366" spans="1:17" s="7" customFormat="1" x14ac:dyDescent="0.2">
      <c r="A366" s="265" t="s">
        <v>1545</v>
      </c>
      <c r="B366" s="375"/>
      <c r="C366" s="375" t="s">
        <v>12</v>
      </c>
      <c r="D366" s="377" t="s">
        <v>13</v>
      </c>
      <c r="E366" s="375" t="s">
        <v>107</v>
      </c>
      <c r="F366" s="376">
        <v>32</v>
      </c>
      <c r="G366" s="376">
        <v>1.97</v>
      </c>
      <c r="H366" s="57">
        <f t="shared" ref="H366" si="53">ROUND((1+K$3)*G366,2)</f>
        <v>2.46</v>
      </c>
      <c r="I366" s="271">
        <f t="shared" ref="I366" si="54">ROUND(F366*H366,2)</f>
        <v>78.72</v>
      </c>
      <c r="J366" s="8"/>
      <c r="K366" s="9"/>
      <c r="L366" s="8"/>
      <c r="M366" s="8"/>
      <c r="N366" s="8"/>
      <c r="O366" s="8"/>
      <c r="P366" s="8"/>
      <c r="Q366" s="8"/>
    </row>
    <row r="367" spans="1:17" s="7" customFormat="1" ht="14.25" customHeight="1" x14ac:dyDescent="0.2">
      <c r="A367" s="265" t="s">
        <v>1546</v>
      </c>
      <c r="B367" s="56" t="s">
        <v>98</v>
      </c>
      <c r="C367" s="56" t="s">
        <v>191</v>
      </c>
      <c r="D367" s="270" t="s">
        <v>192</v>
      </c>
      <c r="E367" s="56" t="s">
        <v>101</v>
      </c>
      <c r="F367" s="376">
        <v>2.54</v>
      </c>
      <c r="G367" s="376">
        <v>60.33</v>
      </c>
      <c r="H367" s="57">
        <f t="shared" si="47"/>
        <v>75.41</v>
      </c>
      <c r="I367" s="271">
        <f t="shared" si="48"/>
        <v>191.54</v>
      </c>
      <c r="J367" s="6"/>
      <c r="K367" s="6"/>
      <c r="L367" s="6"/>
      <c r="M367" s="6"/>
      <c r="N367" s="6"/>
      <c r="O367" s="6"/>
      <c r="P367" s="6"/>
      <c r="Q367" s="6"/>
    </row>
    <row r="368" spans="1:17" s="7" customFormat="1" ht="42.75" customHeight="1" x14ac:dyDescent="0.2">
      <c r="A368" s="265" t="s">
        <v>1547</v>
      </c>
      <c r="B368" s="56" t="s">
        <v>98</v>
      </c>
      <c r="C368" s="56">
        <v>73346</v>
      </c>
      <c r="D368" s="270" t="s">
        <v>744</v>
      </c>
      <c r="E368" s="56" t="s">
        <v>113</v>
      </c>
      <c r="F368" s="277">
        <v>0.54</v>
      </c>
      <c r="G368" s="376">
        <v>1406.79</v>
      </c>
      <c r="H368" s="57">
        <f t="shared" si="47"/>
        <v>1758.49</v>
      </c>
      <c r="I368" s="271">
        <f t="shared" si="48"/>
        <v>949.58</v>
      </c>
      <c r="J368" s="6"/>
      <c r="K368" s="6"/>
      <c r="L368" s="6"/>
      <c r="M368" s="6"/>
      <c r="N368" s="6"/>
      <c r="O368" s="6"/>
      <c r="P368" s="6"/>
      <c r="Q368" s="6"/>
    </row>
    <row r="369" spans="1:17" s="43" customFormat="1" ht="28.5" x14ac:dyDescent="0.2">
      <c r="A369" s="265" t="s">
        <v>1548</v>
      </c>
      <c r="B369" s="56" t="s">
        <v>98</v>
      </c>
      <c r="C369" s="56" t="s">
        <v>78</v>
      </c>
      <c r="D369" s="270" t="s">
        <v>79</v>
      </c>
      <c r="E369" s="56" t="s">
        <v>101</v>
      </c>
      <c r="F369" s="376">
        <v>1.1000000000000001</v>
      </c>
      <c r="G369" s="376">
        <v>79.58</v>
      </c>
      <c r="H369" s="57">
        <f t="shared" si="47"/>
        <v>99.48</v>
      </c>
      <c r="I369" s="271">
        <f t="shared" si="48"/>
        <v>109.43</v>
      </c>
      <c r="J369" s="44"/>
      <c r="K369" s="45"/>
      <c r="L369" s="44"/>
      <c r="M369" s="44"/>
      <c r="N369" s="44"/>
      <c r="O369" s="44"/>
      <c r="P369" s="44"/>
      <c r="Q369" s="44"/>
    </row>
    <row r="370" spans="1:17" s="43" customFormat="1" x14ac:dyDescent="0.2">
      <c r="A370" s="265" t="s">
        <v>1549</v>
      </c>
      <c r="B370" s="56" t="s">
        <v>768</v>
      </c>
      <c r="C370" s="56"/>
      <c r="D370" s="270" t="s">
        <v>20</v>
      </c>
      <c r="E370" s="56" t="s">
        <v>113</v>
      </c>
      <c r="F370" s="376">
        <v>1.52</v>
      </c>
      <c r="G370" s="278">
        <v>136.59</v>
      </c>
      <c r="H370" s="58">
        <f t="shared" si="47"/>
        <v>170.74</v>
      </c>
      <c r="I370" s="271">
        <f t="shared" si="48"/>
        <v>259.52</v>
      </c>
      <c r="J370" s="42"/>
      <c r="K370" s="42"/>
      <c r="L370" s="42"/>
      <c r="M370" s="42"/>
      <c r="N370" s="42"/>
      <c r="O370" s="42"/>
      <c r="P370" s="42"/>
      <c r="Q370" s="42"/>
    </row>
    <row r="371" spans="1:17" s="43" customFormat="1" ht="28.5" x14ac:dyDescent="0.2">
      <c r="A371" s="268" t="s">
        <v>1550</v>
      </c>
      <c r="B371" s="584" t="s">
        <v>306</v>
      </c>
      <c r="C371" s="378" t="s">
        <v>676</v>
      </c>
      <c r="D371" s="377" t="str">
        <f>'COMPOSIÇÕES DE CUSTO'!D366</f>
        <v>FORNECIMENTO DO MATERIAL HIDRÁULICO DA INTERLIGAÇÃO DAS UNIDADES DA ETE</v>
      </c>
      <c r="E371" s="584" t="s">
        <v>107</v>
      </c>
      <c r="F371" s="376">
        <v>1</v>
      </c>
      <c r="G371" s="277">
        <f>'COMPOSIÇÕES DE CUSTO'!I366</f>
        <v>22916.07</v>
      </c>
      <c r="H371" s="376">
        <f>ROUND((1+K$5)*G371,2)</f>
        <v>25666</v>
      </c>
      <c r="I371" s="271">
        <f t="shared" si="48"/>
        <v>25666</v>
      </c>
      <c r="J371" s="42"/>
      <c r="K371" s="42"/>
      <c r="L371" s="42"/>
      <c r="M371" s="42"/>
      <c r="N371" s="42"/>
      <c r="O371" s="42"/>
      <c r="P371" s="42"/>
      <c r="Q371" s="42"/>
    </row>
    <row r="372" spans="1:17" s="373" customFormat="1" ht="28.5" x14ac:dyDescent="0.2">
      <c r="A372" s="268" t="s">
        <v>1551</v>
      </c>
      <c r="B372" s="584" t="s">
        <v>306</v>
      </c>
      <c r="C372" s="378" t="s">
        <v>1590</v>
      </c>
      <c r="D372" s="377" t="str">
        <f>'COMPOSIÇÕES DE CUSTO'!D394</f>
        <v>APLICAÇÃO DAS INTERLIGAÇÕES DAS UNIDADES DA ETE</v>
      </c>
      <c r="E372" s="584" t="s">
        <v>107</v>
      </c>
      <c r="F372" s="376">
        <v>1</v>
      </c>
      <c r="G372" s="277">
        <f>'COMPOSIÇÕES DE CUSTO'!I394</f>
        <v>2227.8000000000002</v>
      </c>
      <c r="H372" s="376">
        <f>ROUND((1+K$3)*G372,2)</f>
        <v>2784.75</v>
      </c>
      <c r="I372" s="271">
        <f t="shared" si="48"/>
        <v>2784.75</v>
      </c>
      <c r="J372" s="372"/>
      <c r="K372" s="372"/>
      <c r="L372" s="372"/>
      <c r="M372" s="372"/>
      <c r="N372" s="372"/>
      <c r="O372" s="372"/>
      <c r="P372" s="372"/>
      <c r="Q372" s="372"/>
    </row>
    <row r="373" spans="1:17" s="373" customFormat="1" ht="14.25" customHeight="1" x14ac:dyDescent="0.2">
      <c r="A373" s="268" t="s">
        <v>1552</v>
      </c>
      <c r="B373" s="375" t="s">
        <v>306</v>
      </c>
      <c r="C373" s="378" t="s">
        <v>1174</v>
      </c>
      <c r="D373" s="377" t="str">
        <f>'INSTALAÇÕES ELÉTRICAS ELT-003'!D14</f>
        <v>ETE - ILUMINAÇÃO EXTERNA</v>
      </c>
      <c r="E373" s="375" t="s">
        <v>10</v>
      </c>
      <c r="F373" s="376">
        <v>1</v>
      </c>
      <c r="G373" s="277">
        <f>'INSTALAÇÕES ELÉTRICAS ELT-003'!I14</f>
        <v>11326.02</v>
      </c>
      <c r="H373" s="376">
        <f>ROUND((1+K$5)*G373,2)</f>
        <v>12685.14</v>
      </c>
      <c r="I373" s="271">
        <f t="shared" si="48"/>
        <v>12685.14</v>
      </c>
      <c r="J373" s="372"/>
      <c r="K373" s="372"/>
      <c r="L373" s="372"/>
      <c r="M373" s="372"/>
      <c r="N373" s="372"/>
      <c r="O373" s="372"/>
      <c r="P373" s="372"/>
      <c r="Q373" s="372"/>
    </row>
    <row r="374" spans="1:17" s="373" customFormat="1" ht="14.25" customHeight="1" x14ac:dyDescent="0.2">
      <c r="A374" s="268" t="s">
        <v>1570</v>
      </c>
      <c r="B374" s="375" t="s">
        <v>306</v>
      </c>
      <c r="C374" s="378" t="s">
        <v>1174</v>
      </c>
      <c r="D374" s="377" t="s">
        <v>1569</v>
      </c>
      <c r="E374" s="375" t="s">
        <v>10</v>
      </c>
      <c r="F374" s="376">
        <v>1</v>
      </c>
      <c r="G374" s="277">
        <f>'INSTALAÇÕES ELÉTRICAS ELT-003'!I24</f>
        <v>1443.5100000000002</v>
      </c>
      <c r="H374" s="376">
        <f>ROUND((1+K$5)*G374,2)</f>
        <v>1616.73</v>
      </c>
      <c r="I374" s="271">
        <f t="shared" si="48"/>
        <v>1616.73</v>
      </c>
      <c r="J374" s="372"/>
      <c r="K374" s="372"/>
      <c r="L374" s="372"/>
      <c r="M374" s="372"/>
      <c r="N374" s="372"/>
      <c r="O374" s="372"/>
      <c r="P374" s="372"/>
      <c r="Q374" s="372"/>
    </row>
    <row r="375" spans="1:17" s="43" customFormat="1" ht="14.25" customHeight="1" x14ac:dyDescent="0.2">
      <c r="A375" s="268" t="s">
        <v>1592</v>
      </c>
      <c r="B375" s="56" t="s">
        <v>306</v>
      </c>
      <c r="C375" s="378" t="s">
        <v>678</v>
      </c>
      <c r="D375" s="270" t="s">
        <v>512</v>
      </c>
      <c r="E375" s="56" t="s">
        <v>10</v>
      </c>
      <c r="F375" s="376">
        <v>1</v>
      </c>
      <c r="G375" s="277">
        <f>'COMPOSIÇÕES DE CUSTO'!I415</f>
        <v>445.77000000000004</v>
      </c>
      <c r="H375" s="58">
        <f t="shared" si="47"/>
        <v>557.21</v>
      </c>
      <c r="I375" s="271">
        <f t="shared" si="48"/>
        <v>557.21</v>
      </c>
      <c r="J375" s="44"/>
      <c r="K375" s="45"/>
      <c r="L375" s="44"/>
      <c r="M375" s="44"/>
      <c r="N375" s="44"/>
      <c r="O375" s="44"/>
      <c r="P375" s="44"/>
      <c r="Q375" s="44"/>
    </row>
    <row r="376" spans="1:17" s="373" customFormat="1" ht="14.25" customHeight="1" x14ac:dyDescent="0.2">
      <c r="A376" s="268"/>
      <c r="B376" s="584"/>
      <c r="C376" s="378"/>
      <c r="D376" s="377"/>
      <c r="E376" s="584"/>
      <c r="F376" s="376"/>
      <c r="G376" s="277"/>
      <c r="H376" s="376"/>
      <c r="I376" s="271"/>
      <c r="J376" s="44"/>
      <c r="K376" s="45"/>
      <c r="L376" s="44"/>
      <c r="M376" s="44"/>
      <c r="N376" s="44"/>
      <c r="O376" s="44"/>
      <c r="P376" s="44"/>
      <c r="Q376" s="44"/>
    </row>
    <row r="377" spans="1:17" s="373" customFormat="1" ht="14.25" customHeight="1" x14ac:dyDescent="0.2">
      <c r="A377" s="268"/>
      <c r="B377" s="584"/>
      <c r="C377" s="378"/>
      <c r="D377" s="377"/>
      <c r="E377" s="584"/>
      <c r="F377" s="376"/>
      <c r="G377" s="277"/>
      <c r="H377" s="376"/>
      <c r="I377" s="271"/>
      <c r="J377" s="44"/>
      <c r="K377" s="45"/>
      <c r="L377" s="44"/>
      <c r="M377" s="44"/>
      <c r="N377" s="44"/>
      <c r="O377" s="44"/>
      <c r="P377" s="44"/>
      <c r="Q377" s="44"/>
    </row>
    <row r="378" spans="1:17" s="373" customFormat="1" ht="14.25" customHeight="1" x14ac:dyDescent="0.2">
      <c r="A378" s="268"/>
      <c r="B378" s="584"/>
      <c r="C378" s="378"/>
      <c r="D378" s="377"/>
      <c r="E378" s="584"/>
      <c r="F378" s="376"/>
      <c r="G378" s="277"/>
      <c r="H378" s="376"/>
      <c r="I378" s="271"/>
      <c r="J378" s="44"/>
      <c r="K378" s="45"/>
      <c r="L378" s="44"/>
      <c r="M378" s="44"/>
      <c r="N378" s="44"/>
      <c r="O378" s="44"/>
      <c r="P378" s="44"/>
      <c r="Q378" s="44"/>
    </row>
    <row r="379" spans="1:17" s="7" customFormat="1" x14ac:dyDescent="0.2">
      <c r="A379" s="268"/>
      <c r="B379" s="56"/>
      <c r="C379" s="275"/>
      <c r="D379" s="270"/>
      <c r="E379" s="56"/>
      <c r="F379" s="58"/>
      <c r="G379" s="58"/>
      <c r="H379" s="58"/>
      <c r="I379" s="271"/>
      <c r="J379" s="8"/>
      <c r="K379" s="8"/>
      <c r="L379" s="8"/>
      <c r="M379" s="8"/>
      <c r="N379" s="8"/>
      <c r="O379" s="8"/>
      <c r="P379" s="8"/>
      <c r="Q379" s="8"/>
    </row>
    <row r="380" spans="1:17" s="7" customFormat="1" ht="15" x14ac:dyDescent="0.2">
      <c r="A380" s="263" t="s">
        <v>801</v>
      </c>
      <c r="B380" s="205"/>
      <c r="C380" s="205"/>
      <c r="D380" s="273" t="s">
        <v>88</v>
      </c>
      <c r="E380" s="210"/>
      <c r="F380" s="211"/>
      <c r="G380" s="211"/>
      <c r="H380" s="211"/>
      <c r="I380" s="274">
        <f>SUM(I381:I391)</f>
        <v>79474.59</v>
      </c>
      <c r="J380" s="8"/>
      <c r="K380" s="8"/>
      <c r="L380" s="8"/>
      <c r="M380" s="8"/>
      <c r="N380" s="8"/>
      <c r="O380" s="8"/>
      <c r="P380" s="8"/>
      <c r="Q380" s="8"/>
    </row>
    <row r="381" spans="1:17" s="7" customFormat="1" ht="42.75" x14ac:dyDescent="0.2">
      <c r="A381" s="265" t="s">
        <v>1553</v>
      </c>
      <c r="B381" s="48" t="s">
        <v>98</v>
      </c>
      <c r="C381" s="48" t="s">
        <v>74</v>
      </c>
      <c r="D381" s="266" t="s">
        <v>75</v>
      </c>
      <c r="E381" s="48" t="s">
        <v>107</v>
      </c>
      <c r="F381" s="376">
        <v>320</v>
      </c>
      <c r="G381" s="58">
        <v>30.86</v>
      </c>
      <c r="H381" s="57">
        <f t="shared" ref="H381:H391" si="55">ROUND((1+K$3)*G381,2)</f>
        <v>38.58</v>
      </c>
      <c r="I381" s="267">
        <f t="shared" ref="I381:I390" si="56">ROUND(F381*H381,2)</f>
        <v>12345.6</v>
      </c>
      <c r="J381" s="8"/>
      <c r="K381" s="8"/>
      <c r="L381" s="8"/>
      <c r="M381" s="8"/>
      <c r="N381" s="8"/>
      <c r="O381" s="8"/>
      <c r="P381" s="8"/>
      <c r="Q381" s="8"/>
    </row>
    <row r="382" spans="1:17" s="7" customFormat="1" x14ac:dyDescent="0.2">
      <c r="A382" s="265" t="s">
        <v>1554</v>
      </c>
      <c r="B382" s="48" t="s">
        <v>98</v>
      </c>
      <c r="C382" s="48" t="s">
        <v>185</v>
      </c>
      <c r="D382" s="266" t="s">
        <v>187</v>
      </c>
      <c r="E382" s="48" t="s">
        <v>110</v>
      </c>
      <c r="F382" s="376">
        <v>1</v>
      </c>
      <c r="G382" s="58">
        <v>1888.96</v>
      </c>
      <c r="H382" s="57">
        <f t="shared" si="55"/>
        <v>2361.1999999999998</v>
      </c>
      <c r="I382" s="267">
        <f t="shared" si="56"/>
        <v>2361.1999999999998</v>
      </c>
      <c r="J382" s="8"/>
      <c r="K382" s="8"/>
      <c r="L382" s="8"/>
      <c r="M382" s="8"/>
      <c r="N382" s="8"/>
      <c r="O382" s="8"/>
      <c r="P382" s="8"/>
      <c r="Q382" s="8"/>
    </row>
    <row r="383" spans="1:17" s="7" customFormat="1" x14ac:dyDescent="0.2">
      <c r="A383" s="265" t="s">
        <v>1555</v>
      </c>
      <c r="B383" s="48" t="s">
        <v>98</v>
      </c>
      <c r="C383" s="48" t="s">
        <v>186</v>
      </c>
      <c r="D383" s="266" t="s">
        <v>187</v>
      </c>
      <c r="E383" s="48" t="s">
        <v>110</v>
      </c>
      <c r="F383" s="376">
        <v>1</v>
      </c>
      <c r="G383" s="285">
        <v>774.92</v>
      </c>
      <c r="H383" s="57">
        <f t="shared" si="55"/>
        <v>968.65</v>
      </c>
      <c r="I383" s="267">
        <f t="shared" si="56"/>
        <v>968.65</v>
      </c>
      <c r="J383" s="8"/>
      <c r="K383" s="8"/>
      <c r="L383" s="8"/>
      <c r="M383" s="8"/>
      <c r="N383" s="8"/>
      <c r="O383" s="8"/>
      <c r="P383" s="8"/>
      <c r="Q383" s="8"/>
    </row>
    <row r="384" spans="1:17" s="7" customFormat="1" ht="28.5" x14ac:dyDescent="0.2">
      <c r="A384" s="265" t="s">
        <v>1556</v>
      </c>
      <c r="B384" s="48" t="s">
        <v>98</v>
      </c>
      <c r="C384" s="48">
        <v>72948</v>
      </c>
      <c r="D384" s="266" t="s">
        <v>455</v>
      </c>
      <c r="E384" s="48" t="s">
        <v>113</v>
      </c>
      <c r="F384" s="376">
        <f>0.1*F385</f>
        <v>38.6</v>
      </c>
      <c r="G384" s="285">
        <v>80.78</v>
      </c>
      <c r="H384" s="57">
        <f t="shared" si="55"/>
        <v>100.98</v>
      </c>
      <c r="I384" s="267">
        <f t="shared" si="56"/>
        <v>3897.83</v>
      </c>
      <c r="J384" s="8"/>
      <c r="K384" s="8"/>
      <c r="L384" s="8"/>
      <c r="M384" s="8"/>
      <c r="N384" s="8"/>
      <c r="O384" s="8"/>
      <c r="P384" s="8"/>
      <c r="Q384" s="8"/>
    </row>
    <row r="385" spans="1:17" s="7" customFormat="1" ht="14.25" customHeight="1" x14ac:dyDescent="0.2">
      <c r="A385" s="265" t="s">
        <v>1557</v>
      </c>
      <c r="B385" s="48" t="s">
        <v>98</v>
      </c>
      <c r="C385" s="48" t="s">
        <v>453</v>
      </c>
      <c r="D385" s="266" t="s">
        <v>454</v>
      </c>
      <c r="E385" s="48" t="s">
        <v>101</v>
      </c>
      <c r="F385" s="376">
        <v>386</v>
      </c>
      <c r="G385" s="58">
        <v>43.4</v>
      </c>
      <c r="H385" s="57">
        <f t="shared" si="55"/>
        <v>54.25</v>
      </c>
      <c r="I385" s="267">
        <f t="shared" si="56"/>
        <v>20940.5</v>
      </c>
      <c r="J385" s="8"/>
      <c r="K385" s="8"/>
      <c r="L385" s="8"/>
      <c r="M385" s="8"/>
      <c r="N385" s="8"/>
      <c r="O385" s="8"/>
      <c r="P385" s="8"/>
      <c r="Q385" s="8"/>
    </row>
    <row r="386" spans="1:17" s="7" customFormat="1" ht="14.25" customHeight="1" x14ac:dyDescent="0.2">
      <c r="A386" s="265" t="s">
        <v>1558</v>
      </c>
      <c r="B386" s="48" t="s">
        <v>98</v>
      </c>
      <c r="C386" s="48">
        <v>72843</v>
      </c>
      <c r="D386" s="266" t="s">
        <v>458</v>
      </c>
      <c r="E386" s="48" t="s">
        <v>18</v>
      </c>
      <c r="F386" s="376">
        <f>F385*6.5/100*25*20</f>
        <v>12545</v>
      </c>
      <c r="G386" s="58">
        <v>0.47</v>
      </c>
      <c r="H386" s="57">
        <f t="shared" si="55"/>
        <v>0.59</v>
      </c>
      <c r="I386" s="267">
        <f t="shared" si="56"/>
        <v>7401.55</v>
      </c>
      <c r="J386" s="8"/>
      <c r="K386" s="8"/>
      <c r="L386" s="8"/>
      <c r="M386" s="8"/>
      <c r="N386" s="8"/>
      <c r="O386" s="8"/>
      <c r="P386" s="8"/>
      <c r="Q386" s="8"/>
    </row>
    <row r="387" spans="1:17" s="7" customFormat="1" ht="28.5" customHeight="1" x14ac:dyDescent="0.2">
      <c r="A387" s="265" t="s">
        <v>1559</v>
      </c>
      <c r="B387" s="48" t="s">
        <v>98</v>
      </c>
      <c r="C387" s="48" t="s">
        <v>456</v>
      </c>
      <c r="D387" s="266" t="s">
        <v>457</v>
      </c>
      <c r="E387" s="48" t="s">
        <v>101</v>
      </c>
      <c r="F387" s="376">
        <v>350</v>
      </c>
      <c r="G387" s="58">
        <v>23.96</v>
      </c>
      <c r="H387" s="57">
        <f t="shared" si="55"/>
        <v>29.95</v>
      </c>
      <c r="I387" s="267">
        <f t="shared" si="56"/>
        <v>10482.5</v>
      </c>
      <c r="J387" s="8"/>
      <c r="K387" s="8"/>
      <c r="L387" s="8"/>
      <c r="M387" s="8"/>
      <c r="N387" s="8"/>
      <c r="O387" s="8"/>
      <c r="P387" s="8"/>
      <c r="Q387" s="8"/>
    </row>
    <row r="388" spans="1:17" s="7" customFormat="1" ht="28.5" customHeight="1" x14ac:dyDescent="0.2">
      <c r="A388" s="265" t="s">
        <v>1560</v>
      </c>
      <c r="B388" s="48" t="s">
        <v>98</v>
      </c>
      <c r="C388" s="48" t="s">
        <v>80</v>
      </c>
      <c r="D388" s="266" t="s">
        <v>81</v>
      </c>
      <c r="E388" s="48" t="s">
        <v>107</v>
      </c>
      <c r="F388" s="376">
        <v>120</v>
      </c>
      <c r="G388" s="58">
        <v>81.849999999999994</v>
      </c>
      <c r="H388" s="57">
        <f t="shared" si="55"/>
        <v>102.31</v>
      </c>
      <c r="I388" s="267">
        <f t="shared" si="56"/>
        <v>12277.2</v>
      </c>
      <c r="J388" s="8"/>
      <c r="K388" s="8"/>
      <c r="L388" s="8"/>
      <c r="M388" s="8"/>
      <c r="N388" s="8"/>
      <c r="O388" s="8"/>
      <c r="P388" s="8"/>
      <c r="Q388" s="8"/>
    </row>
    <row r="389" spans="1:17" s="7" customFormat="1" x14ac:dyDescent="0.2">
      <c r="A389" s="265" t="s">
        <v>1561</v>
      </c>
      <c r="B389" s="48" t="s">
        <v>98</v>
      </c>
      <c r="C389" s="48" t="s">
        <v>82</v>
      </c>
      <c r="D389" s="266" t="s">
        <v>83</v>
      </c>
      <c r="E389" s="48" t="s">
        <v>101</v>
      </c>
      <c r="F389" s="376">
        <v>550</v>
      </c>
      <c r="G389" s="58">
        <v>7.28</v>
      </c>
      <c r="H389" s="57">
        <f t="shared" si="55"/>
        <v>9.1</v>
      </c>
      <c r="I389" s="267">
        <f t="shared" si="56"/>
        <v>5005</v>
      </c>
      <c r="J389" s="8"/>
      <c r="K389" s="8"/>
      <c r="L389" s="8"/>
      <c r="M389" s="8"/>
      <c r="N389" s="8"/>
      <c r="O389" s="8"/>
      <c r="P389" s="8"/>
      <c r="Q389" s="8"/>
    </row>
    <row r="390" spans="1:17" s="7" customFormat="1" x14ac:dyDescent="0.2">
      <c r="A390" s="265" t="s">
        <v>1562</v>
      </c>
      <c r="B390" s="48" t="s">
        <v>98</v>
      </c>
      <c r="C390" s="48" t="s">
        <v>84</v>
      </c>
      <c r="D390" s="266" t="s">
        <v>85</v>
      </c>
      <c r="E390" s="48" t="s">
        <v>107</v>
      </c>
      <c r="F390" s="376">
        <v>400</v>
      </c>
      <c r="G390" s="58">
        <v>3.33</v>
      </c>
      <c r="H390" s="57">
        <f t="shared" si="55"/>
        <v>4.16</v>
      </c>
      <c r="I390" s="267">
        <f t="shared" si="56"/>
        <v>1664</v>
      </c>
      <c r="J390" s="8"/>
      <c r="K390" s="8"/>
      <c r="L390" s="8"/>
      <c r="M390" s="8"/>
      <c r="N390" s="8"/>
      <c r="O390" s="8"/>
      <c r="P390" s="8"/>
      <c r="Q390" s="8"/>
    </row>
    <row r="391" spans="1:17" s="7" customFormat="1" x14ac:dyDescent="0.2">
      <c r="A391" s="265" t="s">
        <v>1563</v>
      </c>
      <c r="B391" s="48" t="s">
        <v>98</v>
      </c>
      <c r="C391" s="48" t="s">
        <v>86</v>
      </c>
      <c r="D391" s="266" t="s">
        <v>87</v>
      </c>
      <c r="E391" s="48" t="s">
        <v>110</v>
      </c>
      <c r="F391" s="376">
        <f>16*4</f>
        <v>64</v>
      </c>
      <c r="G391" s="58">
        <v>26.63</v>
      </c>
      <c r="H391" s="57">
        <f t="shared" si="55"/>
        <v>33.29</v>
      </c>
      <c r="I391" s="267">
        <f>ROUND(F391*H391,2)</f>
        <v>2130.56</v>
      </c>
      <c r="J391" s="8"/>
      <c r="K391" s="8"/>
      <c r="L391" s="8"/>
      <c r="M391" s="8"/>
      <c r="N391" s="8"/>
      <c r="O391" s="8"/>
      <c r="P391" s="8"/>
      <c r="Q391" s="8"/>
    </row>
    <row r="392" spans="1:17" s="7" customFormat="1" x14ac:dyDescent="0.2">
      <c r="A392" s="542"/>
      <c r="B392" s="374"/>
      <c r="C392" s="374"/>
      <c r="D392" s="266"/>
      <c r="E392" s="374"/>
      <c r="F392" s="376"/>
      <c r="G392" s="376"/>
      <c r="H392" s="57"/>
      <c r="I392" s="552"/>
      <c r="J392" s="8"/>
      <c r="K392" s="8"/>
      <c r="L392" s="8"/>
      <c r="M392" s="8"/>
      <c r="N392" s="8"/>
      <c r="O392" s="8"/>
      <c r="P392" s="8"/>
      <c r="Q392" s="8"/>
    </row>
    <row r="393" spans="1:17" s="7" customFormat="1" x14ac:dyDescent="0.2">
      <c r="A393" s="542"/>
      <c r="B393" s="374"/>
      <c r="C393" s="374"/>
      <c r="D393" s="266"/>
      <c r="E393" s="374"/>
      <c r="F393" s="376"/>
      <c r="G393" s="376"/>
      <c r="H393" s="57"/>
      <c r="I393" s="552"/>
      <c r="J393" s="8"/>
      <c r="K393" s="8"/>
      <c r="L393" s="8"/>
      <c r="M393" s="8"/>
      <c r="N393" s="8"/>
      <c r="O393" s="8"/>
      <c r="P393" s="8"/>
      <c r="Q393" s="8"/>
    </row>
    <row r="394" spans="1:17" s="7" customFormat="1" x14ac:dyDescent="0.2">
      <c r="A394" s="542"/>
      <c r="B394" s="374"/>
      <c r="C394" s="374"/>
      <c r="D394" s="266"/>
      <c r="E394" s="374"/>
      <c r="F394" s="376"/>
      <c r="G394" s="376"/>
      <c r="H394" s="57"/>
      <c r="I394" s="552"/>
      <c r="J394" s="8"/>
      <c r="K394" s="8"/>
      <c r="L394" s="8"/>
      <c r="M394" s="8"/>
      <c r="N394" s="8"/>
      <c r="O394" s="8"/>
      <c r="P394" s="8"/>
      <c r="Q394" s="8"/>
    </row>
    <row r="395" spans="1:17" s="7" customFormat="1" x14ac:dyDescent="0.2">
      <c r="A395" s="542"/>
      <c r="B395" s="374"/>
      <c r="C395" s="374"/>
      <c r="D395" s="266"/>
      <c r="E395" s="374"/>
      <c r="F395" s="376"/>
      <c r="G395" s="376"/>
      <c r="H395" s="57"/>
      <c r="I395" s="552"/>
      <c r="J395" s="8"/>
      <c r="K395" s="8"/>
      <c r="L395" s="8"/>
      <c r="M395" s="8"/>
      <c r="N395" s="8"/>
      <c r="O395" s="8"/>
      <c r="P395" s="8"/>
      <c r="Q395" s="8"/>
    </row>
    <row r="396" spans="1:17" s="7" customFormat="1" x14ac:dyDescent="0.2">
      <c r="A396" s="542"/>
      <c r="B396" s="374"/>
      <c r="C396" s="374"/>
      <c r="D396" s="266"/>
      <c r="E396" s="374"/>
      <c r="F396" s="376"/>
      <c r="G396" s="376"/>
      <c r="H396" s="57"/>
      <c r="I396" s="552"/>
      <c r="J396" s="8"/>
      <c r="K396" s="8"/>
      <c r="L396" s="8"/>
      <c r="M396" s="8"/>
      <c r="N396" s="8"/>
      <c r="O396" s="8"/>
      <c r="P396" s="8"/>
      <c r="Q396" s="8"/>
    </row>
    <row r="397" spans="1:17" s="7" customFormat="1" x14ac:dyDescent="0.2">
      <c r="A397" s="542"/>
      <c r="B397" s="374"/>
      <c r="C397" s="374"/>
      <c r="D397" s="266"/>
      <c r="E397" s="374"/>
      <c r="F397" s="376"/>
      <c r="G397" s="376"/>
      <c r="H397" s="57"/>
      <c r="I397" s="552"/>
      <c r="J397" s="8"/>
      <c r="K397" s="8"/>
      <c r="L397" s="8"/>
      <c r="M397" s="8"/>
      <c r="N397" s="8"/>
      <c r="O397" s="8"/>
      <c r="P397" s="8"/>
      <c r="Q397" s="8"/>
    </row>
    <row r="398" spans="1:17" s="7" customFormat="1" x14ac:dyDescent="0.2">
      <c r="A398" s="542"/>
      <c r="B398" s="374"/>
      <c r="C398" s="374"/>
      <c r="D398" s="266"/>
      <c r="E398" s="374"/>
      <c r="F398" s="376"/>
      <c r="G398" s="376"/>
      <c r="H398" s="57"/>
      <c r="I398" s="552"/>
      <c r="J398" s="8"/>
      <c r="K398" s="8"/>
      <c r="L398" s="8"/>
      <c r="M398" s="8"/>
      <c r="N398" s="8"/>
      <c r="O398" s="8"/>
      <c r="P398" s="8"/>
      <c r="Q398" s="8"/>
    </row>
    <row r="399" spans="1:17" s="7" customFormat="1" x14ac:dyDescent="0.2">
      <c r="A399" s="542"/>
      <c r="B399" s="374"/>
      <c r="C399" s="374"/>
      <c r="D399" s="266"/>
      <c r="E399" s="374"/>
      <c r="F399" s="376"/>
      <c r="G399" s="376"/>
      <c r="H399" s="57"/>
      <c r="I399" s="552"/>
      <c r="J399" s="8"/>
      <c r="K399" s="8"/>
      <c r="L399" s="8"/>
      <c r="M399" s="8"/>
      <c r="N399" s="8"/>
      <c r="O399" s="8"/>
      <c r="P399" s="8"/>
      <c r="Q399" s="8"/>
    </row>
    <row r="400" spans="1:17" s="7" customFormat="1" x14ac:dyDescent="0.2">
      <c r="A400" s="542"/>
      <c r="B400" s="374"/>
      <c r="C400" s="374"/>
      <c r="D400" s="266"/>
      <c r="E400" s="374"/>
      <c r="F400" s="376"/>
      <c r="G400" s="376"/>
      <c r="H400" s="57"/>
      <c r="I400" s="552"/>
      <c r="J400" s="8"/>
      <c r="K400" s="8"/>
      <c r="L400" s="8"/>
      <c r="M400" s="8"/>
      <c r="N400" s="8"/>
      <c r="O400" s="8"/>
      <c r="P400" s="8"/>
      <c r="Q400" s="8"/>
    </row>
    <row r="401" spans="1:17" s="7" customFormat="1" x14ac:dyDescent="0.2">
      <c r="A401" s="542"/>
      <c r="B401" s="374"/>
      <c r="C401" s="374"/>
      <c r="D401" s="266"/>
      <c r="E401" s="374"/>
      <c r="F401" s="376"/>
      <c r="G401" s="376"/>
      <c r="H401" s="57"/>
      <c r="I401" s="552"/>
      <c r="J401" s="8"/>
      <c r="K401" s="8"/>
      <c r="L401" s="8"/>
      <c r="M401" s="8"/>
      <c r="N401" s="8"/>
      <c r="O401" s="8"/>
      <c r="P401" s="8"/>
      <c r="Q401" s="8"/>
    </row>
    <row r="402" spans="1:17" s="7" customFormat="1" x14ac:dyDescent="0.2">
      <c r="A402" s="542"/>
      <c r="B402" s="374"/>
      <c r="C402" s="374"/>
      <c r="D402" s="266"/>
      <c r="E402" s="374"/>
      <c r="F402" s="376"/>
      <c r="G402" s="376"/>
      <c r="H402" s="57"/>
      <c r="I402" s="552"/>
      <c r="J402" s="8"/>
      <c r="K402" s="8"/>
      <c r="L402" s="8"/>
      <c r="M402" s="8"/>
      <c r="N402" s="8"/>
      <c r="O402" s="8"/>
      <c r="P402" s="8"/>
      <c r="Q402" s="8"/>
    </row>
    <row r="403" spans="1:17" s="7" customFormat="1" x14ac:dyDescent="0.2">
      <c r="A403" s="542"/>
      <c r="B403" s="374"/>
      <c r="C403" s="374"/>
      <c r="D403" s="266"/>
      <c r="E403" s="374"/>
      <c r="F403" s="376"/>
      <c r="G403" s="376"/>
      <c r="H403" s="57"/>
      <c r="I403" s="552"/>
      <c r="J403" s="8"/>
      <c r="K403" s="8"/>
      <c r="L403" s="8"/>
      <c r="M403" s="8"/>
      <c r="N403" s="8"/>
      <c r="O403" s="8"/>
      <c r="P403" s="8"/>
      <c r="Q403" s="8"/>
    </row>
    <row r="404" spans="1:17" s="7" customFormat="1" x14ac:dyDescent="0.2">
      <c r="A404" s="542"/>
      <c r="B404" s="374"/>
      <c r="C404" s="374"/>
      <c r="D404" s="266"/>
      <c r="E404" s="374"/>
      <c r="F404" s="376"/>
      <c r="G404" s="376"/>
      <c r="H404" s="57"/>
      <c r="I404" s="552"/>
      <c r="J404" s="8"/>
      <c r="K404" s="8"/>
      <c r="L404" s="8"/>
      <c r="M404" s="8"/>
      <c r="N404" s="8"/>
      <c r="O404" s="8"/>
      <c r="P404" s="8"/>
      <c r="Q404" s="8"/>
    </row>
    <row r="405" spans="1:17" s="7" customFormat="1" x14ac:dyDescent="0.2">
      <c r="A405" s="542"/>
      <c r="B405" s="374"/>
      <c r="C405" s="374"/>
      <c r="D405" s="266"/>
      <c r="E405" s="374"/>
      <c r="F405" s="376"/>
      <c r="G405" s="376"/>
      <c r="H405" s="57"/>
      <c r="I405" s="552"/>
      <c r="J405" s="8"/>
      <c r="K405" s="8"/>
      <c r="L405" s="8"/>
      <c r="M405" s="8"/>
      <c r="N405" s="8"/>
      <c r="O405" s="8"/>
      <c r="P405" s="8"/>
      <c r="Q405" s="8"/>
    </row>
    <row r="406" spans="1:17" s="7" customFormat="1" x14ac:dyDescent="0.2">
      <c r="A406" s="542"/>
      <c r="B406" s="374"/>
      <c r="C406" s="374"/>
      <c r="D406" s="266"/>
      <c r="E406" s="374"/>
      <c r="F406" s="376"/>
      <c r="G406" s="376"/>
      <c r="H406" s="57"/>
      <c r="I406" s="552"/>
      <c r="J406" s="8"/>
      <c r="K406" s="8"/>
      <c r="L406" s="8"/>
      <c r="M406" s="8"/>
      <c r="N406" s="8"/>
      <c r="O406" s="8"/>
      <c r="P406" s="8"/>
      <c r="Q406" s="8"/>
    </row>
    <row r="407" spans="1:17" s="7" customFormat="1" x14ac:dyDescent="0.2">
      <c r="A407" s="542"/>
      <c r="B407" s="374"/>
      <c r="C407" s="374"/>
      <c r="D407" s="266"/>
      <c r="E407" s="374"/>
      <c r="F407" s="376"/>
      <c r="G407" s="376"/>
      <c r="H407" s="57"/>
      <c r="I407" s="552"/>
      <c r="J407" s="8"/>
      <c r="K407" s="8"/>
      <c r="L407" s="8"/>
      <c r="M407" s="8"/>
      <c r="N407" s="8"/>
      <c r="O407" s="8"/>
      <c r="P407" s="8"/>
      <c r="Q407" s="8"/>
    </row>
    <row r="408" spans="1:17" s="7" customFormat="1" x14ac:dyDescent="0.2">
      <c r="A408" s="542"/>
      <c r="B408" s="374"/>
      <c r="C408" s="374"/>
      <c r="D408" s="266"/>
      <c r="E408" s="374"/>
      <c r="F408" s="376"/>
      <c r="G408" s="376"/>
      <c r="H408" s="57"/>
      <c r="I408" s="552"/>
      <c r="J408" s="8"/>
      <c r="K408" s="8"/>
      <c r="L408" s="8"/>
      <c r="M408" s="8"/>
      <c r="N408" s="8"/>
      <c r="O408" s="8"/>
      <c r="P408" s="8"/>
      <c r="Q408" s="8"/>
    </row>
    <row r="409" spans="1:17" s="7" customFormat="1" x14ac:dyDescent="0.2">
      <c r="A409" s="542"/>
      <c r="B409" s="374"/>
      <c r="C409" s="374"/>
      <c r="D409" s="266"/>
      <c r="E409" s="374"/>
      <c r="F409" s="376"/>
      <c r="G409" s="376"/>
      <c r="H409" s="57"/>
      <c r="I409" s="552"/>
      <c r="J409" s="8"/>
      <c r="K409" s="8"/>
      <c r="L409" s="8"/>
      <c r="M409" s="8"/>
      <c r="N409" s="8"/>
      <c r="O409" s="8"/>
      <c r="P409" s="8"/>
      <c r="Q409" s="8"/>
    </row>
    <row r="410" spans="1:17" s="7" customFormat="1" x14ac:dyDescent="0.2">
      <c r="A410" s="542"/>
      <c r="B410" s="374"/>
      <c r="C410" s="374"/>
      <c r="D410" s="266"/>
      <c r="E410" s="374"/>
      <c r="F410" s="376"/>
      <c r="G410" s="376"/>
      <c r="H410" s="57"/>
      <c r="I410" s="552"/>
      <c r="J410" s="8"/>
      <c r="K410" s="8"/>
      <c r="L410" s="8"/>
      <c r="M410" s="8"/>
      <c r="N410" s="8"/>
      <c r="O410" s="8"/>
      <c r="P410" s="8"/>
      <c r="Q410" s="8"/>
    </row>
    <row r="411" spans="1:17" ht="15.95" customHeight="1" x14ac:dyDescent="0.2">
      <c r="A411" s="293"/>
      <c r="B411" s="294"/>
      <c r="C411" s="294"/>
      <c r="D411" s="295"/>
      <c r="E411" s="294"/>
      <c r="F411" s="296"/>
      <c r="G411" s="296"/>
      <c r="H411" s="296"/>
      <c r="I411" s="297"/>
      <c r="J411" s="5"/>
      <c r="K411" s="5"/>
      <c r="L411" s="5"/>
      <c r="M411" s="5"/>
      <c r="N411" s="5"/>
      <c r="O411" s="5"/>
      <c r="P411" s="5"/>
      <c r="Q411" s="5"/>
    </row>
    <row r="412" spans="1:17" ht="15.95" customHeight="1" thickBot="1" x14ac:dyDescent="0.25">
      <c r="J412" s="5"/>
      <c r="K412" s="5"/>
      <c r="L412" s="304">
        <f>I413</f>
        <v>655604</v>
      </c>
      <c r="M412" s="5"/>
      <c r="N412" s="5"/>
      <c r="O412" s="5"/>
      <c r="P412" s="5"/>
      <c r="Q412" s="5"/>
    </row>
    <row r="413" spans="1:17" ht="15.95" customHeight="1" thickTop="1" thickBot="1" x14ac:dyDescent="0.25">
      <c r="H413" s="301" t="s">
        <v>775</v>
      </c>
      <c r="I413" s="302">
        <f>I61</f>
        <v>655604</v>
      </c>
      <c r="J413" s="5"/>
      <c r="K413" s="5"/>
      <c r="L413" s="5"/>
      <c r="M413" s="5"/>
      <c r="N413" s="5"/>
      <c r="O413" s="5"/>
      <c r="P413" s="5"/>
      <c r="Q413" s="5"/>
    </row>
    <row r="414" spans="1:17" ht="15.95" customHeight="1" thickTop="1" thickBot="1" x14ac:dyDescent="0.25">
      <c r="J414" s="5"/>
      <c r="K414" s="5"/>
      <c r="L414" s="303" t="e">
        <f>I415/1.18</f>
        <v>#REF!</v>
      </c>
      <c r="M414" s="5"/>
      <c r="N414" s="5"/>
      <c r="O414" s="5"/>
      <c r="P414" s="5"/>
      <c r="Q414" s="5"/>
    </row>
    <row r="415" spans="1:17" ht="15.95" customHeight="1" thickTop="1" thickBot="1" x14ac:dyDescent="0.25">
      <c r="H415" s="301" t="s">
        <v>773</v>
      </c>
      <c r="I415" s="302" t="e">
        <f>I248+I269+I295+I313+I314+I348+I371+I218+I220+I149+#REF!+I151+I164+I123</f>
        <v>#REF!</v>
      </c>
      <c r="J415" s="5"/>
      <c r="K415" s="5"/>
      <c r="L415" s="5"/>
      <c r="M415" s="5"/>
      <c r="N415" s="5"/>
      <c r="O415" s="5"/>
      <c r="P415" s="5"/>
      <c r="Q415" s="5"/>
    </row>
    <row r="416" spans="1:17" ht="15.95" customHeight="1" thickTop="1" thickBot="1" x14ac:dyDescent="0.25">
      <c r="J416" s="5"/>
      <c r="K416" s="5"/>
      <c r="L416" s="303" t="e">
        <f>I417/1.28</f>
        <v>#REF!</v>
      </c>
      <c r="M416" s="5"/>
      <c r="N416" s="5"/>
      <c r="O416" s="5"/>
      <c r="P416" s="5"/>
      <c r="Q416" s="5"/>
    </row>
    <row r="417" spans="8:17" ht="15.95" customHeight="1" thickTop="1" thickBot="1" x14ac:dyDescent="0.25">
      <c r="H417" s="301" t="s">
        <v>774</v>
      </c>
      <c r="I417" s="302" t="e">
        <f>I44-I413-I415</f>
        <v>#REF!</v>
      </c>
      <c r="J417" s="5"/>
      <c r="K417" s="5"/>
      <c r="L417" s="5"/>
      <c r="M417" s="5"/>
      <c r="N417" s="5"/>
      <c r="O417" s="5"/>
      <c r="P417" s="5"/>
      <c r="Q417" s="5"/>
    </row>
    <row r="418" spans="8:17" ht="15.95" customHeight="1" thickTop="1" x14ac:dyDescent="0.2">
      <c r="J418" s="5"/>
      <c r="K418" s="5"/>
      <c r="L418" s="5"/>
      <c r="M418" s="5"/>
      <c r="N418" s="5"/>
      <c r="O418" s="5"/>
      <c r="P418" s="5"/>
      <c r="Q418" s="5"/>
    </row>
    <row r="419" spans="8:17" ht="15.95" customHeight="1" x14ac:dyDescent="0.2">
      <c r="J419" s="5"/>
      <c r="K419" s="5"/>
      <c r="L419" s="304" t="e">
        <f>SUM(L412:L418)</f>
        <v>#REF!</v>
      </c>
      <c r="M419" s="5"/>
      <c r="N419" s="5"/>
      <c r="O419" s="5"/>
      <c r="P419" s="5"/>
      <c r="Q419" s="5"/>
    </row>
    <row r="420" spans="8:17" ht="15.95" customHeight="1" x14ac:dyDescent="0.2">
      <c r="J420" s="5"/>
      <c r="K420" s="5"/>
      <c r="L420" s="5"/>
      <c r="M420" s="5"/>
      <c r="N420" s="5"/>
      <c r="O420" s="5"/>
      <c r="P420" s="5"/>
      <c r="Q420" s="5"/>
    </row>
    <row r="421" spans="8:17" ht="15.95" customHeight="1" x14ac:dyDescent="0.2">
      <c r="J421" s="5"/>
      <c r="K421" s="5"/>
      <c r="L421" s="5"/>
      <c r="M421" s="5"/>
      <c r="N421" s="5"/>
      <c r="O421" s="5"/>
      <c r="P421" s="5"/>
      <c r="Q421" s="5"/>
    </row>
    <row r="422" spans="8:17" ht="15.95" customHeight="1" x14ac:dyDescent="0.2">
      <c r="J422" s="5"/>
      <c r="K422" s="5"/>
      <c r="L422" s="5"/>
      <c r="M422" s="5"/>
      <c r="N422" s="5"/>
      <c r="O422" s="5"/>
      <c r="P422" s="5"/>
      <c r="Q422" s="5"/>
    </row>
    <row r="423" spans="8:17" ht="15.95" customHeight="1" x14ac:dyDescent="0.2">
      <c r="J423" s="5"/>
      <c r="K423" s="5"/>
      <c r="L423" s="5"/>
      <c r="M423" s="5"/>
      <c r="N423" s="5"/>
      <c r="O423" s="5"/>
      <c r="P423" s="5"/>
      <c r="Q423" s="5"/>
    </row>
    <row r="424" spans="8:17" ht="15.95" customHeight="1" x14ac:dyDescent="0.2">
      <c r="J424" s="5"/>
      <c r="K424" s="5"/>
      <c r="L424" s="5"/>
      <c r="M424" s="5"/>
      <c r="N424" s="5"/>
      <c r="O424" s="5"/>
      <c r="P424" s="5"/>
      <c r="Q424" s="5"/>
    </row>
    <row r="425" spans="8:17" ht="15.95" customHeight="1" x14ac:dyDescent="0.2">
      <c r="J425" s="5"/>
      <c r="K425" s="5"/>
      <c r="L425" s="5"/>
      <c r="M425" s="5"/>
      <c r="N425" s="5"/>
      <c r="O425" s="5"/>
      <c r="P425" s="5"/>
      <c r="Q425" s="5"/>
    </row>
    <row r="426" spans="8:17" ht="15.95" customHeight="1" x14ac:dyDescent="0.2">
      <c r="J426" s="5"/>
      <c r="K426" s="5"/>
      <c r="L426" s="5"/>
      <c r="M426" s="5"/>
      <c r="N426" s="5"/>
      <c r="O426" s="5"/>
      <c r="P426" s="5"/>
      <c r="Q426" s="5"/>
    </row>
    <row r="427" spans="8:17" ht="15.95" customHeight="1" x14ac:dyDescent="0.2">
      <c r="J427" s="5"/>
      <c r="K427" s="5"/>
      <c r="L427" s="5"/>
      <c r="M427" s="5"/>
      <c r="N427" s="5"/>
      <c r="O427" s="5"/>
      <c r="P427" s="5"/>
      <c r="Q427" s="5"/>
    </row>
    <row r="428" spans="8:17" ht="15.95" customHeight="1" x14ac:dyDescent="0.2">
      <c r="J428" s="5"/>
      <c r="K428" s="5"/>
      <c r="L428" s="5"/>
      <c r="M428" s="5"/>
      <c r="N428" s="5"/>
      <c r="O428" s="5"/>
      <c r="P428" s="5"/>
      <c r="Q428" s="5"/>
    </row>
    <row r="429" spans="8:17" ht="15.95" customHeight="1" x14ac:dyDescent="0.2">
      <c r="J429" s="5"/>
      <c r="K429" s="5"/>
      <c r="L429" s="5"/>
      <c r="M429" s="5"/>
      <c r="N429" s="5"/>
      <c r="O429" s="5"/>
      <c r="P429" s="5"/>
      <c r="Q429" s="5"/>
    </row>
    <row r="430" spans="8:17" ht="15.95" customHeight="1" x14ac:dyDescent="0.2">
      <c r="J430" s="5"/>
      <c r="K430" s="5"/>
      <c r="L430" s="5"/>
      <c r="M430" s="5"/>
      <c r="N430" s="5"/>
      <c r="O430" s="5"/>
      <c r="P430" s="5"/>
      <c r="Q430" s="5"/>
    </row>
    <row r="431" spans="8:17" ht="15.95" customHeight="1" x14ac:dyDescent="0.2">
      <c r="J431" s="5"/>
      <c r="K431" s="5"/>
      <c r="L431" s="5"/>
      <c r="M431" s="5"/>
      <c r="N431" s="5"/>
      <c r="O431" s="5"/>
      <c r="P431" s="5"/>
      <c r="Q431" s="5"/>
    </row>
    <row r="432" spans="8:17" ht="15.95" customHeight="1" x14ac:dyDescent="0.2">
      <c r="J432" s="5"/>
      <c r="K432" s="5"/>
      <c r="L432" s="5"/>
      <c r="M432" s="5"/>
      <c r="N432" s="5"/>
      <c r="O432" s="5"/>
      <c r="P432" s="5"/>
      <c r="Q432" s="5"/>
    </row>
    <row r="433" spans="10:17" ht="15.95" customHeight="1" x14ac:dyDescent="0.2">
      <c r="J433" s="5"/>
      <c r="K433" s="5"/>
      <c r="L433" s="5"/>
      <c r="M433" s="5"/>
      <c r="N433" s="5"/>
      <c r="O433" s="5"/>
      <c r="P433" s="5"/>
      <c r="Q433" s="5"/>
    </row>
    <row r="434" spans="10:17" ht="15.95" customHeight="1" x14ac:dyDescent="0.2">
      <c r="J434" s="5"/>
      <c r="K434" s="5"/>
      <c r="L434" s="5"/>
      <c r="M434" s="5"/>
      <c r="N434" s="5"/>
      <c r="O434" s="5"/>
      <c r="P434" s="5"/>
      <c r="Q434" s="5"/>
    </row>
    <row r="435" spans="10:17" ht="15.95" customHeight="1" x14ac:dyDescent="0.2">
      <c r="J435" s="5"/>
      <c r="K435" s="5"/>
      <c r="L435" s="5"/>
      <c r="M435" s="5"/>
      <c r="N435" s="5"/>
      <c r="O435" s="5"/>
      <c r="P435" s="5"/>
      <c r="Q435" s="5"/>
    </row>
    <row r="436" spans="10:17" ht="15.95" customHeight="1" x14ac:dyDescent="0.2">
      <c r="J436" s="5"/>
      <c r="K436" s="5"/>
      <c r="L436" s="5"/>
      <c r="M436" s="5"/>
      <c r="N436" s="5"/>
      <c r="O436" s="5"/>
      <c r="P436" s="5"/>
      <c r="Q436" s="5"/>
    </row>
    <row r="437" spans="10:17" ht="15.95" customHeight="1" x14ac:dyDescent="0.2">
      <c r="J437" s="5"/>
      <c r="K437" s="5"/>
      <c r="L437" s="5"/>
      <c r="M437" s="5"/>
      <c r="N437" s="5"/>
      <c r="O437" s="5"/>
      <c r="P437" s="5"/>
      <c r="Q437" s="5"/>
    </row>
    <row r="438" spans="10:17" ht="15.95" customHeight="1" x14ac:dyDescent="0.2">
      <c r="J438" s="5"/>
      <c r="K438" s="5"/>
      <c r="L438" s="5"/>
      <c r="M438" s="5"/>
      <c r="N438" s="5"/>
      <c r="O438" s="5"/>
      <c r="P438" s="5"/>
      <c r="Q438" s="5"/>
    </row>
    <row r="439" spans="10:17" ht="15.95" customHeight="1" x14ac:dyDescent="0.2">
      <c r="J439" s="5"/>
      <c r="K439" s="5"/>
      <c r="L439" s="5"/>
      <c r="M439" s="5"/>
      <c r="N439" s="5"/>
      <c r="O439" s="5"/>
      <c r="P439" s="5"/>
      <c r="Q439" s="5"/>
    </row>
    <row r="440" spans="10:17" ht="15.95" customHeight="1" x14ac:dyDescent="0.2">
      <c r="J440" s="5"/>
      <c r="K440" s="5"/>
      <c r="L440" s="5"/>
      <c r="M440" s="5"/>
      <c r="N440" s="5"/>
      <c r="O440" s="5"/>
      <c r="P440" s="5"/>
      <c r="Q440" s="5"/>
    </row>
    <row r="441" spans="10:17" ht="15.95" customHeight="1" x14ac:dyDescent="0.2">
      <c r="J441" s="5"/>
      <c r="K441" s="5"/>
      <c r="L441" s="5"/>
      <c r="M441" s="5"/>
      <c r="N441" s="5"/>
      <c r="O441" s="5"/>
      <c r="P441" s="5"/>
      <c r="Q441" s="5"/>
    </row>
    <row r="442" spans="10:17" x14ac:dyDescent="0.2">
      <c r="J442" s="5"/>
      <c r="K442" s="5"/>
      <c r="L442" s="5"/>
      <c r="M442" s="5"/>
      <c r="N442" s="5"/>
      <c r="O442" s="5"/>
      <c r="P442" s="5"/>
      <c r="Q442" s="5"/>
    </row>
    <row r="443" spans="10:17" x14ac:dyDescent="0.2">
      <c r="J443" s="5"/>
      <c r="K443" s="5"/>
      <c r="L443" s="5"/>
      <c r="M443" s="5"/>
      <c r="N443" s="5"/>
      <c r="O443" s="5"/>
      <c r="P443" s="5"/>
      <c r="Q443" s="5"/>
    </row>
    <row r="444" spans="10:17" x14ac:dyDescent="0.2">
      <c r="J444" s="5"/>
      <c r="K444" s="5"/>
      <c r="L444" s="5"/>
      <c r="M444" s="5"/>
      <c r="N444" s="5"/>
      <c r="O444" s="5"/>
      <c r="P444" s="5"/>
      <c r="Q444" s="5"/>
    </row>
    <row r="445" spans="10:17" x14ac:dyDescent="0.2">
      <c r="J445" s="5"/>
      <c r="K445" s="5"/>
      <c r="L445" s="5"/>
      <c r="M445" s="5"/>
      <c r="N445" s="5"/>
      <c r="O445" s="5"/>
      <c r="P445" s="5"/>
      <c r="Q445" s="5"/>
    </row>
    <row r="446" spans="10:17" x14ac:dyDescent="0.2">
      <c r="J446" s="5"/>
      <c r="K446" s="5"/>
      <c r="L446" s="5"/>
      <c r="M446" s="5"/>
      <c r="N446" s="5"/>
      <c r="O446" s="5"/>
      <c r="P446" s="5"/>
      <c r="Q446" s="5"/>
    </row>
    <row r="447" spans="10:17" x14ac:dyDescent="0.2">
      <c r="J447" s="5"/>
      <c r="K447" s="5"/>
      <c r="L447" s="5"/>
      <c r="M447" s="5"/>
      <c r="N447" s="5"/>
      <c r="O447" s="5"/>
      <c r="P447" s="5"/>
      <c r="Q447" s="5"/>
    </row>
    <row r="448" spans="10:17" x14ac:dyDescent="0.2">
      <c r="J448" s="5"/>
      <c r="K448" s="5"/>
      <c r="L448" s="5"/>
      <c r="M448" s="5"/>
      <c r="N448" s="5"/>
      <c r="O448" s="5"/>
      <c r="P448" s="5"/>
      <c r="Q448" s="5"/>
    </row>
    <row r="449" spans="10:17" x14ac:dyDescent="0.2">
      <c r="J449" s="5"/>
      <c r="K449" s="5"/>
      <c r="L449" s="5"/>
      <c r="M449" s="5"/>
      <c r="N449" s="5"/>
      <c r="O449" s="5"/>
      <c r="P449" s="5"/>
      <c r="Q449" s="5"/>
    </row>
    <row r="450" spans="10:17" x14ac:dyDescent="0.2">
      <c r="J450" s="5"/>
      <c r="K450" s="5"/>
      <c r="L450" s="5"/>
      <c r="M450" s="5"/>
      <c r="N450" s="5"/>
      <c r="O450" s="5"/>
      <c r="P450" s="5"/>
      <c r="Q450" s="5"/>
    </row>
    <row r="451" spans="10:17" x14ac:dyDescent="0.2">
      <c r="J451" s="5"/>
      <c r="K451" s="5"/>
      <c r="L451" s="5"/>
      <c r="M451" s="5"/>
      <c r="N451" s="5"/>
      <c r="O451" s="5"/>
      <c r="P451" s="5"/>
      <c r="Q451" s="5"/>
    </row>
    <row r="452" spans="10:17" x14ac:dyDescent="0.2">
      <c r="J452" s="5"/>
      <c r="K452" s="5"/>
      <c r="L452" s="5"/>
      <c r="M452" s="5"/>
      <c r="N452" s="5"/>
      <c r="O452" s="5"/>
      <c r="P452" s="5"/>
      <c r="Q452" s="5"/>
    </row>
    <row r="453" spans="10:17" x14ac:dyDescent="0.2">
      <c r="J453" s="5"/>
      <c r="K453" s="5"/>
      <c r="L453" s="5"/>
      <c r="M453" s="5"/>
      <c r="N453" s="5"/>
      <c r="O453" s="5"/>
      <c r="P453" s="5"/>
      <c r="Q453" s="5"/>
    </row>
    <row r="454" spans="10:17" x14ac:dyDescent="0.2">
      <c r="J454" s="5"/>
      <c r="K454" s="5"/>
      <c r="L454" s="5"/>
      <c r="M454" s="5"/>
      <c r="N454" s="5"/>
      <c r="O454" s="5"/>
      <c r="P454" s="5"/>
      <c r="Q454" s="5"/>
    </row>
    <row r="455" spans="10:17" x14ac:dyDescent="0.2">
      <c r="J455" s="5"/>
      <c r="K455" s="5"/>
      <c r="L455" s="5"/>
      <c r="M455" s="5"/>
      <c r="N455" s="5"/>
      <c r="O455" s="5"/>
      <c r="P455" s="5"/>
      <c r="Q455" s="5"/>
    </row>
    <row r="456" spans="10:17" x14ac:dyDescent="0.2">
      <c r="J456" s="5"/>
      <c r="K456" s="5"/>
      <c r="L456" s="5"/>
      <c r="M456" s="5"/>
      <c r="N456" s="5"/>
      <c r="O456" s="5"/>
      <c r="P456" s="5"/>
      <c r="Q456" s="5"/>
    </row>
    <row r="457" spans="10:17" x14ac:dyDescent="0.2">
      <c r="J457" s="5"/>
      <c r="K457" s="5"/>
      <c r="L457" s="5"/>
      <c r="M457" s="5"/>
      <c r="N457" s="5"/>
      <c r="O457" s="5"/>
      <c r="P457" s="5"/>
      <c r="Q457" s="5"/>
    </row>
    <row r="458" spans="10:17" x14ac:dyDescent="0.2">
      <c r="J458" s="5"/>
      <c r="K458" s="5"/>
      <c r="L458" s="5"/>
      <c r="M458" s="5"/>
      <c r="N458" s="5"/>
      <c r="O458" s="5"/>
      <c r="P458" s="5"/>
      <c r="Q458" s="5"/>
    </row>
    <row r="459" spans="10:17" x14ac:dyDescent="0.2">
      <c r="J459" s="5"/>
      <c r="K459" s="5"/>
      <c r="L459" s="5"/>
      <c r="M459" s="5"/>
      <c r="N459" s="5"/>
      <c r="O459" s="5"/>
      <c r="P459" s="5"/>
      <c r="Q459" s="5"/>
    </row>
    <row r="460" spans="10:17" x14ac:dyDescent="0.2">
      <c r="J460" s="5"/>
      <c r="K460" s="5"/>
      <c r="L460" s="5"/>
      <c r="M460" s="5"/>
      <c r="N460" s="5"/>
      <c r="O460" s="5"/>
      <c r="P460" s="5"/>
      <c r="Q460" s="5"/>
    </row>
    <row r="461" spans="10:17" x14ac:dyDescent="0.2">
      <c r="J461" s="5"/>
      <c r="K461" s="5"/>
      <c r="L461" s="5"/>
      <c r="M461" s="5"/>
      <c r="N461" s="5"/>
      <c r="O461" s="5"/>
      <c r="P461" s="5"/>
      <c r="Q461" s="5"/>
    </row>
    <row r="462" spans="10:17" x14ac:dyDescent="0.2">
      <c r="J462" s="5"/>
      <c r="K462" s="5"/>
      <c r="L462" s="5"/>
      <c r="M462" s="5"/>
      <c r="N462" s="5"/>
      <c r="O462" s="5"/>
      <c r="P462" s="5"/>
      <c r="Q462" s="5"/>
    </row>
    <row r="463" spans="10:17" x14ac:dyDescent="0.2">
      <c r="J463" s="5"/>
      <c r="K463" s="5"/>
      <c r="L463" s="5"/>
      <c r="M463" s="5"/>
      <c r="N463" s="5"/>
      <c r="O463" s="5"/>
      <c r="P463" s="5"/>
      <c r="Q463" s="5"/>
    </row>
    <row r="464" spans="10:17" x14ac:dyDescent="0.2">
      <c r="J464" s="5"/>
      <c r="K464" s="5"/>
      <c r="L464" s="5"/>
      <c r="M464" s="5"/>
      <c r="N464" s="5"/>
      <c r="O464" s="5"/>
      <c r="P464" s="5"/>
      <c r="Q464" s="5"/>
    </row>
    <row r="465" spans="10:17" x14ac:dyDescent="0.2">
      <c r="J465" s="5"/>
      <c r="K465" s="5"/>
      <c r="L465" s="5"/>
      <c r="M465" s="5"/>
      <c r="N465" s="5"/>
      <c r="O465" s="5"/>
      <c r="P465" s="5"/>
      <c r="Q465" s="5"/>
    </row>
    <row r="466" spans="10:17" x14ac:dyDescent="0.2">
      <c r="J466" s="5"/>
      <c r="K466" s="5"/>
      <c r="L466" s="5"/>
      <c r="M466" s="5"/>
      <c r="N466" s="5"/>
      <c r="O466" s="5"/>
      <c r="P466" s="5"/>
      <c r="Q466" s="5"/>
    </row>
    <row r="467" spans="10:17" x14ac:dyDescent="0.2">
      <c r="J467" s="5"/>
      <c r="K467" s="5"/>
      <c r="L467" s="5"/>
      <c r="M467" s="5"/>
      <c r="N467" s="5"/>
      <c r="O467" s="5"/>
      <c r="P467" s="5"/>
      <c r="Q467" s="5"/>
    </row>
    <row r="468" spans="10:17" x14ac:dyDescent="0.2">
      <c r="J468" s="5"/>
      <c r="K468" s="5"/>
      <c r="L468" s="5"/>
      <c r="M468" s="5"/>
      <c r="N468" s="5"/>
      <c r="O468" s="5"/>
      <c r="P468" s="5"/>
      <c r="Q468" s="5"/>
    </row>
    <row r="469" spans="10:17" x14ac:dyDescent="0.2">
      <c r="J469" s="5"/>
      <c r="K469" s="5"/>
      <c r="L469" s="5"/>
      <c r="M469" s="5"/>
      <c r="N469" s="5"/>
      <c r="O469" s="5"/>
      <c r="P469" s="5"/>
      <c r="Q469" s="5"/>
    </row>
    <row r="470" spans="10:17" x14ac:dyDescent="0.2">
      <c r="J470" s="5"/>
      <c r="K470" s="5"/>
      <c r="L470" s="5"/>
      <c r="M470" s="5"/>
      <c r="N470" s="5"/>
      <c r="O470" s="5"/>
      <c r="P470" s="5"/>
      <c r="Q470" s="5"/>
    </row>
    <row r="471" spans="10:17" x14ac:dyDescent="0.2">
      <c r="J471" s="5"/>
      <c r="K471" s="5"/>
      <c r="L471" s="5"/>
      <c r="M471" s="5"/>
      <c r="N471" s="5"/>
      <c r="O471" s="5"/>
      <c r="P471" s="5"/>
      <c r="Q471" s="5"/>
    </row>
    <row r="472" spans="10:17" x14ac:dyDescent="0.2">
      <c r="J472" s="5"/>
      <c r="K472" s="5"/>
      <c r="L472" s="5"/>
      <c r="M472" s="5"/>
      <c r="N472" s="5"/>
      <c r="O472" s="5"/>
      <c r="P472" s="5"/>
      <c r="Q472" s="5"/>
    </row>
    <row r="473" spans="10:17" x14ac:dyDescent="0.2">
      <c r="J473" s="5"/>
      <c r="K473" s="5"/>
      <c r="L473" s="5"/>
      <c r="M473" s="5"/>
      <c r="N473" s="5"/>
      <c r="O473" s="5"/>
      <c r="P473" s="5"/>
      <c r="Q473" s="5"/>
    </row>
    <row r="474" spans="10:17" x14ac:dyDescent="0.2">
      <c r="J474" s="5"/>
      <c r="K474" s="5"/>
      <c r="L474" s="5"/>
      <c r="M474" s="5"/>
      <c r="N474" s="5"/>
      <c r="O474" s="5"/>
      <c r="P474" s="5"/>
      <c r="Q474" s="5"/>
    </row>
    <row r="475" spans="10:17" x14ac:dyDescent="0.2">
      <c r="J475" s="5"/>
      <c r="K475" s="5"/>
      <c r="L475" s="5"/>
      <c r="M475" s="5"/>
      <c r="N475" s="5"/>
      <c r="O475" s="5"/>
      <c r="P475" s="5"/>
      <c r="Q475" s="5"/>
    </row>
    <row r="476" spans="10:17" x14ac:dyDescent="0.2">
      <c r="J476" s="5"/>
      <c r="K476" s="5"/>
      <c r="L476" s="5"/>
      <c r="M476" s="5"/>
      <c r="N476" s="5"/>
      <c r="O476" s="5"/>
      <c r="P476" s="5"/>
      <c r="Q476" s="5"/>
    </row>
    <row r="477" spans="10:17" x14ac:dyDescent="0.2">
      <c r="J477" s="5"/>
      <c r="K477" s="5"/>
      <c r="L477" s="5"/>
      <c r="M477" s="5"/>
      <c r="N477" s="5"/>
      <c r="O477" s="5"/>
      <c r="P477" s="5"/>
      <c r="Q477" s="5"/>
    </row>
    <row r="478" spans="10:17" x14ac:dyDescent="0.2">
      <c r="J478" s="5"/>
      <c r="K478" s="5"/>
      <c r="L478" s="5"/>
      <c r="M478" s="5"/>
      <c r="N478" s="5"/>
      <c r="O478" s="5"/>
      <c r="P478" s="5"/>
      <c r="Q478" s="5"/>
    </row>
    <row r="479" spans="10:17" x14ac:dyDescent="0.2">
      <c r="J479" s="5"/>
      <c r="K479" s="5"/>
      <c r="L479" s="5"/>
      <c r="M479" s="5"/>
      <c r="N479" s="5"/>
      <c r="O479" s="5"/>
      <c r="P479" s="5"/>
      <c r="Q479" s="5"/>
    </row>
    <row r="480" spans="10:17" x14ac:dyDescent="0.2">
      <c r="J480" s="5"/>
      <c r="K480" s="5"/>
      <c r="L480" s="5"/>
      <c r="M480" s="5"/>
      <c r="N480" s="5"/>
      <c r="O480" s="5"/>
      <c r="P480" s="5"/>
      <c r="Q480" s="5"/>
    </row>
    <row r="481" spans="10:17" x14ac:dyDescent="0.2">
      <c r="J481" s="5"/>
      <c r="K481" s="5"/>
      <c r="L481" s="5"/>
      <c r="M481" s="5"/>
      <c r="N481" s="5"/>
      <c r="O481" s="5"/>
      <c r="P481" s="5"/>
      <c r="Q481" s="5"/>
    </row>
    <row r="482" spans="10:17" x14ac:dyDescent="0.2">
      <c r="J482" s="5"/>
      <c r="K482" s="5"/>
      <c r="L482" s="5"/>
      <c r="M482" s="5"/>
      <c r="N482" s="5"/>
      <c r="O482" s="5"/>
      <c r="P482" s="5"/>
      <c r="Q482" s="5"/>
    </row>
    <row r="483" spans="10:17" x14ac:dyDescent="0.2">
      <c r="J483" s="5"/>
      <c r="K483" s="5"/>
      <c r="L483" s="5"/>
      <c r="M483" s="5"/>
      <c r="N483" s="5"/>
      <c r="O483" s="5"/>
      <c r="P483" s="5"/>
      <c r="Q483" s="5"/>
    </row>
    <row r="484" spans="10:17" x14ac:dyDescent="0.2">
      <c r="J484" s="5"/>
      <c r="K484" s="5"/>
      <c r="L484" s="5"/>
      <c r="M484" s="5"/>
      <c r="N484" s="5"/>
      <c r="O484" s="5"/>
      <c r="P484" s="5"/>
      <c r="Q484" s="5"/>
    </row>
    <row r="485" spans="10:17" x14ac:dyDescent="0.2">
      <c r="J485" s="5"/>
      <c r="K485" s="5"/>
      <c r="L485" s="5"/>
      <c r="M485" s="5"/>
      <c r="N485" s="5"/>
      <c r="O485" s="5"/>
      <c r="P485" s="5"/>
      <c r="Q485" s="5"/>
    </row>
    <row r="486" spans="10:17" x14ac:dyDescent="0.2">
      <c r="J486" s="5"/>
      <c r="K486" s="5"/>
      <c r="L486" s="5"/>
      <c r="M486" s="5"/>
      <c r="N486" s="5"/>
      <c r="O486" s="5"/>
      <c r="P486" s="5"/>
      <c r="Q486" s="5"/>
    </row>
    <row r="487" spans="10:17" x14ac:dyDescent="0.2">
      <c r="J487" s="5"/>
      <c r="K487" s="5"/>
      <c r="L487" s="5"/>
      <c r="M487" s="5"/>
      <c r="N487" s="5"/>
      <c r="O487" s="5"/>
      <c r="P487" s="5"/>
      <c r="Q487" s="5"/>
    </row>
    <row r="488" spans="10:17" x14ac:dyDescent="0.2">
      <c r="J488" s="5"/>
      <c r="K488" s="5"/>
      <c r="L488" s="5"/>
      <c r="M488" s="5"/>
      <c r="N488" s="5"/>
      <c r="O488" s="5"/>
      <c r="P488" s="5"/>
      <c r="Q488" s="5"/>
    </row>
    <row r="489" spans="10:17" x14ac:dyDescent="0.2">
      <c r="J489" s="5"/>
      <c r="K489" s="5"/>
      <c r="L489" s="5"/>
      <c r="M489" s="5"/>
      <c r="N489" s="5"/>
      <c r="O489" s="5"/>
      <c r="P489" s="5"/>
      <c r="Q489" s="5"/>
    </row>
    <row r="490" spans="10:17" x14ac:dyDescent="0.2">
      <c r="J490" s="5"/>
      <c r="K490" s="5"/>
      <c r="L490" s="5"/>
      <c r="M490" s="5"/>
      <c r="N490" s="5"/>
      <c r="O490" s="5"/>
      <c r="P490" s="5"/>
      <c r="Q490" s="5"/>
    </row>
    <row r="491" spans="10:17" x14ac:dyDescent="0.2">
      <c r="J491" s="5"/>
      <c r="K491" s="5"/>
      <c r="L491" s="5"/>
      <c r="M491" s="5"/>
      <c r="N491" s="5"/>
      <c r="O491" s="5"/>
      <c r="P491" s="5"/>
      <c r="Q491" s="5"/>
    </row>
    <row r="492" spans="10:17" x14ac:dyDescent="0.2">
      <c r="J492" s="5"/>
      <c r="K492" s="5"/>
      <c r="L492" s="5"/>
      <c r="M492" s="5"/>
      <c r="N492" s="5"/>
      <c r="O492" s="5"/>
      <c r="P492" s="5"/>
      <c r="Q492" s="5"/>
    </row>
    <row r="493" spans="10:17" x14ac:dyDescent="0.2">
      <c r="J493" s="5"/>
      <c r="K493" s="5"/>
      <c r="L493" s="5"/>
      <c r="M493" s="5"/>
      <c r="N493" s="5"/>
      <c r="O493" s="5"/>
      <c r="P493" s="5"/>
      <c r="Q493" s="5"/>
    </row>
    <row r="494" spans="10:17" x14ac:dyDescent="0.2">
      <c r="J494" s="5"/>
      <c r="K494" s="5"/>
      <c r="L494" s="5"/>
      <c r="M494" s="5"/>
      <c r="N494" s="5"/>
      <c r="O494" s="5"/>
      <c r="P494" s="5"/>
      <c r="Q494" s="5"/>
    </row>
    <row r="495" spans="10:17" x14ac:dyDescent="0.2">
      <c r="J495" s="5"/>
      <c r="K495" s="5"/>
      <c r="L495" s="5"/>
      <c r="M495" s="5"/>
      <c r="N495" s="5"/>
      <c r="O495" s="5"/>
      <c r="P495" s="5"/>
      <c r="Q495" s="5"/>
    </row>
    <row r="496" spans="10:17" x14ac:dyDescent="0.2">
      <c r="J496" s="5"/>
      <c r="K496" s="5"/>
      <c r="L496" s="5"/>
      <c r="M496" s="5"/>
      <c r="N496" s="5"/>
      <c r="O496" s="5"/>
      <c r="P496" s="5"/>
      <c r="Q496" s="5"/>
    </row>
    <row r="497" spans="10:17" x14ac:dyDescent="0.2">
      <c r="J497" s="5"/>
      <c r="K497" s="5"/>
      <c r="L497" s="5"/>
      <c r="M497" s="5"/>
      <c r="N497" s="5"/>
      <c r="O497" s="5"/>
      <c r="P497" s="5"/>
      <c r="Q497" s="5"/>
    </row>
    <row r="498" spans="10:17" x14ac:dyDescent="0.2">
      <c r="J498" s="5"/>
      <c r="K498" s="5"/>
      <c r="L498" s="5"/>
      <c r="M498" s="5"/>
      <c r="N498" s="5"/>
      <c r="O498" s="5"/>
      <c r="P498" s="5"/>
      <c r="Q498" s="5"/>
    </row>
    <row r="499" spans="10:17" x14ac:dyDescent="0.2">
      <c r="J499" s="5"/>
      <c r="K499" s="5"/>
      <c r="L499" s="5"/>
      <c r="M499" s="5"/>
      <c r="N499" s="5"/>
      <c r="O499" s="5"/>
      <c r="P499" s="5"/>
      <c r="Q499" s="5"/>
    </row>
    <row r="500" spans="10:17" x14ac:dyDescent="0.2">
      <c r="J500" s="5"/>
      <c r="K500" s="5"/>
      <c r="L500" s="5"/>
      <c r="M500" s="5"/>
      <c r="N500" s="5"/>
      <c r="O500" s="5"/>
      <c r="P500" s="5"/>
      <c r="Q500" s="5"/>
    </row>
    <row r="501" spans="10:17" x14ac:dyDescent="0.2">
      <c r="J501" s="5"/>
      <c r="K501" s="5"/>
      <c r="L501" s="5"/>
      <c r="M501" s="5"/>
      <c r="N501" s="5"/>
      <c r="O501" s="5"/>
      <c r="P501" s="5"/>
      <c r="Q501" s="5"/>
    </row>
    <row r="502" spans="10:17" x14ac:dyDescent="0.2">
      <c r="J502" s="5"/>
      <c r="K502" s="5"/>
      <c r="L502" s="5"/>
      <c r="M502" s="5"/>
      <c r="N502" s="5"/>
      <c r="O502" s="5"/>
      <c r="P502" s="5"/>
      <c r="Q502" s="5"/>
    </row>
    <row r="503" spans="10:17" x14ac:dyDescent="0.2">
      <c r="J503" s="5"/>
      <c r="K503" s="5"/>
      <c r="L503" s="5"/>
      <c r="M503" s="5"/>
      <c r="N503" s="5"/>
      <c r="O503" s="5"/>
      <c r="P503" s="5"/>
      <c r="Q503" s="5"/>
    </row>
    <row r="504" spans="10:17" x14ac:dyDescent="0.2">
      <c r="J504" s="5"/>
      <c r="K504" s="5"/>
      <c r="L504" s="5"/>
      <c r="M504" s="5"/>
      <c r="N504" s="5"/>
      <c r="O504" s="5"/>
      <c r="P504" s="5"/>
      <c r="Q504" s="5"/>
    </row>
    <row r="505" spans="10:17" x14ac:dyDescent="0.2">
      <c r="J505" s="5"/>
      <c r="K505" s="5"/>
      <c r="L505" s="5"/>
      <c r="M505" s="5"/>
      <c r="N505" s="5"/>
      <c r="O505" s="5"/>
      <c r="P505" s="5"/>
      <c r="Q505" s="5"/>
    </row>
    <row r="506" spans="10:17" x14ac:dyDescent="0.2">
      <c r="J506" s="5"/>
      <c r="K506" s="5"/>
      <c r="L506" s="5"/>
      <c r="M506" s="5"/>
      <c r="N506" s="5"/>
      <c r="O506" s="5"/>
      <c r="P506" s="5"/>
      <c r="Q506" s="5"/>
    </row>
    <row r="507" spans="10:17" x14ac:dyDescent="0.2">
      <c r="J507" s="5"/>
      <c r="K507" s="5"/>
      <c r="L507" s="5"/>
      <c r="M507" s="5"/>
      <c r="N507" s="5"/>
      <c r="O507" s="5"/>
      <c r="P507" s="5"/>
      <c r="Q507" s="5"/>
    </row>
    <row r="508" spans="10:17" x14ac:dyDescent="0.2">
      <c r="J508" s="5"/>
      <c r="K508" s="5"/>
      <c r="L508" s="5"/>
      <c r="M508" s="5"/>
      <c r="N508" s="5"/>
      <c r="O508" s="5"/>
      <c r="P508" s="5"/>
      <c r="Q508" s="5"/>
    </row>
    <row r="509" spans="10:17" x14ac:dyDescent="0.2">
      <c r="J509" s="5"/>
      <c r="K509" s="5"/>
      <c r="L509" s="5"/>
      <c r="M509" s="5"/>
      <c r="N509" s="5"/>
      <c r="O509" s="5"/>
      <c r="P509" s="5"/>
      <c r="Q509" s="5"/>
    </row>
    <row r="510" spans="10:17" x14ac:dyDescent="0.2">
      <c r="J510" s="5"/>
      <c r="K510" s="5"/>
      <c r="L510" s="5"/>
      <c r="M510" s="5"/>
      <c r="N510" s="5"/>
      <c r="O510" s="5"/>
      <c r="P510" s="5"/>
      <c r="Q510" s="5"/>
    </row>
    <row r="511" spans="10:17" x14ac:dyDescent="0.2">
      <c r="J511" s="5"/>
      <c r="K511" s="5"/>
      <c r="L511" s="5"/>
      <c r="M511" s="5"/>
      <c r="N511" s="5"/>
      <c r="O511" s="5"/>
      <c r="P511" s="5"/>
      <c r="Q511" s="5"/>
    </row>
    <row r="512" spans="10:17" x14ac:dyDescent="0.2">
      <c r="J512" s="5"/>
      <c r="K512" s="5"/>
      <c r="L512" s="5"/>
      <c r="M512" s="5"/>
      <c r="N512" s="5"/>
      <c r="O512" s="5"/>
      <c r="P512" s="5"/>
      <c r="Q512" s="5"/>
    </row>
    <row r="513" spans="10:17" x14ac:dyDescent="0.2">
      <c r="J513" s="5"/>
      <c r="K513" s="5"/>
      <c r="L513" s="5"/>
      <c r="M513" s="5"/>
      <c r="N513" s="5"/>
      <c r="O513" s="5"/>
      <c r="P513" s="5"/>
      <c r="Q513" s="5"/>
    </row>
    <row r="514" spans="10:17" x14ac:dyDescent="0.2">
      <c r="J514" s="5"/>
      <c r="K514" s="5"/>
      <c r="L514" s="5"/>
      <c r="M514" s="5"/>
      <c r="N514" s="5"/>
      <c r="O514" s="5"/>
      <c r="P514" s="5"/>
      <c r="Q514" s="5"/>
    </row>
    <row r="515" spans="10:17" x14ac:dyDescent="0.2">
      <c r="J515" s="5"/>
      <c r="K515" s="5"/>
      <c r="L515" s="5"/>
      <c r="M515" s="5"/>
      <c r="N515" s="5"/>
      <c r="O515" s="5"/>
      <c r="P515" s="5"/>
      <c r="Q515" s="5"/>
    </row>
    <row r="516" spans="10:17" x14ac:dyDescent="0.2">
      <c r="J516" s="5"/>
      <c r="K516" s="5"/>
      <c r="L516" s="5"/>
      <c r="M516" s="5"/>
      <c r="N516" s="5"/>
      <c r="O516" s="5"/>
      <c r="P516" s="5"/>
      <c r="Q516" s="5"/>
    </row>
    <row r="517" spans="10:17" x14ac:dyDescent="0.2">
      <c r="J517" s="5"/>
      <c r="K517" s="5"/>
      <c r="L517" s="5"/>
      <c r="M517" s="5"/>
      <c r="N517" s="5"/>
      <c r="O517" s="5"/>
      <c r="P517" s="5"/>
      <c r="Q517" s="5"/>
    </row>
    <row r="518" spans="10:17" x14ac:dyDescent="0.2">
      <c r="J518" s="5"/>
      <c r="K518" s="5"/>
      <c r="L518" s="5"/>
      <c r="M518" s="5"/>
      <c r="N518" s="5"/>
      <c r="O518" s="5"/>
      <c r="P518" s="5"/>
      <c r="Q518" s="5"/>
    </row>
    <row r="519" spans="10:17" x14ac:dyDescent="0.2">
      <c r="J519" s="5"/>
      <c r="K519" s="5"/>
      <c r="L519" s="5"/>
      <c r="M519" s="5"/>
      <c r="N519" s="5"/>
      <c r="O519" s="5"/>
      <c r="P519" s="5"/>
      <c r="Q519" s="5"/>
    </row>
    <row r="520" spans="10:17" x14ac:dyDescent="0.2">
      <c r="J520" s="5"/>
      <c r="K520" s="5"/>
      <c r="L520" s="5"/>
      <c r="M520" s="5"/>
      <c r="N520" s="5"/>
      <c r="O520" s="5"/>
      <c r="P520" s="5"/>
      <c r="Q520" s="5"/>
    </row>
    <row r="521" spans="10:17" x14ac:dyDescent="0.2">
      <c r="J521" s="5"/>
      <c r="K521" s="5"/>
      <c r="L521" s="5"/>
      <c r="M521" s="5"/>
      <c r="N521" s="5"/>
      <c r="O521" s="5"/>
      <c r="P521" s="5"/>
      <c r="Q521" s="5"/>
    </row>
    <row r="522" spans="10:17" x14ac:dyDescent="0.2">
      <c r="J522" s="5"/>
      <c r="K522" s="5"/>
      <c r="L522" s="5"/>
      <c r="M522" s="5"/>
      <c r="N522" s="5"/>
      <c r="O522" s="5"/>
      <c r="P522" s="5"/>
      <c r="Q522" s="5"/>
    </row>
    <row r="523" spans="10:17" x14ac:dyDescent="0.2">
      <c r="J523" s="5"/>
      <c r="K523" s="5"/>
      <c r="L523" s="5"/>
      <c r="M523" s="5"/>
      <c r="N523" s="5"/>
      <c r="O523" s="5"/>
      <c r="P523" s="5"/>
      <c r="Q523" s="5"/>
    </row>
  </sheetData>
  <mergeCells count="15">
    <mergeCell ref="I9:I11"/>
    <mergeCell ref="A1:I1"/>
    <mergeCell ref="E9:E11"/>
    <mergeCell ref="F9:F11"/>
    <mergeCell ref="A9:A11"/>
    <mergeCell ref="B9:B11"/>
    <mergeCell ref="C9:C11"/>
    <mergeCell ref="D9:D11"/>
    <mergeCell ref="A3:G3"/>
    <mergeCell ref="H3:I3"/>
    <mergeCell ref="A5:H5"/>
    <mergeCell ref="A7:H7"/>
    <mergeCell ref="A8:I8"/>
    <mergeCell ref="G9:G11"/>
    <mergeCell ref="H9:H11"/>
  </mergeCells>
  <phoneticPr fontId="2" type="noConversion"/>
  <printOptions horizontalCentered="1"/>
  <pageMargins left="0.59055118110236227" right="0.59055118110236227" top="0.98425196850393704" bottom="0.6692913385826772" header="0.11811023622047245" footer="0.31496062992125984"/>
  <pageSetup paperSize="9" scale="70" orientation="landscape" r:id="rId1"/>
  <headerFooter scaleWithDoc="0" alignWithMargins="0">
    <oddHeader>&amp;L
&amp;G&amp;R
&amp;G</oddHeader>
    <oddFooter>&amp;CAv. Tancredo Neves, 3557 sala 306 – Bairro Castelo CEP 31.330-430 – Belo Horizonte / Minas Gerais.
Endereço Eletrônico: ottawaeng@terra.com.br – Telefax (31) 3418-2175 – CNPJ: 04.472.311/0001-04&amp;R&amp;P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9"/>
  <sheetViews>
    <sheetView view="pageBreakPreview" topLeftCell="A88" zoomScaleNormal="100" zoomScaleSheetLayoutView="100" workbookViewId="0">
      <selection activeCell="F115" sqref="F115"/>
    </sheetView>
  </sheetViews>
  <sheetFormatPr defaultRowHeight="15" x14ac:dyDescent="0.2"/>
  <cols>
    <col min="1" max="1" width="11.5703125" style="66" bestFit="1" customWidth="1"/>
    <col min="2" max="2" width="17.7109375" style="2" bestFit="1" customWidth="1"/>
    <col min="3" max="3" width="12.7109375" style="2" customWidth="1"/>
    <col min="4" max="4" width="90.7109375" style="46" customWidth="1"/>
    <col min="5" max="5" width="11" style="2" customWidth="1"/>
    <col min="6" max="6" width="15.28515625" style="67" customWidth="1"/>
    <col min="7" max="8" width="11.7109375" style="68" customWidth="1"/>
    <col min="9" max="9" width="14.7109375" style="69" customWidth="1"/>
    <col min="10" max="10" width="21" style="1" customWidth="1"/>
    <col min="11" max="11" width="5.85546875" style="1" customWidth="1"/>
    <col min="12" max="12" width="9.28515625" style="1" bestFit="1" customWidth="1"/>
    <col min="13" max="16384" width="9.140625" style="1"/>
  </cols>
  <sheetData>
    <row r="1" spans="1:17" ht="32.25" customHeight="1" thickBot="1" x14ac:dyDescent="0.25">
      <c r="A1" s="606" t="s">
        <v>208</v>
      </c>
      <c r="B1" s="607"/>
      <c r="C1" s="607"/>
      <c r="D1" s="607"/>
      <c r="E1" s="607"/>
      <c r="F1" s="607"/>
      <c r="G1" s="607"/>
      <c r="H1" s="607"/>
      <c r="I1" s="608"/>
      <c r="J1" s="3"/>
      <c r="K1" s="4"/>
      <c r="L1" s="4"/>
      <c r="M1" s="4"/>
      <c r="N1" s="4"/>
      <c r="O1" s="4"/>
      <c r="P1" s="4"/>
      <c r="Q1" s="4"/>
    </row>
    <row r="2" spans="1:17" ht="4.5" customHeight="1" x14ac:dyDescent="0.2">
      <c r="A2" s="212"/>
      <c r="B2" s="213"/>
      <c r="C2" s="213"/>
      <c r="D2" s="214"/>
      <c r="E2" s="213"/>
      <c r="F2" s="215"/>
      <c r="G2" s="216"/>
      <c r="H2" s="216"/>
      <c r="I2" s="217"/>
      <c r="J2" s="3"/>
      <c r="K2" s="4"/>
      <c r="L2" s="4"/>
      <c r="M2" s="4"/>
      <c r="N2" s="4"/>
      <c r="O2" s="4"/>
      <c r="P2" s="4"/>
      <c r="Q2" s="4"/>
    </row>
    <row r="3" spans="1:17" ht="16.5" customHeight="1" thickBot="1" x14ac:dyDescent="0.25">
      <c r="A3" s="618" t="s">
        <v>777</v>
      </c>
      <c r="B3" s="619"/>
      <c r="C3" s="619"/>
      <c r="D3" s="619"/>
      <c r="E3" s="619"/>
      <c r="F3" s="619"/>
      <c r="G3" s="619"/>
      <c r="H3" s="620" t="s">
        <v>784</v>
      </c>
      <c r="I3" s="621"/>
      <c r="J3" s="3"/>
      <c r="K3" s="4"/>
      <c r="L3" s="4"/>
      <c r="M3" s="4"/>
      <c r="N3" s="4"/>
      <c r="O3" s="4"/>
      <c r="P3" s="4"/>
      <c r="Q3" s="4"/>
    </row>
    <row r="4" spans="1:17" ht="4.5" customHeight="1" thickBot="1" x14ac:dyDescent="0.25">
      <c r="A4" s="218"/>
      <c r="B4" s="219"/>
      <c r="C4" s="219"/>
      <c r="D4" s="220"/>
      <c r="E4" s="219"/>
      <c r="F4" s="221"/>
      <c r="G4" s="222"/>
      <c r="H4" s="222"/>
      <c r="I4" s="223"/>
      <c r="J4" s="3"/>
      <c r="K4" s="4"/>
      <c r="L4" s="4"/>
      <c r="M4" s="4"/>
      <c r="N4" s="4"/>
      <c r="O4" s="4"/>
      <c r="P4" s="4"/>
      <c r="Q4" s="4"/>
    </row>
    <row r="5" spans="1:17" ht="15.75" customHeight="1" thickBot="1" x14ac:dyDescent="0.25">
      <c r="A5" s="622" t="s">
        <v>782</v>
      </c>
      <c r="B5" s="623"/>
      <c r="C5" s="623"/>
      <c r="D5" s="623"/>
      <c r="E5" s="623"/>
      <c r="F5" s="623"/>
      <c r="G5" s="623"/>
      <c r="H5" s="623"/>
      <c r="I5" s="181"/>
      <c r="J5" s="3"/>
      <c r="K5" s="4"/>
      <c r="L5" s="4"/>
      <c r="M5" s="4"/>
      <c r="N5" s="4"/>
      <c r="O5" s="4"/>
      <c r="P5" s="4"/>
      <c r="Q5" s="4"/>
    </row>
    <row r="6" spans="1:17" ht="4.5" customHeight="1" thickBot="1" x14ac:dyDescent="0.25">
      <c r="A6" s="218"/>
      <c r="B6" s="219"/>
      <c r="C6" s="219"/>
      <c r="D6" s="220"/>
      <c r="E6" s="219"/>
      <c r="F6" s="221"/>
      <c r="G6" s="222"/>
      <c r="H6" s="222"/>
      <c r="I6" s="223"/>
      <c r="J6" s="3"/>
      <c r="K6" s="4"/>
      <c r="L6" s="4"/>
      <c r="M6" s="4"/>
      <c r="N6" s="4"/>
      <c r="O6" s="4"/>
      <c r="P6" s="4"/>
      <c r="Q6" s="4"/>
    </row>
    <row r="7" spans="1:17" ht="15" customHeight="1" thickBot="1" x14ac:dyDescent="0.25">
      <c r="A7" s="622" t="s">
        <v>779</v>
      </c>
      <c r="B7" s="623"/>
      <c r="C7" s="623"/>
      <c r="D7" s="623"/>
      <c r="E7" s="623"/>
      <c r="F7" s="623"/>
      <c r="G7" s="623"/>
      <c r="H7" s="623"/>
      <c r="I7" s="182"/>
      <c r="J7" s="64">
        <v>1</v>
      </c>
      <c r="K7" s="4" t="s">
        <v>209</v>
      </c>
      <c r="L7" s="4">
        <v>122.43</v>
      </c>
      <c r="M7" s="4"/>
      <c r="N7" s="4"/>
      <c r="O7" s="4"/>
      <c r="P7" s="4"/>
      <c r="Q7" s="4"/>
    </row>
    <row r="8" spans="1:17" ht="4.5" customHeight="1" thickBot="1" x14ac:dyDescent="0.25">
      <c r="A8" s="624"/>
      <c r="B8" s="625"/>
      <c r="C8" s="625"/>
      <c r="D8" s="625"/>
      <c r="E8" s="625"/>
      <c r="F8" s="625"/>
      <c r="G8" s="625"/>
      <c r="H8" s="625"/>
      <c r="I8" s="626"/>
      <c r="J8" s="3"/>
      <c r="K8" s="4"/>
      <c r="L8" s="4"/>
      <c r="M8" s="4"/>
      <c r="N8" s="4"/>
      <c r="O8" s="4"/>
      <c r="P8" s="4"/>
      <c r="Q8" s="4"/>
    </row>
    <row r="9" spans="1:17" ht="14.25" customHeight="1" x14ac:dyDescent="0.2">
      <c r="A9" s="612" t="s">
        <v>89</v>
      </c>
      <c r="B9" s="609" t="s">
        <v>90</v>
      </c>
      <c r="C9" s="609" t="s">
        <v>91</v>
      </c>
      <c r="D9" s="615" t="s">
        <v>92</v>
      </c>
      <c r="E9" s="609" t="s">
        <v>93</v>
      </c>
      <c r="F9" s="609" t="s">
        <v>94</v>
      </c>
      <c r="G9" s="627" t="s">
        <v>516</v>
      </c>
      <c r="H9" s="627" t="s">
        <v>517</v>
      </c>
      <c r="I9" s="603" t="s">
        <v>518</v>
      </c>
      <c r="J9" s="3">
        <v>2</v>
      </c>
      <c r="K9" s="4"/>
      <c r="L9" s="4">
        <v>100</v>
      </c>
      <c r="M9" s="4"/>
      <c r="N9" s="4"/>
      <c r="O9" s="4"/>
      <c r="P9" s="4"/>
      <c r="Q9" s="4"/>
    </row>
    <row r="10" spans="1:17" ht="30.75" customHeight="1" x14ac:dyDescent="0.2">
      <c r="A10" s="613"/>
      <c r="B10" s="610"/>
      <c r="C10" s="610"/>
      <c r="D10" s="616"/>
      <c r="E10" s="610"/>
      <c r="F10" s="610"/>
      <c r="G10" s="628"/>
      <c r="H10" s="628"/>
      <c r="I10" s="604"/>
      <c r="J10" s="3"/>
      <c r="K10" s="4"/>
      <c r="L10" s="4">
        <f>SUM(L7:L9)</f>
        <v>222.43</v>
      </c>
      <c r="M10" s="4"/>
      <c r="N10" s="4"/>
      <c r="O10" s="4"/>
      <c r="P10" s="4"/>
      <c r="Q10" s="4"/>
    </row>
    <row r="11" spans="1:17" ht="21" customHeight="1" thickBot="1" x14ac:dyDescent="0.25">
      <c r="A11" s="614"/>
      <c r="B11" s="611"/>
      <c r="C11" s="611"/>
      <c r="D11" s="617"/>
      <c r="E11" s="611"/>
      <c r="F11" s="611"/>
      <c r="G11" s="629"/>
      <c r="H11" s="629"/>
      <c r="I11" s="605"/>
      <c r="J11" s="3"/>
      <c r="K11" s="4"/>
      <c r="L11" s="4">
        <f>L10/100</f>
        <v>2.2242999999999999</v>
      </c>
      <c r="M11" s="4"/>
      <c r="N11" s="4"/>
      <c r="O11" s="4"/>
      <c r="P11" s="4"/>
      <c r="Q11" s="4"/>
    </row>
    <row r="12" spans="1:17" ht="14.25" customHeight="1" x14ac:dyDescent="0.2">
      <c r="A12" s="554"/>
      <c r="B12" s="259"/>
      <c r="C12" s="259"/>
      <c r="D12" s="533"/>
      <c r="E12" s="259"/>
      <c r="F12" s="555"/>
      <c r="G12" s="536"/>
      <c r="H12" s="536"/>
      <c r="I12" s="556"/>
      <c r="J12" s="4"/>
      <c r="K12" s="4"/>
      <c r="L12" s="4"/>
      <c r="M12" s="4"/>
      <c r="N12" s="4"/>
      <c r="O12" s="4"/>
      <c r="P12" s="4"/>
      <c r="Q12" s="4"/>
    </row>
    <row r="13" spans="1:17" s="7" customFormat="1" ht="15.95" customHeight="1" x14ac:dyDescent="0.2">
      <c r="A13" s="263" t="s">
        <v>258</v>
      </c>
      <c r="B13" s="205" t="s">
        <v>306</v>
      </c>
      <c r="C13" s="557" t="s">
        <v>155</v>
      </c>
      <c r="D13" s="206" t="s">
        <v>210</v>
      </c>
      <c r="E13" s="205" t="s">
        <v>10</v>
      </c>
      <c r="F13" s="558"/>
      <c r="G13" s="559"/>
      <c r="H13" s="559"/>
      <c r="I13" s="560">
        <f>I14+I29+I38</f>
        <v>65560.399999999994</v>
      </c>
      <c r="J13" s="8"/>
      <c r="K13" s="9"/>
      <c r="L13" s="8"/>
      <c r="M13" s="8"/>
      <c r="N13" s="8"/>
      <c r="O13" s="8"/>
      <c r="P13" s="8"/>
      <c r="Q13" s="8"/>
    </row>
    <row r="14" spans="1:17" s="7" customFormat="1" ht="15.95" customHeight="1" x14ac:dyDescent="0.2">
      <c r="A14" s="282" t="s">
        <v>211</v>
      </c>
      <c r="B14" s="363"/>
      <c r="C14" s="363"/>
      <c r="D14" s="105" t="s">
        <v>212</v>
      </c>
      <c r="E14" s="374"/>
      <c r="F14" s="394"/>
      <c r="G14" s="523"/>
      <c r="H14" s="523"/>
      <c r="I14" s="561">
        <f>SUM(I15:I27)</f>
        <v>33936.299999999996</v>
      </c>
      <c r="J14" s="8"/>
      <c r="K14" s="9"/>
      <c r="L14" s="8"/>
      <c r="M14" s="8"/>
      <c r="N14" s="8"/>
      <c r="O14" s="8"/>
      <c r="P14" s="8"/>
      <c r="Q14" s="8"/>
    </row>
    <row r="15" spans="1:17" s="7" customFormat="1" ht="14.25" x14ac:dyDescent="0.2">
      <c r="A15" s="265" t="s">
        <v>47</v>
      </c>
      <c r="B15" s="374" t="s">
        <v>98</v>
      </c>
      <c r="C15" s="374">
        <v>2707</v>
      </c>
      <c r="D15" s="227" t="s">
        <v>464</v>
      </c>
      <c r="E15" s="374" t="s">
        <v>97</v>
      </c>
      <c r="F15" s="394">
        <v>180</v>
      </c>
      <c r="G15" s="528">
        <v>78.260000000000005</v>
      </c>
      <c r="H15" s="523">
        <f>G15</f>
        <v>78.260000000000005</v>
      </c>
      <c r="I15" s="562">
        <f>ROUND(F15*H15,2)</f>
        <v>14086.8</v>
      </c>
      <c r="J15" s="8"/>
      <c r="K15" s="8"/>
      <c r="L15" s="8"/>
      <c r="M15" s="8"/>
      <c r="N15" s="8"/>
      <c r="O15" s="8"/>
      <c r="P15" s="8"/>
      <c r="Q15" s="8"/>
    </row>
    <row r="16" spans="1:17" s="7" customFormat="1" ht="14.25" x14ac:dyDescent="0.2">
      <c r="A16" s="265" t="s">
        <v>617</v>
      </c>
      <c r="B16" s="374" t="s">
        <v>98</v>
      </c>
      <c r="C16" s="374">
        <v>4083</v>
      </c>
      <c r="D16" s="227" t="s">
        <v>213</v>
      </c>
      <c r="E16" s="374" t="s">
        <v>97</v>
      </c>
      <c r="F16" s="394">
        <v>180</v>
      </c>
      <c r="G16" s="528">
        <v>13.66</v>
      </c>
      <c r="H16" s="523">
        <f t="shared" ref="H16:H43" si="0">G16</f>
        <v>13.66</v>
      </c>
      <c r="I16" s="562">
        <f t="shared" ref="I16:I27" si="1">ROUND(F16*H16,2)</f>
        <v>2458.8000000000002</v>
      </c>
      <c r="J16" s="8"/>
      <c r="K16" s="8"/>
      <c r="L16" s="8"/>
      <c r="M16" s="8"/>
      <c r="N16" s="8"/>
      <c r="O16" s="8"/>
      <c r="P16" s="8"/>
      <c r="Q16" s="8"/>
    </row>
    <row r="17" spans="1:17" s="7" customFormat="1" ht="14.25" x14ac:dyDescent="0.2">
      <c r="A17" s="265" t="s">
        <v>199</v>
      </c>
      <c r="B17" s="374" t="s">
        <v>98</v>
      </c>
      <c r="C17" s="374">
        <v>4083</v>
      </c>
      <c r="D17" s="227" t="s">
        <v>615</v>
      </c>
      <c r="E17" s="374" t="s">
        <v>97</v>
      </c>
      <c r="F17" s="394">
        <v>180</v>
      </c>
      <c r="G17" s="528">
        <v>13.66</v>
      </c>
      <c r="H17" s="523">
        <f t="shared" si="0"/>
        <v>13.66</v>
      </c>
      <c r="I17" s="562">
        <f t="shared" si="1"/>
        <v>2458.8000000000002</v>
      </c>
      <c r="J17" s="8"/>
      <c r="K17" s="8"/>
      <c r="L17" s="8"/>
      <c r="M17" s="8"/>
      <c r="N17" s="8"/>
      <c r="O17" s="8"/>
      <c r="P17" s="8"/>
      <c r="Q17" s="8"/>
    </row>
    <row r="18" spans="1:17" s="7" customFormat="1" ht="14.25" x14ac:dyDescent="0.2">
      <c r="A18" s="265" t="s">
        <v>48</v>
      </c>
      <c r="B18" s="374" t="s">
        <v>98</v>
      </c>
      <c r="C18" s="374">
        <v>4083</v>
      </c>
      <c r="D18" s="227" t="s">
        <v>616</v>
      </c>
      <c r="E18" s="374" t="s">
        <v>97</v>
      </c>
      <c r="F18" s="394">
        <v>180</v>
      </c>
      <c r="G18" s="528">
        <v>13.66</v>
      </c>
      <c r="H18" s="523">
        <f t="shared" si="0"/>
        <v>13.66</v>
      </c>
      <c r="I18" s="562">
        <f t="shared" si="1"/>
        <v>2458.8000000000002</v>
      </c>
      <c r="J18" s="8"/>
      <c r="K18" s="8"/>
      <c r="L18" s="8"/>
      <c r="M18" s="8"/>
      <c r="N18" s="8"/>
      <c r="O18" s="8"/>
      <c r="P18" s="8"/>
      <c r="Q18" s="8"/>
    </row>
    <row r="19" spans="1:17" s="7" customFormat="1" ht="14.25" x14ac:dyDescent="0.2">
      <c r="A19" s="265" t="s">
        <v>49</v>
      </c>
      <c r="B19" s="374" t="s">
        <v>98</v>
      </c>
      <c r="C19" s="374">
        <v>2350</v>
      </c>
      <c r="D19" s="227" t="s">
        <v>214</v>
      </c>
      <c r="E19" s="374" t="s">
        <v>97</v>
      </c>
      <c r="F19" s="394">
        <v>180</v>
      </c>
      <c r="G19" s="528">
        <v>8.7200000000000006</v>
      </c>
      <c r="H19" s="523">
        <f t="shared" si="0"/>
        <v>8.7200000000000006</v>
      </c>
      <c r="I19" s="562">
        <f t="shared" si="1"/>
        <v>1569.6</v>
      </c>
      <c r="J19" s="8"/>
      <c r="K19" s="8"/>
      <c r="L19" s="8"/>
      <c r="M19" s="8"/>
      <c r="N19" s="8"/>
      <c r="O19" s="8"/>
      <c r="P19" s="8"/>
      <c r="Q19" s="8"/>
    </row>
    <row r="20" spans="1:17" s="7" customFormat="1" ht="14.25" x14ac:dyDescent="0.2">
      <c r="A20" s="265" t="s">
        <v>216</v>
      </c>
      <c r="B20" s="374" t="s">
        <v>98</v>
      </c>
      <c r="C20" s="374">
        <v>253</v>
      </c>
      <c r="D20" s="227" t="s">
        <v>465</v>
      </c>
      <c r="E20" s="374" t="s">
        <v>97</v>
      </c>
      <c r="F20" s="394">
        <v>180</v>
      </c>
      <c r="G20" s="528">
        <v>9.86</v>
      </c>
      <c r="H20" s="523">
        <f t="shared" si="0"/>
        <v>9.86</v>
      </c>
      <c r="I20" s="562">
        <f t="shared" si="1"/>
        <v>1774.8</v>
      </c>
      <c r="J20" s="8"/>
      <c r="K20" s="8"/>
      <c r="L20" s="8"/>
      <c r="M20" s="8"/>
      <c r="N20" s="8"/>
      <c r="O20" s="8"/>
      <c r="P20" s="8"/>
      <c r="Q20" s="8"/>
    </row>
    <row r="21" spans="1:17" s="7" customFormat="1" ht="14.25" x14ac:dyDescent="0.2">
      <c r="A21" s="265" t="s">
        <v>218</v>
      </c>
      <c r="B21" s="374" t="s">
        <v>98</v>
      </c>
      <c r="C21" s="374">
        <v>7592</v>
      </c>
      <c r="D21" s="227" t="s">
        <v>466</v>
      </c>
      <c r="E21" s="374" t="s">
        <v>97</v>
      </c>
      <c r="F21" s="394">
        <v>90</v>
      </c>
      <c r="G21" s="528">
        <v>11.11</v>
      </c>
      <c r="H21" s="523">
        <f t="shared" si="0"/>
        <v>11.11</v>
      </c>
      <c r="I21" s="562">
        <f t="shared" si="1"/>
        <v>999.9</v>
      </c>
      <c r="J21" s="8"/>
      <c r="K21" s="8"/>
      <c r="L21" s="8"/>
      <c r="M21" s="8"/>
      <c r="N21" s="8"/>
      <c r="O21" s="8"/>
      <c r="P21" s="8"/>
      <c r="Q21" s="8"/>
    </row>
    <row r="22" spans="1:17" s="7" customFormat="1" ht="14.25" x14ac:dyDescent="0.2">
      <c r="A22" s="265" t="s">
        <v>219</v>
      </c>
      <c r="B22" s="374" t="s">
        <v>98</v>
      </c>
      <c r="C22" s="374">
        <v>244</v>
      </c>
      <c r="D22" s="227" t="s">
        <v>467</v>
      </c>
      <c r="E22" s="374" t="s">
        <v>97</v>
      </c>
      <c r="F22" s="394">
        <v>90</v>
      </c>
      <c r="G22" s="528">
        <v>3.71</v>
      </c>
      <c r="H22" s="523">
        <f t="shared" si="0"/>
        <v>3.71</v>
      </c>
      <c r="I22" s="562">
        <f t="shared" si="1"/>
        <v>333.9</v>
      </c>
      <c r="J22" s="8"/>
      <c r="K22" s="8"/>
      <c r="L22" s="8"/>
      <c r="M22" s="8"/>
      <c r="N22" s="8"/>
      <c r="O22" s="8"/>
      <c r="P22" s="8"/>
      <c r="Q22" s="8"/>
    </row>
    <row r="23" spans="1:17" s="7" customFormat="1" ht="14.25" x14ac:dyDescent="0.2">
      <c r="A23" s="265" t="s">
        <v>476</v>
      </c>
      <c r="B23" s="374" t="s">
        <v>98</v>
      </c>
      <c r="C23" s="374">
        <v>6122</v>
      </c>
      <c r="D23" s="227" t="s">
        <v>215</v>
      </c>
      <c r="E23" s="374" t="s">
        <v>97</v>
      </c>
      <c r="F23" s="394">
        <v>180</v>
      </c>
      <c r="G23" s="528">
        <v>9.92</v>
      </c>
      <c r="H23" s="523">
        <f t="shared" si="0"/>
        <v>9.92</v>
      </c>
      <c r="I23" s="562">
        <f t="shared" si="1"/>
        <v>1785.6</v>
      </c>
      <c r="J23" s="8"/>
      <c r="K23" s="8"/>
      <c r="L23" s="8"/>
      <c r="M23" s="8"/>
      <c r="N23" s="8"/>
      <c r="O23" s="8"/>
      <c r="P23" s="8"/>
      <c r="Q23" s="8"/>
    </row>
    <row r="24" spans="1:17" s="7" customFormat="1" ht="14.25" x14ac:dyDescent="0.2">
      <c r="A24" s="265" t="s">
        <v>477</v>
      </c>
      <c r="B24" s="374" t="s">
        <v>98</v>
      </c>
      <c r="C24" s="374">
        <v>6111</v>
      </c>
      <c r="D24" s="227" t="s">
        <v>217</v>
      </c>
      <c r="E24" s="374" t="s">
        <v>97</v>
      </c>
      <c r="F24" s="394">
        <v>180</v>
      </c>
      <c r="G24" s="528">
        <v>6.46</v>
      </c>
      <c r="H24" s="523">
        <f t="shared" si="0"/>
        <v>6.46</v>
      </c>
      <c r="I24" s="562">
        <f t="shared" si="1"/>
        <v>1162.8</v>
      </c>
      <c r="J24" s="8"/>
      <c r="K24" s="8"/>
      <c r="L24" s="8"/>
      <c r="M24" s="8"/>
      <c r="N24" s="8"/>
      <c r="O24" s="8"/>
      <c r="P24" s="8"/>
      <c r="Q24" s="8"/>
    </row>
    <row r="25" spans="1:17" s="7" customFormat="1" ht="14.25" x14ac:dyDescent="0.2">
      <c r="A25" s="265" t="s">
        <v>478</v>
      </c>
      <c r="B25" s="374" t="s">
        <v>98</v>
      </c>
      <c r="C25" s="374">
        <v>20020</v>
      </c>
      <c r="D25" s="227" t="s">
        <v>468</v>
      </c>
      <c r="E25" s="374" t="s">
        <v>97</v>
      </c>
      <c r="F25" s="394">
        <v>90</v>
      </c>
      <c r="G25" s="528">
        <v>18.190000000000001</v>
      </c>
      <c r="H25" s="523">
        <f t="shared" si="0"/>
        <v>18.190000000000001</v>
      </c>
      <c r="I25" s="562">
        <f t="shared" si="1"/>
        <v>1637.1</v>
      </c>
      <c r="J25" s="8"/>
      <c r="K25" s="8"/>
      <c r="L25" s="8"/>
      <c r="M25" s="8"/>
      <c r="N25" s="8"/>
      <c r="O25" s="8"/>
      <c r="P25" s="8"/>
      <c r="Q25" s="8"/>
    </row>
    <row r="26" spans="1:17" s="7" customFormat="1" ht="14.25" x14ac:dyDescent="0.2">
      <c r="A26" s="265" t="s">
        <v>479</v>
      </c>
      <c r="B26" s="374" t="s">
        <v>98</v>
      </c>
      <c r="C26" s="374">
        <v>4093</v>
      </c>
      <c r="D26" s="227" t="s">
        <v>469</v>
      </c>
      <c r="E26" s="374" t="s">
        <v>97</v>
      </c>
      <c r="F26" s="394">
        <v>90</v>
      </c>
      <c r="G26" s="528">
        <v>19.739999999999998</v>
      </c>
      <c r="H26" s="523">
        <f t="shared" si="0"/>
        <v>19.739999999999998</v>
      </c>
      <c r="I26" s="562">
        <f t="shared" si="1"/>
        <v>1776.6</v>
      </c>
      <c r="J26" s="8"/>
      <c r="K26" s="8"/>
      <c r="L26" s="8"/>
      <c r="M26" s="8"/>
      <c r="N26" s="8"/>
      <c r="O26" s="8"/>
      <c r="P26" s="8"/>
      <c r="Q26" s="8"/>
    </row>
    <row r="27" spans="1:17" s="7" customFormat="1" ht="14.25" x14ac:dyDescent="0.2">
      <c r="A27" s="265" t="s">
        <v>618</v>
      </c>
      <c r="B27" s="374" t="s">
        <v>98</v>
      </c>
      <c r="C27" s="374">
        <v>10508</v>
      </c>
      <c r="D27" s="227" t="s">
        <v>220</v>
      </c>
      <c r="E27" s="374" t="s">
        <v>97</v>
      </c>
      <c r="F27" s="394">
        <v>180</v>
      </c>
      <c r="G27" s="528">
        <v>7.96</v>
      </c>
      <c r="H27" s="523">
        <f t="shared" si="0"/>
        <v>7.96</v>
      </c>
      <c r="I27" s="562">
        <f t="shared" si="1"/>
        <v>1432.8</v>
      </c>
      <c r="J27" s="8"/>
      <c r="K27" s="8"/>
      <c r="L27" s="8"/>
      <c r="M27" s="8"/>
      <c r="N27" s="8"/>
      <c r="O27" s="8"/>
      <c r="P27" s="8"/>
      <c r="Q27" s="8"/>
    </row>
    <row r="28" spans="1:17" s="7" customFormat="1" ht="14.25" x14ac:dyDescent="0.2">
      <c r="A28" s="265"/>
      <c r="B28" s="374"/>
      <c r="C28" s="374"/>
      <c r="D28" s="227"/>
      <c r="E28" s="374"/>
      <c r="F28" s="394"/>
      <c r="G28" s="523"/>
      <c r="H28" s="523"/>
      <c r="I28" s="562"/>
      <c r="J28" s="8"/>
      <c r="K28" s="8"/>
      <c r="L28" s="8"/>
      <c r="M28" s="8"/>
      <c r="N28" s="8"/>
      <c r="O28" s="8"/>
      <c r="P28" s="8"/>
      <c r="Q28" s="8"/>
    </row>
    <row r="29" spans="1:17" s="7" customFormat="1" x14ac:dyDescent="0.2">
      <c r="A29" s="282" t="s">
        <v>221</v>
      </c>
      <c r="B29" s="374"/>
      <c r="C29" s="374"/>
      <c r="D29" s="105" t="s">
        <v>222</v>
      </c>
      <c r="E29" s="374"/>
      <c r="F29" s="394"/>
      <c r="G29" s="523"/>
      <c r="H29" s="523"/>
      <c r="I29" s="561">
        <f>SUM(I30:I36)</f>
        <v>11168.100000000002</v>
      </c>
      <c r="J29" s="8"/>
      <c r="K29" s="8"/>
      <c r="L29" s="8"/>
      <c r="M29" s="8"/>
      <c r="N29" s="8"/>
      <c r="O29" s="8"/>
      <c r="P29" s="8"/>
      <c r="Q29" s="8"/>
    </row>
    <row r="30" spans="1:17" s="7" customFormat="1" ht="28.5" x14ac:dyDescent="0.2">
      <c r="A30" s="265" t="s">
        <v>223</v>
      </c>
      <c r="B30" s="374" t="s">
        <v>98</v>
      </c>
      <c r="C30" s="374">
        <v>1160</v>
      </c>
      <c r="D30" s="227" t="s">
        <v>224</v>
      </c>
      <c r="E30" s="374" t="s">
        <v>97</v>
      </c>
      <c r="F30" s="394">
        <v>180</v>
      </c>
      <c r="G30" s="563">
        <v>10.8</v>
      </c>
      <c r="H30" s="523">
        <f t="shared" si="0"/>
        <v>10.8</v>
      </c>
      <c r="I30" s="562">
        <f t="shared" ref="I30:I36" si="2">ROUND(F30*H30,2)</f>
        <v>1944</v>
      </c>
      <c r="J30" s="8"/>
      <c r="K30" s="8"/>
      <c r="L30" s="8"/>
      <c r="M30" s="8"/>
      <c r="N30" s="8"/>
      <c r="O30" s="8"/>
      <c r="P30" s="8"/>
      <c r="Q30" s="8"/>
    </row>
    <row r="31" spans="1:17" s="7" customFormat="1" ht="28.5" x14ac:dyDescent="0.2">
      <c r="A31" s="265" t="s">
        <v>225</v>
      </c>
      <c r="B31" s="374" t="s">
        <v>98</v>
      </c>
      <c r="C31" s="374">
        <v>1133</v>
      </c>
      <c r="D31" s="227" t="s">
        <v>226</v>
      </c>
      <c r="E31" s="374" t="s">
        <v>97</v>
      </c>
      <c r="F31" s="394">
        <f>F25</f>
        <v>90</v>
      </c>
      <c r="G31" s="563">
        <v>49.49</v>
      </c>
      <c r="H31" s="523">
        <f t="shared" si="0"/>
        <v>49.49</v>
      </c>
      <c r="I31" s="562">
        <f t="shared" si="2"/>
        <v>4454.1000000000004</v>
      </c>
      <c r="J31" s="8"/>
      <c r="K31" s="8"/>
      <c r="L31" s="8"/>
      <c r="M31" s="8"/>
      <c r="N31" s="8"/>
      <c r="O31" s="8"/>
      <c r="P31" s="8"/>
      <c r="Q31" s="8"/>
    </row>
    <row r="32" spans="1:17" s="7" customFormat="1" ht="28.5" x14ac:dyDescent="0.2">
      <c r="A32" s="265" t="s">
        <v>227</v>
      </c>
      <c r="B32" s="374" t="s">
        <v>98</v>
      </c>
      <c r="C32" s="374">
        <v>1140</v>
      </c>
      <c r="D32" s="227" t="s">
        <v>470</v>
      </c>
      <c r="E32" s="374" t="s">
        <v>97</v>
      </c>
      <c r="F32" s="394">
        <f>F26</f>
        <v>90</v>
      </c>
      <c r="G32" s="563">
        <v>44.79</v>
      </c>
      <c r="H32" s="523">
        <f t="shared" si="0"/>
        <v>44.79</v>
      </c>
      <c r="I32" s="562">
        <f t="shared" si="2"/>
        <v>4031.1</v>
      </c>
      <c r="J32" s="8"/>
      <c r="K32" s="8"/>
      <c r="L32" s="8"/>
      <c r="M32" s="8"/>
      <c r="N32" s="8"/>
      <c r="O32" s="8"/>
      <c r="P32" s="8"/>
      <c r="Q32" s="8"/>
    </row>
    <row r="33" spans="1:17" s="7" customFormat="1" ht="28.5" x14ac:dyDescent="0.2">
      <c r="A33" s="265" t="s">
        <v>228</v>
      </c>
      <c r="B33" s="374" t="s">
        <v>98</v>
      </c>
      <c r="C33" s="374">
        <v>7247</v>
      </c>
      <c r="D33" s="227" t="s">
        <v>229</v>
      </c>
      <c r="E33" s="374" t="s">
        <v>97</v>
      </c>
      <c r="F33" s="394">
        <v>45</v>
      </c>
      <c r="G33" s="563">
        <v>1.91</v>
      </c>
      <c r="H33" s="523">
        <f t="shared" si="0"/>
        <v>1.91</v>
      </c>
      <c r="I33" s="562">
        <f t="shared" si="2"/>
        <v>85.95</v>
      </c>
      <c r="J33" s="8"/>
      <c r="K33" s="8"/>
      <c r="L33" s="8"/>
      <c r="M33" s="8"/>
      <c r="N33" s="8"/>
      <c r="O33" s="8"/>
      <c r="P33" s="8"/>
      <c r="Q33" s="8"/>
    </row>
    <row r="34" spans="1:17" s="7" customFormat="1" ht="14.25" x14ac:dyDescent="0.2">
      <c r="A34" s="265" t="s">
        <v>230</v>
      </c>
      <c r="B34" s="374" t="s">
        <v>98</v>
      </c>
      <c r="C34" s="374">
        <v>7252</v>
      </c>
      <c r="D34" s="227" t="s">
        <v>231</v>
      </c>
      <c r="E34" s="374" t="s">
        <v>97</v>
      </c>
      <c r="F34" s="394">
        <v>45</v>
      </c>
      <c r="G34" s="563">
        <v>1.1100000000000001</v>
      </c>
      <c r="H34" s="523">
        <f t="shared" si="0"/>
        <v>1.1100000000000001</v>
      </c>
      <c r="I34" s="562">
        <f t="shared" si="2"/>
        <v>49.95</v>
      </c>
      <c r="J34" s="8"/>
      <c r="K34" s="8"/>
      <c r="L34" s="8"/>
      <c r="M34" s="8"/>
      <c r="N34" s="8"/>
      <c r="O34" s="8"/>
      <c r="P34" s="8"/>
      <c r="Q34" s="8"/>
    </row>
    <row r="35" spans="1:17" s="7" customFormat="1" ht="28.5" x14ac:dyDescent="0.2">
      <c r="A35" s="265" t="s">
        <v>232</v>
      </c>
      <c r="B35" s="374" t="s">
        <v>98</v>
      </c>
      <c r="C35" s="374">
        <v>10485</v>
      </c>
      <c r="D35" s="227" t="s">
        <v>233</v>
      </c>
      <c r="E35" s="374" t="s">
        <v>97</v>
      </c>
      <c r="F35" s="394">
        <v>180</v>
      </c>
      <c r="G35" s="563">
        <v>0.92</v>
      </c>
      <c r="H35" s="523">
        <f t="shared" si="0"/>
        <v>0.92</v>
      </c>
      <c r="I35" s="562">
        <f t="shared" si="2"/>
        <v>165.6</v>
      </c>
      <c r="J35" s="8"/>
      <c r="K35" s="8"/>
      <c r="L35" s="8"/>
      <c r="M35" s="8"/>
      <c r="N35" s="8"/>
      <c r="O35" s="8"/>
      <c r="P35" s="8"/>
      <c r="Q35" s="8"/>
    </row>
    <row r="36" spans="1:17" s="7" customFormat="1" ht="14.25" x14ac:dyDescent="0.2">
      <c r="A36" s="265" t="s">
        <v>234</v>
      </c>
      <c r="B36" s="374" t="s">
        <v>98</v>
      </c>
      <c r="C36" s="374">
        <v>643</v>
      </c>
      <c r="D36" s="227" t="s">
        <v>235</v>
      </c>
      <c r="E36" s="374" t="s">
        <v>97</v>
      </c>
      <c r="F36" s="394">
        <v>180</v>
      </c>
      <c r="G36" s="563">
        <v>2.4300000000000002</v>
      </c>
      <c r="H36" s="523">
        <f t="shared" si="0"/>
        <v>2.4300000000000002</v>
      </c>
      <c r="I36" s="562">
        <f t="shared" si="2"/>
        <v>437.4</v>
      </c>
      <c r="J36" s="8"/>
      <c r="K36" s="8"/>
      <c r="L36" s="8"/>
      <c r="M36" s="8"/>
      <c r="N36" s="8"/>
      <c r="O36" s="8"/>
      <c r="P36" s="8"/>
      <c r="Q36" s="8"/>
    </row>
    <row r="37" spans="1:17" s="7" customFormat="1" ht="14.25" x14ac:dyDescent="0.2">
      <c r="A37" s="265"/>
      <c r="B37" s="374"/>
      <c r="C37" s="374"/>
      <c r="D37" s="227"/>
      <c r="E37" s="374"/>
      <c r="F37" s="394"/>
      <c r="G37" s="523"/>
      <c r="H37" s="523"/>
      <c r="I37" s="562"/>
      <c r="J37" s="8"/>
      <c r="K37" s="8"/>
      <c r="L37" s="8"/>
      <c r="M37" s="8"/>
      <c r="N37" s="8"/>
      <c r="O37" s="8"/>
      <c r="P37" s="8"/>
      <c r="Q37" s="8"/>
    </row>
    <row r="38" spans="1:17" s="7" customFormat="1" x14ac:dyDescent="0.2">
      <c r="A38" s="282" t="s">
        <v>236</v>
      </c>
      <c r="B38" s="374"/>
      <c r="C38" s="374"/>
      <c r="D38" s="105" t="s">
        <v>237</v>
      </c>
      <c r="E38" s="374"/>
      <c r="F38" s="394"/>
      <c r="G38" s="523"/>
      <c r="H38" s="523"/>
      <c r="I38" s="561">
        <f>SUM(I39:I43)</f>
        <v>20456</v>
      </c>
      <c r="J38" s="8"/>
      <c r="K38" s="8"/>
      <c r="L38" s="8"/>
      <c r="M38" s="8"/>
      <c r="N38" s="8"/>
      <c r="O38" s="8"/>
      <c r="P38" s="8"/>
      <c r="Q38" s="8"/>
    </row>
    <row r="39" spans="1:17" s="7" customFormat="1" ht="14.25" x14ac:dyDescent="0.2">
      <c r="A39" s="265" t="s">
        <v>238</v>
      </c>
      <c r="B39" s="374" t="s">
        <v>98</v>
      </c>
      <c r="C39" s="374">
        <v>14250</v>
      </c>
      <c r="D39" s="227" t="s">
        <v>239</v>
      </c>
      <c r="E39" s="374" t="s">
        <v>240</v>
      </c>
      <c r="F39" s="394">
        <v>1000</v>
      </c>
      <c r="G39" s="528">
        <v>0.45</v>
      </c>
      <c r="H39" s="523">
        <f t="shared" si="0"/>
        <v>0.45</v>
      </c>
      <c r="I39" s="562">
        <f>ROUND(F39*H39,2)</f>
        <v>450</v>
      </c>
      <c r="J39" s="8"/>
      <c r="K39" s="8"/>
      <c r="L39" s="8"/>
      <c r="M39" s="8"/>
      <c r="N39" s="8"/>
      <c r="O39" s="8"/>
      <c r="P39" s="8"/>
      <c r="Q39" s="8"/>
    </row>
    <row r="40" spans="1:17" s="7" customFormat="1" ht="14.25" x14ac:dyDescent="0.2">
      <c r="A40" s="265" t="s">
        <v>241</v>
      </c>
      <c r="B40" s="374" t="s">
        <v>98</v>
      </c>
      <c r="C40" s="374">
        <v>4221</v>
      </c>
      <c r="D40" s="227" t="s">
        <v>242</v>
      </c>
      <c r="E40" s="374" t="s">
        <v>243</v>
      </c>
      <c r="F40" s="394">
        <v>1000</v>
      </c>
      <c r="G40" s="528">
        <v>2.19</v>
      </c>
      <c r="H40" s="523">
        <f t="shared" si="0"/>
        <v>2.19</v>
      </c>
      <c r="I40" s="562">
        <f>ROUND(F40*H40,2)</f>
        <v>2190</v>
      </c>
      <c r="J40" s="8"/>
      <c r="K40" s="8"/>
      <c r="L40" s="8"/>
      <c r="M40" s="8"/>
      <c r="N40" s="8"/>
      <c r="O40" s="8"/>
      <c r="P40" s="8"/>
      <c r="Q40" s="8"/>
    </row>
    <row r="41" spans="1:17" s="7" customFormat="1" ht="14.25" x14ac:dyDescent="0.2">
      <c r="A41" s="265" t="s">
        <v>244</v>
      </c>
      <c r="B41" s="374" t="s">
        <v>98</v>
      </c>
      <c r="C41" s="374">
        <v>4222</v>
      </c>
      <c r="D41" s="227" t="s">
        <v>245</v>
      </c>
      <c r="E41" s="374" t="s">
        <v>243</v>
      </c>
      <c r="F41" s="394">
        <v>400</v>
      </c>
      <c r="G41" s="528">
        <v>3.83</v>
      </c>
      <c r="H41" s="523">
        <f t="shared" si="0"/>
        <v>3.83</v>
      </c>
      <c r="I41" s="562">
        <f>ROUND(F41*H41,2)</f>
        <v>1532</v>
      </c>
      <c r="J41" s="8"/>
      <c r="K41" s="8"/>
      <c r="L41" s="8"/>
      <c r="M41" s="8"/>
      <c r="N41" s="8"/>
      <c r="O41" s="8"/>
      <c r="P41" s="8"/>
      <c r="Q41" s="8"/>
    </row>
    <row r="42" spans="1:17" s="43" customFormat="1" ht="14.25" customHeight="1" x14ac:dyDescent="0.2">
      <c r="A42" s="268" t="s">
        <v>480</v>
      </c>
      <c r="B42" s="630" t="s">
        <v>473</v>
      </c>
      <c r="C42" s="630"/>
      <c r="D42" s="107" t="s">
        <v>474</v>
      </c>
      <c r="E42" s="375" t="s">
        <v>10</v>
      </c>
      <c r="F42" s="410">
        <v>920</v>
      </c>
      <c r="G42" s="528">
        <v>12</v>
      </c>
      <c r="H42" s="528">
        <f t="shared" si="0"/>
        <v>12</v>
      </c>
      <c r="I42" s="565">
        <f>ROUND(F42*H42,2)</f>
        <v>11040</v>
      </c>
      <c r="J42" s="44"/>
      <c r="K42" s="44"/>
      <c r="L42" s="44"/>
      <c r="M42" s="44"/>
      <c r="N42" s="44"/>
      <c r="O42" s="44"/>
      <c r="P42" s="44"/>
      <c r="Q42" s="44"/>
    </row>
    <row r="43" spans="1:17" s="43" customFormat="1" ht="14.25" customHeight="1" x14ac:dyDescent="0.2">
      <c r="A43" s="268" t="s">
        <v>481</v>
      </c>
      <c r="B43" s="630" t="s">
        <v>473</v>
      </c>
      <c r="C43" s="630"/>
      <c r="D43" s="107" t="s">
        <v>475</v>
      </c>
      <c r="E43" s="375" t="s">
        <v>10</v>
      </c>
      <c r="F43" s="410">
        <v>1840</v>
      </c>
      <c r="G43" s="528">
        <v>2.85</v>
      </c>
      <c r="H43" s="528">
        <f t="shared" si="0"/>
        <v>2.85</v>
      </c>
      <c r="I43" s="565">
        <f>ROUND(F43*H43,2)</f>
        <v>5244</v>
      </c>
      <c r="J43" s="44"/>
      <c r="K43" s="44"/>
      <c r="L43" s="44"/>
      <c r="M43" s="44"/>
      <c r="N43" s="44"/>
      <c r="O43" s="44"/>
      <c r="P43" s="44"/>
      <c r="Q43" s="44"/>
    </row>
    <row r="44" spans="1:17" s="7" customFormat="1" ht="14.25" x14ac:dyDescent="0.2">
      <c r="A44" s="265"/>
      <c r="B44" s="374"/>
      <c r="C44" s="374"/>
      <c r="D44" s="227"/>
      <c r="E44" s="374"/>
      <c r="F44" s="394"/>
      <c r="G44" s="523"/>
      <c r="H44" s="523"/>
      <c r="I44" s="562"/>
      <c r="J44" s="8"/>
      <c r="K44" s="8"/>
      <c r="L44" s="8"/>
      <c r="M44" s="8"/>
      <c r="N44" s="8"/>
      <c r="O44" s="8"/>
      <c r="P44" s="8"/>
      <c r="Q44" s="8"/>
    </row>
    <row r="45" spans="1:17" s="7" customFormat="1" x14ac:dyDescent="0.2">
      <c r="A45" s="263" t="s">
        <v>260</v>
      </c>
      <c r="B45" s="205" t="s">
        <v>306</v>
      </c>
      <c r="C45" s="557" t="s">
        <v>156</v>
      </c>
      <c r="D45" s="206" t="s">
        <v>528</v>
      </c>
      <c r="E45" s="205" t="s">
        <v>10</v>
      </c>
      <c r="F45" s="315"/>
      <c r="G45" s="316"/>
      <c r="H45" s="316"/>
      <c r="I45" s="560">
        <f>SUM(I47:I49)</f>
        <v>361335.43</v>
      </c>
      <c r="J45" s="6"/>
      <c r="K45" s="6"/>
      <c r="L45" s="6"/>
      <c r="M45" s="6"/>
      <c r="N45" s="6"/>
      <c r="O45" s="6"/>
      <c r="P45" s="6"/>
      <c r="Q45" s="6"/>
    </row>
    <row r="46" spans="1:17" s="59" customFormat="1" ht="14.25" hidden="1" customHeight="1" x14ac:dyDescent="0.2">
      <c r="A46" s="566"/>
      <c r="B46" s="567"/>
      <c r="C46" s="567"/>
      <c r="D46" s="567"/>
      <c r="E46" s="567"/>
      <c r="F46" s="567"/>
      <c r="G46" s="567"/>
      <c r="H46" s="567"/>
      <c r="I46" s="568"/>
      <c r="J46" s="65"/>
      <c r="K46" s="65"/>
      <c r="L46" s="65"/>
      <c r="M46" s="65"/>
      <c r="N46" s="65"/>
      <c r="O46" s="65"/>
      <c r="P46" s="65"/>
      <c r="Q46" s="65"/>
    </row>
    <row r="47" spans="1:17" s="7" customFormat="1" ht="15.95" customHeight="1" x14ac:dyDescent="0.2">
      <c r="A47" s="265" t="s">
        <v>262</v>
      </c>
      <c r="B47" s="374" t="s">
        <v>98</v>
      </c>
      <c r="C47" s="374">
        <v>9818</v>
      </c>
      <c r="D47" s="379" t="s">
        <v>133</v>
      </c>
      <c r="E47" s="543" t="s">
        <v>107</v>
      </c>
      <c r="F47" s="376">
        <f>'QUANTITATIVOS DE REDE'!M119</f>
        <v>14665.210000000001</v>
      </c>
      <c r="G47" s="376">
        <v>24.12</v>
      </c>
      <c r="H47" s="57">
        <f>ROUND((1+K$3)*G47,2)</f>
        <v>24.12</v>
      </c>
      <c r="I47" s="267">
        <f>ROUND(F47*H47,2)</f>
        <v>353724.87</v>
      </c>
      <c r="J47" s="6"/>
      <c r="K47" s="6"/>
      <c r="L47" s="6"/>
      <c r="M47" s="6"/>
      <c r="N47" s="6"/>
      <c r="O47" s="6"/>
      <c r="P47" s="6"/>
      <c r="Q47" s="6"/>
    </row>
    <row r="48" spans="1:17" s="7" customFormat="1" ht="15.95" customHeight="1" x14ac:dyDescent="0.2">
      <c r="A48" s="268" t="s">
        <v>264</v>
      </c>
      <c r="B48" s="375" t="s">
        <v>98</v>
      </c>
      <c r="C48" s="375">
        <v>1865</v>
      </c>
      <c r="D48" s="377" t="s">
        <v>76</v>
      </c>
      <c r="E48" s="375" t="s">
        <v>110</v>
      </c>
      <c r="F48" s="376">
        <v>32</v>
      </c>
      <c r="G48" s="376">
        <v>119.45</v>
      </c>
      <c r="H48" s="376">
        <f>ROUND((1+K$3)*G48,2)</f>
        <v>119.45</v>
      </c>
      <c r="I48" s="271">
        <f>ROUND(F48*H48,2)</f>
        <v>3822.4</v>
      </c>
      <c r="J48" s="6"/>
      <c r="K48" s="6"/>
      <c r="L48" s="6"/>
      <c r="M48" s="6"/>
      <c r="N48" s="6"/>
      <c r="O48" s="6"/>
      <c r="P48" s="6"/>
      <c r="Q48" s="6"/>
    </row>
    <row r="49" spans="1:17" s="7" customFormat="1" ht="15.95" customHeight="1" x14ac:dyDescent="0.2">
      <c r="A49" s="268" t="s">
        <v>266</v>
      </c>
      <c r="B49" s="375" t="s">
        <v>98</v>
      </c>
      <c r="C49" s="375">
        <v>7069</v>
      </c>
      <c r="D49" s="377" t="s">
        <v>77</v>
      </c>
      <c r="E49" s="375" t="s">
        <v>110</v>
      </c>
      <c r="F49" s="376">
        <v>32</v>
      </c>
      <c r="G49" s="376">
        <v>118.38</v>
      </c>
      <c r="H49" s="376">
        <f>ROUND((1+K$3)*G49,2)</f>
        <v>118.38</v>
      </c>
      <c r="I49" s="271">
        <f>ROUND(F49*H49,2)</f>
        <v>3788.16</v>
      </c>
      <c r="J49" s="6"/>
      <c r="K49" s="6"/>
      <c r="L49" s="6"/>
      <c r="M49" s="6"/>
      <c r="N49" s="6"/>
      <c r="O49" s="6"/>
      <c r="P49" s="6"/>
      <c r="Q49" s="6"/>
    </row>
    <row r="50" spans="1:17" s="7" customFormat="1" ht="15.95" customHeight="1" x14ac:dyDescent="0.2">
      <c r="A50" s="268"/>
      <c r="B50" s="375"/>
      <c r="C50" s="375"/>
      <c r="D50" s="377"/>
      <c r="E50" s="375"/>
      <c r="F50" s="376"/>
      <c r="G50" s="376"/>
      <c r="H50" s="376"/>
      <c r="I50" s="271"/>
      <c r="J50" s="6"/>
      <c r="K50" s="6"/>
      <c r="L50" s="6"/>
      <c r="M50" s="6"/>
      <c r="N50" s="6"/>
      <c r="O50" s="6"/>
      <c r="P50" s="6"/>
      <c r="Q50" s="6"/>
    </row>
    <row r="51" spans="1:17" s="7" customFormat="1" ht="15.95" customHeight="1" x14ac:dyDescent="0.2">
      <c r="A51" s="263" t="s">
        <v>271</v>
      </c>
      <c r="B51" s="205" t="s">
        <v>306</v>
      </c>
      <c r="C51" s="557" t="s">
        <v>460</v>
      </c>
      <c r="D51" s="206" t="s">
        <v>610</v>
      </c>
      <c r="E51" s="205" t="s">
        <v>10</v>
      </c>
      <c r="F51" s="315"/>
      <c r="G51" s="316"/>
      <c r="H51" s="316"/>
      <c r="I51" s="560">
        <f>SUM(I52:I55)</f>
        <v>23.900000000000002</v>
      </c>
      <c r="J51" s="6"/>
      <c r="K51" s="6"/>
      <c r="L51" s="6"/>
      <c r="M51" s="6"/>
      <c r="N51" s="6"/>
      <c r="O51" s="6"/>
      <c r="P51" s="6"/>
      <c r="Q51" s="6"/>
    </row>
    <row r="52" spans="1:17" s="7" customFormat="1" ht="15.95" customHeight="1" x14ac:dyDescent="0.2">
      <c r="A52" s="265" t="s">
        <v>540</v>
      </c>
      <c r="B52" s="374" t="s">
        <v>98</v>
      </c>
      <c r="C52" s="374">
        <v>73710</v>
      </c>
      <c r="D52" s="379" t="s">
        <v>611</v>
      </c>
      <c r="E52" s="543" t="s">
        <v>113</v>
      </c>
      <c r="F52" s="376">
        <v>0.15</v>
      </c>
      <c r="G52" s="376">
        <v>97.33</v>
      </c>
      <c r="H52" s="57">
        <f>ROUND((1+K$3)*G52,2)</f>
        <v>97.33</v>
      </c>
      <c r="I52" s="267">
        <f>ROUND(F52*H52,2)</f>
        <v>14.6</v>
      </c>
      <c r="J52" s="6"/>
      <c r="K52" s="6"/>
      <c r="L52" s="6"/>
      <c r="M52" s="6"/>
      <c r="N52" s="6"/>
      <c r="O52" s="6"/>
      <c r="P52" s="6"/>
      <c r="Q52" s="6"/>
    </row>
    <row r="53" spans="1:17" s="7" customFormat="1" ht="15.95" customHeight="1" x14ac:dyDescent="0.2">
      <c r="A53" s="265" t="s">
        <v>541</v>
      </c>
      <c r="B53" s="374" t="s">
        <v>98</v>
      </c>
      <c r="C53" s="374">
        <v>72946</v>
      </c>
      <c r="D53" s="379" t="s">
        <v>612</v>
      </c>
      <c r="E53" s="543" t="s">
        <v>101</v>
      </c>
      <c r="F53" s="376">
        <v>1</v>
      </c>
      <c r="G53" s="376">
        <v>3.47</v>
      </c>
      <c r="H53" s="57">
        <f>ROUND((1+K$3)*G53,2)</f>
        <v>3.47</v>
      </c>
      <c r="I53" s="267">
        <f>ROUND(F53*H53,2)</f>
        <v>3.47</v>
      </c>
      <c r="J53" s="6"/>
      <c r="K53" s="6"/>
      <c r="L53" s="6"/>
      <c r="M53" s="6"/>
      <c r="N53" s="6"/>
      <c r="O53" s="6"/>
      <c r="P53" s="6"/>
      <c r="Q53" s="6"/>
    </row>
    <row r="54" spans="1:17" s="7" customFormat="1" ht="15.95" customHeight="1" x14ac:dyDescent="0.2">
      <c r="A54" s="265" t="s">
        <v>542</v>
      </c>
      <c r="B54" s="374" t="s">
        <v>98</v>
      </c>
      <c r="C54" s="374">
        <v>72943</v>
      </c>
      <c r="D54" s="379" t="s">
        <v>613</v>
      </c>
      <c r="E54" s="543" t="s">
        <v>101</v>
      </c>
      <c r="F54" s="376">
        <v>1</v>
      </c>
      <c r="G54" s="376">
        <v>1.17</v>
      </c>
      <c r="H54" s="57">
        <f>ROUND((1+K$3)*G54,2)</f>
        <v>1.17</v>
      </c>
      <c r="I54" s="267">
        <f>ROUND(F54*H54,2)</f>
        <v>1.17</v>
      </c>
      <c r="J54" s="6"/>
      <c r="K54" s="6"/>
      <c r="L54" s="6"/>
      <c r="M54" s="6"/>
      <c r="N54" s="6"/>
      <c r="O54" s="6"/>
      <c r="P54" s="6"/>
      <c r="Q54" s="6"/>
    </row>
    <row r="55" spans="1:17" s="7" customFormat="1" ht="15.95" customHeight="1" x14ac:dyDescent="0.2">
      <c r="A55" s="265" t="s">
        <v>563</v>
      </c>
      <c r="B55" s="374" t="s">
        <v>98</v>
      </c>
      <c r="C55" s="374">
        <v>72954</v>
      </c>
      <c r="D55" s="379" t="s">
        <v>614</v>
      </c>
      <c r="E55" s="543" t="s">
        <v>101</v>
      </c>
      <c r="F55" s="376">
        <v>1</v>
      </c>
      <c r="G55" s="376">
        <v>4.66</v>
      </c>
      <c r="H55" s="57">
        <f>ROUND((1+K$3)*G55,2)</f>
        <v>4.66</v>
      </c>
      <c r="I55" s="267">
        <f>ROUND(F55*H55,2)</f>
        <v>4.66</v>
      </c>
      <c r="J55" s="6"/>
      <c r="K55" s="6"/>
      <c r="L55" s="6"/>
      <c r="M55" s="6"/>
      <c r="N55" s="6"/>
      <c r="O55" s="6"/>
      <c r="P55" s="6"/>
      <c r="Q55" s="6"/>
    </row>
    <row r="56" spans="1:17" s="7" customFormat="1" ht="15.95" customHeight="1" x14ac:dyDescent="0.2">
      <c r="A56" s="268"/>
      <c r="B56" s="582"/>
      <c r="C56" s="582"/>
      <c r="D56" s="377"/>
      <c r="E56" s="582"/>
      <c r="F56" s="376"/>
      <c r="G56" s="376"/>
      <c r="H56" s="376"/>
      <c r="I56" s="271"/>
      <c r="J56" s="6"/>
      <c r="K56" s="6"/>
      <c r="L56" s="6"/>
      <c r="M56" s="6"/>
      <c r="N56" s="6"/>
      <c r="O56" s="6"/>
      <c r="P56" s="6"/>
      <c r="Q56" s="6"/>
    </row>
    <row r="57" spans="1:17" s="59" customFormat="1" ht="15" customHeight="1" x14ac:dyDescent="0.2">
      <c r="A57" s="263" t="s">
        <v>273</v>
      </c>
      <c r="B57" s="205" t="s">
        <v>306</v>
      </c>
      <c r="C57" s="557" t="s">
        <v>157</v>
      </c>
      <c r="D57" s="206" t="s">
        <v>1178</v>
      </c>
      <c r="E57" s="205" t="s">
        <v>10</v>
      </c>
      <c r="F57" s="315"/>
      <c r="G57" s="316"/>
      <c r="H57" s="316"/>
      <c r="I57" s="560">
        <f>SUM(I58:I95)</f>
        <v>13953.587999999998</v>
      </c>
      <c r="J57" s="65"/>
      <c r="K57" s="65"/>
      <c r="L57" s="65"/>
      <c r="M57" s="65"/>
      <c r="N57" s="65"/>
      <c r="O57" s="65"/>
      <c r="P57" s="65"/>
      <c r="Q57" s="65"/>
    </row>
    <row r="58" spans="1:17" s="248" customFormat="1" ht="14.25" customHeight="1" x14ac:dyDescent="0.2">
      <c r="A58" s="384" t="s">
        <v>275</v>
      </c>
      <c r="B58" s="375" t="s">
        <v>98</v>
      </c>
      <c r="C58" s="375">
        <v>10406</v>
      </c>
      <c r="D58" s="377" t="s">
        <v>792</v>
      </c>
      <c r="E58" s="375" t="s">
        <v>10</v>
      </c>
      <c r="F58" s="376">
        <f>2</f>
        <v>2</v>
      </c>
      <c r="G58" s="376">
        <v>194.39</v>
      </c>
      <c r="H58" s="376">
        <f>G58</f>
        <v>194.39</v>
      </c>
      <c r="I58" s="387">
        <f>ROUND(F58*H58,2)</f>
        <v>388.78</v>
      </c>
      <c r="J58" s="247"/>
      <c r="K58" s="247"/>
      <c r="L58" s="247"/>
      <c r="M58" s="247"/>
      <c r="N58" s="247"/>
      <c r="O58" s="247"/>
      <c r="P58" s="247"/>
      <c r="Q58" s="247"/>
    </row>
    <row r="59" spans="1:17" s="248" customFormat="1" ht="14.25" customHeight="1" x14ac:dyDescent="0.2">
      <c r="A59" s="384" t="s">
        <v>277</v>
      </c>
      <c r="B59" s="375" t="s">
        <v>9</v>
      </c>
      <c r="C59" s="375"/>
      <c r="D59" s="377" t="s">
        <v>793</v>
      </c>
      <c r="E59" s="564" t="s">
        <v>10</v>
      </c>
      <c r="F59" s="376">
        <f>2</f>
        <v>2</v>
      </c>
      <c r="G59" s="376">
        <v>526.5</v>
      </c>
      <c r="H59" s="376">
        <f>G59</f>
        <v>526.5</v>
      </c>
      <c r="I59" s="387">
        <f t="shared" ref="I59:I80" si="3">ROUND(F59*H59,2)</f>
        <v>1053</v>
      </c>
      <c r="J59" s="247"/>
      <c r="K59" s="247"/>
      <c r="L59" s="247"/>
      <c r="M59" s="247"/>
      <c r="N59" s="247"/>
      <c r="O59" s="247"/>
      <c r="P59" s="247"/>
      <c r="Q59" s="247"/>
    </row>
    <row r="60" spans="1:17" s="248" customFormat="1" ht="14.25" customHeight="1" x14ac:dyDescent="0.2">
      <c r="A60" s="384" t="s">
        <v>279</v>
      </c>
      <c r="B60" s="375" t="s">
        <v>9</v>
      </c>
      <c r="C60" s="375"/>
      <c r="D60" s="377" t="s">
        <v>794</v>
      </c>
      <c r="E60" s="375" t="s">
        <v>10</v>
      </c>
      <c r="F60" s="376">
        <f>1</f>
        <v>1</v>
      </c>
      <c r="G60" s="376">
        <v>297</v>
      </c>
      <c r="H60" s="376">
        <f t="shared" ref="H60:H80" si="4">G60</f>
        <v>297</v>
      </c>
      <c r="I60" s="387">
        <f t="shared" si="3"/>
        <v>297</v>
      </c>
      <c r="J60" s="247"/>
      <c r="K60" s="247"/>
      <c r="L60" s="247"/>
      <c r="M60" s="247"/>
      <c r="N60" s="247"/>
      <c r="O60" s="247"/>
      <c r="P60" s="247"/>
      <c r="Q60" s="247"/>
    </row>
    <row r="61" spans="1:17" s="248" customFormat="1" ht="14.25" customHeight="1" x14ac:dyDescent="0.2">
      <c r="A61" s="384" t="s">
        <v>993</v>
      </c>
      <c r="B61" s="375" t="s">
        <v>9</v>
      </c>
      <c r="C61" s="375"/>
      <c r="D61" s="383" t="s">
        <v>795</v>
      </c>
      <c r="E61" s="375" t="s">
        <v>10</v>
      </c>
      <c r="F61" s="376">
        <f>1+1</f>
        <v>2</v>
      </c>
      <c r="G61" s="376">
        <v>109.35</v>
      </c>
      <c r="H61" s="376">
        <f t="shared" si="4"/>
        <v>109.35</v>
      </c>
      <c r="I61" s="387">
        <f t="shared" si="3"/>
        <v>218.7</v>
      </c>
      <c r="J61" s="247"/>
      <c r="K61" s="247"/>
      <c r="L61" s="247"/>
      <c r="M61" s="247"/>
      <c r="N61" s="247"/>
      <c r="O61" s="247"/>
      <c r="P61" s="247"/>
      <c r="Q61" s="247"/>
    </row>
    <row r="62" spans="1:17" s="248" customFormat="1" ht="14.25" customHeight="1" x14ac:dyDescent="0.2">
      <c r="A62" s="384" t="s">
        <v>994</v>
      </c>
      <c r="B62" s="375" t="s">
        <v>9</v>
      </c>
      <c r="C62" s="375"/>
      <c r="D62" s="383" t="s">
        <v>796</v>
      </c>
      <c r="E62" s="375" t="s">
        <v>10</v>
      </c>
      <c r="F62" s="376">
        <f>1</f>
        <v>1</v>
      </c>
      <c r="G62" s="376">
        <v>198.45</v>
      </c>
      <c r="H62" s="376">
        <f t="shared" si="4"/>
        <v>198.45</v>
      </c>
      <c r="I62" s="387">
        <f t="shared" si="3"/>
        <v>198.45</v>
      </c>
      <c r="J62" s="247"/>
      <c r="K62" s="247"/>
      <c r="L62" s="247"/>
      <c r="M62" s="247"/>
      <c r="N62" s="247"/>
      <c r="O62" s="247"/>
      <c r="P62" s="247"/>
      <c r="Q62" s="247"/>
    </row>
    <row r="63" spans="1:17" s="248" customFormat="1" ht="14.25" customHeight="1" x14ac:dyDescent="0.2">
      <c r="A63" s="384" t="s">
        <v>995</v>
      </c>
      <c r="B63" s="375" t="s">
        <v>9</v>
      </c>
      <c r="C63" s="375"/>
      <c r="D63" s="377" t="s">
        <v>797</v>
      </c>
      <c r="E63" s="375" t="s">
        <v>10</v>
      </c>
      <c r="F63" s="376">
        <f>1</f>
        <v>1</v>
      </c>
      <c r="G63" s="376">
        <v>384</v>
      </c>
      <c r="H63" s="376">
        <f t="shared" si="4"/>
        <v>384</v>
      </c>
      <c r="I63" s="387">
        <f t="shared" si="3"/>
        <v>384</v>
      </c>
      <c r="J63" s="247"/>
      <c r="K63" s="247"/>
      <c r="L63" s="247"/>
      <c r="M63" s="247"/>
      <c r="N63" s="247"/>
      <c r="O63" s="247"/>
      <c r="P63" s="247"/>
      <c r="Q63" s="247"/>
    </row>
    <row r="64" spans="1:17" s="248" customFormat="1" ht="14.25" customHeight="1" x14ac:dyDescent="0.2">
      <c r="A64" s="384" t="s">
        <v>567</v>
      </c>
      <c r="B64" s="375" t="s">
        <v>9</v>
      </c>
      <c r="C64" s="375"/>
      <c r="D64" s="377" t="s">
        <v>798</v>
      </c>
      <c r="E64" s="375" t="s">
        <v>107</v>
      </c>
      <c r="F64" s="376">
        <f>1.62</f>
        <v>1.62</v>
      </c>
      <c r="G64" s="376">
        <v>15.26</v>
      </c>
      <c r="H64" s="376">
        <f t="shared" si="4"/>
        <v>15.26</v>
      </c>
      <c r="I64" s="387">
        <f t="shared" si="3"/>
        <v>24.72</v>
      </c>
      <c r="J64" s="247"/>
      <c r="K64" s="247"/>
      <c r="L64" s="247"/>
      <c r="M64" s="247"/>
      <c r="N64" s="247"/>
      <c r="O64" s="247"/>
      <c r="P64" s="247"/>
      <c r="Q64" s="247"/>
    </row>
    <row r="65" spans="1:17" s="248" customFormat="1" ht="14.25" customHeight="1" x14ac:dyDescent="0.2">
      <c r="A65" s="384" t="s">
        <v>568</v>
      </c>
      <c r="B65" s="375" t="s">
        <v>9</v>
      </c>
      <c r="C65" s="375"/>
      <c r="D65" s="383" t="s">
        <v>799</v>
      </c>
      <c r="E65" s="375" t="s">
        <v>107</v>
      </c>
      <c r="F65" s="376">
        <f>1.6+0.8</f>
        <v>2.4000000000000004</v>
      </c>
      <c r="G65" s="376">
        <v>403</v>
      </c>
      <c r="H65" s="376">
        <f t="shared" si="4"/>
        <v>403</v>
      </c>
      <c r="I65" s="387">
        <f t="shared" si="3"/>
        <v>967.2</v>
      </c>
      <c r="J65" s="247"/>
      <c r="K65" s="247"/>
      <c r="L65" s="247"/>
      <c r="M65" s="247"/>
      <c r="N65" s="247"/>
      <c r="O65" s="247"/>
      <c r="P65" s="247"/>
      <c r="Q65" s="247"/>
    </row>
    <row r="66" spans="1:17" s="248" customFormat="1" ht="14.25" customHeight="1" x14ac:dyDescent="0.2">
      <c r="A66" s="384" t="s">
        <v>569</v>
      </c>
      <c r="B66" s="375" t="s">
        <v>9</v>
      </c>
      <c r="C66" s="375"/>
      <c r="D66" s="383" t="s">
        <v>800</v>
      </c>
      <c r="E66" s="375" t="s">
        <v>107</v>
      </c>
      <c r="F66" s="376">
        <f>2.15</f>
        <v>2.15</v>
      </c>
      <c r="G66" s="376">
        <v>458</v>
      </c>
      <c r="H66" s="376">
        <f t="shared" si="4"/>
        <v>458</v>
      </c>
      <c r="I66" s="387">
        <f t="shared" si="3"/>
        <v>984.7</v>
      </c>
      <c r="J66" s="247"/>
      <c r="K66" s="247"/>
      <c r="L66" s="247"/>
      <c r="M66" s="247"/>
      <c r="N66" s="247"/>
      <c r="O66" s="247"/>
      <c r="P66" s="247"/>
      <c r="Q66" s="247"/>
    </row>
    <row r="67" spans="1:17" s="248" customFormat="1" ht="14.25" customHeight="1" x14ac:dyDescent="0.2">
      <c r="A67" s="384" t="s">
        <v>570</v>
      </c>
      <c r="B67" s="375" t="s">
        <v>9</v>
      </c>
      <c r="C67" s="375"/>
      <c r="D67" s="383" t="s">
        <v>802</v>
      </c>
      <c r="E67" s="375" t="s">
        <v>107</v>
      </c>
      <c r="F67" s="376">
        <f>0.7+1.85</f>
        <v>2.5499999999999998</v>
      </c>
      <c r="G67" s="376">
        <v>513</v>
      </c>
      <c r="H67" s="376">
        <f t="shared" si="4"/>
        <v>513</v>
      </c>
      <c r="I67" s="387">
        <f t="shared" si="3"/>
        <v>1308.1500000000001</v>
      </c>
      <c r="J67" s="247"/>
      <c r="K67" s="247"/>
      <c r="L67" s="247"/>
      <c r="M67" s="247"/>
      <c r="N67" s="247"/>
      <c r="O67" s="247"/>
      <c r="P67" s="247"/>
      <c r="Q67" s="247"/>
    </row>
    <row r="68" spans="1:17" s="248" customFormat="1" ht="14.25" customHeight="1" x14ac:dyDescent="0.2">
      <c r="A68" s="384" t="s">
        <v>1179</v>
      </c>
      <c r="B68" s="375" t="s">
        <v>98</v>
      </c>
      <c r="C68" s="375">
        <v>9838</v>
      </c>
      <c r="D68" s="377" t="s">
        <v>803</v>
      </c>
      <c r="E68" s="375" t="s">
        <v>107</v>
      </c>
      <c r="F68" s="376">
        <f>0.3+0.3</f>
        <v>0.6</v>
      </c>
      <c r="G68" s="376">
        <v>5.56</v>
      </c>
      <c r="H68" s="376">
        <f t="shared" si="4"/>
        <v>5.56</v>
      </c>
      <c r="I68" s="387">
        <f t="shared" si="3"/>
        <v>3.34</v>
      </c>
      <c r="J68" s="247"/>
      <c r="K68" s="247"/>
      <c r="L68" s="247"/>
      <c r="M68" s="247"/>
      <c r="N68" s="247"/>
      <c r="O68" s="247"/>
      <c r="P68" s="247"/>
      <c r="Q68" s="247"/>
    </row>
    <row r="69" spans="1:17" s="248" customFormat="1" ht="14.25" customHeight="1" x14ac:dyDescent="0.2">
      <c r="A69" s="384" t="s">
        <v>1180</v>
      </c>
      <c r="B69" s="375" t="s">
        <v>98</v>
      </c>
      <c r="C69" s="375">
        <v>4203</v>
      </c>
      <c r="D69" s="377" t="s">
        <v>804</v>
      </c>
      <c r="E69" s="375" t="s">
        <v>10</v>
      </c>
      <c r="F69" s="376">
        <f>2</f>
        <v>2</v>
      </c>
      <c r="G69" s="376">
        <v>37.72</v>
      </c>
      <c r="H69" s="376">
        <f t="shared" si="4"/>
        <v>37.72</v>
      </c>
      <c r="I69" s="387">
        <f t="shared" si="3"/>
        <v>75.44</v>
      </c>
      <c r="J69" s="247"/>
      <c r="K69" s="247"/>
      <c r="L69" s="247"/>
      <c r="M69" s="247"/>
      <c r="N69" s="247"/>
      <c r="O69" s="247"/>
      <c r="P69" s="247"/>
      <c r="Q69" s="247"/>
    </row>
    <row r="70" spans="1:17" s="248" customFormat="1" ht="14.25" customHeight="1" x14ac:dyDescent="0.2">
      <c r="A70" s="384" t="s">
        <v>1181</v>
      </c>
      <c r="B70" s="564" t="s">
        <v>9</v>
      </c>
      <c r="C70" s="564"/>
      <c r="D70" s="377" t="s">
        <v>948</v>
      </c>
      <c r="E70" s="564" t="s">
        <v>10</v>
      </c>
      <c r="F70" s="376">
        <f>2</f>
        <v>2</v>
      </c>
      <c r="G70" s="376">
        <v>25.65</v>
      </c>
      <c r="H70" s="376">
        <f t="shared" si="4"/>
        <v>25.65</v>
      </c>
      <c r="I70" s="387">
        <f t="shared" si="3"/>
        <v>51.3</v>
      </c>
      <c r="J70" s="247"/>
      <c r="K70" s="247"/>
      <c r="L70" s="247"/>
      <c r="M70" s="247"/>
      <c r="N70" s="247"/>
      <c r="O70" s="247"/>
      <c r="P70" s="247"/>
      <c r="Q70" s="247"/>
    </row>
    <row r="71" spans="1:17" s="248" customFormat="1" ht="14.25" customHeight="1" x14ac:dyDescent="0.2">
      <c r="A71" s="384" t="s">
        <v>1182</v>
      </c>
      <c r="B71" s="375" t="s">
        <v>98</v>
      </c>
      <c r="C71" s="375">
        <v>11315</v>
      </c>
      <c r="D71" s="377" t="s">
        <v>805</v>
      </c>
      <c r="E71" s="375" t="s">
        <v>10</v>
      </c>
      <c r="F71" s="376">
        <f>1+1</f>
        <v>2</v>
      </c>
      <c r="G71" s="376">
        <v>44.45</v>
      </c>
      <c r="H71" s="376">
        <f t="shared" si="4"/>
        <v>44.45</v>
      </c>
      <c r="I71" s="387">
        <f t="shared" si="3"/>
        <v>88.9</v>
      </c>
      <c r="J71" s="247"/>
      <c r="K71" s="247"/>
      <c r="L71" s="247"/>
      <c r="M71" s="247"/>
      <c r="N71" s="247"/>
      <c r="O71" s="247"/>
      <c r="P71" s="247"/>
      <c r="Q71" s="247"/>
    </row>
    <row r="72" spans="1:17" s="248" customFormat="1" ht="14.25" customHeight="1" x14ac:dyDescent="0.2">
      <c r="A72" s="384" t="s">
        <v>1183</v>
      </c>
      <c r="B72" s="375" t="s">
        <v>98</v>
      </c>
      <c r="C72" s="375">
        <v>3719</v>
      </c>
      <c r="D72" s="377" t="s">
        <v>806</v>
      </c>
      <c r="E72" s="375" t="s">
        <v>10</v>
      </c>
      <c r="F72" s="376">
        <f>2</f>
        <v>2</v>
      </c>
      <c r="G72" s="376">
        <v>119.98</v>
      </c>
      <c r="H72" s="376">
        <f t="shared" si="4"/>
        <v>119.98</v>
      </c>
      <c r="I72" s="387">
        <f t="shared" si="3"/>
        <v>239.96</v>
      </c>
      <c r="J72" s="247"/>
      <c r="K72" s="247"/>
      <c r="L72" s="247"/>
      <c r="M72" s="247"/>
      <c r="N72" s="247"/>
      <c r="O72" s="247"/>
      <c r="P72" s="247"/>
      <c r="Q72" s="247"/>
    </row>
    <row r="73" spans="1:17" s="248" customFormat="1" ht="14.25" customHeight="1" x14ac:dyDescent="0.2">
      <c r="A73" s="384" t="s">
        <v>1184</v>
      </c>
      <c r="B73" s="375" t="s">
        <v>9</v>
      </c>
      <c r="C73" s="375"/>
      <c r="D73" s="377" t="s">
        <v>807</v>
      </c>
      <c r="E73" s="375" t="s">
        <v>10</v>
      </c>
      <c r="F73" s="376">
        <f>1</f>
        <v>1</v>
      </c>
      <c r="G73" s="376">
        <v>368</v>
      </c>
      <c r="H73" s="376">
        <f t="shared" si="4"/>
        <v>368</v>
      </c>
      <c r="I73" s="387">
        <f t="shared" si="3"/>
        <v>368</v>
      </c>
      <c r="J73" s="247"/>
      <c r="K73" s="247"/>
      <c r="L73" s="247"/>
      <c r="M73" s="247"/>
      <c r="N73" s="247"/>
      <c r="O73" s="247"/>
      <c r="P73" s="247"/>
      <c r="Q73" s="247"/>
    </row>
    <row r="74" spans="1:17" s="43" customFormat="1" ht="15.95" customHeight="1" x14ac:dyDescent="0.2">
      <c r="A74" s="384" t="s">
        <v>1185</v>
      </c>
      <c r="B74" s="375" t="s">
        <v>9</v>
      </c>
      <c r="C74" s="375"/>
      <c r="D74" s="377" t="s">
        <v>808</v>
      </c>
      <c r="E74" s="375" t="s">
        <v>10</v>
      </c>
      <c r="F74" s="376">
        <f>1</f>
        <v>1</v>
      </c>
      <c r="G74" s="376">
        <v>183</v>
      </c>
      <c r="H74" s="376">
        <f t="shared" si="4"/>
        <v>183</v>
      </c>
      <c r="I74" s="387">
        <f t="shared" si="3"/>
        <v>183</v>
      </c>
      <c r="J74" s="44"/>
      <c r="K74" s="44"/>
      <c r="L74" s="44"/>
      <c r="M74" s="44"/>
      <c r="N74" s="44"/>
      <c r="O74" s="44"/>
      <c r="P74" s="44"/>
      <c r="Q74" s="44"/>
    </row>
    <row r="75" spans="1:17" s="248" customFormat="1" ht="14.25" customHeight="1" x14ac:dyDescent="0.2">
      <c r="A75" s="384" t="s">
        <v>1186</v>
      </c>
      <c r="B75" s="375" t="s">
        <v>9</v>
      </c>
      <c r="C75" s="375"/>
      <c r="D75" s="377" t="s">
        <v>809</v>
      </c>
      <c r="E75" s="375" t="s">
        <v>10</v>
      </c>
      <c r="F75" s="376">
        <f>4+4</f>
        <v>8</v>
      </c>
      <c r="G75" s="376">
        <v>1.35</v>
      </c>
      <c r="H75" s="376">
        <f t="shared" si="4"/>
        <v>1.35</v>
      </c>
      <c r="I75" s="387">
        <f t="shared" si="3"/>
        <v>10.8</v>
      </c>
      <c r="J75" s="247"/>
      <c r="K75" s="247"/>
      <c r="L75" s="247"/>
      <c r="M75" s="247"/>
      <c r="N75" s="247"/>
      <c r="O75" s="247"/>
      <c r="P75" s="247"/>
      <c r="Q75" s="247"/>
    </row>
    <row r="76" spans="1:17" s="248" customFormat="1" ht="14.25" x14ac:dyDescent="0.2">
      <c r="A76" s="384" t="s">
        <v>1187</v>
      </c>
      <c r="B76" s="375" t="s">
        <v>9</v>
      </c>
      <c r="C76" s="375"/>
      <c r="D76" s="377" t="s">
        <v>810</v>
      </c>
      <c r="E76" s="375" t="s">
        <v>10</v>
      </c>
      <c r="F76" s="376">
        <f>14</f>
        <v>14</v>
      </c>
      <c r="G76" s="376">
        <v>2.0299999999999998</v>
      </c>
      <c r="H76" s="376">
        <f t="shared" si="4"/>
        <v>2.0299999999999998</v>
      </c>
      <c r="I76" s="387">
        <f t="shared" si="3"/>
        <v>28.42</v>
      </c>
      <c r="J76" s="247"/>
      <c r="K76" s="247"/>
      <c r="L76" s="247"/>
      <c r="M76" s="247"/>
      <c r="N76" s="247"/>
      <c r="O76" s="247"/>
      <c r="P76" s="247"/>
      <c r="Q76" s="247"/>
    </row>
    <row r="77" spans="1:17" s="248" customFormat="1" ht="14.25" customHeight="1" x14ac:dyDescent="0.2">
      <c r="A77" s="384" t="s">
        <v>1188</v>
      </c>
      <c r="B77" s="375" t="s">
        <v>9</v>
      </c>
      <c r="C77" s="375"/>
      <c r="D77" s="377" t="s">
        <v>811</v>
      </c>
      <c r="E77" s="375" t="s">
        <v>10</v>
      </c>
      <c r="F77" s="376">
        <f>1+14</f>
        <v>15</v>
      </c>
      <c r="G77" s="376">
        <v>1.96</v>
      </c>
      <c r="H77" s="376">
        <f t="shared" si="4"/>
        <v>1.96</v>
      </c>
      <c r="I77" s="387">
        <f t="shared" si="3"/>
        <v>29.4</v>
      </c>
      <c r="J77" s="247"/>
      <c r="K77" s="247"/>
      <c r="L77" s="247"/>
      <c r="M77" s="247"/>
      <c r="N77" s="247"/>
      <c r="O77" s="247"/>
      <c r="P77" s="247"/>
      <c r="Q77" s="247"/>
    </row>
    <row r="78" spans="1:17" s="248" customFormat="1" ht="14.25" customHeight="1" x14ac:dyDescent="0.2">
      <c r="A78" s="384" t="s">
        <v>1189</v>
      </c>
      <c r="B78" s="375" t="s">
        <v>9</v>
      </c>
      <c r="C78" s="375"/>
      <c r="D78" s="377" t="s">
        <v>631</v>
      </c>
      <c r="E78" s="375" t="s">
        <v>10</v>
      </c>
      <c r="F78" s="376">
        <f>136+136</f>
        <v>272</v>
      </c>
      <c r="G78" s="376">
        <v>3.18</v>
      </c>
      <c r="H78" s="376">
        <f t="shared" si="4"/>
        <v>3.18</v>
      </c>
      <c r="I78" s="387">
        <f t="shared" si="3"/>
        <v>864.96</v>
      </c>
      <c r="J78" s="247"/>
      <c r="K78" s="247"/>
      <c r="L78" s="247"/>
      <c r="M78" s="247"/>
      <c r="N78" s="247"/>
      <c r="O78" s="247"/>
      <c r="P78" s="247"/>
      <c r="Q78" s="247"/>
    </row>
    <row r="79" spans="1:17" s="43" customFormat="1" ht="15.95" customHeight="1" x14ac:dyDescent="0.2">
      <c r="A79" s="384" t="s">
        <v>1190</v>
      </c>
      <c r="B79" s="375" t="s">
        <v>9</v>
      </c>
      <c r="C79" s="385"/>
      <c r="D79" s="377" t="s">
        <v>812</v>
      </c>
      <c r="E79" s="375" t="s">
        <v>10</v>
      </c>
      <c r="F79" s="386">
        <f>1+0.4</f>
        <v>1.4</v>
      </c>
      <c r="G79" s="386">
        <v>980</v>
      </c>
      <c r="H79" s="376">
        <f t="shared" si="4"/>
        <v>980</v>
      </c>
      <c r="I79" s="387">
        <f t="shared" si="3"/>
        <v>1372</v>
      </c>
      <c r="J79" s="44"/>
      <c r="K79" s="44"/>
      <c r="L79" s="44"/>
      <c r="M79" s="44"/>
      <c r="N79" s="44"/>
      <c r="O79" s="44"/>
      <c r="P79" s="44"/>
      <c r="Q79" s="44"/>
    </row>
    <row r="80" spans="1:17" s="248" customFormat="1" ht="14.25" customHeight="1" x14ac:dyDescent="0.2">
      <c r="A80" s="384" t="s">
        <v>1191</v>
      </c>
      <c r="B80" s="375" t="s">
        <v>9</v>
      </c>
      <c r="C80" s="385"/>
      <c r="D80" s="377" t="s">
        <v>813</v>
      </c>
      <c r="E80" s="375" t="s">
        <v>107</v>
      </c>
      <c r="F80" s="386">
        <f>1.2</f>
        <v>1.2</v>
      </c>
      <c r="G80" s="386">
        <v>186</v>
      </c>
      <c r="H80" s="376">
        <f t="shared" si="4"/>
        <v>186</v>
      </c>
      <c r="I80" s="387">
        <f t="shared" si="3"/>
        <v>223.2</v>
      </c>
      <c r="J80" s="247"/>
      <c r="K80" s="247"/>
      <c r="L80" s="247"/>
      <c r="M80" s="247"/>
      <c r="N80" s="247"/>
      <c r="O80" s="247"/>
      <c r="P80" s="247"/>
      <c r="Q80" s="247"/>
    </row>
    <row r="81" spans="1:17" s="248" customFormat="1" ht="14.25" customHeight="1" x14ac:dyDescent="0.2">
      <c r="A81" s="384" t="s">
        <v>1192</v>
      </c>
      <c r="B81" s="375" t="s">
        <v>98</v>
      </c>
      <c r="C81" s="375">
        <v>10406</v>
      </c>
      <c r="D81" s="377" t="s">
        <v>935</v>
      </c>
      <c r="E81" s="375" t="s">
        <v>10</v>
      </c>
      <c r="F81" s="376">
        <v>2</v>
      </c>
      <c r="G81" s="376">
        <v>194.39</v>
      </c>
      <c r="H81" s="376">
        <f>G81</f>
        <v>194.39</v>
      </c>
      <c r="I81" s="387">
        <f>F81*H81</f>
        <v>388.78</v>
      </c>
      <c r="J81" s="247"/>
      <c r="K81" s="247"/>
      <c r="L81" s="247"/>
      <c r="M81" s="247"/>
      <c r="N81" s="247"/>
      <c r="O81" s="247"/>
      <c r="P81" s="247"/>
      <c r="Q81" s="247"/>
    </row>
    <row r="82" spans="1:17" s="248" customFormat="1" ht="14.25" customHeight="1" x14ac:dyDescent="0.2">
      <c r="A82" s="384" t="s">
        <v>1193</v>
      </c>
      <c r="B82" s="375" t="s">
        <v>9</v>
      </c>
      <c r="C82" s="375"/>
      <c r="D82" s="377" t="s">
        <v>936</v>
      </c>
      <c r="E82" s="375" t="s">
        <v>10</v>
      </c>
      <c r="F82" s="376">
        <v>2</v>
      </c>
      <c r="G82" s="376">
        <v>526.5</v>
      </c>
      <c r="H82" s="376">
        <f t="shared" ref="H82:H95" si="5">G82</f>
        <v>526.5</v>
      </c>
      <c r="I82" s="387">
        <f t="shared" ref="I82:I95" si="6">F82*H82</f>
        <v>1053</v>
      </c>
      <c r="J82" s="247"/>
      <c r="K82" s="247"/>
      <c r="L82" s="247"/>
      <c r="M82" s="247"/>
      <c r="N82" s="247"/>
      <c r="O82" s="247"/>
      <c r="P82" s="247"/>
      <c r="Q82" s="247"/>
    </row>
    <row r="83" spans="1:17" s="248" customFormat="1" ht="14.25" customHeight="1" x14ac:dyDescent="0.2">
      <c r="A83" s="384" t="s">
        <v>1194</v>
      </c>
      <c r="B83" s="375" t="s">
        <v>9</v>
      </c>
      <c r="C83" s="375"/>
      <c r="D83" s="377" t="s">
        <v>794</v>
      </c>
      <c r="E83" s="375" t="s">
        <v>10</v>
      </c>
      <c r="F83" s="376">
        <v>1</v>
      </c>
      <c r="G83" s="376">
        <v>297</v>
      </c>
      <c r="H83" s="376">
        <f t="shared" si="5"/>
        <v>297</v>
      </c>
      <c r="I83" s="387">
        <f t="shared" si="6"/>
        <v>297</v>
      </c>
      <c r="J83" s="247"/>
      <c r="K83" s="247"/>
      <c r="L83" s="247"/>
      <c r="M83" s="247"/>
      <c r="N83" s="247"/>
      <c r="O83" s="247"/>
      <c r="P83" s="247"/>
      <c r="Q83" s="247"/>
    </row>
    <row r="84" spans="1:17" s="248" customFormat="1" ht="14.25" customHeight="1" x14ac:dyDescent="0.2">
      <c r="A84" s="384" t="s">
        <v>1195</v>
      </c>
      <c r="B84" s="375" t="s">
        <v>9</v>
      </c>
      <c r="C84" s="375"/>
      <c r="D84" s="383" t="s">
        <v>937</v>
      </c>
      <c r="E84" s="375" t="s">
        <v>10</v>
      </c>
      <c r="F84" s="376">
        <v>1</v>
      </c>
      <c r="G84" s="376">
        <v>198.45</v>
      </c>
      <c r="H84" s="376">
        <f t="shared" si="5"/>
        <v>198.45</v>
      </c>
      <c r="I84" s="387">
        <f t="shared" si="6"/>
        <v>198.45</v>
      </c>
      <c r="J84" s="247"/>
      <c r="K84" s="247"/>
      <c r="L84" s="247"/>
      <c r="M84" s="247"/>
      <c r="N84" s="247"/>
      <c r="O84" s="247"/>
      <c r="P84" s="247"/>
      <c r="Q84" s="247"/>
    </row>
    <row r="85" spans="1:17" s="248" customFormat="1" ht="14.25" customHeight="1" x14ac:dyDescent="0.2">
      <c r="A85" s="384" t="s">
        <v>1196</v>
      </c>
      <c r="B85" s="375" t="s">
        <v>9</v>
      </c>
      <c r="C85" s="375"/>
      <c r="D85" s="377" t="s">
        <v>938</v>
      </c>
      <c r="E85" s="375" t="s">
        <v>10</v>
      </c>
      <c r="F85" s="376">
        <v>1</v>
      </c>
      <c r="G85" s="376">
        <v>384</v>
      </c>
      <c r="H85" s="376">
        <f t="shared" si="5"/>
        <v>384</v>
      </c>
      <c r="I85" s="387">
        <f t="shared" si="6"/>
        <v>384</v>
      </c>
      <c r="J85" s="247"/>
      <c r="K85" s="247"/>
      <c r="L85" s="247"/>
      <c r="M85" s="247"/>
      <c r="N85" s="247"/>
      <c r="O85" s="247"/>
      <c r="P85" s="247"/>
      <c r="Q85" s="247"/>
    </row>
    <row r="86" spans="1:17" s="248" customFormat="1" ht="14.25" customHeight="1" x14ac:dyDescent="0.2">
      <c r="A86" s="384" t="s">
        <v>1197</v>
      </c>
      <c r="B86" s="375" t="s">
        <v>9</v>
      </c>
      <c r="C86" s="375"/>
      <c r="D86" s="377" t="s">
        <v>939</v>
      </c>
      <c r="E86" s="375" t="s">
        <v>107</v>
      </c>
      <c r="F86" s="376">
        <v>4.3</v>
      </c>
      <c r="G86" s="376">
        <v>15.26</v>
      </c>
      <c r="H86" s="376">
        <f t="shared" si="5"/>
        <v>15.26</v>
      </c>
      <c r="I86" s="387">
        <f t="shared" si="6"/>
        <v>65.617999999999995</v>
      </c>
      <c r="J86" s="247"/>
      <c r="K86" s="247"/>
      <c r="L86" s="247"/>
      <c r="M86" s="247"/>
      <c r="N86" s="247"/>
      <c r="O86" s="247"/>
      <c r="P86" s="247"/>
      <c r="Q86" s="247"/>
    </row>
    <row r="87" spans="1:17" s="248" customFormat="1" ht="14.25" customHeight="1" x14ac:dyDescent="0.2">
      <c r="A87" s="384" t="s">
        <v>1198</v>
      </c>
      <c r="B87" s="375" t="s">
        <v>98</v>
      </c>
      <c r="C87" s="375">
        <v>4203</v>
      </c>
      <c r="D87" s="377" t="s">
        <v>941</v>
      </c>
      <c r="E87" s="375" t="s">
        <v>10</v>
      </c>
      <c r="F87" s="376">
        <v>2</v>
      </c>
      <c r="G87" s="376">
        <v>37.72</v>
      </c>
      <c r="H87" s="376">
        <f t="shared" si="5"/>
        <v>37.72</v>
      </c>
      <c r="I87" s="387">
        <f t="shared" si="6"/>
        <v>75.44</v>
      </c>
      <c r="J87" s="247"/>
      <c r="K87" s="247"/>
      <c r="L87" s="247"/>
      <c r="M87" s="247"/>
      <c r="N87" s="247"/>
      <c r="O87" s="247"/>
      <c r="P87" s="247"/>
      <c r="Q87" s="247"/>
    </row>
    <row r="88" spans="1:17" s="248" customFormat="1" ht="14.25" customHeight="1" x14ac:dyDescent="0.2">
      <c r="A88" s="384" t="s">
        <v>1199</v>
      </c>
      <c r="B88" s="375" t="s">
        <v>9</v>
      </c>
      <c r="C88" s="375"/>
      <c r="D88" s="377" t="s">
        <v>940</v>
      </c>
      <c r="E88" s="375" t="s">
        <v>10</v>
      </c>
      <c r="F88" s="376">
        <v>2</v>
      </c>
      <c r="G88" s="376">
        <v>38.19</v>
      </c>
      <c r="H88" s="376">
        <f t="shared" si="5"/>
        <v>38.19</v>
      </c>
      <c r="I88" s="387">
        <f t="shared" si="6"/>
        <v>76.38</v>
      </c>
      <c r="J88" s="247"/>
      <c r="K88" s="247"/>
      <c r="L88" s="247"/>
      <c r="M88" s="247"/>
      <c r="N88" s="247"/>
      <c r="O88" s="247"/>
      <c r="P88" s="247"/>
      <c r="Q88" s="247"/>
    </row>
    <row r="89" spans="1:17" s="248" customFormat="1" ht="14.25" customHeight="1" x14ac:dyDescent="0.2">
      <c r="A89" s="384" t="s">
        <v>1200</v>
      </c>
      <c r="B89" s="375" t="s">
        <v>98</v>
      </c>
      <c r="C89" s="375">
        <v>3719</v>
      </c>
      <c r="D89" s="377" t="s">
        <v>942</v>
      </c>
      <c r="E89" s="375" t="s">
        <v>10</v>
      </c>
      <c r="F89" s="376">
        <v>2</v>
      </c>
      <c r="G89" s="376">
        <v>119.98</v>
      </c>
      <c r="H89" s="376">
        <f t="shared" si="5"/>
        <v>119.98</v>
      </c>
      <c r="I89" s="387">
        <f t="shared" si="6"/>
        <v>239.96</v>
      </c>
      <c r="J89" s="247"/>
      <c r="K89" s="247"/>
      <c r="L89" s="247"/>
      <c r="M89" s="247"/>
      <c r="N89" s="247"/>
      <c r="O89" s="247"/>
      <c r="P89" s="247"/>
      <c r="Q89" s="247"/>
    </row>
    <row r="90" spans="1:17" s="248" customFormat="1" ht="14.25" customHeight="1" x14ac:dyDescent="0.2">
      <c r="A90" s="384" t="s">
        <v>1201</v>
      </c>
      <c r="B90" s="375" t="s">
        <v>9</v>
      </c>
      <c r="C90" s="375"/>
      <c r="D90" s="377" t="s">
        <v>943</v>
      </c>
      <c r="E90" s="375" t="s">
        <v>10</v>
      </c>
      <c r="F90" s="376">
        <v>1</v>
      </c>
      <c r="G90" s="376">
        <v>368</v>
      </c>
      <c r="H90" s="376">
        <f t="shared" si="5"/>
        <v>368</v>
      </c>
      <c r="I90" s="387">
        <f t="shared" si="6"/>
        <v>368</v>
      </c>
      <c r="J90" s="247"/>
      <c r="K90" s="247"/>
      <c r="L90" s="247"/>
      <c r="M90" s="247"/>
      <c r="N90" s="247"/>
      <c r="O90" s="247"/>
      <c r="P90" s="247"/>
      <c r="Q90" s="247"/>
    </row>
    <row r="91" spans="1:17" s="373" customFormat="1" ht="15.95" customHeight="1" x14ac:dyDescent="0.2">
      <c r="A91" s="384" t="s">
        <v>1202</v>
      </c>
      <c r="B91" s="375" t="s">
        <v>9</v>
      </c>
      <c r="C91" s="375"/>
      <c r="D91" s="377" t="s">
        <v>944</v>
      </c>
      <c r="E91" s="375" t="s">
        <v>10</v>
      </c>
      <c r="F91" s="376">
        <v>1</v>
      </c>
      <c r="G91" s="376">
        <v>183</v>
      </c>
      <c r="H91" s="376">
        <f t="shared" si="5"/>
        <v>183</v>
      </c>
      <c r="I91" s="387">
        <f t="shared" si="6"/>
        <v>183</v>
      </c>
      <c r="J91" s="44"/>
      <c r="K91" s="44"/>
      <c r="L91" s="44"/>
      <c r="M91" s="44"/>
      <c r="N91" s="44"/>
      <c r="O91" s="44"/>
      <c r="P91" s="44"/>
      <c r="Q91" s="44"/>
    </row>
    <row r="92" spans="1:17" s="248" customFormat="1" ht="14.25" customHeight="1" x14ac:dyDescent="0.2">
      <c r="A92" s="384" t="s">
        <v>1203</v>
      </c>
      <c r="B92" s="375" t="s">
        <v>9</v>
      </c>
      <c r="C92" s="375"/>
      <c r="D92" s="377" t="s">
        <v>945</v>
      </c>
      <c r="E92" s="375" t="s">
        <v>10</v>
      </c>
      <c r="F92" s="376">
        <v>1</v>
      </c>
      <c r="G92" s="376">
        <v>1.96</v>
      </c>
      <c r="H92" s="376">
        <f t="shared" si="5"/>
        <v>1.96</v>
      </c>
      <c r="I92" s="387">
        <f t="shared" si="6"/>
        <v>1.96</v>
      </c>
      <c r="J92" s="247"/>
      <c r="K92" s="247"/>
      <c r="L92" s="247"/>
      <c r="M92" s="247"/>
      <c r="N92" s="247"/>
      <c r="O92" s="247"/>
      <c r="P92" s="247"/>
      <c r="Q92" s="247"/>
    </row>
    <row r="93" spans="1:17" s="248" customFormat="1" ht="14.25" customHeight="1" x14ac:dyDescent="0.2">
      <c r="A93" s="384" t="s">
        <v>1204</v>
      </c>
      <c r="B93" s="375" t="s">
        <v>9</v>
      </c>
      <c r="C93" s="375"/>
      <c r="D93" s="377" t="s">
        <v>813</v>
      </c>
      <c r="E93" s="375" t="s">
        <v>107</v>
      </c>
      <c r="F93" s="376">
        <v>3.7</v>
      </c>
      <c r="G93" s="376">
        <v>186</v>
      </c>
      <c r="H93" s="376">
        <f t="shared" si="5"/>
        <v>186</v>
      </c>
      <c r="I93" s="387">
        <f t="shared" si="6"/>
        <v>688.2</v>
      </c>
      <c r="J93" s="247"/>
      <c r="K93" s="247"/>
      <c r="L93" s="247"/>
      <c r="M93" s="247"/>
      <c r="N93" s="247"/>
      <c r="O93" s="247"/>
      <c r="P93" s="247"/>
      <c r="Q93" s="247"/>
    </row>
    <row r="94" spans="1:17" s="248" customFormat="1" ht="14.25" customHeight="1" x14ac:dyDescent="0.2">
      <c r="A94" s="384" t="s">
        <v>1205</v>
      </c>
      <c r="B94" s="375" t="s">
        <v>9</v>
      </c>
      <c r="C94" s="375"/>
      <c r="D94" s="377" t="s">
        <v>946</v>
      </c>
      <c r="E94" s="375" t="s">
        <v>10</v>
      </c>
      <c r="F94" s="376">
        <v>2</v>
      </c>
      <c r="G94" s="376">
        <v>202</v>
      </c>
      <c r="H94" s="376">
        <f t="shared" si="5"/>
        <v>202</v>
      </c>
      <c r="I94" s="387">
        <f t="shared" si="6"/>
        <v>404</v>
      </c>
      <c r="J94" s="247"/>
      <c r="K94" s="247"/>
      <c r="L94" s="247"/>
      <c r="M94" s="247"/>
      <c r="N94" s="247"/>
      <c r="O94" s="247"/>
      <c r="P94" s="247"/>
      <c r="Q94" s="247"/>
    </row>
    <row r="95" spans="1:17" s="248" customFormat="1" ht="14.25" customHeight="1" x14ac:dyDescent="0.2">
      <c r="A95" s="384" t="s">
        <v>1206</v>
      </c>
      <c r="B95" s="564" t="s">
        <v>9</v>
      </c>
      <c r="C95" s="564"/>
      <c r="D95" s="377" t="s">
        <v>947</v>
      </c>
      <c r="E95" s="564" t="s">
        <v>10</v>
      </c>
      <c r="F95" s="376">
        <v>1</v>
      </c>
      <c r="G95" s="376">
        <v>166.38</v>
      </c>
      <c r="H95" s="376">
        <f t="shared" si="5"/>
        <v>166.38</v>
      </c>
      <c r="I95" s="387">
        <f t="shared" si="6"/>
        <v>166.38</v>
      </c>
      <c r="J95" s="247"/>
      <c r="K95" s="247"/>
      <c r="L95" s="247"/>
      <c r="M95" s="247"/>
      <c r="N95" s="247"/>
      <c r="O95" s="247"/>
      <c r="P95" s="247"/>
      <c r="Q95" s="247"/>
    </row>
    <row r="96" spans="1:17" s="248" customFormat="1" ht="14.25" customHeight="1" x14ac:dyDescent="0.2">
      <c r="A96" s="384"/>
      <c r="B96" s="375"/>
      <c r="C96" s="375"/>
      <c r="D96" s="377"/>
      <c r="E96" s="375"/>
      <c r="F96" s="376"/>
      <c r="G96" s="376"/>
      <c r="H96" s="376"/>
      <c r="I96" s="387"/>
      <c r="J96" s="247"/>
      <c r="K96" s="247"/>
      <c r="L96" s="247"/>
      <c r="M96" s="247"/>
      <c r="N96" s="247"/>
      <c r="O96" s="247"/>
      <c r="P96" s="247"/>
      <c r="Q96" s="247"/>
    </row>
    <row r="97" spans="1:17" s="141" customFormat="1" x14ac:dyDescent="0.25">
      <c r="A97" s="204" t="s">
        <v>282</v>
      </c>
      <c r="B97" s="205" t="s">
        <v>306</v>
      </c>
      <c r="C97" s="557" t="s">
        <v>158</v>
      </c>
      <c r="D97" s="206" t="str">
        <f>D155</f>
        <v>APLICAÇÃO DO MATERIAL HIDRÁULICO DA ELEVATÓRIA</v>
      </c>
      <c r="E97" s="205" t="s">
        <v>10</v>
      </c>
      <c r="F97" s="315"/>
      <c r="G97" s="316"/>
      <c r="H97" s="316"/>
      <c r="I97" s="317">
        <f>SUM(I98:I99)</f>
        <v>1288.6500000000001</v>
      </c>
      <c r="J97" s="140"/>
      <c r="K97" s="140"/>
      <c r="L97" s="140"/>
      <c r="M97" s="140"/>
      <c r="N97" s="140"/>
      <c r="O97" s="140"/>
      <c r="P97" s="140"/>
      <c r="Q97" s="140"/>
    </row>
    <row r="98" spans="1:17" s="141" customFormat="1" x14ac:dyDescent="0.25">
      <c r="A98" s="265" t="s">
        <v>324</v>
      </c>
      <c r="B98" s="374" t="s">
        <v>98</v>
      </c>
      <c r="C98" s="374" t="s">
        <v>633</v>
      </c>
      <c r="D98" s="227" t="s">
        <v>634</v>
      </c>
      <c r="E98" s="374" t="s">
        <v>97</v>
      </c>
      <c r="F98" s="394">
        <v>55</v>
      </c>
      <c r="G98" s="523">
        <v>14.75</v>
      </c>
      <c r="H98" s="523">
        <f>G98*J$7</f>
        <v>14.75</v>
      </c>
      <c r="I98" s="565">
        <f>ROUND(F98*H98,2)</f>
        <v>811.25</v>
      </c>
      <c r="J98" s="140"/>
      <c r="K98" s="140"/>
      <c r="L98" s="140"/>
      <c r="M98" s="140"/>
      <c r="N98" s="140"/>
      <c r="O98" s="140"/>
      <c r="P98" s="140"/>
      <c r="Q98" s="140"/>
    </row>
    <row r="99" spans="1:17" s="141" customFormat="1" x14ac:dyDescent="0.25">
      <c r="A99" s="265" t="s">
        <v>325</v>
      </c>
      <c r="B99" s="374" t="s">
        <v>98</v>
      </c>
      <c r="C99" s="374" t="s">
        <v>635</v>
      </c>
      <c r="D99" s="227" t="s">
        <v>250</v>
      </c>
      <c r="E99" s="374" t="s">
        <v>97</v>
      </c>
      <c r="F99" s="394">
        <v>55</v>
      </c>
      <c r="G99" s="523">
        <v>8.68</v>
      </c>
      <c r="H99" s="523">
        <f>G99*J$7</f>
        <v>8.68</v>
      </c>
      <c r="I99" s="565">
        <f>ROUND(F99*H99,2)</f>
        <v>477.4</v>
      </c>
      <c r="J99" s="140"/>
      <c r="K99" s="140"/>
      <c r="L99" s="140"/>
      <c r="M99" s="140"/>
      <c r="N99" s="140"/>
      <c r="O99" s="140"/>
      <c r="P99" s="140"/>
      <c r="Q99" s="140"/>
    </row>
    <row r="100" spans="1:17" s="7" customFormat="1" ht="15.95" customHeight="1" x14ac:dyDescent="0.2">
      <c r="A100" s="265"/>
      <c r="B100" s="374"/>
      <c r="C100" s="374"/>
      <c r="D100" s="379"/>
      <c r="E100" s="543"/>
      <c r="F100" s="381"/>
      <c r="G100" s="376"/>
      <c r="H100" s="57"/>
      <c r="I100" s="267"/>
      <c r="J100" s="6"/>
      <c r="K100" s="6"/>
      <c r="L100" s="6"/>
      <c r="M100" s="6"/>
      <c r="N100" s="6"/>
      <c r="O100" s="6"/>
      <c r="P100" s="6"/>
      <c r="Q100" s="6"/>
    </row>
    <row r="101" spans="1:17" ht="45" x14ac:dyDescent="0.2">
      <c r="A101" s="204" t="s">
        <v>285</v>
      </c>
      <c r="B101" s="205" t="s">
        <v>306</v>
      </c>
      <c r="C101" s="557" t="s">
        <v>159</v>
      </c>
      <c r="D101" s="206" t="s">
        <v>814</v>
      </c>
      <c r="E101" s="205" t="s">
        <v>10</v>
      </c>
      <c r="F101" s="315"/>
      <c r="G101" s="316"/>
      <c r="H101" s="316"/>
      <c r="I101" s="317">
        <f>SUM(I102:I111)</f>
        <v>860.94999999999982</v>
      </c>
      <c r="J101" s="5"/>
      <c r="K101" s="5"/>
      <c r="L101" s="5"/>
      <c r="M101" s="5"/>
      <c r="N101" s="5"/>
      <c r="O101" s="5"/>
      <c r="P101" s="5"/>
      <c r="Q101" s="5"/>
    </row>
    <row r="102" spans="1:17" ht="15.95" customHeight="1" x14ac:dyDescent="0.2">
      <c r="A102" s="319" t="s">
        <v>333</v>
      </c>
      <c r="B102" s="543" t="s">
        <v>98</v>
      </c>
      <c r="C102" s="543">
        <v>589</v>
      </c>
      <c r="D102" s="379" t="s">
        <v>815</v>
      </c>
      <c r="E102" s="543" t="s">
        <v>107</v>
      </c>
      <c r="F102" s="376">
        <v>6</v>
      </c>
      <c r="G102" s="376">
        <v>27.53</v>
      </c>
      <c r="H102" s="376">
        <f t="shared" ref="H102:H111" si="7">ROUND((1+K$3)*G102,2)</f>
        <v>27.53</v>
      </c>
      <c r="I102" s="318">
        <f t="shared" ref="I102:I111" si="8">ROUND(F102*H102,2)</f>
        <v>165.18</v>
      </c>
      <c r="J102" s="5"/>
      <c r="K102" s="5"/>
      <c r="L102" s="5"/>
      <c r="M102" s="5"/>
      <c r="N102" s="5"/>
      <c r="O102" s="5"/>
      <c r="P102" s="5"/>
      <c r="Q102" s="5"/>
    </row>
    <row r="103" spans="1:17" ht="14.25" x14ac:dyDescent="0.2">
      <c r="A103" s="319" t="s">
        <v>334</v>
      </c>
      <c r="B103" s="543" t="s">
        <v>98</v>
      </c>
      <c r="C103" s="543">
        <v>11125</v>
      </c>
      <c r="D103" s="379" t="s">
        <v>816</v>
      </c>
      <c r="E103" s="543" t="s">
        <v>2</v>
      </c>
      <c r="F103" s="376">
        <v>3</v>
      </c>
      <c r="G103" s="376">
        <v>26.4</v>
      </c>
      <c r="H103" s="376">
        <f t="shared" si="7"/>
        <v>26.4</v>
      </c>
      <c r="I103" s="318">
        <f t="shared" si="8"/>
        <v>79.2</v>
      </c>
      <c r="J103" s="5"/>
      <c r="K103" s="5"/>
      <c r="L103" s="5"/>
      <c r="M103" s="5"/>
      <c r="N103" s="5"/>
      <c r="O103" s="5"/>
      <c r="P103" s="5"/>
      <c r="Q103" s="5"/>
    </row>
    <row r="104" spans="1:17" ht="28.5" x14ac:dyDescent="0.2">
      <c r="A104" s="319" t="s">
        <v>335</v>
      </c>
      <c r="B104" s="375" t="s">
        <v>98</v>
      </c>
      <c r="C104" s="375">
        <v>7162</v>
      </c>
      <c r="D104" s="227" t="s">
        <v>817</v>
      </c>
      <c r="E104" s="374" t="s">
        <v>101</v>
      </c>
      <c r="F104" s="376">
        <v>2</v>
      </c>
      <c r="G104" s="376">
        <v>20.36</v>
      </c>
      <c r="H104" s="376">
        <f t="shared" si="7"/>
        <v>20.36</v>
      </c>
      <c r="I104" s="318">
        <f t="shared" si="8"/>
        <v>40.72</v>
      </c>
      <c r="J104" s="5"/>
      <c r="K104" s="5"/>
      <c r="L104" s="5"/>
      <c r="M104" s="5"/>
      <c r="N104" s="5"/>
      <c r="O104" s="5"/>
      <c r="P104" s="5"/>
      <c r="Q104" s="5"/>
    </row>
    <row r="105" spans="1:17" ht="28.5" x14ac:dyDescent="0.2">
      <c r="A105" s="319" t="s">
        <v>1207</v>
      </c>
      <c r="B105" s="375" t="s">
        <v>98</v>
      </c>
      <c r="C105" s="378">
        <v>7696</v>
      </c>
      <c r="D105" s="377" t="s">
        <v>818</v>
      </c>
      <c r="E105" s="375" t="s">
        <v>107</v>
      </c>
      <c r="F105" s="376">
        <v>4</v>
      </c>
      <c r="G105" s="376">
        <v>41.78</v>
      </c>
      <c r="H105" s="376">
        <f t="shared" si="7"/>
        <v>41.78</v>
      </c>
      <c r="I105" s="318">
        <f t="shared" si="8"/>
        <v>167.12</v>
      </c>
      <c r="J105" s="5"/>
      <c r="K105" s="5"/>
      <c r="L105" s="5"/>
      <c r="M105" s="5"/>
      <c r="N105" s="5"/>
      <c r="O105" s="5"/>
      <c r="P105" s="5"/>
      <c r="Q105" s="5"/>
    </row>
    <row r="106" spans="1:17" ht="15.95" customHeight="1" x14ac:dyDescent="0.2">
      <c r="A106" s="319" t="s">
        <v>1208</v>
      </c>
      <c r="B106" s="374" t="s">
        <v>98</v>
      </c>
      <c r="C106" s="385">
        <v>11964</v>
      </c>
      <c r="D106" s="320" t="s">
        <v>313</v>
      </c>
      <c r="E106" s="385" t="s">
        <v>10</v>
      </c>
      <c r="F106" s="376">
        <v>4</v>
      </c>
      <c r="G106" s="376">
        <v>1.92</v>
      </c>
      <c r="H106" s="376">
        <f t="shared" si="7"/>
        <v>1.92</v>
      </c>
      <c r="I106" s="318">
        <f t="shared" si="8"/>
        <v>7.68</v>
      </c>
      <c r="J106" s="5"/>
      <c r="K106" s="5"/>
      <c r="L106" s="5"/>
      <c r="M106" s="5"/>
      <c r="N106" s="5"/>
      <c r="O106" s="5"/>
      <c r="P106" s="5"/>
      <c r="Q106" s="5"/>
    </row>
    <row r="107" spans="1:17" ht="15.95" customHeight="1" x14ac:dyDescent="0.2">
      <c r="A107" s="319" t="s">
        <v>1209</v>
      </c>
      <c r="B107" s="374" t="s">
        <v>98</v>
      </c>
      <c r="C107" s="385">
        <v>5104</v>
      </c>
      <c r="D107" s="320" t="s">
        <v>176</v>
      </c>
      <c r="E107" s="385" t="s">
        <v>2</v>
      </c>
      <c r="F107" s="376">
        <v>0.2</v>
      </c>
      <c r="G107" s="376">
        <v>43.85</v>
      </c>
      <c r="H107" s="376">
        <f t="shared" si="7"/>
        <v>43.85</v>
      </c>
      <c r="I107" s="318">
        <f t="shared" si="8"/>
        <v>8.77</v>
      </c>
      <c r="J107" s="5"/>
      <c r="K107" s="5"/>
      <c r="L107" s="5"/>
      <c r="M107" s="5"/>
      <c r="N107" s="5"/>
      <c r="O107" s="5"/>
      <c r="P107" s="5"/>
      <c r="Q107" s="5"/>
    </row>
    <row r="108" spans="1:17" ht="15.95" customHeight="1" x14ac:dyDescent="0.2">
      <c r="A108" s="319" t="s">
        <v>1210</v>
      </c>
      <c r="B108" s="543" t="s">
        <v>98</v>
      </c>
      <c r="C108" s="543">
        <v>252</v>
      </c>
      <c r="D108" s="379" t="s">
        <v>364</v>
      </c>
      <c r="E108" s="543" t="s">
        <v>97</v>
      </c>
      <c r="F108" s="376">
        <v>9</v>
      </c>
      <c r="G108" s="376">
        <v>8.68</v>
      </c>
      <c r="H108" s="376">
        <f t="shared" si="7"/>
        <v>8.68</v>
      </c>
      <c r="I108" s="318">
        <f t="shared" si="8"/>
        <v>78.12</v>
      </c>
      <c r="J108" s="5"/>
      <c r="K108" s="5"/>
      <c r="L108" s="5"/>
      <c r="M108" s="5"/>
      <c r="N108" s="5"/>
      <c r="O108" s="5"/>
      <c r="P108" s="5"/>
      <c r="Q108" s="5"/>
    </row>
    <row r="109" spans="1:17" ht="15.95" customHeight="1" x14ac:dyDescent="0.2">
      <c r="A109" s="319" t="s">
        <v>1211</v>
      </c>
      <c r="B109" s="543" t="s">
        <v>98</v>
      </c>
      <c r="C109" s="543">
        <v>6110</v>
      </c>
      <c r="D109" s="379" t="s">
        <v>249</v>
      </c>
      <c r="E109" s="543" t="s">
        <v>97</v>
      </c>
      <c r="F109" s="376">
        <v>12</v>
      </c>
      <c r="G109" s="376">
        <v>9.86</v>
      </c>
      <c r="H109" s="376">
        <f t="shared" si="7"/>
        <v>9.86</v>
      </c>
      <c r="I109" s="318">
        <f t="shared" si="8"/>
        <v>118.32</v>
      </c>
      <c r="J109" s="5"/>
      <c r="K109" s="5"/>
      <c r="L109" s="5"/>
      <c r="M109" s="5"/>
      <c r="N109" s="5"/>
      <c r="O109" s="5"/>
      <c r="P109" s="5"/>
      <c r="Q109" s="5"/>
    </row>
    <row r="110" spans="1:17" ht="15.95" customHeight="1" x14ac:dyDescent="0.2">
      <c r="A110" s="319" t="s">
        <v>1212</v>
      </c>
      <c r="B110" s="543" t="s">
        <v>98</v>
      </c>
      <c r="C110" s="543">
        <v>6111</v>
      </c>
      <c r="D110" s="379" t="s">
        <v>252</v>
      </c>
      <c r="E110" s="543" t="s">
        <v>97</v>
      </c>
      <c r="F110" s="376">
        <v>12</v>
      </c>
      <c r="G110" s="376">
        <v>6.46</v>
      </c>
      <c r="H110" s="376">
        <f t="shared" si="7"/>
        <v>6.46</v>
      </c>
      <c r="I110" s="318">
        <f t="shared" si="8"/>
        <v>77.52</v>
      </c>
      <c r="J110" s="5"/>
      <c r="K110" s="5"/>
      <c r="L110" s="5"/>
      <c r="M110" s="5"/>
      <c r="N110" s="5"/>
      <c r="O110" s="5"/>
      <c r="P110" s="5"/>
      <c r="Q110" s="5"/>
    </row>
    <row r="111" spans="1:17" ht="15.95" customHeight="1" x14ac:dyDescent="0.2">
      <c r="A111" s="319" t="s">
        <v>1213</v>
      </c>
      <c r="B111" s="543" t="s">
        <v>98</v>
      </c>
      <c r="C111" s="543">
        <v>4750</v>
      </c>
      <c r="D111" s="379" t="s">
        <v>254</v>
      </c>
      <c r="E111" s="543" t="s">
        <v>97</v>
      </c>
      <c r="F111" s="376">
        <v>12</v>
      </c>
      <c r="G111" s="376">
        <v>9.86</v>
      </c>
      <c r="H111" s="376">
        <f t="shared" si="7"/>
        <v>9.86</v>
      </c>
      <c r="I111" s="318">
        <f t="shared" si="8"/>
        <v>118.32</v>
      </c>
      <c r="J111" s="5"/>
      <c r="K111" s="5"/>
      <c r="L111" s="5"/>
      <c r="M111" s="5"/>
      <c r="N111" s="5"/>
      <c r="O111" s="5"/>
      <c r="P111" s="5"/>
      <c r="Q111" s="5"/>
    </row>
    <row r="112" spans="1:17" ht="15.95" customHeight="1" x14ac:dyDescent="0.2">
      <c r="A112" s="319"/>
      <c r="B112" s="543"/>
      <c r="C112" s="543"/>
      <c r="D112" s="379"/>
      <c r="E112" s="543"/>
      <c r="F112" s="376"/>
      <c r="G112" s="376"/>
      <c r="H112" s="376"/>
      <c r="I112" s="318"/>
      <c r="J112" s="5"/>
      <c r="K112" s="5"/>
      <c r="L112" s="5"/>
      <c r="M112" s="5"/>
      <c r="N112" s="5"/>
      <c r="O112" s="5"/>
      <c r="P112" s="5"/>
      <c r="Q112" s="5"/>
    </row>
    <row r="113" spans="1:17" ht="15.95" customHeight="1" x14ac:dyDescent="0.2">
      <c r="A113" s="204" t="s">
        <v>287</v>
      </c>
      <c r="B113" s="205"/>
      <c r="C113" s="557" t="s">
        <v>461</v>
      </c>
      <c r="D113" s="206" t="s">
        <v>819</v>
      </c>
      <c r="E113" s="205" t="s">
        <v>10</v>
      </c>
      <c r="F113" s="315"/>
      <c r="G113" s="316"/>
      <c r="H113" s="316"/>
      <c r="I113" s="317">
        <f>SUM(I114:I116)</f>
        <v>36321</v>
      </c>
      <c r="J113" s="5"/>
      <c r="K113" s="5"/>
      <c r="L113" s="5"/>
      <c r="M113" s="5"/>
      <c r="N113" s="5"/>
      <c r="O113" s="5"/>
      <c r="P113" s="5"/>
      <c r="Q113" s="5"/>
    </row>
    <row r="114" spans="1:17" ht="15.95" customHeight="1" x14ac:dyDescent="0.2">
      <c r="A114" s="384" t="s">
        <v>336</v>
      </c>
      <c r="B114" s="375" t="s">
        <v>98</v>
      </c>
      <c r="C114" s="375">
        <v>9828</v>
      </c>
      <c r="D114" s="377" t="s">
        <v>929</v>
      </c>
      <c r="E114" s="375" t="s">
        <v>107</v>
      </c>
      <c r="F114" s="376">
        <v>480</v>
      </c>
      <c r="G114" s="376">
        <v>73.099999999999994</v>
      </c>
      <c r="H114" s="376">
        <f>ROUND((1+K$3)*G114,2)</f>
        <v>73.099999999999994</v>
      </c>
      <c r="I114" s="387">
        <f>ROUND(F114*H114,2)</f>
        <v>35088</v>
      </c>
      <c r="J114" s="5"/>
      <c r="K114" s="5"/>
      <c r="L114" s="5"/>
      <c r="M114" s="5"/>
      <c r="N114" s="5"/>
      <c r="O114" s="5"/>
      <c r="P114" s="5"/>
      <c r="Q114" s="5"/>
    </row>
    <row r="115" spans="1:17" ht="15.95" customHeight="1" x14ac:dyDescent="0.2">
      <c r="A115" s="384" t="s">
        <v>337</v>
      </c>
      <c r="B115" s="375" t="s">
        <v>9</v>
      </c>
      <c r="C115" s="375"/>
      <c r="D115" s="377" t="s">
        <v>713</v>
      </c>
      <c r="E115" s="375" t="s">
        <v>10</v>
      </c>
      <c r="F115" s="376">
        <v>5</v>
      </c>
      <c r="G115" s="376">
        <v>153</v>
      </c>
      <c r="H115" s="376">
        <f>ROUND((1+K$3)*G115,2)</f>
        <v>153</v>
      </c>
      <c r="I115" s="387">
        <f>ROUND(F115*H115,2)</f>
        <v>765</v>
      </c>
      <c r="J115" s="5"/>
      <c r="K115" s="5"/>
      <c r="L115" s="5"/>
      <c r="M115" s="5"/>
      <c r="N115" s="5"/>
      <c r="O115" s="5"/>
      <c r="P115" s="5"/>
      <c r="Q115" s="5"/>
    </row>
    <row r="116" spans="1:17" ht="15.95" customHeight="1" x14ac:dyDescent="0.2">
      <c r="A116" s="384" t="s">
        <v>338</v>
      </c>
      <c r="B116" s="375" t="s">
        <v>9</v>
      </c>
      <c r="C116" s="375"/>
      <c r="D116" s="377" t="s">
        <v>820</v>
      </c>
      <c r="E116" s="375" t="s">
        <v>10</v>
      </c>
      <c r="F116" s="376">
        <v>4</v>
      </c>
      <c r="G116" s="376">
        <v>117</v>
      </c>
      <c r="H116" s="376">
        <f>ROUND((1+K$3)*G116,2)</f>
        <v>117</v>
      </c>
      <c r="I116" s="387">
        <f>ROUND(F116*H116,2)</f>
        <v>468</v>
      </c>
      <c r="J116" s="5"/>
      <c r="K116" s="5"/>
      <c r="L116" s="5"/>
      <c r="M116" s="5"/>
      <c r="N116" s="5"/>
      <c r="O116" s="5"/>
      <c r="P116" s="5"/>
      <c r="Q116" s="5"/>
    </row>
    <row r="117" spans="1:17" ht="15.95" customHeight="1" x14ac:dyDescent="0.2">
      <c r="A117" s="384"/>
      <c r="B117" s="375"/>
      <c r="C117" s="375"/>
      <c r="D117" s="377"/>
      <c r="E117" s="375"/>
      <c r="F117" s="376"/>
      <c r="G117" s="376"/>
      <c r="H117" s="376"/>
      <c r="I117" s="387"/>
      <c r="J117" s="5"/>
      <c r="K117" s="5"/>
      <c r="L117" s="5"/>
      <c r="M117" s="5"/>
      <c r="N117" s="5"/>
      <c r="O117" s="5"/>
      <c r="P117" s="5"/>
      <c r="Q117" s="5"/>
    </row>
    <row r="118" spans="1:17" s="7" customFormat="1" ht="30" customHeight="1" x14ac:dyDescent="0.2">
      <c r="A118" s="263" t="s">
        <v>339</v>
      </c>
      <c r="B118" s="205" t="s">
        <v>306</v>
      </c>
      <c r="C118" s="557" t="s">
        <v>179</v>
      </c>
      <c r="D118" s="206" t="s">
        <v>446</v>
      </c>
      <c r="E118" s="205" t="s">
        <v>10</v>
      </c>
      <c r="F118" s="315"/>
      <c r="G118" s="316"/>
      <c r="H118" s="316"/>
      <c r="I118" s="560">
        <f>SUM(I119:I122)</f>
        <v>281.44</v>
      </c>
      <c r="J118" s="6"/>
      <c r="K118" s="6"/>
      <c r="L118" s="6"/>
      <c r="M118" s="6"/>
      <c r="N118" s="6"/>
      <c r="O118" s="6"/>
      <c r="P118" s="6"/>
      <c r="Q118" s="6"/>
    </row>
    <row r="119" spans="1:17" s="59" customFormat="1" ht="14.25" x14ac:dyDescent="0.2">
      <c r="A119" s="265" t="s">
        <v>340</v>
      </c>
      <c r="B119" s="374" t="s">
        <v>98</v>
      </c>
      <c r="C119" s="374">
        <v>11125</v>
      </c>
      <c r="D119" s="227" t="s">
        <v>246</v>
      </c>
      <c r="E119" s="374" t="s">
        <v>2</v>
      </c>
      <c r="F119" s="569">
        <v>5.77</v>
      </c>
      <c r="G119" s="523">
        <v>26.4</v>
      </c>
      <c r="H119" s="523">
        <f>G119*J$7</f>
        <v>26.4</v>
      </c>
      <c r="I119" s="565">
        <f>ROUND(F119*H119,2)</f>
        <v>152.33000000000001</v>
      </c>
      <c r="J119" s="65"/>
      <c r="K119" s="65"/>
      <c r="L119" s="65"/>
      <c r="M119" s="65"/>
      <c r="N119" s="65"/>
      <c r="O119" s="65"/>
      <c r="P119" s="65"/>
      <c r="Q119" s="65"/>
    </row>
    <row r="120" spans="1:17" s="59" customFormat="1" ht="14.25" x14ac:dyDescent="0.2">
      <c r="A120" s="265" t="s">
        <v>341</v>
      </c>
      <c r="B120" s="374" t="s">
        <v>98</v>
      </c>
      <c r="C120" s="374">
        <v>585</v>
      </c>
      <c r="D120" s="227" t="s">
        <v>247</v>
      </c>
      <c r="E120" s="374" t="s">
        <v>2</v>
      </c>
      <c r="F120" s="569">
        <v>2.0499999999999998</v>
      </c>
      <c r="G120" s="523">
        <v>18.04</v>
      </c>
      <c r="H120" s="523">
        <f>G120*J$7</f>
        <v>18.04</v>
      </c>
      <c r="I120" s="565">
        <f t="shared" ref="I120:I122" si="9">ROUND(F120*H120,2)</f>
        <v>36.979999999999997</v>
      </c>
      <c r="J120" s="65"/>
      <c r="K120" s="65"/>
      <c r="L120" s="65"/>
      <c r="M120" s="65"/>
      <c r="N120" s="65"/>
      <c r="O120" s="65"/>
      <c r="P120" s="65"/>
      <c r="Q120" s="65"/>
    </row>
    <row r="121" spans="1:17" s="59" customFormat="1" ht="14.25" x14ac:dyDescent="0.2">
      <c r="A121" s="265" t="s">
        <v>342</v>
      </c>
      <c r="B121" s="374" t="s">
        <v>98</v>
      </c>
      <c r="C121" s="374">
        <v>252</v>
      </c>
      <c r="D121" s="227" t="s">
        <v>248</v>
      </c>
      <c r="E121" s="374" t="s">
        <v>97</v>
      </c>
      <c r="F121" s="569">
        <v>2.5</v>
      </c>
      <c r="G121" s="523">
        <v>8.68</v>
      </c>
      <c r="H121" s="523">
        <f>G121*L$11</f>
        <v>19.306923999999999</v>
      </c>
      <c r="I121" s="565">
        <f t="shared" si="9"/>
        <v>48.27</v>
      </c>
      <c r="J121" s="65"/>
      <c r="K121" s="65"/>
      <c r="L121" s="65"/>
      <c r="M121" s="65"/>
      <c r="N121" s="65"/>
      <c r="O121" s="65"/>
      <c r="P121" s="65"/>
      <c r="Q121" s="65"/>
    </row>
    <row r="122" spans="1:17" s="59" customFormat="1" ht="14.25" x14ac:dyDescent="0.2">
      <c r="A122" s="265" t="s">
        <v>1214</v>
      </c>
      <c r="B122" s="374" t="s">
        <v>98</v>
      </c>
      <c r="C122" s="374">
        <v>6110</v>
      </c>
      <c r="D122" s="227" t="s">
        <v>249</v>
      </c>
      <c r="E122" s="374" t="s">
        <v>97</v>
      </c>
      <c r="F122" s="569">
        <v>2</v>
      </c>
      <c r="G122" s="523">
        <v>9.86</v>
      </c>
      <c r="H122" s="523">
        <f>G122*L$11</f>
        <v>21.931597999999997</v>
      </c>
      <c r="I122" s="565">
        <f t="shared" si="9"/>
        <v>43.86</v>
      </c>
      <c r="J122" s="65"/>
      <c r="K122" s="65"/>
      <c r="L122" s="65"/>
      <c r="M122" s="65"/>
      <c r="N122" s="65"/>
      <c r="O122" s="65"/>
      <c r="P122" s="65"/>
      <c r="Q122" s="65"/>
    </row>
    <row r="123" spans="1:17" s="59" customFormat="1" ht="14.25" x14ac:dyDescent="0.2">
      <c r="A123" s="265"/>
      <c r="B123" s="374"/>
      <c r="C123" s="374"/>
      <c r="D123" s="227"/>
      <c r="E123" s="374"/>
      <c r="F123" s="569"/>
      <c r="G123" s="523"/>
      <c r="H123" s="523"/>
      <c r="I123" s="565"/>
      <c r="J123" s="65"/>
      <c r="K123" s="65"/>
      <c r="L123" s="65"/>
      <c r="M123" s="65"/>
      <c r="N123" s="65"/>
      <c r="O123" s="65"/>
      <c r="P123" s="65"/>
      <c r="Q123" s="65"/>
    </row>
    <row r="124" spans="1:17" s="59" customFormat="1" x14ac:dyDescent="0.2">
      <c r="A124" s="263" t="s">
        <v>343</v>
      </c>
      <c r="B124" s="205" t="s">
        <v>306</v>
      </c>
      <c r="C124" s="557" t="s">
        <v>170</v>
      </c>
      <c r="D124" s="206" t="str">
        <f>[1]ORÇAMENTO!D234</f>
        <v>FORNECIMENTO E INSTALACAO DE CALHA PARSHALL 3" EM FIBRA DE VIDRO</v>
      </c>
      <c r="E124" s="205" t="s">
        <v>10</v>
      </c>
      <c r="F124" s="315"/>
      <c r="G124" s="316"/>
      <c r="H124" s="316"/>
      <c r="I124" s="560">
        <f>SUM(I125:I127)</f>
        <v>1030.56</v>
      </c>
      <c r="J124" s="65"/>
      <c r="K124" s="65"/>
      <c r="L124" s="65"/>
      <c r="M124" s="65"/>
      <c r="N124" s="65"/>
      <c r="O124" s="65"/>
      <c r="P124" s="65"/>
      <c r="Q124" s="65"/>
    </row>
    <row r="125" spans="1:17" s="248" customFormat="1" ht="14.25" x14ac:dyDescent="0.2">
      <c r="A125" s="268" t="s">
        <v>344</v>
      </c>
      <c r="B125" s="375" t="s">
        <v>9</v>
      </c>
      <c r="C125" s="375"/>
      <c r="D125" s="377" t="s">
        <v>628</v>
      </c>
      <c r="E125" s="375" t="s">
        <v>10</v>
      </c>
      <c r="F125" s="376">
        <v>1</v>
      </c>
      <c r="G125" s="376">
        <v>900</v>
      </c>
      <c r="H125" s="376">
        <f>G125*J$7</f>
        <v>900</v>
      </c>
      <c r="I125" s="271">
        <f>ROUND(F125*H125,2)</f>
        <v>900</v>
      </c>
      <c r="J125" s="247"/>
      <c r="K125" s="247"/>
      <c r="L125" s="247"/>
      <c r="M125" s="247"/>
      <c r="N125" s="247"/>
      <c r="O125" s="247"/>
      <c r="P125" s="247"/>
      <c r="Q125" s="247"/>
    </row>
    <row r="126" spans="1:17" s="59" customFormat="1" ht="14.25" x14ac:dyDescent="0.2">
      <c r="A126" s="268" t="s">
        <v>345</v>
      </c>
      <c r="B126" s="374" t="s">
        <v>98</v>
      </c>
      <c r="C126" s="374">
        <v>6111</v>
      </c>
      <c r="D126" s="227" t="s">
        <v>252</v>
      </c>
      <c r="E126" s="374" t="s">
        <v>97</v>
      </c>
      <c r="F126" s="569">
        <v>8</v>
      </c>
      <c r="G126" s="523">
        <v>6.46</v>
      </c>
      <c r="H126" s="523">
        <f>G126*J$7</f>
        <v>6.46</v>
      </c>
      <c r="I126" s="271">
        <f t="shared" ref="I126:I127" si="10">ROUND(F126*H126,2)</f>
        <v>51.68</v>
      </c>
      <c r="J126" s="65"/>
      <c r="K126" s="65"/>
      <c r="L126" s="65"/>
      <c r="M126" s="65"/>
      <c r="N126" s="65"/>
      <c r="O126" s="65"/>
      <c r="P126" s="65"/>
      <c r="Q126" s="65"/>
    </row>
    <row r="127" spans="1:17" s="59" customFormat="1" ht="14.25" x14ac:dyDescent="0.2">
      <c r="A127" s="268" t="s">
        <v>1215</v>
      </c>
      <c r="B127" s="374" t="s">
        <v>98</v>
      </c>
      <c r="C127" s="374">
        <v>4750</v>
      </c>
      <c r="D127" s="227" t="s">
        <v>254</v>
      </c>
      <c r="E127" s="374" t="s">
        <v>97</v>
      </c>
      <c r="F127" s="569">
        <v>8</v>
      </c>
      <c r="G127" s="523">
        <v>9.86</v>
      </c>
      <c r="H127" s="523">
        <f>ROUND((1+K$3)*G127,2)</f>
        <v>9.86</v>
      </c>
      <c r="I127" s="271">
        <f t="shared" si="10"/>
        <v>78.88</v>
      </c>
      <c r="J127" s="65"/>
      <c r="K127" s="65"/>
      <c r="L127" s="65"/>
      <c r="M127" s="65"/>
      <c r="N127" s="65"/>
      <c r="O127" s="65"/>
      <c r="P127" s="65"/>
      <c r="Q127" s="65"/>
    </row>
    <row r="128" spans="1:17" s="141" customFormat="1" x14ac:dyDescent="0.25">
      <c r="A128" s="265"/>
      <c r="B128" s="374"/>
      <c r="C128" s="374"/>
      <c r="D128" s="227"/>
      <c r="E128" s="374"/>
      <c r="F128" s="394"/>
      <c r="G128" s="523"/>
      <c r="H128" s="523"/>
      <c r="I128" s="562"/>
      <c r="J128" s="140"/>
      <c r="K128" s="140"/>
      <c r="L128" s="140"/>
      <c r="M128" s="140"/>
      <c r="N128" s="140"/>
      <c r="O128" s="140"/>
      <c r="P128" s="140"/>
      <c r="Q128" s="140"/>
    </row>
    <row r="129" spans="1:17" s="59" customFormat="1" ht="30" x14ac:dyDescent="0.2">
      <c r="A129" s="263" t="s">
        <v>346</v>
      </c>
      <c r="B129" s="205" t="s">
        <v>306</v>
      </c>
      <c r="C129" s="557" t="s">
        <v>171</v>
      </c>
      <c r="D129" s="206" t="s">
        <v>934</v>
      </c>
      <c r="E129" s="205" t="s">
        <v>10</v>
      </c>
      <c r="F129" s="315"/>
      <c r="G129" s="316"/>
      <c r="H129" s="316"/>
      <c r="I129" s="560">
        <f>SUM(I130:I153)</f>
        <v>6875.3860000000004</v>
      </c>
      <c r="J129" s="65"/>
      <c r="K129" s="65"/>
      <c r="L129" s="65"/>
      <c r="M129" s="65"/>
      <c r="N129" s="65"/>
      <c r="O129" s="65"/>
      <c r="P129" s="65"/>
      <c r="Q129" s="65"/>
    </row>
    <row r="130" spans="1:17" s="248" customFormat="1" ht="14.25" customHeight="1" x14ac:dyDescent="0.2">
      <c r="A130" s="384" t="s">
        <v>347</v>
      </c>
      <c r="B130" s="375" t="s">
        <v>98</v>
      </c>
      <c r="C130" s="375">
        <v>10406</v>
      </c>
      <c r="D130" s="377" t="s">
        <v>935</v>
      </c>
      <c r="E130" s="375" t="s">
        <v>10</v>
      </c>
      <c r="F130" s="376">
        <v>2</v>
      </c>
      <c r="G130" s="376">
        <v>194.39</v>
      </c>
      <c r="H130" s="376">
        <f>G130</f>
        <v>194.39</v>
      </c>
      <c r="I130" s="387">
        <f>F130*H130</f>
        <v>388.78</v>
      </c>
      <c r="J130" s="247"/>
      <c r="K130" s="247"/>
      <c r="L130" s="247"/>
      <c r="M130" s="247"/>
      <c r="N130" s="247"/>
      <c r="O130" s="247"/>
      <c r="P130" s="247"/>
      <c r="Q130" s="247"/>
    </row>
    <row r="131" spans="1:17" s="248" customFormat="1" ht="14.25" customHeight="1" x14ac:dyDescent="0.2">
      <c r="A131" s="384" t="s">
        <v>348</v>
      </c>
      <c r="B131" s="375" t="s">
        <v>9</v>
      </c>
      <c r="C131" s="375"/>
      <c r="D131" s="377" t="s">
        <v>936</v>
      </c>
      <c r="E131" s="375" t="s">
        <v>10</v>
      </c>
      <c r="F131" s="376">
        <v>2</v>
      </c>
      <c r="G131" s="376">
        <v>526.5</v>
      </c>
      <c r="H131" s="376">
        <f t="shared" ref="H131:H153" si="11">G131</f>
        <v>526.5</v>
      </c>
      <c r="I131" s="387">
        <f t="shared" ref="I131:I153" si="12">F131*H131</f>
        <v>1053</v>
      </c>
      <c r="J131" s="247"/>
      <c r="K131" s="247"/>
      <c r="L131" s="247"/>
      <c r="M131" s="247"/>
      <c r="N131" s="247"/>
      <c r="O131" s="247"/>
      <c r="P131" s="247"/>
      <c r="Q131" s="247"/>
    </row>
    <row r="132" spans="1:17" s="248" customFormat="1" ht="14.25" customHeight="1" x14ac:dyDescent="0.2">
      <c r="A132" s="384" t="s">
        <v>349</v>
      </c>
      <c r="B132" s="375" t="s">
        <v>9</v>
      </c>
      <c r="C132" s="375"/>
      <c r="D132" s="377" t="s">
        <v>794</v>
      </c>
      <c r="E132" s="375" t="s">
        <v>10</v>
      </c>
      <c r="F132" s="376">
        <v>1</v>
      </c>
      <c r="G132" s="376">
        <v>297</v>
      </c>
      <c r="H132" s="376">
        <f t="shared" si="11"/>
        <v>297</v>
      </c>
      <c r="I132" s="387">
        <f t="shared" si="12"/>
        <v>297</v>
      </c>
      <c r="J132" s="247"/>
      <c r="K132" s="247"/>
      <c r="L132" s="247"/>
      <c r="M132" s="247"/>
      <c r="N132" s="247"/>
      <c r="O132" s="247"/>
      <c r="P132" s="247"/>
      <c r="Q132" s="247"/>
    </row>
    <row r="133" spans="1:17" s="248" customFormat="1" ht="14.25" customHeight="1" x14ac:dyDescent="0.2">
      <c r="A133" s="384" t="s">
        <v>350</v>
      </c>
      <c r="B133" s="375" t="s">
        <v>9</v>
      </c>
      <c r="C133" s="375"/>
      <c r="D133" s="383" t="s">
        <v>795</v>
      </c>
      <c r="E133" s="375" t="s">
        <v>10</v>
      </c>
      <c r="F133" s="376">
        <v>1</v>
      </c>
      <c r="G133" s="376">
        <v>109.35</v>
      </c>
      <c r="H133" s="376">
        <f t="shared" si="11"/>
        <v>109.35</v>
      </c>
      <c r="I133" s="387">
        <f t="shared" si="12"/>
        <v>109.35</v>
      </c>
      <c r="J133" s="247"/>
      <c r="K133" s="247"/>
      <c r="L133" s="247"/>
      <c r="M133" s="247"/>
      <c r="N133" s="247"/>
      <c r="O133" s="247"/>
      <c r="P133" s="247"/>
      <c r="Q133" s="247"/>
    </row>
    <row r="134" spans="1:17" s="248" customFormat="1" ht="14.25" customHeight="1" x14ac:dyDescent="0.2">
      <c r="A134" s="384" t="s">
        <v>351</v>
      </c>
      <c r="B134" s="375" t="s">
        <v>9</v>
      </c>
      <c r="C134" s="375"/>
      <c r="D134" s="383" t="s">
        <v>937</v>
      </c>
      <c r="E134" s="375" t="s">
        <v>10</v>
      </c>
      <c r="F134" s="376">
        <v>1</v>
      </c>
      <c r="G134" s="376">
        <v>198.45</v>
      </c>
      <c r="H134" s="376">
        <f t="shared" si="11"/>
        <v>198.45</v>
      </c>
      <c r="I134" s="387">
        <f t="shared" si="12"/>
        <v>198.45</v>
      </c>
      <c r="J134" s="247"/>
      <c r="K134" s="247"/>
      <c r="L134" s="247"/>
      <c r="M134" s="247"/>
      <c r="N134" s="247"/>
      <c r="O134" s="247"/>
      <c r="P134" s="247"/>
      <c r="Q134" s="247"/>
    </row>
    <row r="135" spans="1:17" s="248" customFormat="1" ht="14.25" customHeight="1" x14ac:dyDescent="0.2">
      <c r="A135" s="384" t="s">
        <v>529</v>
      </c>
      <c r="B135" s="375" t="s">
        <v>9</v>
      </c>
      <c r="C135" s="375"/>
      <c r="D135" s="377" t="s">
        <v>938</v>
      </c>
      <c r="E135" s="375" t="s">
        <v>10</v>
      </c>
      <c r="F135" s="376">
        <v>1</v>
      </c>
      <c r="G135" s="376">
        <v>384</v>
      </c>
      <c r="H135" s="376">
        <f t="shared" si="11"/>
        <v>384</v>
      </c>
      <c r="I135" s="387">
        <f t="shared" si="12"/>
        <v>384</v>
      </c>
      <c r="J135" s="247"/>
      <c r="K135" s="247"/>
      <c r="L135" s="247"/>
      <c r="M135" s="247"/>
      <c r="N135" s="247"/>
      <c r="O135" s="247"/>
      <c r="P135" s="247"/>
      <c r="Q135" s="247"/>
    </row>
    <row r="136" spans="1:17" s="248" customFormat="1" ht="14.25" customHeight="1" x14ac:dyDescent="0.2">
      <c r="A136" s="384" t="s">
        <v>530</v>
      </c>
      <c r="B136" s="375" t="s">
        <v>9</v>
      </c>
      <c r="C136" s="375"/>
      <c r="D136" s="377" t="s">
        <v>939</v>
      </c>
      <c r="E136" s="375" t="s">
        <v>107</v>
      </c>
      <c r="F136" s="376">
        <v>4.3</v>
      </c>
      <c r="G136" s="376">
        <v>15.26</v>
      </c>
      <c r="H136" s="376">
        <f t="shared" si="11"/>
        <v>15.26</v>
      </c>
      <c r="I136" s="387">
        <f t="shared" si="12"/>
        <v>65.617999999999995</v>
      </c>
      <c r="J136" s="247"/>
      <c r="K136" s="247"/>
      <c r="L136" s="247"/>
      <c r="M136" s="247"/>
      <c r="N136" s="247"/>
      <c r="O136" s="247"/>
      <c r="P136" s="247"/>
      <c r="Q136" s="247"/>
    </row>
    <row r="137" spans="1:17" s="248" customFormat="1" ht="14.25" customHeight="1" x14ac:dyDescent="0.2">
      <c r="A137" s="384" t="s">
        <v>352</v>
      </c>
      <c r="B137" s="375" t="s">
        <v>9</v>
      </c>
      <c r="C137" s="375"/>
      <c r="D137" s="383" t="s">
        <v>799</v>
      </c>
      <c r="E137" s="375" t="s">
        <v>107</v>
      </c>
      <c r="F137" s="376">
        <v>0.8</v>
      </c>
      <c r="G137" s="376">
        <v>403</v>
      </c>
      <c r="H137" s="376">
        <f t="shared" si="11"/>
        <v>403</v>
      </c>
      <c r="I137" s="387">
        <f t="shared" si="12"/>
        <v>322.40000000000003</v>
      </c>
      <c r="J137" s="247"/>
      <c r="K137" s="247"/>
      <c r="L137" s="247"/>
      <c r="M137" s="247"/>
      <c r="N137" s="247"/>
      <c r="O137" s="247"/>
      <c r="P137" s="247"/>
      <c r="Q137" s="247"/>
    </row>
    <row r="138" spans="1:17" s="248" customFormat="1" ht="14.25" customHeight="1" x14ac:dyDescent="0.2">
      <c r="A138" s="384" t="s">
        <v>353</v>
      </c>
      <c r="B138" s="375" t="s">
        <v>9</v>
      </c>
      <c r="C138" s="375"/>
      <c r="D138" s="383" t="s">
        <v>802</v>
      </c>
      <c r="E138" s="375" t="s">
        <v>107</v>
      </c>
      <c r="F138" s="376">
        <v>1.85</v>
      </c>
      <c r="G138" s="376">
        <v>513</v>
      </c>
      <c r="H138" s="376">
        <f t="shared" si="11"/>
        <v>513</v>
      </c>
      <c r="I138" s="387">
        <f t="shared" si="12"/>
        <v>949.05000000000007</v>
      </c>
      <c r="J138" s="247"/>
      <c r="K138" s="247"/>
      <c r="L138" s="247"/>
      <c r="M138" s="247"/>
      <c r="N138" s="247"/>
      <c r="O138" s="247"/>
      <c r="P138" s="247"/>
      <c r="Q138" s="247"/>
    </row>
    <row r="139" spans="1:17" s="248" customFormat="1" ht="14.25" customHeight="1" x14ac:dyDescent="0.2">
      <c r="A139" s="384" t="s">
        <v>354</v>
      </c>
      <c r="B139" s="375" t="s">
        <v>98</v>
      </c>
      <c r="C139" s="375">
        <v>9838</v>
      </c>
      <c r="D139" s="377" t="s">
        <v>803</v>
      </c>
      <c r="E139" s="375" t="s">
        <v>107</v>
      </c>
      <c r="F139" s="376">
        <v>0.3</v>
      </c>
      <c r="G139" s="376">
        <v>5.56</v>
      </c>
      <c r="H139" s="376">
        <f t="shared" si="11"/>
        <v>5.56</v>
      </c>
      <c r="I139" s="387">
        <f t="shared" si="12"/>
        <v>1.6679999999999999</v>
      </c>
      <c r="J139" s="247"/>
      <c r="K139" s="247"/>
      <c r="L139" s="247"/>
      <c r="M139" s="247"/>
      <c r="N139" s="247"/>
      <c r="O139" s="247"/>
      <c r="P139" s="247"/>
      <c r="Q139" s="247"/>
    </row>
    <row r="140" spans="1:17" s="248" customFormat="1" ht="14.25" customHeight="1" x14ac:dyDescent="0.2">
      <c r="A140" s="384" t="s">
        <v>355</v>
      </c>
      <c r="B140" s="375" t="s">
        <v>98</v>
      </c>
      <c r="C140" s="375">
        <v>4203</v>
      </c>
      <c r="D140" s="377" t="s">
        <v>941</v>
      </c>
      <c r="E140" s="375" t="s">
        <v>10</v>
      </c>
      <c r="F140" s="376">
        <v>2</v>
      </c>
      <c r="G140" s="376">
        <v>37.72</v>
      </c>
      <c r="H140" s="376">
        <f t="shared" si="11"/>
        <v>37.72</v>
      </c>
      <c r="I140" s="387">
        <f t="shared" si="12"/>
        <v>75.44</v>
      </c>
      <c r="J140" s="247"/>
      <c r="K140" s="247"/>
      <c r="L140" s="247"/>
      <c r="M140" s="247"/>
      <c r="N140" s="247"/>
      <c r="O140" s="247"/>
      <c r="P140" s="247"/>
      <c r="Q140" s="247"/>
    </row>
    <row r="141" spans="1:17" s="248" customFormat="1" ht="14.25" customHeight="1" x14ac:dyDescent="0.2">
      <c r="A141" s="384" t="s">
        <v>543</v>
      </c>
      <c r="B141" s="375" t="s">
        <v>9</v>
      </c>
      <c r="C141" s="375"/>
      <c r="D141" s="377" t="s">
        <v>940</v>
      </c>
      <c r="E141" s="375" t="s">
        <v>10</v>
      </c>
      <c r="F141" s="376">
        <v>2</v>
      </c>
      <c r="G141" s="376">
        <v>38.19</v>
      </c>
      <c r="H141" s="376">
        <f t="shared" si="11"/>
        <v>38.19</v>
      </c>
      <c r="I141" s="387">
        <f t="shared" si="12"/>
        <v>76.38</v>
      </c>
      <c r="J141" s="247"/>
      <c r="K141" s="247"/>
      <c r="L141" s="247"/>
      <c r="M141" s="247"/>
      <c r="N141" s="247"/>
      <c r="O141" s="247"/>
      <c r="P141" s="247"/>
      <c r="Q141" s="247"/>
    </row>
    <row r="142" spans="1:17" s="248" customFormat="1" ht="14.25" customHeight="1" x14ac:dyDescent="0.2">
      <c r="A142" s="384" t="s">
        <v>544</v>
      </c>
      <c r="B142" s="375" t="s">
        <v>98</v>
      </c>
      <c r="C142" s="375">
        <v>11315</v>
      </c>
      <c r="D142" s="377" t="s">
        <v>805</v>
      </c>
      <c r="E142" s="375" t="s">
        <v>10</v>
      </c>
      <c r="F142" s="376">
        <v>1</v>
      </c>
      <c r="G142" s="376">
        <v>44.45</v>
      </c>
      <c r="H142" s="376">
        <f t="shared" si="11"/>
        <v>44.45</v>
      </c>
      <c r="I142" s="387">
        <f t="shared" si="12"/>
        <v>44.45</v>
      </c>
      <c r="J142" s="247"/>
      <c r="K142" s="247"/>
      <c r="L142" s="247"/>
      <c r="M142" s="247"/>
      <c r="N142" s="247"/>
      <c r="O142" s="247"/>
      <c r="P142" s="247"/>
      <c r="Q142" s="247"/>
    </row>
    <row r="143" spans="1:17" s="248" customFormat="1" ht="14.25" customHeight="1" x14ac:dyDescent="0.2">
      <c r="A143" s="384" t="s">
        <v>545</v>
      </c>
      <c r="B143" s="375" t="s">
        <v>98</v>
      </c>
      <c r="C143" s="375">
        <v>3719</v>
      </c>
      <c r="D143" s="377" t="s">
        <v>942</v>
      </c>
      <c r="E143" s="375" t="s">
        <v>10</v>
      </c>
      <c r="F143" s="376">
        <v>2</v>
      </c>
      <c r="G143" s="376">
        <v>119.98</v>
      </c>
      <c r="H143" s="376">
        <f t="shared" si="11"/>
        <v>119.98</v>
      </c>
      <c r="I143" s="387">
        <f t="shared" si="12"/>
        <v>239.96</v>
      </c>
      <c r="J143" s="247"/>
      <c r="K143" s="247"/>
      <c r="L143" s="247"/>
      <c r="M143" s="247"/>
      <c r="N143" s="247"/>
      <c r="O143" s="247"/>
      <c r="P143" s="247"/>
      <c r="Q143" s="247"/>
    </row>
    <row r="144" spans="1:17" s="248" customFormat="1" ht="14.25" customHeight="1" x14ac:dyDescent="0.2">
      <c r="A144" s="384" t="s">
        <v>1216</v>
      </c>
      <c r="B144" s="375" t="s">
        <v>9</v>
      </c>
      <c r="C144" s="375"/>
      <c r="D144" s="377" t="s">
        <v>943</v>
      </c>
      <c r="E144" s="375" t="s">
        <v>10</v>
      </c>
      <c r="F144" s="376">
        <v>1</v>
      </c>
      <c r="G144" s="376">
        <v>368</v>
      </c>
      <c r="H144" s="376">
        <f t="shared" si="11"/>
        <v>368</v>
      </c>
      <c r="I144" s="387">
        <f t="shared" si="12"/>
        <v>368</v>
      </c>
      <c r="J144" s="247"/>
      <c r="K144" s="247"/>
      <c r="L144" s="247"/>
      <c r="M144" s="247"/>
      <c r="N144" s="247"/>
      <c r="O144" s="247"/>
      <c r="P144" s="247"/>
      <c r="Q144" s="247"/>
    </row>
    <row r="145" spans="1:17" s="373" customFormat="1" ht="15.95" customHeight="1" x14ac:dyDescent="0.2">
      <c r="A145" s="384" t="s">
        <v>1217</v>
      </c>
      <c r="B145" s="375" t="s">
        <v>9</v>
      </c>
      <c r="C145" s="375"/>
      <c r="D145" s="377" t="s">
        <v>944</v>
      </c>
      <c r="E145" s="375" t="s">
        <v>10</v>
      </c>
      <c r="F145" s="376">
        <v>1</v>
      </c>
      <c r="G145" s="376">
        <v>183</v>
      </c>
      <c r="H145" s="376">
        <f t="shared" si="11"/>
        <v>183</v>
      </c>
      <c r="I145" s="387">
        <f t="shared" si="12"/>
        <v>183</v>
      </c>
      <c r="J145" s="44"/>
      <c r="K145" s="44"/>
      <c r="L145" s="44"/>
      <c r="M145" s="44"/>
      <c r="N145" s="44"/>
      <c r="O145" s="44"/>
      <c r="P145" s="44"/>
      <c r="Q145" s="44"/>
    </row>
    <row r="146" spans="1:17" s="248" customFormat="1" ht="14.25" customHeight="1" x14ac:dyDescent="0.2">
      <c r="A146" s="384" t="s">
        <v>1218</v>
      </c>
      <c r="B146" s="375" t="s">
        <v>9</v>
      </c>
      <c r="C146" s="375"/>
      <c r="D146" s="377" t="s">
        <v>809</v>
      </c>
      <c r="E146" s="375" t="s">
        <v>10</v>
      </c>
      <c r="F146" s="376">
        <v>4</v>
      </c>
      <c r="G146" s="376">
        <v>1.35</v>
      </c>
      <c r="H146" s="376">
        <f t="shared" si="11"/>
        <v>1.35</v>
      </c>
      <c r="I146" s="387">
        <f t="shared" si="12"/>
        <v>5.4</v>
      </c>
      <c r="J146" s="247"/>
      <c r="K146" s="247"/>
      <c r="L146" s="247"/>
      <c r="M146" s="247"/>
      <c r="N146" s="247"/>
      <c r="O146" s="247"/>
      <c r="P146" s="247"/>
      <c r="Q146" s="247"/>
    </row>
    <row r="147" spans="1:17" s="248" customFormat="1" ht="14.25" x14ac:dyDescent="0.2">
      <c r="A147" s="384" t="s">
        <v>1219</v>
      </c>
      <c r="B147" s="375" t="s">
        <v>9</v>
      </c>
      <c r="C147" s="375"/>
      <c r="D147" s="377" t="s">
        <v>811</v>
      </c>
      <c r="E147" s="375" t="s">
        <v>10</v>
      </c>
      <c r="F147" s="376">
        <v>14</v>
      </c>
      <c r="G147" s="376">
        <v>2.0299999999999998</v>
      </c>
      <c r="H147" s="376">
        <f t="shared" si="11"/>
        <v>2.0299999999999998</v>
      </c>
      <c r="I147" s="387">
        <f t="shared" si="12"/>
        <v>28.419999999999998</v>
      </c>
      <c r="J147" s="247"/>
      <c r="K147" s="247"/>
      <c r="L147" s="247"/>
      <c r="M147" s="247"/>
      <c r="N147" s="247"/>
      <c r="O147" s="247"/>
      <c r="P147" s="247"/>
      <c r="Q147" s="247"/>
    </row>
    <row r="148" spans="1:17" s="248" customFormat="1" ht="14.25" customHeight="1" x14ac:dyDescent="0.2">
      <c r="A148" s="384" t="s">
        <v>1220</v>
      </c>
      <c r="B148" s="375" t="s">
        <v>9</v>
      </c>
      <c r="C148" s="375"/>
      <c r="D148" s="377" t="s">
        <v>945</v>
      </c>
      <c r="E148" s="375" t="s">
        <v>10</v>
      </c>
      <c r="F148" s="376">
        <v>1</v>
      </c>
      <c r="G148" s="376">
        <v>1.96</v>
      </c>
      <c r="H148" s="376">
        <f t="shared" si="11"/>
        <v>1.96</v>
      </c>
      <c r="I148" s="387">
        <f t="shared" si="12"/>
        <v>1.96</v>
      </c>
      <c r="J148" s="247"/>
      <c r="K148" s="247"/>
      <c r="L148" s="247"/>
      <c r="M148" s="247"/>
      <c r="N148" s="247"/>
      <c r="O148" s="247"/>
      <c r="P148" s="247"/>
      <c r="Q148" s="247"/>
    </row>
    <row r="149" spans="1:17" s="248" customFormat="1" ht="14.25" customHeight="1" x14ac:dyDescent="0.2">
      <c r="A149" s="384" t="s">
        <v>1221</v>
      </c>
      <c r="B149" s="375" t="s">
        <v>9</v>
      </c>
      <c r="C149" s="375"/>
      <c r="D149" s="377" t="s">
        <v>631</v>
      </c>
      <c r="E149" s="375" t="s">
        <v>10</v>
      </c>
      <c r="F149" s="376">
        <v>136</v>
      </c>
      <c r="G149" s="376">
        <v>3.18</v>
      </c>
      <c r="H149" s="376">
        <f t="shared" si="11"/>
        <v>3.18</v>
      </c>
      <c r="I149" s="387">
        <f t="shared" si="12"/>
        <v>432.48</v>
      </c>
      <c r="J149" s="247"/>
      <c r="K149" s="247"/>
      <c r="L149" s="247"/>
      <c r="M149" s="247"/>
      <c r="N149" s="247"/>
      <c r="O149" s="247"/>
      <c r="P149" s="247"/>
      <c r="Q149" s="247"/>
    </row>
    <row r="150" spans="1:17" s="373" customFormat="1" ht="15.95" customHeight="1" x14ac:dyDescent="0.2">
      <c r="A150" s="384" t="s">
        <v>1222</v>
      </c>
      <c r="B150" s="375" t="s">
        <v>9</v>
      </c>
      <c r="C150" s="375"/>
      <c r="D150" s="377" t="s">
        <v>812</v>
      </c>
      <c r="E150" s="375" t="s">
        <v>10</v>
      </c>
      <c r="F150" s="376">
        <v>0.4</v>
      </c>
      <c r="G150" s="376">
        <v>980</v>
      </c>
      <c r="H150" s="376">
        <f t="shared" si="11"/>
        <v>980</v>
      </c>
      <c r="I150" s="387">
        <f t="shared" si="12"/>
        <v>392</v>
      </c>
      <c r="J150" s="44"/>
      <c r="K150" s="44"/>
      <c r="L150" s="44"/>
      <c r="M150" s="44"/>
      <c r="N150" s="44"/>
      <c r="O150" s="44"/>
      <c r="P150" s="44"/>
      <c r="Q150" s="44"/>
    </row>
    <row r="151" spans="1:17" s="248" customFormat="1" ht="14.25" customHeight="1" x14ac:dyDescent="0.2">
      <c r="A151" s="384" t="s">
        <v>1223</v>
      </c>
      <c r="B151" s="375" t="s">
        <v>9</v>
      </c>
      <c r="C151" s="375"/>
      <c r="D151" s="377" t="s">
        <v>813</v>
      </c>
      <c r="E151" s="375" t="s">
        <v>107</v>
      </c>
      <c r="F151" s="376">
        <v>3.7</v>
      </c>
      <c r="G151" s="376">
        <v>186</v>
      </c>
      <c r="H151" s="376">
        <f t="shared" si="11"/>
        <v>186</v>
      </c>
      <c r="I151" s="387">
        <f t="shared" si="12"/>
        <v>688.2</v>
      </c>
      <c r="J151" s="247"/>
      <c r="K151" s="247"/>
      <c r="L151" s="247"/>
      <c r="M151" s="247"/>
      <c r="N151" s="247"/>
      <c r="O151" s="247"/>
      <c r="P151" s="247"/>
      <c r="Q151" s="247"/>
    </row>
    <row r="152" spans="1:17" s="248" customFormat="1" ht="14.25" customHeight="1" x14ac:dyDescent="0.2">
      <c r="A152" s="384" t="s">
        <v>1224</v>
      </c>
      <c r="B152" s="375" t="s">
        <v>9</v>
      </c>
      <c r="C152" s="375"/>
      <c r="D152" s="377" t="s">
        <v>946</v>
      </c>
      <c r="E152" s="375" t="s">
        <v>10</v>
      </c>
      <c r="F152" s="376">
        <v>2</v>
      </c>
      <c r="G152" s="376">
        <v>202</v>
      </c>
      <c r="H152" s="376">
        <f t="shared" si="11"/>
        <v>202</v>
      </c>
      <c r="I152" s="387">
        <f t="shared" si="12"/>
        <v>404</v>
      </c>
      <c r="J152" s="247"/>
      <c r="K152" s="247"/>
      <c r="L152" s="247"/>
      <c r="M152" s="247"/>
      <c r="N152" s="247"/>
      <c r="O152" s="247"/>
      <c r="P152" s="247"/>
      <c r="Q152" s="247"/>
    </row>
    <row r="153" spans="1:17" s="248" customFormat="1" ht="14.25" customHeight="1" x14ac:dyDescent="0.2">
      <c r="A153" s="384" t="s">
        <v>1225</v>
      </c>
      <c r="B153" s="564" t="s">
        <v>9</v>
      </c>
      <c r="C153" s="564"/>
      <c r="D153" s="377" t="s">
        <v>947</v>
      </c>
      <c r="E153" s="564" t="s">
        <v>10</v>
      </c>
      <c r="F153" s="376">
        <v>1</v>
      </c>
      <c r="G153" s="376">
        <v>166.38</v>
      </c>
      <c r="H153" s="376">
        <f t="shared" si="11"/>
        <v>166.38</v>
      </c>
      <c r="I153" s="387">
        <f t="shared" si="12"/>
        <v>166.38</v>
      </c>
      <c r="J153" s="247"/>
      <c r="K153" s="247"/>
      <c r="L153" s="247"/>
      <c r="M153" s="247"/>
      <c r="N153" s="247"/>
      <c r="O153" s="247"/>
      <c r="P153" s="247"/>
      <c r="Q153" s="247"/>
    </row>
    <row r="154" spans="1:17" s="248" customFormat="1" ht="14.25" customHeight="1" x14ac:dyDescent="0.2">
      <c r="A154" s="384"/>
      <c r="B154" s="375"/>
      <c r="C154" s="375"/>
      <c r="D154" s="377"/>
      <c r="E154" s="375"/>
      <c r="F154" s="376"/>
      <c r="G154" s="376"/>
      <c r="H154" s="376"/>
      <c r="I154" s="387"/>
      <c r="J154" s="247"/>
      <c r="K154" s="247"/>
      <c r="L154" s="247"/>
      <c r="M154" s="247"/>
      <c r="N154" s="247"/>
      <c r="O154" s="247"/>
      <c r="P154" s="247"/>
      <c r="Q154" s="247"/>
    </row>
    <row r="155" spans="1:17" s="141" customFormat="1" x14ac:dyDescent="0.25">
      <c r="A155" s="263" t="s">
        <v>356</v>
      </c>
      <c r="B155" s="205" t="s">
        <v>306</v>
      </c>
      <c r="C155" s="557" t="s">
        <v>172</v>
      </c>
      <c r="D155" s="206" t="str">
        <f>[1]ORÇAMENTO!D268</f>
        <v>APLICAÇÃO DO MATERIAL HIDRÁULICO DA ELEVATÓRIA</v>
      </c>
      <c r="E155" s="205" t="s">
        <v>10</v>
      </c>
      <c r="F155" s="315"/>
      <c r="G155" s="316"/>
      <c r="H155" s="316"/>
      <c r="I155" s="560">
        <f>SUM(I156:I157)</f>
        <v>937.2</v>
      </c>
      <c r="J155" s="140"/>
      <c r="K155" s="140"/>
      <c r="L155" s="140"/>
      <c r="M155" s="140"/>
      <c r="N155" s="140"/>
      <c r="O155" s="140"/>
      <c r="P155" s="140"/>
      <c r="Q155" s="140"/>
    </row>
    <row r="156" spans="1:17" s="141" customFormat="1" x14ac:dyDescent="0.25">
      <c r="A156" s="265" t="s">
        <v>357</v>
      </c>
      <c r="B156" s="374" t="s">
        <v>98</v>
      </c>
      <c r="C156" s="374" t="s">
        <v>633</v>
      </c>
      <c r="D156" s="227" t="s">
        <v>634</v>
      </c>
      <c r="E156" s="374" t="s">
        <v>97</v>
      </c>
      <c r="F156" s="394">
        <v>40</v>
      </c>
      <c r="G156" s="523">
        <v>14.75</v>
      </c>
      <c r="H156" s="523">
        <f>G156*J$7</f>
        <v>14.75</v>
      </c>
      <c r="I156" s="565">
        <f>ROUND(F156*H156,2)</f>
        <v>590</v>
      </c>
      <c r="J156" s="140"/>
      <c r="K156" s="140"/>
      <c r="L156" s="140"/>
      <c r="M156" s="140"/>
      <c r="N156" s="140"/>
      <c r="O156" s="140"/>
      <c r="P156" s="140"/>
      <c r="Q156" s="140"/>
    </row>
    <row r="157" spans="1:17" s="141" customFormat="1" x14ac:dyDescent="0.25">
      <c r="A157" s="265" t="s">
        <v>358</v>
      </c>
      <c r="B157" s="374" t="s">
        <v>98</v>
      </c>
      <c r="C157" s="374" t="s">
        <v>635</v>
      </c>
      <c r="D157" s="227" t="s">
        <v>250</v>
      </c>
      <c r="E157" s="374" t="s">
        <v>97</v>
      </c>
      <c r="F157" s="394">
        <v>40</v>
      </c>
      <c r="G157" s="523">
        <v>8.68</v>
      </c>
      <c r="H157" s="523">
        <f>G157*J$7</f>
        <v>8.68</v>
      </c>
      <c r="I157" s="565">
        <f>ROUND(F157*H157,2)</f>
        <v>347.2</v>
      </c>
      <c r="J157" s="140"/>
      <c r="K157" s="140"/>
      <c r="L157" s="140"/>
      <c r="M157" s="140"/>
      <c r="N157" s="140"/>
      <c r="O157" s="140"/>
      <c r="P157" s="140"/>
      <c r="Q157" s="140"/>
    </row>
    <row r="158" spans="1:17" s="7" customFormat="1" ht="14.25" x14ac:dyDescent="0.2">
      <c r="A158" s="265"/>
      <c r="B158" s="374"/>
      <c r="C158" s="374"/>
      <c r="D158" s="227"/>
      <c r="E158" s="374"/>
      <c r="F158" s="394"/>
      <c r="G158" s="523"/>
      <c r="H158" s="523"/>
      <c r="I158" s="562"/>
      <c r="J158" s="8"/>
      <c r="K158" s="8"/>
      <c r="L158" s="8"/>
      <c r="M158" s="8"/>
      <c r="N158" s="8"/>
      <c r="O158" s="8"/>
      <c r="P158" s="8"/>
      <c r="Q158" s="8"/>
    </row>
    <row r="159" spans="1:17" s="7" customFormat="1" x14ac:dyDescent="0.2">
      <c r="A159" s="263" t="s">
        <v>359</v>
      </c>
      <c r="B159" s="205" t="s">
        <v>306</v>
      </c>
      <c r="C159" s="557" t="s">
        <v>173</v>
      </c>
      <c r="D159" s="206" t="s">
        <v>438</v>
      </c>
      <c r="E159" s="205" t="s">
        <v>10</v>
      </c>
      <c r="F159" s="315"/>
      <c r="G159" s="316"/>
      <c r="H159" s="316"/>
      <c r="I159" s="560">
        <f>SUM(I160:I173)</f>
        <v>12696.47</v>
      </c>
      <c r="J159" s="8"/>
      <c r="K159" s="8"/>
      <c r="L159" s="8"/>
      <c r="M159" s="8"/>
      <c r="N159" s="8"/>
      <c r="O159" s="8"/>
      <c r="P159" s="8"/>
      <c r="Q159" s="8"/>
    </row>
    <row r="160" spans="1:17" s="7" customFormat="1" ht="14.25" x14ac:dyDescent="0.2">
      <c r="A160" s="265" t="s">
        <v>360</v>
      </c>
      <c r="B160" s="374" t="s">
        <v>98</v>
      </c>
      <c r="C160" s="570">
        <v>7184</v>
      </c>
      <c r="D160" s="571" t="s">
        <v>207</v>
      </c>
      <c r="E160" s="543" t="s">
        <v>101</v>
      </c>
      <c r="F160" s="381">
        <v>193.25</v>
      </c>
      <c r="G160" s="285">
        <v>17.579999999999998</v>
      </c>
      <c r="H160" s="57">
        <f t="shared" ref="H160:H173" si="13">ROUND((1+K$3)*G160,2)</f>
        <v>17.579999999999998</v>
      </c>
      <c r="I160" s="267">
        <f t="shared" ref="I160:I173" si="14">ROUND(F160*H160,2)</f>
        <v>3397.34</v>
      </c>
      <c r="J160" s="8"/>
      <c r="K160" s="8"/>
      <c r="L160" s="8"/>
      <c r="M160" s="8"/>
      <c r="N160" s="8"/>
      <c r="O160" s="8"/>
      <c r="P160" s="8"/>
      <c r="Q160" s="8"/>
    </row>
    <row r="161" spans="1:17" s="43" customFormat="1" ht="14.25" x14ac:dyDescent="0.2">
      <c r="A161" s="265" t="s">
        <v>531</v>
      </c>
      <c r="B161" s="375" t="s">
        <v>9</v>
      </c>
      <c r="C161" s="375"/>
      <c r="D161" s="377" t="s">
        <v>366</v>
      </c>
      <c r="E161" s="375" t="s">
        <v>10</v>
      </c>
      <c r="F161" s="376">
        <v>240</v>
      </c>
      <c r="G161" s="277">
        <v>0.61</v>
      </c>
      <c r="H161" s="376">
        <f t="shared" si="13"/>
        <v>0.61</v>
      </c>
      <c r="I161" s="271">
        <f t="shared" si="14"/>
        <v>146.4</v>
      </c>
      <c r="J161" s="44"/>
      <c r="K161" s="44"/>
      <c r="L161" s="44"/>
      <c r="M161" s="44"/>
      <c r="N161" s="44"/>
      <c r="O161" s="44"/>
      <c r="P161" s="44"/>
      <c r="Q161" s="44"/>
    </row>
    <row r="162" spans="1:17" s="43" customFormat="1" ht="14.25" x14ac:dyDescent="0.2">
      <c r="A162" s="265" t="s">
        <v>532</v>
      </c>
      <c r="B162" s="375" t="s">
        <v>9</v>
      </c>
      <c r="C162" s="375"/>
      <c r="D162" s="377" t="s">
        <v>365</v>
      </c>
      <c r="E162" s="375" t="s">
        <v>10</v>
      </c>
      <c r="F162" s="376">
        <v>240</v>
      </c>
      <c r="G162" s="277">
        <v>0.5</v>
      </c>
      <c r="H162" s="376">
        <f t="shared" si="13"/>
        <v>0.5</v>
      </c>
      <c r="I162" s="271">
        <f t="shared" si="14"/>
        <v>120</v>
      </c>
      <c r="J162" s="44"/>
      <c r="K162" s="44"/>
      <c r="L162" s="44"/>
      <c r="M162" s="44"/>
      <c r="N162" s="44"/>
      <c r="O162" s="44"/>
      <c r="P162" s="44"/>
      <c r="Q162" s="44"/>
    </row>
    <row r="163" spans="1:17" s="7" customFormat="1" ht="14.25" x14ac:dyDescent="0.2">
      <c r="A163" s="265" t="s">
        <v>533</v>
      </c>
      <c r="B163" s="374" t="s">
        <v>98</v>
      </c>
      <c r="C163" s="374">
        <v>5104</v>
      </c>
      <c r="D163" s="379" t="s">
        <v>176</v>
      </c>
      <c r="E163" s="543" t="s">
        <v>2</v>
      </c>
      <c r="F163" s="381">
        <v>1</v>
      </c>
      <c r="G163" s="285">
        <v>43.85</v>
      </c>
      <c r="H163" s="57">
        <f t="shared" si="13"/>
        <v>43.85</v>
      </c>
      <c r="I163" s="267">
        <f t="shared" si="14"/>
        <v>43.85</v>
      </c>
      <c r="J163" s="8"/>
      <c r="K163" s="8"/>
      <c r="L163" s="8"/>
      <c r="M163" s="8"/>
      <c r="N163" s="8"/>
      <c r="O163" s="8"/>
      <c r="P163" s="8"/>
      <c r="Q163" s="8"/>
    </row>
    <row r="164" spans="1:17" s="7" customFormat="1" ht="14.25" x14ac:dyDescent="0.2">
      <c r="A164" s="265" t="s">
        <v>534</v>
      </c>
      <c r="B164" s="374" t="s">
        <v>98</v>
      </c>
      <c r="C164" s="374">
        <v>589</v>
      </c>
      <c r="D164" s="379" t="s">
        <v>175</v>
      </c>
      <c r="E164" s="543" t="s">
        <v>107</v>
      </c>
      <c r="F164" s="381">
        <v>36</v>
      </c>
      <c r="G164" s="285">
        <v>27.53</v>
      </c>
      <c r="H164" s="57">
        <f t="shared" si="13"/>
        <v>27.53</v>
      </c>
      <c r="I164" s="267">
        <f t="shared" si="14"/>
        <v>991.08</v>
      </c>
      <c r="J164" s="8"/>
      <c r="K164" s="8"/>
      <c r="L164" s="8"/>
      <c r="M164" s="8"/>
      <c r="N164" s="8"/>
      <c r="O164" s="8"/>
      <c r="P164" s="8"/>
      <c r="Q164" s="8"/>
    </row>
    <row r="165" spans="1:17" s="7" customFormat="1" ht="14.25" x14ac:dyDescent="0.2">
      <c r="A165" s="265" t="s">
        <v>1226</v>
      </c>
      <c r="B165" s="374" t="s">
        <v>98</v>
      </c>
      <c r="C165" s="374">
        <v>584</v>
      </c>
      <c r="D165" s="379" t="s">
        <v>139</v>
      </c>
      <c r="E165" s="543" t="s">
        <v>107</v>
      </c>
      <c r="F165" s="381">
        <v>96</v>
      </c>
      <c r="G165" s="285">
        <v>13.81</v>
      </c>
      <c r="H165" s="57">
        <f t="shared" si="13"/>
        <v>13.81</v>
      </c>
      <c r="I165" s="267">
        <f t="shared" si="14"/>
        <v>1325.76</v>
      </c>
      <c r="J165" s="8"/>
      <c r="K165" s="8"/>
      <c r="L165" s="8"/>
      <c r="M165" s="8"/>
      <c r="N165" s="8"/>
      <c r="O165" s="8"/>
      <c r="P165" s="8"/>
      <c r="Q165" s="8"/>
    </row>
    <row r="166" spans="1:17" s="7" customFormat="1" ht="14.25" x14ac:dyDescent="0.2">
      <c r="A166" s="265" t="s">
        <v>1227</v>
      </c>
      <c r="B166" s="374" t="s">
        <v>98</v>
      </c>
      <c r="C166" s="374">
        <v>11122</v>
      </c>
      <c r="D166" s="379" t="s">
        <v>140</v>
      </c>
      <c r="E166" s="543" t="s">
        <v>101</v>
      </c>
      <c r="F166" s="381">
        <v>26.4</v>
      </c>
      <c r="G166" s="285">
        <v>26.9</v>
      </c>
      <c r="H166" s="57">
        <f t="shared" si="13"/>
        <v>26.9</v>
      </c>
      <c r="I166" s="267">
        <f t="shared" si="14"/>
        <v>710.16</v>
      </c>
      <c r="J166" s="8"/>
      <c r="K166" s="8"/>
      <c r="L166" s="8"/>
      <c r="M166" s="8"/>
      <c r="N166" s="8"/>
      <c r="O166" s="8"/>
      <c r="P166" s="8"/>
      <c r="Q166" s="8"/>
    </row>
    <row r="167" spans="1:17" s="7" customFormat="1" ht="14.25" x14ac:dyDescent="0.2">
      <c r="A167" s="265" t="s">
        <v>1228</v>
      </c>
      <c r="B167" s="374" t="s">
        <v>98</v>
      </c>
      <c r="C167" s="374">
        <v>11976</v>
      </c>
      <c r="D167" s="379" t="s">
        <v>312</v>
      </c>
      <c r="E167" s="543" t="s">
        <v>10</v>
      </c>
      <c r="F167" s="381">
        <v>84</v>
      </c>
      <c r="G167" s="285">
        <v>2.19</v>
      </c>
      <c r="H167" s="57">
        <f t="shared" si="13"/>
        <v>2.19</v>
      </c>
      <c r="I167" s="267">
        <f t="shared" si="14"/>
        <v>183.96</v>
      </c>
      <c r="J167" s="8"/>
      <c r="K167" s="8"/>
      <c r="L167" s="8"/>
      <c r="M167" s="8"/>
      <c r="N167" s="8"/>
      <c r="O167" s="8"/>
      <c r="P167" s="8"/>
      <c r="Q167" s="8"/>
    </row>
    <row r="168" spans="1:17" s="7" customFormat="1" ht="14.25" x14ac:dyDescent="0.2">
      <c r="A168" s="265" t="s">
        <v>1229</v>
      </c>
      <c r="B168" s="374" t="s">
        <v>98</v>
      </c>
      <c r="C168" s="374">
        <v>11964</v>
      </c>
      <c r="D168" s="379" t="s">
        <v>313</v>
      </c>
      <c r="E168" s="543" t="s">
        <v>10</v>
      </c>
      <c r="F168" s="381">
        <v>28</v>
      </c>
      <c r="G168" s="285">
        <v>1.92</v>
      </c>
      <c r="H168" s="57">
        <f t="shared" si="13"/>
        <v>1.92</v>
      </c>
      <c r="I168" s="267">
        <f t="shared" si="14"/>
        <v>53.76</v>
      </c>
      <c r="J168" s="8"/>
      <c r="K168" s="8"/>
      <c r="L168" s="8"/>
      <c r="M168" s="8"/>
      <c r="N168" s="8"/>
      <c r="O168" s="8"/>
      <c r="P168" s="8"/>
      <c r="Q168" s="8"/>
    </row>
    <row r="169" spans="1:17" s="7" customFormat="1" ht="14.25" x14ac:dyDescent="0.2">
      <c r="A169" s="265" t="s">
        <v>1230</v>
      </c>
      <c r="B169" s="543" t="s">
        <v>98</v>
      </c>
      <c r="C169" s="543">
        <v>6110</v>
      </c>
      <c r="D169" s="379" t="s">
        <v>249</v>
      </c>
      <c r="E169" s="543" t="s">
        <v>97</v>
      </c>
      <c r="F169" s="381">
        <v>128</v>
      </c>
      <c r="G169" s="382">
        <v>9.86</v>
      </c>
      <c r="H169" s="381">
        <f t="shared" si="13"/>
        <v>9.86</v>
      </c>
      <c r="I169" s="289">
        <f t="shared" si="14"/>
        <v>1262.08</v>
      </c>
      <c r="J169" s="8"/>
      <c r="K169" s="8"/>
      <c r="L169" s="8"/>
      <c r="M169" s="8"/>
      <c r="N169" s="8"/>
      <c r="O169" s="8"/>
      <c r="P169" s="8"/>
      <c r="Q169" s="8"/>
    </row>
    <row r="170" spans="1:17" s="7" customFormat="1" ht="14.25" x14ac:dyDescent="0.2">
      <c r="A170" s="265" t="s">
        <v>1231</v>
      </c>
      <c r="B170" s="374" t="s">
        <v>98</v>
      </c>
      <c r="C170" s="374">
        <v>252</v>
      </c>
      <c r="D170" s="379" t="s">
        <v>364</v>
      </c>
      <c r="E170" s="543" t="s">
        <v>97</v>
      </c>
      <c r="F170" s="381">
        <v>128</v>
      </c>
      <c r="G170" s="285">
        <v>8.68</v>
      </c>
      <c r="H170" s="57">
        <f t="shared" si="13"/>
        <v>8.68</v>
      </c>
      <c r="I170" s="267">
        <f t="shared" si="14"/>
        <v>1111.04</v>
      </c>
      <c r="J170" s="8"/>
      <c r="K170" s="8"/>
      <c r="L170" s="8"/>
      <c r="M170" s="8"/>
      <c r="N170" s="8"/>
      <c r="O170" s="8"/>
      <c r="P170" s="8"/>
      <c r="Q170" s="8"/>
    </row>
    <row r="171" spans="1:17" s="7" customFormat="1" ht="14.25" x14ac:dyDescent="0.2">
      <c r="A171" s="265" t="s">
        <v>1232</v>
      </c>
      <c r="B171" s="543" t="s">
        <v>98</v>
      </c>
      <c r="C171" s="543">
        <v>6111</v>
      </c>
      <c r="D171" s="379" t="s">
        <v>252</v>
      </c>
      <c r="E171" s="543" t="s">
        <v>97</v>
      </c>
      <c r="F171" s="381">
        <v>128</v>
      </c>
      <c r="G171" s="382">
        <v>6.46</v>
      </c>
      <c r="H171" s="381">
        <f t="shared" si="13"/>
        <v>6.46</v>
      </c>
      <c r="I171" s="289">
        <f t="shared" si="14"/>
        <v>826.88</v>
      </c>
      <c r="J171" s="8"/>
      <c r="K171" s="8"/>
      <c r="L171" s="8"/>
      <c r="M171" s="8"/>
      <c r="N171" s="8"/>
      <c r="O171" s="8"/>
      <c r="P171" s="8"/>
      <c r="Q171" s="8"/>
    </row>
    <row r="172" spans="1:17" s="7" customFormat="1" ht="14.25" x14ac:dyDescent="0.2">
      <c r="A172" s="265" t="s">
        <v>1233</v>
      </c>
      <c r="B172" s="543" t="s">
        <v>98</v>
      </c>
      <c r="C172" s="543">
        <v>4750</v>
      </c>
      <c r="D172" s="379" t="s">
        <v>254</v>
      </c>
      <c r="E172" s="543" t="s">
        <v>97</v>
      </c>
      <c r="F172" s="381">
        <v>128</v>
      </c>
      <c r="G172" s="382">
        <v>9.86</v>
      </c>
      <c r="H172" s="381">
        <f t="shared" si="13"/>
        <v>9.86</v>
      </c>
      <c r="I172" s="289">
        <f t="shared" si="14"/>
        <v>1262.08</v>
      </c>
      <c r="J172" s="8"/>
      <c r="K172" s="8"/>
      <c r="L172" s="8"/>
      <c r="M172" s="8"/>
      <c r="N172" s="8"/>
      <c r="O172" s="8"/>
      <c r="P172" s="8"/>
      <c r="Q172" s="8"/>
    </row>
    <row r="173" spans="1:17" s="7" customFormat="1" ht="14.25" x14ac:dyDescent="0.2">
      <c r="A173" s="265" t="s">
        <v>1234</v>
      </c>
      <c r="B173" s="543" t="s">
        <v>98</v>
      </c>
      <c r="C173" s="543">
        <v>1213</v>
      </c>
      <c r="D173" s="379" t="s">
        <v>367</v>
      </c>
      <c r="E173" s="543" t="s">
        <v>97</v>
      </c>
      <c r="F173" s="381">
        <v>128</v>
      </c>
      <c r="G173" s="382">
        <v>9.86</v>
      </c>
      <c r="H173" s="381">
        <f t="shared" si="13"/>
        <v>9.86</v>
      </c>
      <c r="I173" s="289">
        <f t="shared" si="14"/>
        <v>1262.08</v>
      </c>
      <c r="J173" s="8"/>
      <c r="K173" s="8"/>
      <c r="L173" s="8"/>
      <c r="M173" s="8"/>
      <c r="N173" s="8"/>
      <c r="O173" s="8"/>
      <c r="P173" s="8"/>
      <c r="Q173" s="8"/>
    </row>
    <row r="174" spans="1:17" s="7" customFormat="1" ht="14.25" x14ac:dyDescent="0.2">
      <c r="A174" s="265"/>
      <c r="B174" s="543"/>
      <c r="C174" s="543"/>
      <c r="D174" s="379"/>
      <c r="E174" s="543"/>
      <c r="F174" s="381"/>
      <c r="G174" s="382"/>
      <c r="H174" s="381"/>
      <c r="I174" s="289"/>
      <c r="J174" s="8"/>
      <c r="K174" s="8"/>
      <c r="L174" s="8"/>
      <c r="M174" s="8"/>
      <c r="N174" s="8"/>
      <c r="O174" s="8"/>
      <c r="P174" s="8"/>
      <c r="Q174" s="8"/>
    </row>
    <row r="175" spans="1:17" s="59" customFormat="1" ht="30" customHeight="1" x14ac:dyDescent="0.2">
      <c r="A175" s="263" t="s">
        <v>361</v>
      </c>
      <c r="B175" s="205" t="s">
        <v>306</v>
      </c>
      <c r="C175" s="557" t="s">
        <v>174</v>
      </c>
      <c r="D175" s="206" t="s">
        <v>447</v>
      </c>
      <c r="E175" s="205" t="s">
        <v>10</v>
      </c>
      <c r="F175" s="315"/>
      <c r="G175" s="316"/>
      <c r="H175" s="316"/>
      <c r="I175" s="560">
        <f>SUM(I176:I180)</f>
        <v>113.03</v>
      </c>
      <c r="J175" s="65"/>
      <c r="K175" s="65"/>
      <c r="L175" s="65"/>
      <c r="M175" s="65"/>
      <c r="N175" s="65"/>
      <c r="O175" s="65"/>
      <c r="P175" s="65"/>
      <c r="Q175" s="65"/>
    </row>
    <row r="176" spans="1:17" s="59" customFormat="1" ht="14.25" x14ac:dyDescent="0.2">
      <c r="A176" s="265" t="s">
        <v>362</v>
      </c>
      <c r="B176" s="374" t="s">
        <v>98</v>
      </c>
      <c r="C176" s="374">
        <v>12759</v>
      </c>
      <c r="D176" s="227" t="s">
        <v>488</v>
      </c>
      <c r="E176" s="374" t="s">
        <v>101</v>
      </c>
      <c r="F176" s="569">
        <v>0.3</v>
      </c>
      <c r="G176" s="523">
        <v>144.35</v>
      </c>
      <c r="H176" s="523">
        <f>G176*J$7</f>
        <v>144.35</v>
      </c>
      <c r="I176" s="565">
        <f>ROUND(F176*H176,2)</f>
        <v>43.31</v>
      </c>
      <c r="J176" s="65"/>
      <c r="K176" s="65"/>
      <c r="L176" s="65"/>
      <c r="M176" s="65"/>
      <c r="N176" s="65"/>
      <c r="O176" s="65"/>
      <c r="P176" s="65"/>
      <c r="Q176" s="65"/>
    </row>
    <row r="177" spans="1:17" s="59" customFormat="1" ht="14.25" x14ac:dyDescent="0.2">
      <c r="A177" s="265" t="s">
        <v>546</v>
      </c>
      <c r="B177" s="374" t="s">
        <v>98</v>
      </c>
      <c r="C177" s="374">
        <v>252</v>
      </c>
      <c r="D177" s="227" t="s">
        <v>248</v>
      </c>
      <c r="E177" s="374" t="s">
        <v>97</v>
      </c>
      <c r="F177" s="569">
        <v>2</v>
      </c>
      <c r="G177" s="523">
        <v>8.68</v>
      </c>
      <c r="H177" s="523">
        <f>G177*J$7</f>
        <v>8.68</v>
      </c>
      <c r="I177" s="565">
        <f>ROUND(F177*H177,2)</f>
        <v>17.36</v>
      </c>
      <c r="J177" s="65"/>
      <c r="K177" s="65"/>
      <c r="L177" s="65"/>
      <c r="M177" s="65"/>
      <c r="N177" s="65"/>
      <c r="O177" s="65"/>
      <c r="P177" s="65"/>
      <c r="Q177" s="65"/>
    </row>
    <row r="178" spans="1:17" s="59" customFormat="1" ht="14.25" x14ac:dyDescent="0.2">
      <c r="A178" s="265" t="s">
        <v>547</v>
      </c>
      <c r="B178" s="374" t="s">
        <v>98</v>
      </c>
      <c r="C178" s="374">
        <v>6110</v>
      </c>
      <c r="D178" s="227" t="s">
        <v>249</v>
      </c>
      <c r="E178" s="374" t="s">
        <v>97</v>
      </c>
      <c r="F178" s="569">
        <v>2</v>
      </c>
      <c r="G178" s="523">
        <v>9.86</v>
      </c>
      <c r="H178" s="523">
        <f>G178*J$7</f>
        <v>9.86</v>
      </c>
      <c r="I178" s="565">
        <f>ROUND(F178*H178,2)</f>
        <v>19.72</v>
      </c>
      <c r="J178" s="65"/>
      <c r="K178" s="65"/>
      <c r="L178" s="65"/>
      <c r="M178" s="65"/>
      <c r="N178" s="65"/>
      <c r="O178" s="65"/>
      <c r="P178" s="65"/>
      <c r="Q178" s="65"/>
    </row>
    <row r="179" spans="1:17" s="59" customFormat="1" ht="14.25" x14ac:dyDescent="0.2">
      <c r="A179" s="265" t="s">
        <v>548</v>
      </c>
      <c r="B179" s="374" t="s">
        <v>98</v>
      </c>
      <c r="C179" s="374">
        <v>6111</v>
      </c>
      <c r="D179" s="227" t="s">
        <v>252</v>
      </c>
      <c r="E179" s="374" t="s">
        <v>97</v>
      </c>
      <c r="F179" s="569">
        <v>2</v>
      </c>
      <c r="G179" s="523">
        <v>6.46</v>
      </c>
      <c r="H179" s="523">
        <f>G179*J$7</f>
        <v>6.46</v>
      </c>
      <c r="I179" s="565">
        <f>ROUND(F179*H179,2)</f>
        <v>12.92</v>
      </c>
      <c r="J179" s="65"/>
      <c r="K179" s="65"/>
      <c r="L179" s="65"/>
      <c r="M179" s="65"/>
      <c r="N179" s="65"/>
      <c r="O179" s="65"/>
      <c r="P179" s="65"/>
      <c r="Q179" s="65"/>
    </row>
    <row r="180" spans="1:17" s="59" customFormat="1" ht="14.25" x14ac:dyDescent="0.2">
      <c r="A180" s="265" t="s">
        <v>1235</v>
      </c>
      <c r="B180" s="374" t="s">
        <v>98</v>
      </c>
      <c r="C180" s="374">
        <v>4750</v>
      </c>
      <c r="D180" s="227" t="s">
        <v>254</v>
      </c>
      <c r="E180" s="374" t="s">
        <v>97</v>
      </c>
      <c r="F180" s="569">
        <v>2</v>
      </c>
      <c r="G180" s="523">
        <v>9.86</v>
      </c>
      <c r="H180" s="523">
        <f>ROUND((1+K$3)*G180,2)</f>
        <v>9.86</v>
      </c>
      <c r="I180" s="565">
        <f>ROUND(F180*H180,2)</f>
        <v>19.72</v>
      </c>
      <c r="J180" s="65"/>
      <c r="K180" s="65"/>
      <c r="L180" s="65"/>
      <c r="M180" s="65"/>
      <c r="N180" s="65"/>
      <c r="O180" s="65"/>
      <c r="P180" s="65"/>
      <c r="Q180" s="65"/>
    </row>
    <row r="181" spans="1:17" s="7" customFormat="1" ht="15.95" customHeight="1" x14ac:dyDescent="0.2">
      <c r="A181" s="265"/>
      <c r="B181" s="374"/>
      <c r="C181" s="374"/>
      <c r="D181" s="379"/>
      <c r="E181" s="543"/>
      <c r="F181" s="381"/>
      <c r="G181" s="376"/>
      <c r="H181" s="57"/>
      <c r="I181" s="267"/>
      <c r="J181" s="6"/>
      <c r="K181" s="6"/>
      <c r="L181" s="6"/>
      <c r="M181" s="6"/>
      <c r="N181" s="6"/>
      <c r="O181" s="6"/>
      <c r="P181" s="6"/>
      <c r="Q181" s="6"/>
    </row>
    <row r="182" spans="1:17" s="59" customFormat="1" ht="15" customHeight="1" x14ac:dyDescent="0.2">
      <c r="A182" s="263" t="s">
        <v>520</v>
      </c>
      <c r="B182" s="205" t="s">
        <v>306</v>
      </c>
      <c r="C182" s="557" t="s">
        <v>310</v>
      </c>
      <c r="D182" s="206" t="s">
        <v>638</v>
      </c>
      <c r="E182" s="205" t="s">
        <v>10</v>
      </c>
      <c r="F182" s="315"/>
      <c r="G182" s="316"/>
      <c r="H182" s="316"/>
      <c r="I182" s="560">
        <f>SUM(I183:I187)</f>
        <v>27.24</v>
      </c>
      <c r="J182" s="65"/>
      <c r="K182" s="65"/>
      <c r="L182" s="65"/>
      <c r="M182" s="65"/>
      <c r="N182" s="65"/>
      <c r="O182" s="65"/>
      <c r="P182" s="65"/>
      <c r="Q182" s="65"/>
    </row>
    <row r="183" spans="1:17" s="59" customFormat="1" ht="14.25" x14ac:dyDescent="0.2">
      <c r="A183" s="265" t="s">
        <v>535</v>
      </c>
      <c r="B183" s="375" t="s">
        <v>98</v>
      </c>
      <c r="C183" s="375">
        <v>12759</v>
      </c>
      <c r="D183" s="227" t="s">
        <v>488</v>
      </c>
      <c r="E183" s="374" t="s">
        <v>101</v>
      </c>
      <c r="F183" s="569">
        <v>0.1</v>
      </c>
      <c r="G183" s="523">
        <v>144.35</v>
      </c>
      <c r="H183" s="523">
        <f>G183*J$7</f>
        <v>144.35</v>
      </c>
      <c r="I183" s="565">
        <f>ROUND(F183*H183,2)</f>
        <v>14.44</v>
      </c>
      <c r="J183" s="65"/>
      <c r="K183" s="65"/>
      <c r="L183" s="65"/>
      <c r="M183" s="65"/>
      <c r="N183" s="65"/>
      <c r="O183" s="65"/>
      <c r="P183" s="65"/>
      <c r="Q183" s="65"/>
    </row>
    <row r="184" spans="1:17" s="59" customFormat="1" ht="14.25" x14ac:dyDescent="0.2">
      <c r="A184" s="265" t="s">
        <v>536</v>
      </c>
      <c r="B184" s="375" t="s">
        <v>98</v>
      </c>
      <c r="C184" s="375">
        <v>252</v>
      </c>
      <c r="D184" s="227" t="s">
        <v>248</v>
      </c>
      <c r="E184" s="374" t="s">
        <v>97</v>
      </c>
      <c r="F184" s="569">
        <v>0.25</v>
      </c>
      <c r="G184" s="523">
        <v>8.68</v>
      </c>
      <c r="H184" s="523">
        <f>G184*J$7</f>
        <v>8.68</v>
      </c>
      <c r="I184" s="565">
        <f>ROUND(F184*H184,2)</f>
        <v>2.17</v>
      </c>
      <c r="J184" s="65"/>
      <c r="K184" s="65"/>
      <c r="L184" s="65"/>
      <c r="M184" s="65"/>
      <c r="N184" s="65"/>
      <c r="O184" s="65"/>
      <c r="P184" s="65"/>
      <c r="Q184" s="65"/>
    </row>
    <row r="185" spans="1:17" s="59" customFormat="1" ht="14.25" x14ac:dyDescent="0.2">
      <c r="A185" s="265" t="s">
        <v>537</v>
      </c>
      <c r="B185" s="375" t="s">
        <v>98</v>
      </c>
      <c r="C185" s="375">
        <v>6110</v>
      </c>
      <c r="D185" s="227" t="s">
        <v>249</v>
      </c>
      <c r="E185" s="374" t="s">
        <v>97</v>
      </c>
      <c r="F185" s="569">
        <v>0.25</v>
      </c>
      <c r="G185" s="523">
        <v>9.86</v>
      </c>
      <c r="H185" s="523">
        <f>G185*J$7</f>
        <v>9.86</v>
      </c>
      <c r="I185" s="565">
        <f>ROUND(F185*H185,2)</f>
        <v>2.4700000000000002</v>
      </c>
      <c r="J185" s="65"/>
      <c r="K185" s="65"/>
      <c r="L185" s="65"/>
      <c r="M185" s="65"/>
      <c r="N185" s="65"/>
      <c r="O185" s="65"/>
      <c r="P185" s="65"/>
      <c r="Q185" s="65"/>
    </row>
    <row r="186" spans="1:17" s="59" customFormat="1" ht="14.25" x14ac:dyDescent="0.2">
      <c r="A186" s="265" t="s">
        <v>538</v>
      </c>
      <c r="B186" s="375" t="s">
        <v>98</v>
      </c>
      <c r="C186" s="375">
        <v>1214</v>
      </c>
      <c r="D186" s="227" t="s">
        <v>253</v>
      </c>
      <c r="E186" s="374" t="s">
        <v>97</v>
      </c>
      <c r="F186" s="569">
        <v>0.5</v>
      </c>
      <c r="G186" s="523">
        <v>9.86</v>
      </c>
      <c r="H186" s="523">
        <f>G186*J$7</f>
        <v>9.86</v>
      </c>
      <c r="I186" s="565">
        <f>ROUND(F186*H186,2)</f>
        <v>4.93</v>
      </c>
      <c r="J186" s="65"/>
      <c r="K186" s="65"/>
      <c r="L186" s="65"/>
      <c r="M186" s="65"/>
      <c r="N186" s="65"/>
      <c r="O186" s="65"/>
      <c r="P186" s="65"/>
      <c r="Q186" s="65"/>
    </row>
    <row r="187" spans="1:17" s="59" customFormat="1" ht="14.25" x14ac:dyDescent="0.2">
      <c r="A187" s="265" t="s">
        <v>1236</v>
      </c>
      <c r="B187" s="375" t="s">
        <v>98</v>
      </c>
      <c r="C187" s="375">
        <v>6111</v>
      </c>
      <c r="D187" s="227" t="s">
        <v>252</v>
      </c>
      <c r="E187" s="374" t="s">
        <v>97</v>
      </c>
      <c r="F187" s="569">
        <v>0.5</v>
      </c>
      <c r="G187" s="523">
        <v>6.46</v>
      </c>
      <c r="H187" s="523">
        <f>G187*J$7</f>
        <v>6.46</v>
      </c>
      <c r="I187" s="565">
        <f>ROUND(F187*H187,2)</f>
        <v>3.23</v>
      </c>
      <c r="J187" s="65"/>
      <c r="K187" s="65"/>
      <c r="L187" s="65"/>
      <c r="M187" s="65"/>
      <c r="N187" s="65"/>
      <c r="O187" s="65"/>
      <c r="P187" s="65"/>
      <c r="Q187" s="65"/>
    </row>
    <row r="188" spans="1:17" s="59" customFormat="1" ht="14.25" x14ac:dyDescent="0.2">
      <c r="A188" s="265"/>
      <c r="B188" s="375"/>
      <c r="C188" s="375"/>
      <c r="D188" s="227"/>
      <c r="E188" s="374"/>
      <c r="F188" s="569"/>
      <c r="G188" s="523"/>
      <c r="H188" s="523"/>
      <c r="I188" s="565"/>
      <c r="J188" s="65"/>
      <c r="K188" s="65"/>
      <c r="L188" s="65"/>
      <c r="M188" s="65"/>
      <c r="N188" s="65"/>
      <c r="O188" s="65"/>
      <c r="P188" s="65"/>
      <c r="Q188" s="65"/>
    </row>
    <row r="189" spans="1:17" s="59" customFormat="1" ht="45" x14ac:dyDescent="0.2">
      <c r="A189" s="263" t="s">
        <v>521</v>
      </c>
      <c r="B189" s="205" t="s">
        <v>306</v>
      </c>
      <c r="C189" s="557" t="s">
        <v>189</v>
      </c>
      <c r="D189" s="206" t="s">
        <v>642</v>
      </c>
      <c r="E189" s="205" t="s">
        <v>10</v>
      </c>
      <c r="F189" s="315"/>
      <c r="G189" s="316"/>
      <c r="H189" s="316"/>
      <c r="I189" s="560">
        <f>SUM(I190:I193)</f>
        <v>147.09</v>
      </c>
      <c r="J189" s="65"/>
      <c r="K189" s="65"/>
      <c r="L189" s="65"/>
      <c r="M189" s="65"/>
      <c r="N189" s="65"/>
      <c r="O189" s="65"/>
      <c r="P189" s="65"/>
      <c r="Q189" s="65"/>
    </row>
    <row r="190" spans="1:17" s="59" customFormat="1" ht="14.25" x14ac:dyDescent="0.2">
      <c r="A190" s="265" t="s">
        <v>549</v>
      </c>
      <c r="B190" s="375" t="s">
        <v>98</v>
      </c>
      <c r="C190" s="375">
        <v>11125</v>
      </c>
      <c r="D190" s="227" t="s">
        <v>246</v>
      </c>
      <c r="E190" s="374" t="s">
        <v>2</v>
      </c>
      <c r="F190" s="569">
        <v>3</v>
      </c>
      <c r="G190" s="523">
        <v>26.4</v>
      </c>
      <c r="H190" s="523">
        <f>G190*J$7</f>
        <v>26.4</v>
      </c>
      <c r="I190" s="565">
        <f>ROUND(F190*H190,2)</f>
        <v>79.2</v>
      </c>
      <c r="J190" s="65"/>
      <c r="K190" s="65"/>
      <c r="L190" s="65"/>
      <c r="M190" s="65"/>
      <c r="N190" s="65"/>
      <c r="O190" s="65"/>
      <c r="P190" s="65"/>
      <c r="Q190" s="65"/>
    </row>
    <row r="191" spans="1:17" s="59" customFormat="1" ht="14.25" x14ac:dyDescent="0.2">
      <c r="A191" s="265" t="s">
        <v>550</v>
      </c>
      <c r="B191" s="375" t="s">
        <v>98</v>
      </c>
      <c r="C191" s="375">
        <v>585</v>
      </c>
      <c r="D191" s="227" t="s">
        <v>247</v>
      </c>
      <c r="E191" s="374" t="s">
        <v>2</v>
      </c>
      <c r="F191" s="569">
        <v>1.5</v>
      </c>
      <c r="G191" s="523">
        <v>18.04</v>
      </c>
      <c r="H191" s="523">
        <f>G191*J$7</f>
        <v>18.04</v>
      </c>
      <c r="I191" s="565">
        <f>ROUND(F191*H191,2)</f>
        <v>27.06</v>
      </c>
      <c r="J191" s="65"/>
      <c r="K191" s="65"/>
      <c r="L191" s="65"/>
      <c r="M191" s="65"/>
      <c r="N191" s="65"/>
      <c r="O191" s="65"/>
      <c r="P191" s="65"/>
      <c r="Q191" s="65"/>
    </row>
    <row r="192" spans="1:17" s="59" customFormat="1" ht="14.25" x14ac:dyDescent="0.2">
      <c r="A192" s="265" t="s">
        <v>551</v>
      </c>
      <c r="B192" s="375" t="s">
        <v>98</v>
      </c>
      <c r="C192" s="375">
        <v>252</v>
      </c>
      <c r="D192" s="227" t="s">
        <v>248</v>
      </c>
      <c r="E192" s="374" t="s">
        <v>97</v>
      </c>
      <c r="F192" s="569">
        <v>3</v>
      </c>
      <c r="G192" s="523">
        <v>8.68</v>
      </c>
      <c r="H192" s="523">
        <f>G192*J$7</f>
        <v>8.68</v>
      </c>
      <c r="I192" s="565">
        <f>ROUND(F192*H192,2)</f>
        <v>26.04</v>
      </c>
      <c r="J192" s="65"/>
      <c r="K192" s="65"/>
      <c r="L192" s="65"/>
      <c r="M192" s="65"/>
      <c r="N192" s="65"/>
      <c r="O192" s="65"/>
      <c r="P192" s="65"/>
      <c r="Q192" s="65"/>
    </row>
    <row r="193" spans="1:17" s="59" customFormat="1" ht="14.25" x14ac:dyDescent="0.2">
      <c r="A193" s="265" t="s">
        <v>552</v>
      </c>
      <c r="B193" s="375" t="s">
        <v>98</v>
      </c>
      <c r="C193" s="375">
        <v>6110</v>
      </c>
      <c r="D193" s="227" t="s">
        <v>249</v>
      </c>
      <c r="E193" s="374" t="s">
        <v>97</v>
      </c>
      <c r="F193" s="569">
        <v>1.5</v>
      </c>
      <c r="G193" s="523">
        <v>9.86</v>
      </c>
      <c r="H193" s="523">
        <f>G193*J$7</f>
        <v>9.86</v>
      </c>
      <c r="I193" s="565">
        <f>ROUND(F193*H193,2)</f>
        <v>14.79</v>
      </c>
      <c r="J193" s="65"/>
      <c r="K193" s="65"/>
      <c r="L193" s="65"/>
      <c r="M193" s="65"/>
      <c r="N193" s="65"/>
      <c r="O193" s="65"/>
      <c r="P193" s="65"/>
      <c r="Q193" s="65"/>
    </row>
    <row r="194" spans="1:17" s="59" customFormat="1" ht="14.25" x14ac:dyDescent="0.2">
      <c r="A194" s="265"/>
      <c r="B194" s="375"/>
      <c r="C194" s="375"/>
      <c r="D194" s="227"/>
      <c r="E194" s="374"/>
      <c r="F194" s="569"/>
      <c r="G194" s="523"/>
      <c r="H194" s="523"/>
      <c r="I194" s="565"/>
      <c r="J194" s="65"/>
      <c r="K194" s="65"/>
      <c r="L194" s="65"/>
      <c r="M194" s="65"/>
      <c r="N194" s="65"/>
      <c r="O194" s="65"/>
      <c r="P194" s="65"/>
      <c r="Q194" s="65"/>
    </row>
    <row r="195" spans="1:17" s="59" customFormat="1" ht="45" x14ac:dyDescent="0.2">
      <c r="A195" s="263" t="s">
        <v>522</v>
      </c>
      <c r="B195" s="205" t="s">
        <v>306</v>
      </c>
      <c r="C195" s="557" t="s">
        <v>190</v>
      </c>
      <c r="D195" s="206" t="s">
        <v>641</v>
      </c>
      <c r="E195" s="205" t="s">
        <v>10</v>
      </c>
      <c r="F195" s="315"/>
      <c r="G195" s="316"/>
      <c r="H195" s="316"/>
      <c r="I195" s="560">
        <f>SUM(I196:I199)</f>
        <v>248.92000000000002</v>
      </c>
      <c r="J195" s="65"/>
      <c r="K195" s="65"/>
      <c r="L195" s="65"/>
      <c r="M195" s="65"/>
      <c r="N195" s="65"/>
      <c r="O195" s="65"/>
      <c r="P195" s="65"/>
      <c r="Q195" s="65"/>
    </row>
    <row r="196" spans="1:17" s="59" customFormat="1" ht="14.25" x14ac:dyDescent="0.2">
      <c r="A196" s="265" t="s">
        <v>553</v>
      </c>
      <c r="B196" s="375" t="s">
        <v>98</v>
      </c>
      <c r="C196" s="375">
        <v>11125</v>
      </c>
      <c r="D196" s="227" t="s">
        <v>246</v>
      </c>
      <c r="E196" s="374" t="s">
        <v>2</v>
      </c>
      <c r="F196" s="569">
        <v>6</v>
      </c>
      <c r="G196" s="523">
        <v>26.4</v>
      </c>
      <c r="H196" s="523">
        <f>G196*J$7</f>
        <v>26.4</v>
      </c>
      <c r="I196" s="565">
        <f>ROUND(F196*H196,2)</f>
        <v>158.4</v>
      </c>
      <c r="J196" s="65"/>
      <c r="K196" s="65"/>
      <c r="L196" s="65"/>
      <c r="M196" s="65"/>
      <c r="N196" s="65"/>
      <c r="O196" s="65"/>
      <c r="P196" s="65"/>
      <c r="Q196" s="65"/>
    </row>
    <row r="197" spans="1:17" s="59" customFormat="1" ht="14.25" x14ac:dyDescent="0.2">
      <c r="A197" s="265" t="s">
        <v>554</v>
      </c>
      <c r="B197" s="375" t="s">
        <v>98</v>
      </c>
      <c r="C197" s="375">
        <v>585</v>
      </c>
      <c r="D197" s="227" t="s">
        <v>247</v>
      </c>
      <c r="E197" s="374" t="s">
        <v>2</v>
      </c>
      <c r="F197" s="569">
        <v>2</v>
      </c>
      <c r="G197" s="523">
        <v>18.04</v>
      </c>
      <c r="H197" s="523">
        <f>G197*J$7</f>
        <v>18.04</v>
      </c>
      <c r="I197" s="565">
        <f>ROUND(F197*H197,2)</f>
        <v>36.08</v>
      </c>
      <c r="J197" s="65"/>
      <c r="K197" s="65"/>
      <c r="L197" s="65"/>
      <c r="M197" s="65"/>
      <c r="N197" s="65"/>
      <c r="O197" s="65"/>
      <c r="P197" s="65"/>
      <c r="Q197" s="65"/>
    </row>
    <row r="198" spans="1:17" s="59" customFormat="1" ht="14.25" x14ac:dyDescent="0.2">
      <c r="A198" s="265" t="s">
        <v>555</v>
      </c>
      <c r="B198" s="375" t="s">
        <v>98</v>
      </c>
      <c r="C198" s="375">
        <v>252</v>
      </c>
      <c r="D198" s="227" t="s">
        <v>248</v>
      </c>
      <c r="E198" s="374" t="s">
        <v>97</v>
      </c>
      <c r="F198" s="569">
        <v>4</v>
      </c>
      <c r="G198" s="523">
        <v>8.68</v>
      </c>
      <c r="H198" s="523">
        <f>G198*J$7</f>
        <v>8.68</v>
      </c>
      <c r="I198" s="565">
        <f>ROUND(F198*H198,2)</f>
        <v>34.72</v>
      </c>
      <c r="J198" s="65"/>
      <c r="K198" s="65"/>
      <c r="L198" s="65"/>
      <c r="M198" s="65"/>
      <c r="N198" s="65"/>
      <c r="O198" s="65"/>
      <c r="P198" s="65"/>
      <c r="Q198" s="65"/>
    </row>
    <row r="199" spans="1:17" s="59" customFormat="1" ht="14.25" x14ac:dyDescent="0.2">
      <c r="A199" s="265" t="s">
        <v>1237</v>
      </c>
      <c r="B199" s="375" t="s">
        <v>98</v>
      </c>
      <c r="C199" s="375">
        <v>6110</v>
      </c>
      <c r="D199" s="227" t="s">
        <v>249</v>
      </c>
      <c r="E199" s="374" t="s">
        <v>97</v>
      </c>
      <c r="F199" s="569">
        <v>2</v>
      </c>
      <c r="G199" s="523">
        <v>9.86</v>
      </c>
      <c r="H199" s="523">
        <f>G199*J$7</f>
        <v>9.86</v>
      </c>
      <c r="I199" s="565">
        <f>ROUND(F199*H199,2)</f>
        <v>19.72</v>
      </c>
      <c r="J199" s="65"/>
      <c r="K199" s="65"/>
      <c r="L199" s="65"/>
      <c r="M199" s="65"/>
      <c r="N199" s="65"/>
      <c r="O199" s="65"/>
      <c r="P199" s="65"/>
      <c r="Q199" s="65"/>
    </row>
    <row r="200" spans="1:17" s="59" customFormat="1" ht="14.25" customHeight="1" x14ac:dyDescent="0.2">
      <c r="A200" s="566"/>
      <c r="B200" s="567"/>
      <c r="C200" s="567"/>
      <c r="D200" s="567"/>
      <c r="E200" s="567"/>
      <c r="F200" s="567"/>
      <c r="G200" s="567"/>
      <c r="H200" s="567"/>
      <c r="I200" s="568"/>
      <c r="J200" s="65"/>
      <c r="K200" s="65"/>
      <c r="L200" s="65"/>
      <c r="M200" s="65"/>
      <c r="N200" s="65"/>
      <c r="O200" s="65"/>
      <c r="P200" s="65"/>
      <c r="Q200" s="65"/>
    </row>
    <row r="201" spans="1:17" s="59" customFormat="1" ht="15" customHeight="1" x14ac:dyDescent="0.2">
      <c r="A201" s="263" t="s">
        <v>1239</v>
      </c>
      <c r="B201" s="205" t="s">
        <v>306</v>
      </c>
      <c r="C201" s="557" t="s">
        <v>462</v>
      </c>
      <c r="D201" s="206" t="str">
        <f>[1]ORÇAMENTO!D296</f>
        <v>FORNECIMENTO DO MATERIAL HIDRÁULICO DO UASB</v>
      </c>
      <c r="E201" s="205" t="s">
        <v>10</v>
      </c>
      <c r="F201" s="315"/>
      <c r="G201" s="316"/>
      <c r="H201" s="316"/>
      <c r="I201" s="560">
        <f>SUM(I202:I240)</f>
        <v>31928.74</v>
      </c>
      <c r="J201" s="65"/>
      <c r="K201" s="65"/>
      <c r="L201" s="65"/>
      <c r="M201" s="65"/>
      <c r="N201" s="65"/>
      <c r="O201" s="65"/>
      <c r="P201" s="65"/>
      <c r="Q201" s="65"/>
    </row>
    <row r="202" spans="1:17" s="248" customFormat="1" ht="14.25" customHeight="1" x14ac:dyDescent="0.2">
      <c r="A202" s="268" t="s">
        <v>1242</v>
      </c>
      <c r="B202" s="375" t="s">
        <v>9</v>
      </c>
      <c r="C202" s="385"/>
      <c r="D202" s="572" t="s">
        <v>894</v>
      </c>
      <c r="E202" s="375" t="s">
        <v>10</v>
      </c>
      <c r="F202" s="376">
        <v>18</v>
      </c>
      <c r="G202" s="277">
        <v>209</v>
      </c>
      <c r="H202" s="376">
        <f t="shared" ref="H202:H245" si="15">ROUND((1+K$3)*G202,2)</f>
        <v>209</v>
      </c>
      <c r="I202" s="271">
        <f t="shared" ref="I202:I240" si="16">ROUND(F202*H202,2)</f>
        <v>3762</v>
      </c>
      <c r="J202" s="247"/>
      <c r="K202" s="247"/>
      <c r="L202" s="247"/>
      <c r="M202" s="247"/>
      <c r="N202" s="247"/>
      <c r="O202" s="247"/>
      <c r="P202" s="247"/>
      <c r="Q202" s="247"/>
    </row>
    <row r="203" spans="1:17" s="135" customFormat="1" ht="14.25" customHeight="1" x14ac:dyDescent="0.2">
      <c r="A203" s="268" t="s">
        <v>1243</v>
      </c>
      <c r="B203" s="374" t="s">
        <v>9</v>
      </c>
      <c r="C203" s="570"/>
      <c r="D203" s="571" t="s">
        <v>967</v>
      </c>
      <c r="E203" s="375" t="s">
        <v>10</v>
      </c>
      <c r="F203" s="376">
        <v>4</v>
      </c>
      <c r="G203" s="277">
        <v>246.41</v>
      </c>
      <c r="H203" s="376">
        <f t="shared" si="15"/>
        <v>246.41</v>
      </c>
      <c r="I203" s="271">
        <f t="shared" si="16"/>
        <v>985.64</v>
      </c>
      <c r="J203" s="134"/>
      <c r="K203" s="134"/>
      <c r="L203" s="134"/>
      <c r="M203" s="134"/>
      <c r="N203" s="134"/>
      <c r="O203" s="134"/>
      <c r="P203" s="134"/>
      <c r="Q203" s="134"/>
    </row>
    <row r="204" spans="1:17" s="135" customFormat="1" ht="14.25" customHeight="1" x14ac:dyDescent="0.2">
      <c r="A204" s="268" t="s">
        <v>1244</v>
      </c>
      <c r="B204" s="374" t="s">
        <v>9</v>
      </c>
      <c r="C204" s="570"/>
      <c r="D204" s="571" t="s">
        <v>895</v>
      </c>
      <c r="E204" s="375" t="s">
        <v>10</v>
      </c>
      <c r="F204" s="376">
        <v>4</v>
      </c>
      <c r="G204" s="277">
        <v>45</v>
      </c>
      <c r="H204" s="376">
        <f t="shared" si="15"/>
        <v>45</v>
      </c>
      <c r="I204" s="271">
        <f t="shared" si="16"/>
        <v>180</v>
      </c>
      <c r="J204" s="134"/>
      <c r="K204" s="134"/>
      <c r="L204" s="134"/>
      <c r="M204" s="134"/>
      <c r="N204" s="134"/>
      <c r="O204" s="134"/>
      <c r="P204" s="134"/>
      <c r="Q204" s="134"/>
    </row>
    <row r="205" spans="1:17" s="135" customFormat="1" ht="14.25" customHeight="1" x14ac:dyDescent="0.2">
      <c r="A205" s="268" t="s">
        <v>1245</v>
      </c>
      <c r="B205" s="374" t="s">
        <v>9</v>
      </c>
      <c r="C205" s="570"/>
      <c r="D205" s="571" t="s">
        <v>896</v>
      </c>
      <c r="E205" s="375" t="s">
        <v>10</v>
      </c>
      <c r="F205" s="376">
        <v>4</v>
      </c>
      <c r="G205" s="277">
        <v>127.74</v>
      </c>
      <c r="H205" s="376">
        <f t="shared" si="15"/>
        <v>127.74</v>
      </c>
      <c r="I205" s="271">
        <f t="shared" si="16"/>
        <v>510.96</v>
      </c>
      <c r="J205" s="134"/>
      <c r="K205" s="134"/>
      <c r="L205" s="134"/>
      <c r="M205" s="134"/>
      <c r="N205" s="134"/>
      <c r="O205" s="134"/>
      <c r="P205" s="134"/>
      <c r="Q205" s="134"/>
    </row>
    <row r="206" spans="1:17" s="135" customFormat="1" ht="14.25" customHeight="1" x14ac:dyDescent="0.2">
      <c r="A206" s="268" t="s">
        <v>1246</v>
      </c>
      <c r="B206" s="374" t="s">
        <v>9</v>
      </c>
      <c r="C206" s="570"/>
      <c r="D206" s="571" t="s">
        <v>897</v>
      </c>
      <c r="E206" s="375" t="s">
        <v>10</v>
      </c>
      <c r="F206" s="376">
        <v>4</v>
      </c>
      <c r="G206" s="277">
        <v>424.87</v>
      </c>
      <c r="H206" s="376">
        <f t="shared" si="15"/>
        <v>424.87</v>
      </c>
      <c r="I206" s="271">
        <f t="shared" si="16"/>
        <v>1699.48</v>
      </c>
      <c r="J206" s="134"/>
      <c r="K206" s="134"/>
      <c r="L206" s="134"/>
      <c r="M206" s="134"/>
      <c r="N206" s="134"/>
      <c r="O206" s="134"/>
      <c r="P206" s="134"/>
      <c r="Q206" s="134"/>
    </row>
    <row r="207" spans="1:17" s="135" customFormat="1" ht="14.25" customHeight="1" x14ac:dyDescent="0.2">
      <c r="A207" s="268" t="s">
        <v>1247</v>
      </c>
      <c r="B207" s="375" t="s">
        <v>9</v>
      </c>
      <c r="C207" s="573"/>
      <c r="D207" s="572" t="s">
        <v>898</v>
      </c>
      <c r="E207" s="375" t="s">
        <v>10</v>
      </c>
      <c r="F207" s="376">
        <v>4</v>
      </c>
      <c r="G207" s="277">
        <v>363.35</v>
      </c>
      <c r="H207" s="376">
        <f t="shared" si="15"/>
        <v>363.35</v>
      </c>
      <c r="I207" s="271">
        <f t="shared" si="16"/>
        <v>1453.4</v>
      </c>
      <c r="J207" s="134"/>
      <c r="K207" s="134"/>
      <c r="L207" s="134"/>
      <c r="M207" s="134"/>
      <c r="N207" s="134"/>
      <c r="O207" s="134"/>
      <c r="P207" s="134"/>
      <c r="Q207" s="134"/>
    </row>
    <row r="208" spans="1:17" s="135" customFormat="1" ht="14.25" customHeight="1" x14ac:dyDescent="0.2">
      <c r="A208" s="268" t="s">
        <v>1248</v>
      </c>
      <c r="B208" s="374" t="s">
        <v>9</v>
      </c>
      <c r="C208" s="570"/>
      <c r="D208" s="571" t="s">
        <v>899</v>
      </c>
      <c r="E208" s="543" t="s">
        <v>10</v>
      </c>
      <c r="F208" s="376">
        <v>1</v>
      </c>
      <c r="G208" s="277">
        <v>88</v>
      </c>
      <c r="H208" s="376">
        <f t="shared" si="15"/>
        <v>88</v>
      </c>
      <c r="I208" s="271">
        <f t="shared" si="16"/>
        <v>88</v>
      </c>
      <c r="J208" s="134"/>
      <c r="K208" s="134"/>
      <c r="L208" s="134"/>
      <c r="M208" s="134"/>
      <c r="N208" s="134"/>
      <c r="O208" s="134"/>
      <c r="P208" s="134"/>
      <c r="Q208" s="134"/>
    </row>
    <row r="209" spans="1:17" s="135" customFormat="1" ht="14.25" customHeight="1" x14ac:dyDescent="0.2">
      <c r="A209" s="268" t="s">
        <v>1249</v>
      </c>
      <c r="B209" s="543" t="s">
        <v>9</v>
      </c>
      <c r="C209" s="543"/>
      <c r="D209" s="379" t="s">
        <v>1586</v>
      </c>
      <c r="E209" s="543" t="s">
        <v>107</v>
      </c>
      <c r="F209" s="376">
        <f>3*2.36</f>
        <v>7.08</v>
      </c>
      <c r="G209" s="277">
        <v>127.74</v>
      </c>
      <c r="H209" s="376">
        <f t="shared" si="15"/>
        <v>127.74</v>
      </c>
      <c r="I209" s="271">
        <f t="shared" si="16"/>
        <v>904.4</v>
      </c>
      <c r="J209" s="134"/>
      <c r="K209" s="134"/>
      <c r="L209" s="134"/>
      <c r="M209" s="134"/>
      <c r="N209" s="134"/>
      <c r="O209" s="134"/>
      <c r="P209" s="134"/>
      <c r="Q209" s="134"/>
    </row>
    <row r="210" spans="1:17" s="248" customFormat="1" ht="14.25" customHeight="1" x14ac:dyDescent="0.2">
      <c r="A210" s="268" t="s">
        <v>1238</v>
      </c>
      <c r="B210" s="375" t="s">
        <v>9</v>
      </c>
      <c r="C210" s="375"/>
      <c r="D210" s="572" t="s">
        <v>1585</v>
      </c>
      <c r="E210" s="375" t="s">
        <v>107</v>
      </c>
      <c r="F210" s="376">
        <v>6.7</v>
      </c>
      <c r="G210" s="277">
        <v>202.1</v>
      </c>
      <c r="H210" s="376">
        <f>ROUND((1+K$3)*G210,2)</f>
        <v>202.1</v>
      </c>
      <c r="I210" s="271">
        <f>ROUND(F210*H210,2)</f>
        <v>1354.07</v>
      </c>
      <c r="J210" s="247"/>
      <c r="K210" s="247"/>
      <c r="L210" s="247"/>
      <c r="M210" s="247"/>
      <c r="N210" s="247"/>
      <c r="O210" s="247"/>
      <c r="P210" s="247"/>
      <c r="Q210" s="247"/>
    </row>
    <row r="211" spans="1:17" s="248" customFormat="1" ht="14.25" customHeight="1" x14ac:dyDescent="0.2">
      <c r="A211" s="268" t="s">
        <v>1240</v>
      </c>
      <c r="B211" s="375" t="s">
        <v>9</v>
      </c>
      <c r="C211" s="385"/>
      <c r="D211" s="572" t="s">
        <v>1584</v>
      </c>
      <c r="E211" s="375" t="s">
        <v>107</v>
      </c>
      <c r="F211" s="376">
        <v>4.4000000000000004</v>
      </c>
      <c r="G211" s="277">
        <v>202.1</v>
      </c>
      <c r="H211" s="376">
        <f>ROUND((1+K$3)*G211,2)</f>
        <v>202.1</v>
      </c>
      <c r="I211" s="271">
        <f>ROUND(F211*H211,2)</f>
        <v>889.24</v>
      </c>
      <c r="J211" s="247"/>
      <c r="K211" s="247"/>
      <c r="L211" s="247"/>
      <c r="M211" s="247"/>
      <c r="N211" s="247"/>
      <c r="O211" s="247"/>
      <c r="P211" s="247"/>
      <c r="Q211" s="247"/>
    </row>
    <row r="212" spans="1:17" s="248" customFormat="1" ht="14.25" customHeight="1" x14ac:dyDescent="0.2">
      <c r="A212" s="268" t="s">
        <v>1241</v>
      </c>
      <c r="B212" s="375" t="s">
        <v>9</v>
      </c>
      <c r="C212" s="375"/>
      <c r="D212" s="572" t="s">
        <v>1583</v>
      </c>
      <c r="E212" s="375" t="s">
        <v>107</v>
      </c>
      <c r="F212" s="376">
        <f>4*2.3</f>
        <v>9.1999999999999993</v>
      </c>
      <c r="G212" s="277">
        <v>247.31</v>
      </c>
      <c r="H212" s="376">
        <f>ROUND((1+K$3)*G212,2)</f>
        <v>247.31</v>
      </c>
      <c r="I212" s="271">
        <f>ROUND(F212*H212,2)</f>
        <v>2275.25</v>
      </c>
      <c r="J212" s="247"/>
      <c r="K212" s="247"/>
      <c r="L212" s="247"/>
      <c r="M212" s="247"/>
      <c r="N212" s="247"/>
      <c r="O212" s="247"/>
      <c r="P212" s="247"/>
      <c r="Q212" s="247"/>
    </row>
    <row r="213" spans="1:17" s="59" customFormat="1" ht="14.25" x14ac:dyDescent="0.2">
      <c r="A213" s="268" t="s">
        <v>1250</v>
      </c>
      <c r="B213" s="543" t="s">
        <v>9</v>
      </c>
      <c r="C213" s="570"/>
      <c r="D213" s="571" t="s">
        <v>900</v>
      </c>
      <c r="E213" s="543" t="s">
        <v>10</v>
      </c>
      <c r="F213" s="376">
        <v>1</v>
      </c>
      <c r="G213" s="277">
        <v>154</v>
      </c>
      <c r="H213" s="376">
        <f t="shared" si="15"/>
        <v>154</v>
      </c>
      <c r="I213" s="271">
        <f t="shared" si="16"/>
        <v>154</v>
      </c>
      <c r="J213" s="65"/>
      <c r="K213" s="65"/>
      <c r="L213" s="65"/>
      <c r="M213" s="65"/>
      <c r="N213" s="65"/>
      <c r="O213" s="65"/>
      <c r="P213" s="65"/>
      <c r="Q213" s="65"/>
    </row>
    <row r="214" spans="1:17" s="59" customFormat="1" ht="14.25" customHeight="1" x14ac:dyDescent="0.2">
      <c r="A214" s="268" t="s">
        <v>1251</v>
      </c>
      <c r="B214" s="543" t="s">
        <v>9</v>
      </c>
      <c r="C214" s="570"/>
      <c r="D214" s="571" t="s">
        <v>901</v>
      </c>
      <c r="E214" s="543" t="s">
        <v>107</v>
      </c>
      <c r="F214" s="376">
        <v>123</v>
      </c>
      <c r="G214" s="277">
        <v>11.29</v>
      </c>
      <c r="H214" s="376">
        <f t="shared" si="15"/>
        <v>11.29</v>
      </c>
      <c r="I214" s="271">
        <f t="shared" si="16"/>
        <v>1388.67</v>
      </c>
      <c r="J214" s="65"/>
      <c r="K214" s="65"/>
      <c r="L214" s="65"/>
      <c r="M214" s="65"/>
      <c r="N214" s="65"/>
      <c r="O214" s="65"/>
      <c r="P214" s="65"/>
      <c r="Q214" s="65"/>
    </row>
    <row r="215" spans="1:17" s="59" customFormat="1" ht="14.25" customHeight="1" x14ac:dyDescent="0.2">
      <c r="A215" s="268" t="s">
        <v>1252</v>
      </c>
      <c r="B215" s="374" t="s">
        <v>9</v>
      </c>
      <c r="C215" s="570"/>
      <c r="D215" s="571" t="s">
        <v>902</v>
      </c>
      <c r="E215" s="543" t="s">
        <v>107</v>
      </c>
      <c r="F215" s="376">
        <v>46.4</v>
      </c>
      <c r="G215" s="277">
        <v>87.86</v>
      </c>
      <c r="H215" s="376">
        <f t="shared" si="15"/>
        <v>87.86</v>
      </c>
      <c r="I215" s="271">
        <f t="shared" si="16"/>
        <v>4076.7</v>
      </c>
      <c r="J215" s="65"/>
      <c r="K215" s="65"/>
      <c r="L215" s="65"/>
      <c r="M215" s="65"/>
      <c r="N215" s="65"/>
      <c r="O215" s="65"/>
      <c r="P215" s="65"/>
      <c r="Q215" s="65"/>
    </row>
    <row r="216" spans="1:17" s="59" customFormat="1" ht="14.25" customHeight="1" x14ac:dyDescent="0.2">
      <c r="A216" s="268" t="s">
        <v>1253</v>
      </c>
      <c r="B216" s="374" t="s">
        <v>9</v>
      </c>
      <c r="C216" s="570"/>
      <c r="D216" s="571" t="s">
        <v>968</v>
      </c>
      <c r="E216" s="543" t="s">
        <v>10</v>
      </c>
      <c r="F216" s="376">
        <v>8</v>
      </c>
      <c r="G216" s="277">
        <v>165.45</v>
      </c>
      <c r="H216" s="376">
        <f t="shared" si="15"/>
        <v>165.45</v>
      </c>
      <c r="I216" s="271">
        <f t="shared" si="16"/>
        <v>1323.6</v>
      </c>
      <c r="J216" s="65"/>
      <c r="K216" s="65"/>
      <c r="L216" s="65"/>
      <c r="M216" s="65"/>
      <c r="N216" s="65"/>
      <c r="O216" s="65"/>
      <c r="P216" s="65"/>
      <c r="Q216" s="65"/>
    </row>
    <row r="217" spans="1:17" s="248" customFormat="1" ht="14.25" customHeight="1" x14ac:dyDescent="0.2">
      <c r="A217" s="268" t="s">
        <v>1254</v>
      </c>
      <c r="B217" s="375" t="s">
        <v>9</v>
      </c>
      <c r="C217" s="375"/>
      <c r="D217" s="572" t="s">
        <v>903</v>
      </c>
      <c r="E217" s="375" t="s">
        <v>10</v>
      </c>
      <c r="F217" s="376">
        <v>12</v>
      </c>
      <c r="G217" s="277">
        <v>25.14</v>
      </c>
      <c r="H217" s="376">
        <f t="shared" si="15"/>
        <v>25.14</v>
      </c>
      <c r="I217" s="271">
        <f t="shared" si="16"/>
        <v>301.68</v>
      </c>
      <c r="J217" s="247"/>
      <c r="K217" s="247"/>
      <c r="L217" s="247"/>
      <c r="M217" s="247"/>
      <c r="N217" s="247"/>
      <c r="O217" s="247"/>
      <c r="P217" s="247"/>
      <c r="Q217" s="247"/>
    </row>
    <row r="218" spans="1:17" s="248" customFormat="1" ht="14.25" customHeight="1" x14ac:dyDescent="0.2">
      <c r="A218" s="268" t="s">
        <v>1255</v>
      </c>
      <c r="B218" s="375" t="s">
        <v>9</v>
      </c>
      <c r="C218" s="375"/>
      <c r="D218" s="572" t="s">
        <v>904</v>
      </c>
      <c r="E218" s="375" t="s">
        <v>10</v>
      </c>
      <c r="F218" s="376">
        <v>6</v>
      </c>
      <c r="G218" s="277">
        <v>221.81</v>
      </c>
      <c r="H218" s="376">
        <f t="shared" si="15"/>
        <v>221.81</v>
      </c>
      <c r="I218" s="271">
        <f t="shared" si="16"/>
        <v>1330.86</v>
      </c>
      <c r="J218" s="247"/>
      <c r="K218" s="247"/>
      <c r="L218" s="247"/>
      <c r="M218" s="247"/>
      <c r="N218" s="247"/>
      <c r="O218" s="247"/>
      <c r="P218" s="247"/>
      <c r="Q218" s="247"/>
    </row>
    <row r="219" spans="1:17" s="248" customFormat="1" ht="14.25" customHeight="1" x14ac:dyDescent="0.2">
      <c r="A219" s="268" t="s">
        <v>1256</v>
      </c>
      <c r="B219" s="375" t="s">
        <v>9</v>
      </c>
      <c r="C219" s="375"/>
      <c r="D219" s="572" t="s">
        <v>905</v>
      </c>
      <c r="E219" s="375" t="s">
        <v>107</v>
      </c>
      <c r="F219" s="376">
        <v>12</v>
      </c>
      <c r="G219" s="277">
        <v>15.54</v>
      </c>
      <c r="H219" s="376">
        <f t="shared" si="15"/>
        <v>15.54</v>
      </c>
      <c r="I219" s="271">
        <f t="shared" si="16"/>
        <v>186.48</v>
      </c>
      <c r="J219" s="247"/>
      <c r="K219" s="247"/>
      <c r="L219" s="247"/>
      <c r="M219" s="247"/>
      <c r="N219" s="247"/>
      <c r="O219" s="247"/>
      <c r="P219" s="247"/>
      <c r="Q219" s="247"/>
    </row>
    <row r="220" spans="1:17" s="248" customFormat="1" ht="14.25" customHeight="1" x14ac:dyDescent="0.2">
      <c r="A220" s="268" t="s">
        <v>1257</v>
      </c>
      <c r="B220" s="375" t="s">
        <v>9</v>
      </c>
      <c r="C220" s="385"/>
      <c r="D220" s="572" t="s">
        <v>906</v>
      </c>
      <c r="E220" s="375" t="s">
        <v>10</v>
      </c>
      <c r="F220" s="376">
        <v>12</v>
      </c>
      <c r="G220" s="277">
        <v>17.96</v>
      </c>
      <c r="H220" s="376">
        <f t="shared" si="15"/>
        <v>17.96</v>
      </c>
      <c r="I220" s="271">
        <f t="shared" si="16"/>
        <v>215.52</v>
      </c>
      <c r="J220" s="247"/>
      <c r="K220" s="247"/>
      <c r="L220" s="247"/>
      <c r="M220" s="247"/>
      <c r="N220" s="247"/>
      <c r="O220" s="247"/>
      <c r="P220" s="247"/>
      <c r="Q220" s="247"/>
    </row>
    <row r="221" spans="1:17" s="248" customFormat="1" ht="14.25" customHeight="1" x14ac:dyDescent="0.2">
      <c r="A221" s="268" t="s">
        <v>1258</v>
      </c>
      <c r="B221" s="375" t="s">
        <v>9</v>
      </c>
      <c r="C221" s="375"/>
      <c r="D221" s="572" t="s">
        <v>907</v>
      </c>
      <c r="E221" s="375" t="s">
        <v>10</v>
      </c>
      <c r="F221" s="376">
        <v>6</v>
      </c>
      <c r="G221" s="277">
        <v>6.79</v>
      </c>
      <c r="H221" s="376">
        <f t="shared" si="15"/>
        <v>6.79</v>
      </c>
      <c r="I221" s="271">
        <f t="shared" si="16"/>
        <v>40.74</v>
      </c>
      <c r="J221" s="247"/>
      <c r="K221" s="247"/>
      <c r="L221" s="247"/>
      <c r="M221" s="247"/>
      <c r="N221" s="247"/>
      <c r="O221" s="247"/>
      <c r="P221" s="247"/>
      <c r="Q221" s="247"/>
    </row>
    <row r="222" spans="1:17" s="248" customFormat="1" ht="14.25" customHeight="1" x14ac:dyDescent="0.2">
      <c r="A222" s="268" t="s">
        <v>1259</v>
      </c>
      <c r="B222" s="375" t="s">
        <v>9</v>
      </c>
      <c r="C222" s="385"/>
      <c r="D222" s="572" t="s">
        <v>908</v>
      </c>
      <c r="E222" s="375" t="s">
        <v>10</v>
      </c>
      <c r="F222" s="376">
        <v>12</v>
      </c>
      <c r="G222" s="277">
        <v>13.18</v>
      </c>
      <c r="H222" s="376">
        <f t="shared" si="15"/>
        <v>13.18</v>
      </c>
      <c r="I222" s="271">
        <f t="shared" si="16"/>
        <v>158.16</v>
      </c>
      <c r="J222" s="247"/>
      <c r="K222" s="247"/>
      <c r="L222" s="247"/>
      <c r="M222" s="247"/>
      <c r="N222" s="247"/>
      <c r="O222" s="247"/>
      <c r="P222" s="247"/>
      <c r="Q222" s="247"/>
    </row>
    <row r="223" spans="1:17" s="248" customFormat="1" ht="14.25" customHeight="1" x14ac:dyDescent="0.2">
      <c r="A223" s="268" t="s">
        <v>1260</v>
      </c>
      <c r="B223" s="375" t="s">
        <v>9</v>
      </c>
      <c r="C223" s="375"/>
      <c r="D223" s="572" t="s">
        <v>909</v>
      </c>
      <c r="E223" s="375" t="s">
        <v>10</v>
      </c>
      <c r="F223" s="376">
        <v>3</v>
      </c>
      <c r="G223" s="277">
        <v>32.08</v>
      </c>
      <c r="H223" s="376">
        <f t="shared" si="15"/>
        <v>32.08</v>
      </c>
      <c r="I223" s="271">
        <f t="shared" si="16"/>
        <v>96.24</v>
      </c>
      <c r="J223" s="247"/>
      <c r="K223" s="247"/>
      <c r="L223" s="247"/>
      <c r="M223" s="247"/>
      <c r="N223" s="247"/>
      <c r="O223" s="247"/>
      <c r="P223" s="247"/>
      <c r="Q223" s="247"/>
    </row>
    <row r="224" spans="1:17" s="248" customFormat="1" ht="14.25" customHeight="1" x14ac:dyDescent="0.2">
      <c r="A224" s="268" t="s">
        <v>1261</v>
      </c>
      <c r="B224" s="375" t="s">
        <v>9</v>
      </c>
      <c r="C224" s="385"/>
      <c r="D224" s="572" t="s">
        <v>910</v>
      </c>
      <c r="E224" s="375" t="s">
        <v>10</v>
      </c>
      <c r="F224" s="376">
        <v>3</v>
      </c>
      <c r="G224" s="277">
        <v>10.49</v>
      </c>
      <c r="H224" s="376">
        <f t="shared" si="15"/>
        <v>10.49</v>
      </c>
      <c r="I224" s="271">
        <f t="shared" si="16"/>
        <v>31.47</v>
      </c>
      <c r="J224" s="247"/>
      <c r="K224" s="247"/>
      <c r="L224" s="247"/>
      <c r="M224" s="247"/>
      <c r="N224" s="247"/>
      <c r="O224" s="247"/>
      <c r="P224" s="247"/>
      <c r="Q224" s="247"/>
    </row>
    <row r="225" spans="1:17" s="248" customFormat="1" ht="14.25" customHeight="1" x14ac:dyDescent="0.2">
      <c r="A225" s="268" t="s">
        <v>1262</v>
      </c>
      <c r="B225" s="375" t="s">
        <v>9</v>
      </c>
      <c r="C225" s="375"/>
      <c r="D225" s="572" t="s">
        <v>911</v>
      </c>
      <c r="E225" s="375" t="s">
        <v>10</v>
      </c>
      <c r="F225" s="376">
        <v>1</v>
      </c>
      <c r="G225" s="277">
        <v>35.9</v>
      </c>
      <c r="H225" s="376">
        <f t="shared" si="15"/>
        <v>35.9</v>
      </c>
      <c r="I225" s="271">
        <f t="shared" si="16"/>
        <v>35.9</v>
      </c>
      <c r="J225" s="247"/>
      <c r="K225" s="247"/>
      <c r="L225" s="247"/>
      <c r="M225" s="247"/>
      <c r="N225" s="247"/>
      <c r="O225" s="247"/>
      <c r="P225" s="247"/>
      <c r="Q225" s="247"/>
    </row>
    <row r="226" spans="1:17" s="248" customFormat="1" ht="14.25" customHeight="1" x14ac:dyDescent="0.2">
      <c r="A226" s="268" t="s">
        <v>1263</v>
      </c>
      <c r="B226" s="375" t="s">
        <v>9</v>
      </c>
      <c r="C226" s="385"/>
      <c r="D226" s="572" t="s">
        <v>912</v>
      </c>
      <c r="E226" s="375" t="s">
        <v>107</v>
      </c>
      <c r="F226" s="376">
        <v>15.4</v>
      </c>
      <c r="G226" s="277">
        <v>16.14</v>
      </c>
      <c r="H226" s="376">
        <f t="shared" si="15"/>
        <v>16.14</v>
      </c>
      <c r="I226" s="271">
        <f t="shared" si="16"/>
        <v>248.56</v>
      </c>
      <c r="J226" s="247"/>
      <c r="K226" s="247"/>
      <c r="L226" s="247"/>
      <c r="M226" s="247"/>
      <c r="N226" s="247"/>
      <c r="O226" s="247"/>
      <c r="P226" s="247"/>
      <c r="Q226" s="247"/>
    </row>
    <row r="227" spans="1:17" s="248" customFormat="1" ht="14.25" customHeight="1" x14ac:dyDescent="0.2">
      <c r="A227" s="268" t="s">
        <v>1264</v>
      </c>
      <c r="B227" s="375" t="s">
        <v>9</v>
      </c>
      <c r="C227" s="375"/>
      <c r="D227" s="572" t="s">
        <v>913</v>
      </c>
      <c r="E227" s="375" t="s">
        <v>10</v>
      </c>
      <c r="F227" s="376">
        <v>8</v>
      </c>
      <c r="G227" s="277">
        <v>118.9</v>
      </c>
      <c r="H227" s="376">
        <f t="shared" si="15"/>
        <v>118.9</v>
      </c>
      <c r="I227" s="271">
        <f t="shared" si="16"/>
        <v>951.2</v>
      </c>
      <c r="J227" s="247"/>
      <c r="K227" s="247"/>
      <c r="L227" s="247"/>
      <c r="M227" s="247"/>
      <c r="N227" s="247"/>
      <c r="O227" s="247"/>
      <c r="P227" s="247"/>
      <c r="Q227" s="247"/>
    </row>
    <row r="228" spans="1:17" s="248" customFormat="1" ht="14.25" customHeight="1" x14ac:dyDescent="0.2">
      <c r="A228" s="268" t="s">
        <v>1265</v>
      </c>
      <c r="B228" s="375" t="s">
        <v>9</v>
      </c>
      <c r="C228" s="385"/>
      <c r="D228" s="572" t="s">
        <v>1587</v>
      </c>
      <c r="E228" s="375" t="s">
        <v>107</v>
      </c>
      <c r="F228" s="376">
        <v>2</v>
      </c>
      <c r="G228" s="277">
        <v>202.1</v>
      </c>
      <c r="H228" s="376">
        <f t="shared" si="15"/>
        <v>202.1</v>
      </c>
      <c r="I228" s="271">
        <f t="shared" si="16"/>
        <v>404.2</v>
      </c>
      <c r="J228" s="247"/>
      <c r="K228" s="247"/>
      <c r="L228" s="247"/>
      <c r="M228" s="247"/>
      <c r="N228" s="247"/>
      <c r="O228" s="247"/>
      <c r="P228" s="247"/>
      <c r="Q228" s="247"/>
    </row>
    <row r="229" spans="1:17" s="248" customFormat="1" ht="14.25" customHeight="1" x14ac:dyDescent="0.2">
      <c r="A229" s="268" t="s">
        <v>1266</v>
      </c>
      <c r="B229" s="375" t="s">
        <v>9</v>
      </c>
      <c r="C229" s="375"/>
      <c r="D229" s="572" t="s">
        <v>1588</v>
      </c>
      <c r="E229" s="375" t="s">
        <v>107</v>
      </c>
      <c r="F229" s="376">
        <v>3.8</v>
      </c>
      <c r="G229" s="277">
        <v>202.1</v>
      </c>
      <c r="H229" s="376">
        <f t="shared" si="15"/>
        <v>202.1</v>
      </c>
      <c r="I229" s="271">
        <f t="shared" si="16"/>
        <v>767.98</v>
      </c>
      <c r="J229" s="247"/>
      <c r="K229" s="247"/>
      <c r="L229" s="247"/>
      <c r="M229" s="247"/>
      <c r="N229" s="247"/>
      <c r="O229" s="247"/>
      <c r="P229" s="247"/>
      <c r="Q229" s="247"/>
    </row>
    <row r="230" spans="1:17" s="248" customFormat="1" ht="14.25" customHeight="1" x14ac:dyDescent="0.2">
      <c r="A230" s="268" t="s">
        <v>1267</v>
      </c>
      <c r="B230" s="375" t="s">
        <v>9</v>
      </c>
      <c r="C230" s="375"/>
      <c r="D230" s="572" t="s">
        <v>914</v>
      </c>
      <c r="E230" s="375" t="s">
        <v>10</v>
      </c>
      <c r="F230" s="376">
        <v>4</v>
      </c>
      <c r="G230" s="277">
        <v>224</v>
      </c>
      <c r="H230" s="376">
        <f t="shared" si="15"/>
        <v>224</v>
      </c>
      <c r="I230" s="271">
        <f t="shared" si="16"/>
        <v>896</v>
      </c>
      <c r="J230" s="247"/>
      <c r="K230" s="247"/>
      <c r="L230" s="247"/>
      <c r="M230" s="247"/>
      <c r="N230" s="247"/>
      <c r="O230" s="247"/>
      <c r="P230" s="247"/>
      <c r="Q230" s="247"/>
    </row>
    <row r="231" spans="1:17" s="248" customFormat="1" ht="14.25" customHeight="1" x14ac:dyDescent="0.2">
      <c r="A231" s="268" t="s">
        <v>1268</v>
      </c>
      <c r="B231" s="375" t="s">
        <v>9</v>
      </c>
      <c r="C231" s="375"/>
      <c r="D231" s="572" t="s">
        <v>969</v>
      </c>
      <c r="E231" s="375" t="s">
        <v>107</v>
      </c>
      <c r="F231" s="376">
        <v>11</v>
      </c>
      <c r="G231" s="277">
        <v>24.12</v>
      </c>
      <c r="H231" s="376">
        <f t="shared" si="15"/>
        <v>24.12</v>
      </c>
      <c r="I231" s="271">
        <f t="shared" si="16"/>
        <v>265.32</v>
      </c>
      <c r="J231" s="247"/>
      <c r="K231" s="247"/>
      <c r="L231" s="247"/>
      <c r="M231" s="247"/>
      <c r="N231" s="247"/>
      <c r="O231" s="247"/>
      <c r="P231" s="247"/>
      <c r="Q231" s="247"/>
    </row>
    <row r="232" spans="1:17" s="248" customFormat="1" ht="14.25" customHeight="1" x14ac:dyDescent="0.2">
      <c r="A232" s="268" t="s">
        <v>1269</v>
      </c>
      <c r="B232" s="375" t="s">
        <v>9</v>
      </c>
      <c r="C232" s="375"/>
      <c r="D232" s="572" t="s">
        <v>915</v>
      </c>
      <c r="E232" s="375" t="s">
        <v>10</v>
      </c>
      <c r="F232" s="376">
        <v>1</v>
      </c>
      <c r="G232" s="277">
        <v>2406.5700000000002</v>
      </c>
      <c r="H232" s="376">
        <f t="shared" si="15"/>
        <v>2406.5700000000002</v>
      </c>
      <c r="I232" s="271">
        <f t="shared" si="16"/>
        <v>2406.5700000000002</v>
      </c>
      <c r="J232" s="247"/>
      <c r="K232" s="247"/>
      <c r="L232" s="247"/>
      <c r="M232" s="247"/>
      <c r="N232" s="247"/>
      <c r="O232" s="247"/>
      <c r="P232" s="247"/>
      <c r="Q232" s="247"/>
    </row>
    <row r="233" spans="1:17" s="248" customFormat="1" ht="14.25" customHeight="1" x14ac:dyDescent="0.2">
      <c r="A233" s="268" t="s">
        <v>1270</v>
      </c>
      <c r="B233" s="375" t="s">
        <v>9</v>
      </c>
      <c r="C233" s="375"/>
      <c r="D233" s="572" t="s">
        <v>916</v>
      </c>
      <c r="E233" s="375" t="s">
        <v>10</v>
      </c>
      <c r="F233" s="376">
        <v>1</v>
      </c>
      <c r="G233" s="277">
        <v>1004</v>
      </c>
      <c r="H233" s="376">
        <f t="shared" si="15"/>
        <v>1004</v>
      </c>
      <c r="I233" s="271">
        <f t="shared" si="16"/>
        <v>1004</v>
      </c>
      <c r="J233" s="247"/>
      <c r="K233" s="247"/>
      <c r="L233" s="247"/>
      <c r="M233" s="247"/>
      <c r="N233" s="247"/>
      <c r="O233" s="247"/>
      <c r="P233" s="247"/>
      <c r="Q233" s="247"/>
    </row>
    <row r="234" spans="1:17" s="248" customFormat="1" ht="14.25" customHeight="1" x14ac:dyDescent="0.2">
      <c r="A234" s="268" t="s">
        <v>1271</v>
      </c>
      <c r="B234" s="375" t="s">
        <v>9</v>
      </c>
      <c r="C234" s="375"/>
      <c r="D234" s="572" t="s">
        <v>917</v>
      </c>
      <c r="E234" s="375" t="s">
        <v>10</v>
      </c>
      <c r="F234" s="376">
        <v>2</v>
      </c>
      <c r="G234" s="277">
        <v>86.74</v>
      </c>
      <c r="H234" s="376">
        <f t="shared" si="15"/>
        <v>86.74</v>
      </c>
      <c r="I234" s="271">
        <f t="shared" si="16"/>
        <v>173.48</v>
      </c>
      <c r="J234" s="247"/>
      <c r="K234" s="247"/>
      <c r="L234" s="247"/>
      <c r="M234" s="247"/>
      <c r="N234" s="247"/>
      <c r="O234" s="247"/>
      <c r="P234" s="247"/>
      <c r="Q234" s="247"/>
    </row>
    <row r="235" spans="1:17" s="248" customFormat="1" ht="14.25" customHeight="1" x14ac:dyDescent="0.2">
      <c r="A235" s="268" t="s">
        <v>1272</v>
      </c>
      <c r="B235" s="375" t="s">
        <v>9</v>
      </c>
      <c r="C235" s="375"/>
      <c r="D235" s="572" t="s">
        <v>918</v>
      </c>
      <c r="E235" s="375" t="s">
        <v>71</v>
      </c>
      <c r="F235" s="376">
        <v>1</v>
      </c>
      <c r="G235" s="277">
        <v>50.44</v>
      </c>
      <c r="H235" s="376">
        <f t="shared" si="15"/>
        <v>50.44</v>
      </c>
      <c r="I235" s="271">
        <f t="shared" si="16"/>
        <v>50.44</v>
      </c>
      <c r="J235" s="247"/>
      <c r="K235" s="247"/>
      <c r="L235" s="247"/>
      <c r="M235" s="247"/>
      <c r="N235" s="247"/>
      <c r="O235" s="247"/>
      <c r="P235" s="247"/>
      <c r="Q235" s="247"/>
    </row>
    <row r="236" spans="1:17" s="248" customFormat="1" ht="14.25" customHeight="1" x14ac:dyDescent="0.2">
      <c r="A236" s="268" t="s">
        <v>1273</v>
      </c>
      <c r="B236" s="375" t="s">
        <v>9</v>
      </c>
      <c r="C236" s="385"/>
      <c r="D236" s="572" t="s">
        <v>919</v>
      </c>
      <c r="E236" s="375" t="s">
        <v>71</v>
      </c>
      <c r="F236" s="376">
        <v>9</v>
      </c>
      <c r="G236" s="277">
        <v>2.69</v>
      </c>
      <c r="H236" s="376">
        <f t="shared" si="15"/>
        <v>2.69</v>
      </c>
      <c r="I236" s="271">
        <f t="shared" si="16"/>
        <v>24.21</v>
      </c>
      <c r="J236" s="247"/>
      <c r="K236" s="247"/>
      <c r="L236" s="247"/>
      <c r="M236" s="247"/>
      <c r="N236" s="247"/>
      <c r="O236" s="247"/>
      <c r="P236" s="247"/>
      <c r="Q236" s="247"/>
    </row>
    <row r="237" spans="1:17" s="59" customFormat="1" ht="14.25" customHeight="1" x14ac:dyDescent="0.2">
      <c r="A237" s="268" t="s">
        <v>1274</v>
      </c>
      <c r="B237" s="374" t="s">
        <v>9</v>
      </c>
      <c r="C237" s="570"/>
      <c r="D237" s="571" t="s">
        <v>920</v>
      </c>
      <c r="E237" s="543" t="s">
        <v>71</v>
      </c>
      <c r="F237" s="376">
        <v>20</v>
      </c>
      <c r="G237" s="583">
        <v>1.96</v>
      </c>
      <c r="H237" s="376">
        <f t="shared" si="15"/>
        <v>1.96</v>
      </c>
      <c r="I237" s="271">
        <f t="shared" si="16"/>
        <v>39.200000000000003</v>
      </c>
      <c r="J237" s="65"/>
      <c r="K237" s="65"/>
      <c r="L237" s="65"/>
      <c r="M237" s="65"/>
      <c r="N237" s="65"/>
      <c r="O237" s="65"/>
      <c r="P237" s="65"/>
      <c r="Q237" s="65"/>
    </row>
    <row r="238" spans="1:17" s="135" customFormat="1" ht="14.25" customHeight="1" x14ac:dyDescent="0.2">
      <c r="A238" s="268" t="s">
        <v>1275</v>
      </c>
      <c r="B238" s="374" t="s">
        <v>9</v>
      </c>
      <c r="C238" s="570"/>
      <c r="D238" s="571" t="s">
        <v>921</v>
      </c>
      <c r="E238" s="543" t="s">
        <v>71</v>
      </c>
      <c r="F238" s="376">
        <v>160</v>
      </c>
      <c r="G238" s="277">
        <v>3.18</v>
      </c>
      <c r="H238" s="376">
        <f t="shared" si="15"/>
        <v>3.18</v>
      </c>
      <c r="I238" s="271">
        <f t="shared" si="16"/>
        <v>508.8</v>
      </c>
      <c r="J238" s="134"/>
      <c r="K238" s="134"/>
      <c r="L238" s="134"/>
      <c r="M238" s="134"/>
      <c r="N238" s="134"/>
      <c r="O238" s="134"/>
      <c r="P238" s="134"/>
      <c r="Q238" s="134"/>
    </row>
    <row r="239" spans="1:17" s="248" customFormat="1" ht="14.25" customHeight="1" x14ac:dyDescent="0.2">
      <c r="A239" s="268" t="s">
        <v>1276</v>
      </c>
      <c r="B239" s="375" t="s">
        <v>9</v>
      </c>
      <c r="C239" s="375"/>
      <c r="D239" s="572" t="s">
        <v>922</v>
      </c>
      <c r="E239" s="375" t="s">
        <v>71</v>
      </c>
      <c r="F239" s="376">
        <v>72</v>
      </c>
      <c r="G239" s="277">
        <v>5.81</v>
      </c>
      <c r="H239" s="376">
        <f t="shared" si="15"/>
        <v>5.81</v>
      </c>
      <c r="I239" s="271">
        <f t="shared" si="16"/>
        <v>418.32</v>
      </c>
      <c r="J239" s="247"/>
      <c r="K239" s="247"/>
      <c r="L239" s="247"/>
      <c r="M239" s="247"/>
      <c r="N239" s="247"/>
      <c r="O239" s="247"/>
      <c r="P239" s="247"/>
      <c r="Q239" s="247"/>
    </row>
    <row r="240" spans="1:17" s="248" customFormat="1" ht="14.25" customHeight="1" x14ac:dyDescent="0.2">
      <c r="A240" s="268" t="s">
        <v>1277</v>
      </c>
      <c r="B240" s="375" t="s">
        <v>9</v>
      </c>
      <c r="C240" s="375"/>
      <c r="D240" s="572" t="s">
        <v>923</v>
      </c>
      <c r="E240" s="375" t="s">
        <v>71</v>
      </c>
      <c r="F240" s="376">
        <v>20</v>
      </c>
      <c r="G240" s="277">
        <v>16.399999999999999</v>
      </c>
      <c r="H240" s="376">
        <f t="shared" si="15"/>
        <v>16.399999999999999</v>
      </c>
      <c r="I240" s="271">
        <f t="shared" si="16"/>
        <v>328</v>
      </c>
      <c r="J240" s="247"/>
      <c r="K240" s="247"/>
      <c r="L240" s="247"/>
      <c r="M240" s="247"/>
      <c r="N240" s="247"/>
      <c r="O240" s="247"/>
      <c r="P240" s="247"/>
      <c r="Q240" s="247"/>
    </row>
    <row r="241" spans="1:17" s="135" customFormat="1" ht="14.25" x14ac:dyDescent="0.2">
      <c r="A241" s="268"/>
      <c r="B241" s="543"/>
      <c r="C241" s="574"/>
      <c r="D241" s="571"/>
      <c r="E241" s="543"/>
      <c r="F241" s="381"/>
      <c r="G241" s="382"/>
      <c r="H241" s="57"/>
      <c r="I241" s="267"/>
      <c r="J241" s="134"/>
      <c r="K241" s="134"/>
      <c r="L241" s="134"/>
      <c r="M241" s="134"/>
      <c r="N241" s="134"/>
      <c r="O241" s="134"/>
      <c r="P241" s="134"/>
      <c r="Q241" s="134"/>
    </row>
    <row r="242" spans="1:17" s="141" customFormat="1" x14ac:dyDescent="0.25">
      <c r="A242" s="263" t="s">
        <v>523</v>
      </c>
      <c r="B242" s="205" t="s">
        <v>306</v>
      </c>
      <c r="C242" s="557" t="s">
        <v>511</v>
      </c>
      <c r="D242" s="206" t="str">
        <f>[1]ORÇAMENTO!D297</f>
        <v>APLICAÇÃO DO MATERIAL HIDRÁULICO DO UASB</v>
      </c>
      <c r="E242" s="205" t="s">
        <v>10</v>
      </c>
      <c r="F242" s="315"/>
      <c r="G242" s="316"/>
      <c r="H242" s="316"/>
      <c r="I242" s="560">
        <f>SUM(I243:I245)</f>
        <v>6250</v>
      </c>
      <c r="J242" s="140"/>
      <c r="K242" s="140"/>
      <c r="L242" s="140"/>
      <c r="M242" s="140"/>
      <c r="N242" s="140"/>
      <c r="O242" s="140"/>
      <c r="P242" s="140"/>
      <c r="Q242" s="140"/>
    </row>
    <row r="243" spans="1:17" s="141" customFormat="1" x14ac:dyDescent="0.25">
      <c r="A243" s="268" t="s">
        <v>556</v>
      </c>
      <c r="B243" s="543" t="s">
        <v>98</v>
      </c>
      <c r="C243" s="543">
        <v>2696</v>
      </c>
      <c r="D243" s="379" t="s">
        <v>251</v>
      </c>
      <c r="E243" s="543" t="s">
        <v>97</v>
      </c>
      <c r="F243" s="381">
        <v>250</v>
      </c>
      <c r="G243" s="382">
        <v>9.86</v>
      </c>
      <c r="H243" s="57">
        <f t="shared" si="15"/>
        <v>9.86</v>
      </c>
      <c r="I243" s="289">
        <f>ROUND(F243*H243,2)</f>
        <v>2465</v>
      </c>
      <c r="J243" s="140"/>
      <c r="K243" s="140"/>
      <c r="L243" s="140"/>
      <c r="M243" s="140"/>
      <c r="N243" s="140"/>
      <c r="O243" s="140"/>
      <c r="P243" s="140"/>
      <c r="Q243" s="140"/>
    </row>
    <row r="244" spans="1:17" s="141" customFormat="1" x14ac:dyDescent="0.25">
      <c r="A244" s="268" t="s">
        <v>1278</v>
      </c>
      <c r="B244" s="543" t="s">
        <v>98</v>
      </c>
      <c r="C244" s="543">
        <v>246</v>
      </c>
      <c r="D244" s="379" t="s">
        <v>250</v>
      </c>
      <c r="E244" s="543" t="s">
        <v>97</v>
      </c>
      <c r="F244" s="381">
        <v>250</v>
      </c>
      <c r="G244" s="382">
        <v>8.68</v>
      </c>
      <c r="H244" s="57">
        <f t="shared" si="15"/>
        <v>8.68</v>
      </c>
      <c r="I244" s="289">
        <f>ROUND(F244*H244,2)</f>
        <v>2170</v>
      </c>
      <c r="J244" s="140"/>
      <c r="K244" s="140"/>
      <c r="L244" s="140"/>
      <c r="M244" s="140"/>
      <c r="N244" s="140"/>
      <c r="O244" s="140"/>
      <c r="P244" s="140"/>
      <c r="Q244" s="140"/>
    </row>
    <row r="245" spans="1:17" s="135" customFormat="1" ht="14.25" customHeight="1" x14ac:dyDescent="0.2">
      <c r="A245" s="268" t="s">
        <v>1279</v>
      </c>
      <c r="B245" s="543" t="s">
        <v>98</v>
      </c>
      <c r="C245" s="543">
        <v>6111</v>
      </c>
      <c r="D245" s="379" t="s">
        <v>252</v>
      </c>
      <c r="E245" s="543" t="s">
        <v>97</v>
      </c>
      <c r="F245" s="381">
        <v>250</v>
      </c>
      <c r="G245" s="382">
        <v>6.46</v>
      </c>
      <c r="H245" s="57">
        <f t="shared" si="15"/>
        <v>6.46</v>
      </c>
      <c r="I245" s="289">
        <f>ROUND(F245*H245,2)</f>
        <v>1615</v>
      </c>
      <c r="J245" s="134"/>
      <c r="K245" s="134"/>
      <c r="L245" s="134"/>
      <c r="M245" s="134"/>
      <c r="N245" s="134"/>
      <c r="O245" s="134"/>
      <c r="P245" s="134"/>
      <c r="Q245" s="134"/>
    </row>
    <row r="246" spans="1:17" s="59" customFormat="1" ht="14.25" x14ac:dyDescent="0.2">
      <c r="A246" s="566"/>
      <c r="B246" s="567"/>
      <c r="C246" s="567"/>
      <c r="D246" s="567"/>
      <c r="E246" s="567"/>
      <c r="F246" s="567"/>
      <c r="G246" s="567"/>
      <c r="H246" s="567"/>
      <c r="I246" s="568"/>
      <c r="J246" s="65"/>
      <c r="K246" s="65"/>
      <c r="L246" s="65"/>
      <c r="M246" s="65"/>
      <c r="N246" s="65"/>
      <c r="O246" s="65"/>
      <c r="P246" s="65"/>
      <c r="Q246" s="65"/>
    </row>
    <row r="247" spans="1:17" s="59" customFormat="1" ht="15" customHeight="1" x14ac:dyDescent="0.2">
      <c r="A247" s="263" t="s">
        <v>524</v>
      </c>
      <c r="B247" s="205" t="s">
        <v>306</v>
      </c>
      <c r="C247" s="557" t="s">
        <v>513</v>
      </c>
      <c r="D247" s="206" t="s">
        <v>650</v>
      </c>
      <c r="E247" s="205" t="s">
        <v>10</v>
      </c>
      <c r="F247" s="315"/>
      <c r="G247" s="316"/>
      <c r="H247" s="316"/>
      <c r="I247" s="560">
        <f>SUM(I248:I253)</f>
        <v>3153.23</v>
      </c>
      <c r="J247" s="65"/>
      <c r="K247" s="65"/>
      <c r="L247" s="65"/>
      <c r="M247" s="65"/>
      <c r="N247" s="65"/>
      <c r="O247" s="65"/>
      <c r="P247" s="65"/>
      <c r="Q247" s="65"/>
    </row>
    <row r="248" spans="1:17" s="59" customFormat="1" ht="14.25" customHeight="1" x14ac:dyDescent="0.2">
      <c r="A248" s="265" t="s">
        <v>557</v>
      </c>
      <c r="B248" s="374" t="s">
        <v>98</v>
      </c>
      <c r="C248" s="374">
        <v>1865</v>
      </c>
      <c r="D248" s="379" t="s">
        <v>970</v>
      </c>
      <c r="E248" s="543" t="s">
        <v>10</v>
      </c>
      <c r="F248" s="376">
        <v>1</v>
      </c>
      <c r="G248" s="376">
        <v>119.45</v>
      </c>
      <c r="H248" s="57">
        <f t="shared" ref="H248:H258" si="17">ROUND((1+K$3)*G248,2)</f>
        <v>119.45</v>
      </c>
      <c r="I248" s="267">
        <f t="shared" ref="I248:I258" si="18">ROUND(F248*H248,2)</f>
        <v>119.45</v>
      </c>
      <c r="J248" s="65"/>
      <c r="K248" s="65"/>
      <c r="L248" s="65"/>
      <c r="M248" s="65"/>
      <c r="N248" s="65"/>
      <c r="O248" s="65"/>
      <c r="P248" s="65"/>
      <c r="Q248" s="65"/>
    </row>
    <row r="249" spans="1:17" s="59" customFormat="1" ht="14.25" customHeight="1" x14ac:dyDescent="0.2">
      <c r="A249" s="265" t="s">
        <v>558</v>
      </c>
      <c r="B249" s="374" t="s">
        <v>98</v>
      </c>
      <c r="C249" s="374">
        <v>9818</v>
      </c>
      <c r="D249" s="379" t="s">
        <v>645</v>
      </c>
      <c r="E249" s="543" t="s">
        <v>107</v>
      </c>
      <c r="F249" s="376">
        <v>54</v>
      </c>
      <c r="G249" s="376">
        <v>24.12</v>
      </c>
      <c r="H249" s="57">
        <f t="shared" si="17"/>
        <v>24.12</v>
      </c>
      <c r="I249" s="267">
        <f t="shared" si="18"/>
        <v>1302.48</v>
      </c>
      <c r="J249" s="65"/>
      <c r="K249" s="65"/>
      <c r="L249" s="65"/>
      <c r="M249" s="65"/>
      <c r="N249" s="65"/>
      <c r="O249" s="65"/>
      <c r="P249" s="65"/>
      <c r="Q249" s="65"/>
    </row>
    <row r="250" spans="1:17" s="248" customFormat="1" ht="14.25" customHeight="1" x14ac:dyDescent="0.2">
      <c r="A250" s="265" t="s">
        <v>652</v>
      </c>
      <c r="B250" s="375" t="s">
        <v>9</v>
      </c>
      <c r="C250" s="375"/>
      <c r="D250" s="377" t="s">
        <v>646</v>
      </c>
      <c r="E250" s="375" t="s">
        <v>10</v>
      </c>
      <c r="F250" s="376">
        <v>24</v>
      </c>
      <c r="G250" s="376">
        <v>35.07</v>
      </c>
      <c r="H250" s="376">
        <f t="shared" si="17"/>
        <v>35.07</v>
      </c>
      <c r="I250" s="271">
        <f t="shared" si="18"/>
        <v>841.68</v>
      </c>
      <c r="J250" s="247"/>
      <c r="K250" s="247"/>
      <c r="L250" s="247"/>
      <c r="M250" s="247"/>
      <c r="N250" s="247"/>
      <c r="O250" s="247"/>
      <c r="P250" s="247"/>
      <c r="Q250" s="247"/>
    </row>
    <row r="251" spans="1:17" s="248" customFormat="1" ht="14.25" customHeight="1" x14ac:dyDescent="0.2">
      <c r="A251" s="265" t="s">
        <v>1280</v>
      </c>
      <c r="B251" s="375" t="s">
        <v>9</v>
      </c>
      <c r="C251" s="375"/>
      <c r="D251" s="377" t="s">
        <v>647</v>
      </c>
      <c r="E251" s="375" t="s">
        <v>10</v>
      </c>
      <c r="F251" s="376">
        <v>12</v>
      </c>
      <c r="G251" s="376">
        <v>18.68</v>
      </c>
      <c r="H251" s="376">
        <f t="shared" si="17"/>
        <v>18.68</v>
      </c>
      <c r="I251" s="271">
        <f t="shared" si="18"/>
        <v>224.16</v>
      </c>
      <c r="J251" s="247"/>
      <c r="K251" s="247"/>
      <c r="L251" s="247"/>
      <c r="M251" s="247"/>
      <c r="N251" s="247"/>
      <c r="O251" s="247"/>
      <c r="P251" s="247"/>
      <c r="Q251" s="247"/>
    </row>
    <row r="252" spans="1:17" s="248" customFormat="1" ht="14.25" customHeight="1" x14ac:dyDescent="0.2">
      <c r="A252" s="265" t="s">
        <v>1281</v>
      </c>
      <c r="B252" s="375" t="s">
        <v>9</v>
      </c>
      <c r="C252" s="375"/>
      <c r="D252" s="377" t="s">
        <v>648</v>
      </c>
      <c r="E252" s="375" t="s">
        <v>107</v>
      </c>
      <c r="F252" s="376">
        <v>1.2</v>
      </c>
      <c r="G252" s="376">
        <v>26.46</v>
      </c>
      <c r="H252" s="376">
        <f t="shared" si="17"/>
        <v>26.46</v>
      </c>
      <c r="I252" s="271">
        <f t="shared" si="18"/>
        <v>31.75</v>
      </c>
      <c r="J252" s="247"/>
      <c r="K252" s="247"/>
      <c r="L252" s="247"/>
      <c r="M252" s="247"/>
      <c r="N252" s="247"/>
      <c r="O252" s="247"/>
      <c r="P252" s="247"/>
      <c r="Q252" s="247"/>
    </row>
    <row r="253" spans="1:17" s="248" customFormat="1" ht="14.25" x14ac:dyDescent="0.2">
      <c r="A253" s="265" t="s">
        <v>1282</v>
      </c>
      <c r="B253" s="375" t="s">
        <v>9</v>
      </c>
      <c r="C253" s="375"/>
      <c r="D253" s="377" t="s">
        <v>649</v>
      </c>
      <c r="E253" s="375" t="s">
        <v>10</v>
      </c>
      <c r="F253" s="376">
        <v>1</v>
      </c>
      <c r="G253" s="376">
        <v>633.71</v>
      </c>
      <c r="H253" s="376">
        <f t="shared" si="17"/>
        <v>633.71</v>
      </c>
      <c r="I253" s="271">
        <f t="shared" si="18"/>
        <v>633.71</v>
      </c>
      <c r="J253" s="247"/>
      <c r="K253" s="247"/>
      <c r="L253" s="247"/>
      <c r="M253" s="247"/>
      <c r="N253" s="247"/>
      <c r="O253" s="247"/>
      <c r="P253" s="247"/>
      <c r="Q253" s="247"/>
    </row>
    <row r="254" spans="1:17" s="139" customFormat="1" x14ac:dyDescent="0.25">
      <c r="A254" s="265"/>
      <c r="B254" s="374"/>
      <c r="C254" s="374"/>
      <c r="D254" s="379"/>
      <c r="E254" s="543"/>
      <c r="F254" s="381"/>
      <c r="G254" s="376"/>
      <c r="H254" s="57"/>
      <c r="I254" s="267"/>
      <c r="J254" s="225"/>
      <c r="K254" s="226"/>
      <c r="L254" s="226"/>
      <c r="M254" s="138"/>
      <c r="N254" s="138"/>
      <c r="O254" s="138"/>
      <c r="P254" s="138"/>
      <c r="Q254" s="138"/>
    </row>
    <row r="255" spans="1:17" s="139" customFormat="1" x14ac:dyDescent="0.25">
      <c r="A255" s="263" t="s">
        <v>525</v>
      </c>
      <c r="B255" s="205" t="s">
        <v>306</v>
      </c>
      <c r="C255" s="557" t="s">
        <v>514</v>
      </c>
      <c r="D255" s="206" t="str">
        <f>D247</f>
        <v>FORNECIMENTO DO MATERIAL HIDRÁULICO DO FILTRO</v>
      </c>
      <c r="E255" s="205" t="s">
        <v>10</v>
      </c>
      <c r="F255" s="315"/>
      <c r="G255" s="316"/>
      <c r="H255" s="316"/>
      <c r="I255" s="560">
        <f>SUM(I256:I258)</f>
        <v>2435.4</v>
      </c>
      <c r="J255" s="225"/>
      <c r="K255" s="226"/>
      <c r="L255" s="226"/>
      <c r="M255" s="138"/>
      <c r="N255" s="138"/>
      <c r="O255" s="138"/>
      <c r="P255" s="138"/>
      <c r="Q255" s="138"/>
    </row>
    <row r="256" spans="1:17" s="141" customFormat="1" x14ac:dyDescent="0.25">
      <c r="A256" s="265" t="s">
        <v>655</v>
      </c>
      <c r="B256" s="543" t="s">
        <v>98</v>
      </c>
      <c r="C256" s="543">
        <v>2696</v>
      </c>
      <c r="D256" s="379" t="s">
        <v>251</v>
      </c>
      <c r="E256" s="543" t="s">
        <v>97</v>
      </c>
      <c r="F256" s="376">
        <v>100</v>
      </c>
      <c r="G256" s="382">
        <v>9.86</v>
      </c>
      <c r="H256" s="381">
        <f t="shared" si="17"/>
        <v>9.86</v>
      </c>
      <c r="I256" s="289">
        <f t="shared" si="18"/>
        <v>986</v>
      </c>
      <c r="J256" s="140"/>
      <c r="K256" s="140"/>
      <c r="L256" s="140"/>
      <c r="M256" s="140"/>
      <c r="N256" s="140"/>
      <c r="O256" s="140"/>
      <c r="P256" s="140"/>
      <c r="Q256" s="140"/>
    </row>
    <row r="257" spans="1:17" s="141" customFormat="1" x14ac:dyDescent="0.25">
      <c r="A257" s="265" t="s">
        <v>656</v>
      </c>
      <c r="B257" s="543" t="s">
        <v>98</v>
      </c>
      <c r="C257" s="543">
        <v>246</v>
      </c>
      <c r="D257" s="379" t="s">
        <v>250</v>
      </c>
      <c r="E257" s="543" t="s">
        <v>97</v>
      </c>
      <c r="F257" s="376">
        <v>100</v>
      </c>
      <c r="G257" s="382">
        <v>8.68</v>
      </c>
      <c r="H257" s="381">
        <f t="shared" si="17"/>
        <v>8.68</v>
      </c>
      <c r="I257" s="289">
        <f t="shared" si="18"/>
        <v>868</v>
      </c>
      <c r="J257" s="140"/>
      <c r="K257" s="140"/>
      <c r="L257" s="140"/>
      <c r="M257" s="140"/>
      <c r="N257" s="140"/>
      <c r="O257" s="140"/>
      <c r="P257" s="140"/>
      <c r="Q257" s="140"/>
    </row>
    <row r="258" spans="1:17" s="135" customFormat="1" ht="14.25" customHeight="1" x14ac:dyDescent="0.2">
      <c r="A258" s="265" t="s">
        <v>657</v>
      </c>
      <c r="B258" s="543" t="s">
        <v>98</v>
      </c>
      <c r="C258" s="543">
        <v>6111</v>
      </c>
      <c r="D258" s="379" t="s">
        <v>252</v>
      </c>
      <c r="E258" s="543" t="s">
        <v>97</v>
      </c>
      <c r="F258" s="376">
        <v>90</v>
      </c>
      <c r="G258" s="382">
        <v>6.46</v>
      </c>
      <c r="H258" s="381">
        <f t="shared" si="17"/>
        <v>6.46</v>
      </c>
      <c r="I258" s="289">
        <f t="shared" si="18"/>
        <v>581.4</v>
      </c>
      <c r="J258" s="134"/>
      <c r="K258" s="134"/>
      <c r="L258" s="134"/>
      <c r="M258" s="134"/>
      <c r="N258" s="134"/>
      <c r="O258" s="134"/>
      <c r="P258" s="134"/>
      <c r="Q258" s="134"/>
    </row>
    <row r="259" spans="1:17" s="135" customFormat="1" ht="14.25" customHeight="1" x14ac:dyDescent="0.2">
      <c r="A259" s="265"/>
      <c r="B259" s="543"/>
      <c r="C259" s="543"/>
      <c r="D259" s="379"/>
      <c r="E259" s="543"/>
      <c r="F259" s="381"/>
      <c r="G259" s="382"/>
      <c r="H259" s="381"/>
      <c r="I259" s="289"/>
      <c r="J259" s="134"/>
      <c r="K259" s="134"/>
      <c r="L259" s="134"/>
      <c r="M259" s="134"/>
      <c r="N259" s="134"/>
      <c r="O259" s="134"/>
      <c r="P259" s="134"/>
      <c r="Q259" s="134"/>
    </row>
    <row r="260" spans="1:17" s="135" customFormat="1" ht="45" x14ac:dyDescent="0.2">
      <c r="A260" s="263" t="s">
        <v>526</v>
      </c>
      <c r="B260" s="205" t="s">
        <v>306</v>
      </c>
      <c r="C260" s="557" t="s">
        <v>582</v>
      </c>
      <c r="D260" s="206" t="s">
        <v>679</v>
      </c>
      <c r="E260" s="205"/>
      <c r="F260" s="315"/>
      <c r="G260" s="316"/>
      <c r="H260" s="316"/>
      <c r="I260" s="560">
        <f>SUM(I261:I264)</f>
        <v>358.90999999999997</v>
      </c>
      <c r="J260" s="134"/>
      <c r="K260" s="134"/>
      <c r="L260" s="134"/>
      <c r="M260" s="134"/>
      <c r="N260" s="134"/>
      <c r="O260" s="134"/>
      <c r="P260" s="134"/>
      <c r="Q260" s="134"/>
    </row>
    <row r="261" spans="1:17" s="135" customFormat="1" ht="14.25" customHeight="1" x14ac:dyDescent="0.2">
      <c r="A261" s="265" t="s">
        <v>655</v>
      </c>
      <c r="B261" s="543" t="s">
        <v>98</v>
      </c>
      <c r="C261" s="543">
        <v>11125</v>
      </c>
      <c r="D261" s="379" t="s">
        <v>246</v>
      </c>
      <c r="E261" s="543" t="s">
        <v>2</v>
      </c>
      <c r="F261" s="381">
        <v>10.368000000000002</v>
      </c>
      <c r="G261" s="382">
        <v>26.4</v>
      </c>
      <c r="H261" s="381">
        <f>ROUND((1+K$3)*G261,2)</f>
        <v>26.4</v>
      </c>
      <c r="I261" s="289">
        <f>ROUND(F261*H261,2)</f>
        <v>273.72000000000003</v>
      </c>
      <c r="J261" s="134"/>
      <c r="K261" s="134"/>
      <c r="L261" s="134"/>
      <c r="M261" s="134"/>
      <c r="N261" s="134"/>
      <c r="O261" s="134"/>
      <c r="P261" s="134"/>
      <c r="Q261" s="134"/>
    </row>
    <row r="262" spans="1:17" s="135" customFormat="1" ht="14.25" customHeight="1" x14ac:dyDescent="0.2">
      <c r="A262" s="265" t="s">
        <v>656</v>
      </c>
      <c r="B262" s="543" t="s">
        <v>98</v>
      </c>
      <c r="C262" s="543">
        <v>585</v>
      </c>
      <c r="D262" s="379" t="s">
        <v>247</v>
      </c>
      <c r="E262" s="543" t="s">
        <v>2</v>
      </c>
      <c r="F262" s="381">
        <v>0.95</v>
      </c>
      <c r="G262" s="382">
        <v>18.04</v>
      </c>
      <c r="H262" s="381">
        <f>ROUND((1+K$3)*G262,2)</f>
        <v>18.04</v>
      </c>
      <c r="I262" s="289">
        <f>ROUND(F262*H262,2)</f>
        <v>17.14</v>
      </c>
      <c r="J262" s="134"/>
      <c r="K262" s="134"/>
      <c r="L262" s="134"/>
      <c r="M262" s="134"/>
      <c r="N262" s="134"/>
      <c r="O262" s="134"/>
      <c r="P262" s="134"/>
      <c r="Q262" s="134"/>
    </row>
    <row r="263" spans="1:17" s="135" customFormat="1" ht="14.25" customHeight="1" x14ac:dyDescent="0.2">
      <c r="A263" s="265" t="s">
        <v>657</v>
      </c>
      <c r="B263" s="543" t="s">
        <v>98</v>
      </c>
      <c r="C263" s="543">
        <v>252</v>
      </c>
      <c r="D263" s="379" t="s">
        <v>248</v>
      </c>
      <c r="E263" s="543" t="s">
        <v>97</v>
      </c>
      <c r="F263" s="381">
        <v>5</v>
      </c>
      <c r="G263" s="382">
        <v>8.68</v>
      </c>
      <c r="H263" s="381">
        <f>ROUND((1+K$3)*G263,2)</f>
        <v>8.68</v>
      </c>
      <c r="I263" s="289">
        <f>ROUND(F263*H263,2)</f>
        <v>43.4</v>
      </c>
      <c r="J263" s="134"/>
      <c r="K263" s="134"/>
      <c r="L263" s="134"/>
      <c r="M263" s="134"/>
      <c r="N263" s="134"/>
      <c r="O263" s="134"/>
      <c r="P263" s="134"/>
      <c r="Q263" s="134"/>
    </row>
    <row r="264" spans="1:17" s="135" customFormat="1" ht="14.25" customHeight="1" x14ac:dyDescent="0.2">
      <c r="A264" s="265" t="s">
        <v>681</v>
      </c>
      <c r="B264" s="543" t="s">
        <v>98</v>
      </c>
      <c r="C264" s="543">
        <v>6110</v>
      </c>
      <c r="D264" s="379" t="s">
        <v>249</v>
      </c>
      <c r="E264" s="543" t="s">
        <v>97</v>
      </c>
      <c r="F264" s="381">
        <v>2.5</v>
      </c>
      <c r="G264" s="382">
        <v>9.86</v>
      </c>
      <c r="H264" s="381">
        <f>ROUND((1+K$3)*G264,2)</f>
        <v>9.86</v>
      </c>
      <c r="I264" s="289">
        <f>ROUND(F264*H264,2)</f>
        <v>24.65</v>
      </c>
      <c r="J264" s="134"/>
      <c r="K264" s="134"/>
      <c r="L264" s="134"/>
      <c r="M264" s="134"/>
      <c r="N264" s="134"/>
      <c r="O264" s="134"/>
      <c r="P264" s="134"/>
      <c r="Q264" s="134"/>
    </row>
    <row r="265" spans="1:17" s="135" customFormat="1" ht="14.25" customHeight="1" x14ac:dyDescent="0.2">
      <c r="A265" s="265"/>
      <c r="B265" s="543"/>
      <c r="C265" s="543"/>
      <c r="D265" s="379"/>
      <c r="E265" s="543"/>
      <c r="F265" s="381"/>
      <c r="G265" s="382"/>
      <c r="H265" s="381"/>
      <c r="I265" s="289"/>
      <c r="J265" s="134"/>
      <c r="K265" s="134"/>
      <c r="L265" s="134"/>
      <c r="M265" s="134"/>
      <c r="N265" s="134"/>
      <c r="O265" s="134"/>
      <c r="P265" s="134"/>
      <c r="Q265" s="134"/>
    </row>
    <row r="266" spans="1:17" s="135" customFormat="1" ht="14.25" customHeight="1" x14ac:dyDescent="0.2">
      <c r="A266" s="263" t="s">
        <v>682</v>
      </c>
      <c r="B266" s="205" t="s">
        <v>306</v>
      </c>
      <c r="C266" s="557" t="s">
        <v>666</v>
      </c>
      <c r="D266" s="206" t="s">
        <v>680</v>
      </c>
      <c r="E266" s="205"/>
      <c r="F266" s="315"/>
      <c r="G266" s="316"/>
      <c r="H266" s="316"/>
      <c r="I266" s="560">
        <f>SUM(I267:I270)</f>
        <v>574.33999999999992</v>
      </c>
      <c r="J266" s="134"/>
      <c r="K266" s="134"/>
      <c r="L266" s="134"/>
      <c r="M266" s="134"/>
      <c r="N266" s="134"/>
      <c r="O266" s="134"/>
      <c r="P266" s="134"/>
      <c r="Q266" s="134"/>
    </row>
    <row r="267" spans="1:17" s="135" customFormat="1" ht="14.25" customHeight="1" x14ac:dyDescent="0.2">
      <c r="A267" s="265" t="s">
        <v>683</v>
      </c>
      <c r="B267" s="543" t="s">
        <v>98</v>
      </c>
      <c r="C267" s="543">
        <v>11125</v>
      </c>
      <c r="D267" s="379" t="s">
        <v>246</v>
      </c>
      <c r="E267" s="543" t="s">
        <v>2</v>
      </c>
      <c r="F267" s="381">
        <v>18.05</v>
      </c>
      <c r="G267" s="382">
        <v>26.4</v>
      </c>
      <c r="H267" s="381">
        <f>ROUND((1+K$3)*G267,2)</f>
        <v>26.4</v>
      </c>
      <c r="I267" s="289">
        <f>ROUND(F267*H267,2)</f>
        <v>476.52</v>
      </c>
      <c r="J267" s="134"/>
      <c r="K267" s="134"/>
      <c r="L267" s="134"/>
      <c r="M267" s="134"/>
      <c r="N267" s="134"/>
      <c r="O267" s="134"/>
      <c r="P267" s="134"/>
      <c r="Q267" s="134"/>
    </row>
    <row r="268" spans="1:17" s="135" customFormat="1" ht="14.25" customHeight="1" x14ac:dyDescent="0.2">
      <c r="A268" s="265" t="s">
        <v>684</v>
      </c>
      <c r="B268" s="543" t="s">
        <v>98</v>
      </c>
      <c r="C268" s="543">
        <v>585</v>
      </c>
      <c r="D268" s="379" t="s">
        <v>247</v>
      </c>
      <c r="E268" s="543" t="s">
        <v>2</v>
      </c>
      <c r="F268" s="381">
        <v>1.65</v>
      </c>
      <c r="G268" s="382">
        <v>18.04</v>
      </c>
      <c r="H268" s="381">
        <f>ROUND((1+K$3)*G268,2)</f>
        <v>18.04</v>
      </c>
      <c r="I268" s="289">
        <f>ROUND(F268*H268,2)</f>
        <v>29.77</v>
      </c>
      <c r="J268" s="134"/>
      <c r="K268" s="134"/>
      <c r="L268" s="134"/>
      <c r="M268" s="134"/>
      <c r="N268" s="134"/>
      <c r="O268" s="134"/>
      <c r="P268" s="134"/>
      <c r="Q268" s="134"/>
    </row>
    <row r="269" spans="1:17" s="135" customFormat="1" ht="14.25" customHeight="1" x14ac:dyDescent="0.2">
      <c r="A269" s="265" t="s">
        <v>685</v>
      </c>
      <c r="B269" s="543" t="s">
        <v>98</v>
      </c>
      <c r="C269" s="543">
        <v>252</v>
      </c>
      <c r="D269" s="379" t="s">
        <v>248</v>
      </c>
      <c r="E269" s="543" t="s">
        <v>97</v>
      </c>
      <c r="F269" s="381">
        <v>5</v>
      </c>
      <c r="G269" s="382">
        <v>8.68</v>
      </c>
      <c r="H269" s="381">
        <f>ROUND((1+K$3)*G269,2)</f>
        <v>8.68</v>
      </c>
      <c r="I269" s="289">
        <f>ROUND(F269*H269,2)</f>
        <v>43.4</v>
      </c>
      <c r="J269" s="134"/>
      <c r="K269" s="134"/>
      <c r="L269" s="134"/>
      <c r="M269" s="134"/>
      <c r="N269" s="134"/>
      <c r="O269" s="134"/>
      <c r="P269" s="134"/>
      <c r="Q269" s="134"/>
    </row>
    <row r="270" spans="1:17" s="135" customFormat="1" ht="14.25" customHeight="1" x14ac:dyDescent="0.2">
      <c r="A270" s="265" t="s">
        <v>686</v>
      </c>
      <c r="B270" s="543" t="s">
        <v>98</v>
      </c>
      <c r="C270" s="543">
        <v>6110</v>
      </c>
      <c r="D270" s="379" t="s">
        <v>249</v>
      </c>
      <c r="E270" s="543" t="s">
        <v>97</v>
      </c>
      <c r="F270" s="381">
        <v>2.5</v>
      </c>
      <c r="G270" s="382">
        <v>9.86</v>
      </c>
      <c r="H270" s="381">
        <f>ROUND((1+K$3)*G270,2)</f>
        <v>9.86</v>
      </c>
      <c r="I270" s="289">
        <f>ROUND(F270*H270,2)</f>
        <v>24.65</v>
      </c>
      <c r="J270" s="134"/>
      <c r="K270" s="134"/>
      <c r="L270" s="134"/>
      <c r="M270" s="134"/>
      <c r="N270" s="134"/>
      <c r="O270" s="134"/>
      <c r="P270" s="134"/>
      <c r="Q270" s="134"/>
    </row>
    <row r="271" spans="1:17" s="135" customFormat="1" ht="14.25" customHeight="1" x14ac:dyDescent="0.2">
      <c r="A271" s="265"/>
      <c r="B271" s="543"/>
      <c r="C271" s="543"/>
      <c r="D271" s="379"/>
      <c r="E271" s="543"/>
      <c r="F271" s="381"/>
      <c r="G271" s="382"/>
      <c r="H271" s="381"/>
      <c r="I271" s="289"/>
      <c r="J271" s="134"/>
      <c r="K271" s="134"/>
      <c r="L271" s="134"/>
      <c r="M271" s="134"/>
      <c r="N271" s="134"/>
      <c r="O271" s="134"/>
      <c r="P271" s="134"/>
      <c r="Q271" s="134"/>
    </row>
    <row r="272" spans="1:17" s="135" customFormat="1" ht="14.25" customHeight="1" x14ac:dyDescent="0.2">
      <c r="A272" s="263" t="s">
        <v>687</v>
      </c>
      <c r="B272" s="205" t="s">
        <v>306</v>
      </c>
      <c r="C272" s="557" t="s">
        <v>667</v>
      </c>
      <c r="D272" s="206" t="s">
        <v>654</v>
      </c>
      <c r="E272" s="205" t="s">
        <v>10</v>
      </c>
      <c r="F272" s="315"/>
      <c r="G272" s="316"/>
      <c r="H272" s="316"/>
      <c r="I272" s="560">
        <f>SUM(I273:I277)</f>
        <v>5982.6799999999994</v>
      </c>
      <c r="J272" s="134"/>
      <c r="K272" s="134"/>
      <c r="L272" s="134"/>
      <c r="M272" s="134"/>
      <c r="N272" s="134"/>
      <c r="O272" s="134"/>
      <c r="P272" s="134"/>
      <c r="Q272" s="134"/>
    </row>
    <row r="273" spans="1:18" s="135" customFormat="1" ht="14.25" customHeight="1" x14ac:dyDescent="0.2">
      <c r="A273" s="265" t="s">
        <v>688</v>
      </c>
      <c r="B273" s="374" t="s">
        <v>98</v>
      </c>
      <c r="C273" s="374">
        <v>9833</v>
      </c>
      <c r="D273" s="227" t="s">
        <v>924</v>
      </c>
      <c r="E273" s="381" t="s">
        <v>107</v>
      </c>
      <c r="F273" s="376">
        <v>114</v>
      </c>
      <c r="G273" s="57">
        <v>41.96</v>
      </c>
      <c r="H273" s="57">
        <f>ROUND((1+K$3)*G273,2)</f>
        <v>41.96</v>
      </c>
      <c r="I273" s="267">
        <f>ROUND(F273*H273,2)</f>
        <v>4783.4399999999996</v>
      </c>
      <c r="J273" s="134"/>
      <c r="K273" s="134"/>
      <c r="L273" s="134"/>
      <c r="M273" s="134"/>
      <c r="N273" s="134"/>
      <c r="O273" s="134"/>
      <c r="P273" s="134"/>
      <c r="Q273" s="134"/>
    </row>
    <row r="274" spans="1:18" s="135" customFormat="1" ht="14.25" customHeight="1" x14ac:dyDescent="0.2">
      <c r="A274" s="265" t="s">
        <v>689</v>
      </c>
      <c r="B274" s="374" t="s">
        <v>98</v>
      </c>
      <c r="C274" s="374">
        <v>9817</v>
      </c>
      <c r="D274" s="107" t="s">
        <v>925</v>
      </c>
      <c r="E274" s="376" t="s">
        <v>107</v>
      </c>
      <c r="F274" s="376">
        <v>15</v>
      </c>
      <c r="G274" s="57">
        <v>11.5</v>
      </c>
      <c r="H274" s="57">
        <f>ROUND((1+K$3)*G274,2)</f>
        <v>11.5</v>
      </c>
      <c r="I274" s="267">
        <f t="shared" ref="I274:I277" si="19">ROUND(F274*H274,2)</f>
        <v>172.5</v>
      </c>
      <c r="J274" s="134"/>
      <c r="K274" s="134"/>
      <c r="L274" s="134"/>
      <c r="M274" s="134"/>
      <c r="N274" s="134"/>
      <c r="O274" s="134"/>
      <c r="P274" s="134"/>
      <c r="Q274" s="134"/>
    </row>
    <row r="275" spans="1:18" s="248" customFormat="1" ht="14.25" customHeight="1" x14ac:dyDescent="0.2">
      <c r="A275" s="265" t="s">
        <v>690</v>
      </c>
      <c r="B275" s="375" t="s">
        <v>9</v>
      </c>
      <c r="C275" s="375"/>
      <c r="D275" s="107" t="s">
        <v>926</v>
      </c>
      <c r="E275" s="376" t="s">
        <v>10</v>
      </c>
      <c r="F275" s="376">
        <v>4</v>
      </c>
      <c r="G275" s="376">
        <v>4.58</v>
      </c>
      <c r="H275" s="376">
        <f>ROUND((1+K$3)*G275,2)</f>
        <v>4.58</v>
      </c>
      <c r="I275" s="267">
        <f t="shared" si="19"/>
        <v>18.32</v>
      </c>
      <c r="J275" s="247"/>
      <c r="K275" s="247"/>
      <c r="L275" s="247"/>
      <c r="M275" s="247"/>
      <c r="N275" s="247"/>
      <c r="O275" s="247"/>
      <c r="P275" s="247"/>
      <c r="Q275" s="247"/>
    </row>
    <row r="276" spans="1:18" s="248" customFormat="1" ht="14.25" customHeight="1" x14ac:dyDescent="0.2">
      <c r="A276" s="265" t="s">
        <v>1283</v>
      </c>
      <c r="B276" s="375" t="s">
        <v>9</v>
      </c>
      <c r="C276" s="375"/>
      <c r="D276" s="377" t="s">
        <v>927</v>
      </c>
      <c r="E276" s="376" t="s">
        <v>10</v>
      </c>
      <c r="F276" s="376">
        <v>1</v>
      </c>
      <c r="G276" s="376">
        <v>26.46</v>
      </c>
      <c r="H276" s="376">
        <f>ROUND((1+K$3)*G276,2)</f>
        <v>26.46</v>
      </c>
      <c r="I276" s="267">
        <f t="shared" si="19"/>
        <v>26.46</v>
      </c>
      <c r="J276" s="247"/>
      <c r="K276" s="247"/>
      <c r="L276" s="247"/>
      <c r="M276" s="247"/>
      <c r="N276" s="247"/>
      <c r="O276" s="247"/>
      <c r="P276" s="247"/>
      <c r="Q276" s="247"/>
    </row>
    <row r="277" spans="1:18" s="248" customFormat="1" ht="14.25" customHeight="1" x14ac:dyDescent="0.2">
      <c r="A277" s="265" t="s">
        <v>1284</v>
      </c>
      <c r="B277" s="375" t="s">
        <v>9</v>
      </c>
      <c r="C277" s="375"/>
      <c r="D277" s="377" t="s">
        <v>928</v>
      </c>
      <c r="E277" s="375" t="s">
        <v>10</v>
      </c>
      <c r="F277" s="376">
        <v>28</v>
      </c>
      <c r="G277" s="376">
        <v>35.07</v>
      </c>
      <c r="H277" s="376">
        <f>ROUND((1+K$3)*G277,2)</f>
        <v>35.07</v>
      </c>
      <c r="I277" s="267">
        <f t="shared" si="19"/>
        <v>981.96</v>
      </c>
      <c r="J277" s="247"/>
      <c r="K277" s="247"/>
      <c r="L277" s="247"/>
      <c r="M277" s="247"/>
      <c r="N277" s="247"/>
      <c r="O277" s="247"/>
      <c r="P277" s="247"/>
      <c r="Q277" s="247"/>
    </row>
    <row r="278" spans="1:18" s="248" customFormat="1" ht="14.25" customHeight="1" x14ac:dyDescent="0.2">
      <c r="A278" s="265"/>
      <c r="B278" s="375"/>
      <c r="C278" s="375"/>
      <c r="D278" s="377"/>
      <c r="E278" s="375"/>
      <c r="F278" s="376"/>
      <c r="G278" s="376"/>
      <c r="H278" s="376"/>
      <c r="I278" s="267"/>
      <c r="J278" s="247"/>
      <c r="K278" s="247"/>
      <c r="L278" s="247"/>
      <c r="M278" s="247"/>
      <c r="N278" s="247"/>
      <c r="O278" s="247"/>
      <c r="P278" s="247"/>
      <c r="Q278" s="247"/>
    </row>
    <row r="279" spans="1:18" s="248" customFormat="1" ht="14.25" customHeight="1" x14ac:dyDescent="0.2">
      <c r="A279" s="265"/>
      <c r="B279" s="375"/>
      <c r="C279" s="375"/>
      <c r="D279" s="377"/>
      <c r="E279" s="375"/>
      <c r="F279" s="376"/>
      <c r="G279" s="376"/>
      <c r="H279" s="376"/>
      <c r="I279" s="267"/>
      <c r="J279" s="247"/>
      <c r="K279" s="247"/>
      <c r="L279" s="247"/>
      <c r="M279" s="247"/>
      <c r="N279" s="247"/>
      <c r="O279" s="247"/>
      <c r="P279" s="247"/>
      <c r="Q279" s="247"/>
    </row>
    <row r="280" spans="1:18" s="135" customFormat="1" ht="14.25" customHeight="1" x14ac:dyDescent="0.2">
      <c r="A280" s="263" t="s">
        <v>691</v>
      </c>
      <c r="B280" s="205" t="s">
        <v>306</v>
      </c>
      <c r="C280" s="557" t="s">
        <v>668</v>
      </c>
      <c r="D280" s="206" t="s">
        <v>584</v>
      </c>
      <c r="E280" s="205" t="s">
        <v>10</v>
      </c>
      <c r="F280" s="315"/>
      <c r="G280" s="316"/>
      <c r="H280" s="316"/>
      <c r="I280" s="560">
        <f>SUM(I281:I283)</f>
        <v>499.99999999999994</v>
      </c>
      <c r="J280" s="134"/>
      <c r="K280" s="134"/>
      <c r="L280" s="134"/>
      <c r="M280" s="134"/>
      <c r="N280" s="134"/>
      <c r="O280" s="134"/>
      <c r="P280" s="134"/>
      <c r="Q280" s="134"/>
    </row>
    <row r="281" spans="1:18" s="135" customFormat="1" ht="14.25" customHeight="1" x14ac:dyDescent="0.2">
      <c r="A281" s="265" t="s">
        <v>692</v>
      </c>
      <c r="B281" s="543" t="s">
        <v>98</v>
      </c>
      <c r="C281" s="543">
        <v>2696</v>
      </c>
      <c r="D281" s="379" t="s">
        <v>251</v>
      </c>
      <c r="E281" s="543" t="s">
        <v>97</v>
      </c>
      <c r="F281" s="376">
        <v>20</v>
      </c>
      <c r="G281" s="382">
        <v>9.86</v>
      </c>
      <c r="H281" s="57">
        <f>ROUND((1+K$3)*G281,2)</f>
        <v>9.86</v>
      </c>
      <c r="I281" s="267">
        <f>ROUND(F281*H281,2)</f>
        <v>197.2</v>
      </c>
      <c r="J281" s="134"/>
      <c r="K281" s="134"/>
      <c r="L281" s="134"/>
      <c r="M281" s="134"/>
      <c r="N281" s="134"/>
      <c r="O281" s="134"/>
      <c r="P281" s="134"/>
      <c r="Q281" s="134"/>
    </row>
    <row r="282" spans="1:18" s="135" customFormat="1" ht="14.25" customHeight="1" x14ac:dyDescent="0.2">
      <c r="A282" s="265" t="s">
        <v>693</v>
      </c>
      <c r="B282" s="543" t="s">
        <v>98</v>
      </c>
      <c r="C282" s="543">
        <v>246</v>
      </c>
      <c r="D282" s="379" t="s">
        <v>250</v>
      </c>
      <c r="E282" s="543" t="s">
        <v>97</v>
      </c>
      <c r="F282" s="376">
        <v>20</v>
      </c>
      <c r="G282" s="382">
        <v>8.68</v>
      </c>
      <c r="H282" s="57">
        <f>ROUND((1+K$3)*G282,2)</f>
        <v>8.68</v>
      </c>
      <c r="I282" s="267">
        <f>ROUND(F282*H282,2)</f>
        <v>173.6</v>
      </c>
      <c r="J282" s="134"/>
      <c r="K282" s="134"/>
      <c r="L282" s="134"/>
      <c r="M282" s="134"/>
      <c r="N282" s="134"/>
      <c r="O282" s="134"/>
      <c r="P282" s="134"/>
      <c r="Q282" s="134"/>
    </row>
    <row r="283" spans="1:18" s="135" customFormat="1" ht="14.25" customHeight="1" x14ac:dyDescent="0.2">
      <c r="A283" s="265" t="s">
        <v>694</v>
      </c>
      <c r="B283" s="543" t="s">
        <v>98</v>
      </c>
      <c r="C283" s="543">
        <v>6111</v>
      </c>
      <c r="D283" s="379" t="s">
        <v>252</v>
      </c>
      <c r="E283" s="543" t="s">
        <v>97</v>
      </c>
      <c r="F283" s="376">
        <v>20</v>
      </c>
      <c r="G283" s="382">
        <v>6.46</v>
      </c>
      <c r="H283" s="57">
        <f>ROUND((1+K$3)*G283,2)</f>
        <v>6.46</v>
      </c>
      <c r="I283" s="267">
        <f>ROUND(F283*H283,2)</f>
        <v>129.19999999999999</v>
      </c>
      <c r="J283" s="134"/>
      <c r="K283" s="134"/>
      <c r="L283" s="134"/>
      <c r="M283" s="134"/>
      <c r="N283" s="134"/>
      <c r="O283" s="134"/>
      <c r="P283" s="134"/>
      <c r="Q283" s="134"/>
    </row>
    <row r="284" spans="1:18" s="7" customFormat="1" x14ac:dyDescent="0.25">
      <c r="A284" s="575"/>
      <c r="B284" s="576"/>
      <c r="C284" s="375"/>
      <c r="D284" s="375"/>
      <c r="E284" s="375"/>
      <c r="F284" s="375"/>
      <c r="G284" s="377"/>
      <c r="H284" s="375"/>
      <c r="I284" s="271"/>
      <c r="J284" s="6"/>
      <c r="K284" s="6"/>
      <c r="L284" s="6"/>
      <c r="M284" s="6"/>
      <c r="N284" s="6"/>
      <c r="O284" s="6"/>
      <c r="P284" s="6"/>
      <c r="Q284" s="6"/>
    </row>
    <row r="285" spans="1:18" s="43" customFormat="1" ht="15" customHeight="1" x14ac:dyDescent="0.2">
      <c r="A285" s="263" t="s">
        <v>695</v>
      </c>
      <c r="B285" s="205" t="s">
        <v>306</v>
      </c>
      <c r="C285" s="557" t="s">
        <v>670</v>
      </c>
      <c r="D285" s="206" t="s">
        <v>669</v>
      </c>
      <c r="E285" s="205" t="s">
        <v>10</v>
      </c>
      <c r="F285" s="315"/>
      <c r="G285" s="316"/>
      <c r="H285" s="316"/>
      <c r="I285" s="560">
        <f>SUM(I286:I298)</f>
        <v>2414.5700000000002</v>
      </c>
      <c r="J285" s="42"/>
      <c r="K285" s="42"/>
      <c r="L285" s="42"/>
      <c r="M285" s="42"/>
      <c r="N285" s="42"/>
      <c r="O285" s="42"/>
      <c r="P285" s="42"/>
      <c r="Q285" s="42"/>
    </row>
    <row r="286" spans="1:18" s="43" customFormat="1" ht="28.5" x14ac:dyDescent="0.2">
      <c r="A286" s="268" t="s">
        <v>696</v>
      </c>
      <c r="B286" s="375" t="s">
        <v>98</v>
      </c>
      <c r="C286" s="378">
        <v>21150</v>
      </c>
      <c r="D286" s="377" t="s">
        <v>317</v>
      </c>
      <c r="E286" s="375" t="s">
        <v>107</v>
      </c>
      <c r="F286" s="376">
        <v>1.5</v>
      </c>
      <c r="G286" s="376">
        <v>20.53</v>
      </c>
      <c r="H286" s="376">
        <f t="shared" ref="H286:H298" si="20">ROUND((1+K$3)*G286,2)</f>
        <v>20.53</v>
      </c>
      <c r="I286" s="271">
        <f t="shared" ref="I286:I298" si="21">ROUND(F286*H286,2)</f>
        <v>30.8</v>
      </c>
      <c r="J286" s="42"/>
      <c r="K286" s="42"/>
      <c r="L286" s="42"/>
      <c r="M286" s="42"/>
      <c r="N286" s="42"/>
      <c r="O286" s="42"/>
      <c r="P286" s="42"/>
      <c r="Q286" s="42"/>
    </row>
    <row r="287" spans="1:18" s="142" customFormat="1" ht="14.25" customHeight="1" x14ac:dyDescent="0.2">
      <c r="A287" s="268" t="s">
        <v>697</v>
      </c>
      <c r="B287" s="375" t="s">
        <v>98</v>
      </c>
      <c r="C287" s="378">
        <v>21146</v>
      </c>
      <c r="D287" s="377" t="s">
        <v>311</v>
      </c>
      <c r="E287" s="375" t="s">
        <v>107</v>
      </c>
      <c r="F287" s="376">
        <v>7</v>
      </c>
      <c r="G287" s="376">
        <v>22.97</v>
      </c>
      <c r="H287" s="376">
        <f t="shared" si="20"/>
        <v>22.97</v>
      </c>
      <c r="I287" s="271">
        <f t="shared" si="21"/>
        <v>160.79</v>
      </c>
      <c r="J287" s="54"/>
      <c r="K287" s="54"/>
      <c r="L287" s="54"/>
      <c r="M287" s="54"/>
      <c r="N287" s="54"/>
      <c r="O287" s="54"/>
      <c r="P287" s="54"/>
      <c r="Q287" s="54"/>
      <c r="R287" s="55"/>
    </row>
    <row r="288" spans="1:18" s="43" customFormat="1" ht="14.25" x14ac:dyDescent="0.2">
      <c r="A288" s="268" t="s">
        <v>1285</v>
      </c>
      <c r="B288" s="375" t="s">
        <v>9</v>
      </c>
      <c r="C288" s="378"/>
      <c r="D288" s="377" t="s">
        <v>318</v>
      </c>
      <c r="E288" s="375" t="s">
        <v>110</v>
      </c>
      <c r="F288" s="376">
        <v>1</v>
      </c>
      <c r="G288" s="376">
        <v>16.899999999999999</v>
      </c>
      <c r="H288" s="376">
        <f t="shared" si="20"/>
        <v>16.899999999999999</v>
      </c>
      <c r="I288" s="271">
        <f t="shared" si="21"/>
        <v>16.899999999999999</v>
      </c>
      <c r="J288" s="54"/>
      <c r="K288" s="54"/>
      <c r="L288" s="54"/>
      <c r="M288" s="54"/>
      <c r="N288" s="54"/>
      <c r="O288" s="54"/>
      <c r="P288" s="54"/>
      <c r="Q288" s="54"/>
      <c r="R288" s="55"/>
    </row>
    <row r="289" spans="1:18" s="142" customFormat="1" ht="14.25" x14ac:dyDescent="0.2">
      <c r="A289" s="268" t="s">
        <v>1286</v>
      </c>
      <c r="B289" s="375" t="s">
        <v>9</v>
      </c>
      <c r="C289" s="378"/>
      <c r="D289" s="377" t="s">
        <v>188</v>
      </c>
      <c r="E289" s="375" t="s">
        <v>110</v>
      </c>
      <c r="F289" s="376">
        <v>1</v>
      </c>
      <c r="G289" s="376">
        <v>59.57</v>
      </c>
      <c r="H289" s="376">
        <f t="shared" si="20"/>
        <v>59.57</v>
      </c>
      <c r="I289" s="271">
        <f t="shared" si="21"/>
        <v>59.57</v>
      </c>
      <c r="J289" s="54"/>
      <c r="K289" s="54"/>
      <c r="L289" s="54"/>
      <c r="M289" s="54"/>
      <c r="N289" s="54"/>
      <c r="O289" s="54"/>
      <c r="P289" s="54"/>
      <c r="Q289" s="54"/>
      <c r="R289" s="55"/>
    </row>
    <row r="290" spans="1:18" s="142" customFormat="1" ht="14.25" x14ac:dyDescent="0.2">
      <c r="A290" s="268" t="s">
        <v>1287</v>
      </c>
      <c r="B290" s="375" t="s">
        <v>9</v>
      </c>
      <c r="C290" s="378"/>
      <c r="D290" s="377" t="s">
        <v>315</v>
      </c>
      <c r="E290" s="375" t="s">
        <v>110</v>
      </c>
      <c r="F290" s="376">
        <v>1</v>
      </c>
      <c r="G290" s="376">
        <v>229.18</v>
      </c>
      <c r="H290" s="376">
        <f t="shared" si="20"/>
        <v>229.18</v>
      </c>
      <c r="I290" s="271">
        <f t="shared" si="21"/>
        <v>229.18</v>
      </c>
      <c r="J290" s="54"/>
      <c r="K290" s="54"/>
      <c r="L290" s="54"/>
      <c r="M290" s="54"/>
      <c r="N290" s="54"/>
      <c r="O290" s="54"/>
      <c r="P290" s="54"/>
      <c r="Q290" s="54"/>
      <c r="R290" s="55"/>
    </row>
    <row r="291" spans="1:18" s="142" customFormat="1" ht="17.25" customHeight="1" x14ac:dyDescent="0.2">
      <c r="A291" s="268" t="s">
        <v>1288</v>
      </c>
      <c r="B291" s="375" t="s">
        <v>9</v>
      </c>
      <c r="C291" s="378"/>
      <c r="D291" s="377" t="s">
        <v>316</v>
      </c>
      <c r="E291" s="375" t="s">
        <v>110</v>
      </c>
      <c r="F291" s="376">
        <v>3</v>
      </c>
      <c r="G291" s="376">
        <v>12.6</v>
      </c>
      <c r="H291" s="376">
        <f t="shared" si="20"/>
        <v>12.6</v>
      </c>
      <c r="I291" s="271">
        <f t="shared" si="21"/>
        <v>37.799999999999997</v>
      </c>
      <c r="J291" s="54"/>
      <c r="K291" s="54"/>
      <c r="L291" s="54"/>
      <c r="M291" s="54"/>
      <c r="N291" s="54"/>
      <c r="O291" s="54"/>
      <c r="P291" s="54"/>
      <c r="Q291" s="54"/>
      <c r="R291" s="55"/>
    </row>
    <row r="292" spans="1:18" s="7" customFormat="1" ht="14.25" x14ac:dyDescent="0.2">
      <c r="A292" s="268" t="s">
        <v>1289</v>
      </c>
      <c r="B292" s="375" t="s">
        <v>9</v>
      </c>
      <c r="C292" s="378"/>
      <c r="D292" s="377" t="s">
        <v>314</v>
      </c>
      <c r="E292" s="375" t="s">
        <v>110</v>
      </c>
      <c r="F292" s="376">
        <v>1</v>
      </c>
      <c r="G292" s="376">
        <v>24.43</v>
      </c>
      <c r="H292" s="376">
        <f t="shared" si="20"/>
        <v>24.43</v>
      </c>
      <c r="I292" s="271">
        <f t="shared" si="21"/>
        <v>24.43</v>
      </c>
      <c r="J292" s="6"/>
      <c r="K292" s="6"/>
      <c r="L292" s="6"/>
      <c r="M292" s="6"/>
      <c r="N292" s="6"/>
      <c r="O292" s="6"/>
      <c r="P292" s="6"/>
      <c r="Q292" s="6"/>
    </row>
    <row r="293" spans="1:18" s="59" customFormat="1" ht="14.25" customHeight="1" x14ac:dyDescent="0.2">
      <c r="A293" s="268" t="s">
        <v>1290</v>
      </c>
      <c r="B293" s="375" t="s">
        <v>9</v>
      </c>
      <c r="C293" s="378"/>
      <c r="D293" s="377" t="s">
        <v>450</v>
      </c>
      <c r="E293" s="375" t="s">
        <v>110</v>
      </c>
      <c r="F293" s="376">
        <v>1</v>
      </c>
      <c r="G293" s="277">
        <v>1500</v>
      </c>
      <c r="H293" s="376">
        <f t="shared" si="20"/>
        <v>1500</v>
      </c>
      <c r="I293" s="271">
        <f t="shared" si="21"/>
        <v>1500</v>
      </c>
      <c r="J293" s="65"/>
      <c r="K293" s="65"/>
      <c r="L293" s="65"/>
      <c r="M293" s="65"/>
      <c r="N293" s="65"/>
      <c r="O293" s="65"/>
      <c r="P293" s="65"/>
      <c r="Q293" s="65"/>
    </row>
    <row r="294" spans="1:18" s="59" customFormat="1" ht="14.25" x14ac:dyDescent="0.2">
      <c r="A294" s="268" t="s">
        <v>1291</v>
      </c>
      <c r="B294" s="375" t="s">
        <v>98</v>
      </c>
      <c r="C294" s="378">
        <v>7790</v>
      </c>
      <c r="D294" s="377" t="s">
        <v>451</v>
      </c>
      <c r="E294" s="375" t="s">
        <v>107</v>
      </c>
      <c r="F294" s="376">
        <v>1</v>
      </c>
      <c r="G294" s="277">
        <v>24.54</v>
      </c>
      <c r="H294" s="376">
        <f t="shared" si="20"/>
        <v>24.54</v>
      </c>
      <c r="I294" s="271">
        <f t="shared" si="21"/>
        <v>24.54</v>
      </c>
      <c r="J294" s="65"/>
      <c r="K294" s="65"/>
      <c r="L294" s="65"/>
      <c r="M294" s="65"/>
      <c r="N294" s="65"/>
      <c r="O294" s="65"/>
      <c r="P294" s="65"/>
      <c r="Q294" s="65"/>
    </row>
    <row r="295" spans="1:18" s="59" customFormat="1" ht="14.25" customHeight="1" x14ac:dyDescent="0.2">
      <c r="A295" s="268" t="s">
        <v>1292</v>
      </c>
      <c r="B295" s="375" t="s">
        <v>98</v>
      </c>
      <c r="C295" s="378">
        <v>4750</v>
      </c>
      <c r="D295" s="377" t="s">
        <v>254</v>
      </c>
      <c r="E295" s="375" t="s">
        <v>97</v>
      </c>
      <c r="F295" s="376">
        <v>8</v>
      </c>
      <c r="G295" s="277">
        <v>9.86</v>
      </c>
      <c r="H295" s="376">
        <f t="shared" si="20"/>
        <v>9.86</v>
      </c>
      <c r="I295" s="271">
        <f t="shared" si="21"/>
        <v>78.88</v>
      </c>
      <c r="J295" s="65"/>
      <c r="K295" s="65"/>
      <c r="L295" s="65"/>
      <c r="M295" s="65"/>
      <c r="N295" s="65"/>
      <c r="O295" s="65"/>
      <c r="P295" s="65"/>
      <c r="Q295" s="65"/>
    </row>
    <row r="296" spans="1:18" s="141" customFormat="1" x14ac:dyDescent="0.25">
      <c r="A296" s="268" t="s">
        <v>1293</v>
      </c>
      <c r="B296" s="375" t="s">
        <v>98</v>
      </c>
      <c r="C296" s="375">
        <v>2696</v>
      </c>
      <c r="D296" s="377" t="s">
        <v>251</v>
      </c>
      <c r="E296" s="375" t="s">
        <v>97</v>
      </c>
      <c r="F296" s="376">
        <v>8</v>
      </c>
      <c r="G296" s="277">
        <v>9.86</v>
      </c>
      <c r="H296" s="376">
        <f t="shared" si="20"/>
        <v>9.86</v>
      </c>
      <c r="I296" s="271">
        <f t="shared" si="21"/>
        <v>78.88</v>
      </c>
      <c r="J296" s="140"/>
      <c r="K296" s="140"/>
      <c r="L296" s="140"/>
      <c r="M296" s="140"/>
      <c r="N296" s="140"/>
      <c r="O296" s="140"/>
      <c r="P296" s="140"/>
      <c r="Q296" s="140"/>
    </row>
    <row r="297" spans="1:18" s="141" customFormat="1" x14ac:dyDescent="0.25">
      <c r="A297" s="268" t="s">
        <v>1294</v>
      </c>
      <c r="B297" s="375" t="s">
        <v>98</v>
      </c>
      <c r="C297" s="375">
        <v>246</v>
      </c>
      <c r="D297" s="377" t="s">
        <v>250</v>
      </c>
      <c r="E297" s="375" t="s">
        <v>97</v>
      </c>
      <c r="F297" s="376">
        <v>8</v>
      </c>
      <c r="G297" s="277">
        <v>8.68</v>
      </c>
      <c r="H297" s="376">
        <f t="shared" si="20"/>
        <v>8.68</v>
      </c>
      <c r="I297" s="271">
        <f t="shared" si="21"/>
        <v>69.44</v>
      </c>
      <c r="J297" s="140"/>
      <c r="K297" s="140"/>
      <c r="L297" s="140"/>
      <c r="M297" s="140"/>
      <c r="N297" s="140"/>
      <c r="O297" s="140"/>
      <c r="P297" s="140"/>
      <c r="Q297" s="140"/>
    </row>
    <row r="298" spans="1:18" s="135" customFormat="1" ht="14.25" customHeight="1" x14ac:dyDescent="0.2">
      <c r="A298" s="268" t="s">
        <v>1295</v>
      </c>
      <c r="B298" s="375" t="s">
        <v>98</v>
      </c>
      <c r="C298" s="375">
        <v>6111</v>
      </c>
      <c r="D298" s="377" t="s">
        <v>252</v>
      </c>
      <c r="E298" s="375" t="s">
        <v>97</v>
      </c>
      <c r="F298" s="376">
        <v>16</v>
      </c>
      <c r="G298" s="277">
        <v>6.46</v>
      </c>
      <c r="H298" s="376">
        <f t="shared" si="20"/>
        <v>6.46</v>
      </c>
      <c r="I298" s="271">
        <f t="shared" si="21"/>
        <v>103.36</v>
      </c>
      <c r="J298" s="134"/>
      <c r="K298" s="134"/>
      <c r="L298" s="134"/>
      <c r="M298" s="134"/>
      <c r="N298" s="134"/>
      <c r="O298" s="134"/>
      <c r="P298" s="134"/>
      <c r="Q298" s="134"/>
    </row>
    <row r="299" spans="1:18" s="135" customFormat="1" ht="14.25" customHeight="1" x14ac:dyDescent="0.2">
      <c r="A299" s="268"/>
      <c r="B299" s="375"/>
      <c r="C299" s="375"/>
      <c r="D299" s="377"/>
      <c r="E299" s="375"/>
      <c r="F299" s="376"/>
      <c r="G299" s="277"/>
      <c r="H299" s="376"/>
      <c r="I299" s="271"/>
      <c r="J299" s="134"/>
      <c r="K299" s="134"/>
      <c r="L299" s="134"/>
      <c r="M299" s="134"/>
      <c r="N299" s="134"/>
      <c r="O299" s="134"/>
      <c r="P299" s="134"/>
      <c r="Q299" s="134"/>
    </row>
    <row r="300" spans="1:18" s="135" customFormat="1" ht="14.25" customHeight="1" x14ac:dyDescent="0.2">
      <c r="A300" s="263" t="s">
        <v>698</v>
      </c>
      <c r="B300" s="205" t="s">
        <v>306</v>
      </c>
      <c r="C300" s="557" t="s">
        <v>671</v>
      </c>
      <c r="D300" s="206" t="s">
        <v>1593</v>
      </c>
      <c r="E300" s="205"/>
      <c r="F300" s="315"/>
      <c r="G300" s="316"/>
      <c r="H300" s="316"/>
      <c r="I300" s="560">
        <f>SUM(I301:I302)</f>
        <v>234.3</v>
      </c>
      <c r="J300" s="134"/>
      <c r="K300" s="134"/>
      <c r="L300" s="134"/>
      <c r="M300" s="134"/>
      <c r="N300" s="134"/>
      <c r="O300" s="134"/>
      <c r="P300" s="134"/>
      <c r="Q300" s="134"/>
    </row>
    <row r="301" spans="1:18" s="135" customFormat="1" ht="14.25" customHeight="1" x14ac:dyDescent="0.2">
      <c r="A301" s="268" t="s">
        <v>700</v>
      </c>
      <c r="B301" s="375" t="s">
        <v>98</v>
      </c>
      <c r="C301" s="375" t="s">
        <v>633</v>
      </c>
      <c r="D301" s="377" t="s">
        <v>634</v>
      </c>
      <c r="E301" s="375" t="s">
        <v>97</v>
      </c>
      <c r="F301" s="376">
        <v>10</v>
      </c>
      <c r="G301" s="277">
        <v>14.75</v>
      </c>
      <c r="H301" s="376">
        <f>ROUND((1+K$3)*G301,2)</f>
        <v>14.75</v>
      </c>
      <c r="I301" s="271">
        <f>ROUND(F301*H301,2)</f>
        <v>147.5</v>
      </c>
      <c r="J301" s="134"/>
      <c r="K301" s="134"/>
      <c r="L301" s="134"/>
      <c r="M301" s="134"/>
      <c r="N301" s="134"/>
      <c r="O301" s="134"/>
      <c r="P301" s="134"/>
      <c r="Q301" s="134"/>
    </row>
    <row r="302" spans="1:18" s="135" customFormat="1" ht="14.25" customHeight="1" x14ac:dyDescent="0.2">
      <c r="A302" s="268" t="s">
        <v>701</v>
      </c>
      <c r="B302" s="375" t="s">
        <v>98</v>
      </c>
      <c r="C302" s="375" t="s">
        <v>635</v>
      </c>
      <c r="D302" s="377" t="s">
        <v>250</v>
      </c>
      <c r="E302" s="375" t="s">
        <v>97</v>
      </c>
      <c r="F302" s="376">
        <v>10</v>
      </c>
      <c r="G302" s="277">
        <v>8.68</v>
      </c>
      <c r="H302" s="376">
        <f>ROUND((1+K$3)*G302,2)</f>
        <v>8.68</v>
      </c>
      <c r="I302" s="271">
        <f>ROUND(F302*H302,2)</f>
        <v>86.8</v>
      </c>
      <c r="J302" s="134"/>
      <c r="K302" s="134"/>
      <c r="L302" s="134"/>
      <c r="M302" s="134"/>
      <c r="N302" s="134"/>
      <c r="O302" s="134"/>
      <c r="P302" s="134"/>
      <c r="Q302" s="134"/>
    </row>
    <row r="303" spans="1:18" s="246" customFormat="1" ht="14.25" customHeight="1" x14ac:dyDescent="0.2">
      <c r="A303" s="268"/>
      <c r="B303" s="375"/>
      <c r="C303" s="375"/>
      <c r="D303" s="377"/>
      <c r="E303" s="375"/>
      <c r="F303" s="376"/>
      <c r="G303" s="277"/>
      <c r="H303" s="376"/>
      <c r="I303" s="271"/>
      <c r="J303" s="245"/>
      <c r="K303" s="245"/>
      <c r="L303" s="245"/>
      <c r="M303" s="245"/>
      <c r="N303" s="245"/>
      <c r="O303" s="245"/>
      <c r="P303" s="245"/>
      <c r="Q303" s="245"/>
    </row>
    <row r="304" spans="1:18" s="43" customFormat="1" ht="15.95" customHeight="1" x14ac:dyDescent="0.2">
      <c r="A304" s="263" t="s">
        <v>702</v>
      </c>
      <c r="B304" s="205" t="s">
        <v>306</v>
      </c>
      <c r="C304" s="557" t="s">
        <v>672</v>
      </c>
      <c r="D304" s="206" t="s">
        <v>699</v>
      </c>
      <c r="E304" s="205" t="s">
        <v>10</v>
      </c>
      <c r="F304" s="315"/>
      <c r="G304" s="316"/>
      <c r="H304" s="316"/>
      <c r="I304" s="560">
        <f>SUM(I305:I344)</f>
        <v>1123.7</v>
      </c>
      <c r="J304" s="44"/>
      <c r="K304" s="45"/>
      <c r="L304" s="44"/>
      <c r="M304" s="44"/>
      <c r="N304" s="44"/>
      <c r="O304" s="44"/>
      <c r="P304" s="44"/>
      <c r="Q304" s="44"/>
    </row>
    <row r="305" spans="1:17" s="43" customFormat="1" ht="15.95" customHeight="1" x14ac:dyDescent="0.2">
      <c r="A305" s="577" t="s">
        <v>703</v>
      </c>
      <c r="B305" s="374" t="s">
        <v>98</v>
      </c>
      <c r="C305" s="374">
        <v>6138</v>
      </c>
      <c r="D305" s="379" t="s">
        <v>39</v>
      </c>
      <c r="E305" s="543" t="s">
        <v>110</v>
      </c>
      <c r="F305" s="381">
        <v>1</v>
      </c>
      <c r="G305" s="376">
        <v>3.2</v>
      </c>
      <c r="H305" s="57">
        <f t="shared" ref="H305:H351" si="22">ROUND((1+K$3)*G305,2)</f>
        <v>3.2</v>
      </c>
      <c r="I305" s="267">
        <f t="shared" ref="I305:I351" si="23">ROUND(F305*H305,2)</f>
        <v>3.2</v>
      </c>
      <c r="J305" s="44"/>
      <c r="K305" s="45"/>
      <c r="L305" s="44"/>
      <c r="M305" s="44"/>
      <c r="N305" s="44"/>
      <c r="O305" s="44"/>
      <c r="P305" s="44"/>
      <c r="Q305" s="44"/>
    </row>
    <row r="306" spans="1:17" s="43" customFormat="1" ht="15.95" customHeight="1" x14ac:dyDescent="0.2">
      <c r="A306" s="577" t="s">
        <v>704</v>
      </c>
      <c r="B306" s="374" t="s">
        <v>98</v>
      </c>
      <c r="C306" s="374">
        <v>9862</v>
      </c>
      <c r="D306" s="379" t="s">
        <v>26</v>
      </c>
      <c r="E306" s="543" t="s">
        <v>107</v>
      </c>
      <c r="F306" s="381">
        <v>3</v>
      </c>
      <c r="G306" s="376">
        <v>15.41</v>
      </c>
      <c r="H306" s="57">
        <f t="shared" si="22"/>
        <v>15.41</v>
      </c>
      <c r="I306" s="267">
        <f t="shared" si="23"/>
        <v>46.23</v>
      </c>
      <c r="J306" s="44"/>
      <c r="K306" s="45"/>
      <c r="L306" s="44"/>
      <c r="M306" s="44"/>
      <c r="N306" s="44"/>
      <c r="O306" s="44"/>
      <c r="P306" s="44"/>
      <c r="Q306" s="44"/>
    </row>
    <row r="307" spans="1:17" s="43" customFormat="1" ht="15.95" customHeight="1" x14ac:dyDescent="0.2">
      <c r="A307" s="577" t="s">
        <v>705</v>
      </c>
      <c r="B307" s="374" t="s">
        <v>98</v>
      </c>
      <c r="C307" s="374">
        <v>9859</v>
      </c>
      <c r="D307" s="379" t="s">
        <v>28</v>
      </c>
      <c r="E307" s="543" t="s">
        <v>107</v>
      </c>
      <c r="F307" s="381">
        <v>7</v>
      </c>
      <c r="G307" s="376">
        <v>3.92</v>
      </c>
      <c r="H307" s="57">
        <f t="shared" si="22"/>
        <v>3.92</v>
      </c>
      <c r="I307" s="267">
        <f t="shared" si="23"/>
        <v>27.44</v>
      </c>
      <c r="J307" s="44"/>
      <c r="K307" s="45"/>
      <c r="L307" s="44"/>
      <c r="M307" s="44"/>
      <c r="N307" s="44"/>
      <c r="O307" s="44"/>
      <c r="P307" s="44"/>
      <c r="Q307" s="44"/>
    </row>
    <row r="308" spans="1:17" s="43" customFormat="1" ht="15.95" customHeight="1" x14ac:dyDescent="0.2">
      <c r="A308" s="577" t="s">
        <v>1296</v>
      </c>
      <c r="B308" s="374" t="s">
        <v>98</v>
      </c>
      <c r="C308" s="374">
        <v>9856</v>
      </c>
      <c r="D308" s="379" t="s">
        <v>27</v>
      </c>
      <c r="E308" s="543" t="s">
        <v>107</v>
      </c>
      <c r="F308" s="381">
        <v>1</v>
      </c>
      <c r="G308" s="376">
        <v>3.57</v>
      </c>
      <c r="H308" s="57">
        <f t="shared" si="22"/>
        <v>3.57</v>
      </c>
      <c r="I308" s="267">
        <f t="shared" si="23"/>
        <v>3.57</v>
      </c>
      <c r="J308" s="44"/>
      <c r="K308" s="45"/>
      <c r="L308" s="44"/>
      <c r="M308" s="44"/>
      <c r="N308" s="44"/>
      <c r="O308" s="44"/>
      <c r="P308" s="44"/>
      <c r="Q308" s="44"/>
    </row>
    <row r="309" spans="1:17" s="43" customFormat="1" ht="15.95" customHeight="1" x14ac:dyDescent="0.2">
      <c r="A309" s="577" t="s">
        <v>1297</v>
      </c>
      <c r="B309" s="374" t="s">
        <v>98</v>
      </c>
      <c r="C309" s="374">
        <v>7126</v>
      </c>
      <c r="D309" s="379" t="s">
        <v>29</v>
      </c>
      <c r="E309" s="543" t="s">
        <v>110</v>
      </c>
      <c r="F309" s="381">
        <v>2</v>
      </c>
      <c r="G309" s="376">
        <v>10.16</v>
      </c>
      <c r="H309" s="57">
        <f t="shared" si="22"/>
        <v>10.16</v>
      </c>
      <c r="I309" s="267">
        <f t="shared" si="23"/>
        <v>20.32</v>
      </c>
      <c r="J309" s="44"/>
      <c r="K309" s="45"/>
      <c r="L309" s="44"/>
      <c r="M309" s="44"/>
      <c r="N309" s="44"/>
      <c r="O309" s="44"/>
      <c r="P309" s="44"/>
      <c r="Q309" s="44"/>
    </row>
    <row r="310" spans="1:17" s="43" customFormat="1" ht="14.25" x14ac:dyDescent="0.2">
      <c r="A310" s="577" t="s">
        <v>1298</v>
      </c>
      <c r="B310" s="374" t="s">
        <v>98</v>
      </c>
      <c r="C310" s="374">
        <v>7120</v>
      </c>
      <c r="D310" s="379" t="s">
        <v>30</v>
      </c>
      <c r="E310" s="543" t="s">
        <v>110</v>
      </c>
      <c r="F310" s="381">
        <v>1</v>
      </c>
      <c r="G310" s="376">
        <v>3.57</v>
      </c>
      <c r="H310" s="57">
        <f t="shared" si="22"/>
        <v>3.57</v>
      </c>
      <c r="I310" s="267">
        <f t="shared" si="23"/>
        <v>3.57</v>
      </c>
      <c r="J310" s="44"/>
      <c r="K310" s="45"/>
      <c r="L310" s="44"/>
      <c r="M310" s="44"/>
      <c r="N310" s="44"/>
      <c r="O310" s="44"/>
      <c r="P310" s="44"/>
      <c r="Q310" s="44"/>
    </row>
    <row r="311" spans="1:17" s="7" customFormat="1" ht="14.25" customHeight="1" x14ac:dyDescent="0.2">
      <c r="A311" s="577" t="s">
        <v>1299</v>
      </c>
      <c r="B311" s="374" t="s">
        <v>98</v>
      </c>
      <c r="C311" s="374">
        <v>7123</v>
      </c>
      <c r="D311" s="379" t="s">
        <v>31</v>
      </c>
      <c r="E311" s="543" t="s">
        <v>110</v>
      </c>
      <c r="F311" s="381">
        <v>1</v>
      </c>
      <c r="G311" s="376">
        <v>1.8</v>
      </c>
      <c r="H311" s="57">
        <f t="shared" si="22"/>
        <v>1.8</v>
      </c>
      <c r="I311" s="267">
        <f t="shared" si="23"/>
        <v>1.8</v>
      </c>
      <c r="J311" s="6"/>
      <c r="K311" s="6"/>
      <c r="L311" s="6"/>
      <c r="M311" s="6"/>
      <c r="N311" s="6"/>
      <c r="O311" s="6"/>
      <c r="P311" s="6"/>
      <c r="Q311" s="6"/>
    </row>
    <row r="312" spans="1:17" s="7" customFormat="1" ht="15.95" customHeight="1" x14ac:dyDescent="0.2">
      <c r="A312" s="577" t="s">
        <v>1300</v>
      </c>
      <c r="B312" s="374" t="s">
        <v>98</v>
      </c>
      <c r="C312" s="374">
        <v>72</v>
      </c>
      <c r="D312" s="379" t="s">
        <v>40</v>
      </c>
      <c r="E312" s="543" t="s">
        <v>110</v>
      </c>
      <c r="F312" s="381">
        <v>1</v>
      </c>
      <c r="G312" s="376">
        <v>16.989999999999998</v>
      </c>
      <c r="H312" s="57">
        <f t="shared" si="22"/>
        <v>16.989999999999998</v>
      </c>
      <c r="I312" s="267">
        <f t="shared" si="23"/>
        <v>16.989999999999998</v>
      </c>
      <c r="J312" s="6"/>
      <c r="K312" s="6"/>
      <c r="L312" s="6"/>
      <c r="M312" s="6"/>
      <c r="N312" s="6"/>
      <c r="O312" s="6"/>
      <c r="P312" s="6"/>
      <c r="Q312" s="6"/>
    </row>
    <row r="313" spans="1:17" s="43" customFormat="1" ht="15.95" customHeight="1" x14ac:dyDescent="0.2">
      <c r="A313" s="577" t="s">
        <v>1301</v>
      </c>
      <c r="B313" s="374" t="s">
        <v>98</v>
      </c>
      <c r="C313" s="374">
        <v>73</v>
      </c>
      <c r="D313" s="379" t="s">
        <v>41</v>
      </c>
      <c r="E313" s="543" t="s">
        <v>110</v>
      </c>
      <c r="F313" s="381">
        <v>1</v>
      </c>
      <c r="G313" s="376">
        <v>9.49</v>
      </c>
      <c r="H313" s="57">
        <f t="shared" si="22"/>
        <v>9.49</v>
      </c>
      <c r="I313" s="267">
        <f t="shared" si="23"/>
        <v>9.49</v>
      </c>
      <c r="J313" s="44"/>
      <c r="K313" s="45"/>
      <c r="L313" s="44"/>
      <c r="M313" s="44"/>
      <c r="N313" s="44"/>
      <c r="O313" s="44"/>
      <c r="P313" s="44"/>
      <c r="Q313" s="44"/>
    </row>
    <row r="314" spans="1:17" s="43" customFormat="1" ht="15.95" customHeight="1" x14ac:dyDescent="0.2">
      <c r="A314" s="577" t="s">
        <v>1302</v>
      </c>
      <c r="B314" s="374" t="s">
        <v>98</v>
      </c>
      <c r="C314" s="374">
        <v>3481</v>
      </c>
      <c r="D314" s="379" t="s">
        <v>42</v>
      </c>
      <c r="E314" s="543" t="s">
        <v>110</v>
      </c>
      <c r="F314" s="381">
        <v>1</v>
      </c>
      <c r="G314" s="376">
        <v>8.4</v>
      </c>
      <c r="H314" s="57">
        <f t="shared" si="22"/>
        <v>8.4</v>
      </c>
      <c r="I314" s="267">
        <f t="shared" si="23"/>
        <v>8.4</v>
      </c>
      <c r="J314" s="44"/>
      <c r="K314" s="45"/>
      <c r="L314" s="44"/>
      <c r="M314" s="44"/>
      <c r="N314" s="44"/>
      <c r="O314" s="44"/>
      <c r="P314" s="44"/>
      <c r="Q314" s="44"/>
    </row>
    <row r="315" spans="1:17" s="43" customFormat="1" ht="15.95" customHeight="1" x14ac:dyDescent="0.2">
      <c r="A315" s="577" t="s">
        <v>1303</v>
      </c>
      <c r="B315" s="374" t="s">
        <v>98</v>
      </c>
      <c r="C315" s="374">
        <v>3534</v>
      </c>
      <c r="D315" s="379" t="s">
        <v>146</v>
      </c>
      <c r="E315" s="543" t="s">
        <v>110</v>
      </c>
      <c r="F315" s="381">
        <v>9</v>
      </c>
      <c r="G315" s="376">
        <v>2.19</v>
      </c>
      <c r="H315" s="57">
        <f t="shared" si="22"/>
        <v>2.19</v>
      </c>
      <c r="I315" s="267">
        <f t="shared" si="23"/>
        <v>19.71</v>
      </c>
      <c r="J315" s="44"/>
      <c r="K315" s="45"/>
      <c r="L315" s="44"/>
      <c r="M315" s="44"/>
      <c r="N315" s="44"/>
      <c r="O315" s="44"/>
      <c r="P315" s="44"/>
      <c r="Q315" s="44"/>
    </row>
    <row r="316" spans="1:17" s="43" customFormat="1" ht="15.95" customHeight="1" x14ac:dyDescent="0.2">
      <c r="A316" s="577" t="s">
        <v>1304</v>
      </c>
      <c r="B316" s="374" t="s">
        <v>98</v>
      </c>
      <c r="C316" s="374">
        <v>3442</v>
      </c>
      <c r="D316" s="379" t="s">
        <v>141</v>
      </c>
      <c r="E316" s="543" t="s">
        <v>110</v>
      </c>
      <c r="F316" s="381">
        <v>1</v>
      </c>
      <c r="G316" s="376">
        <v>6.65</v>
      </c>
      <c r="H316" s="57">
        <f t="shared" si="22"/>
        <v>6.65</v>
      </c>
      <c r="I316" s="267">
        <f t="shared" si="23"/>
        <v>6.65</v>
      </c>
      <c r="J316" s="44"/>
      <c r="K316" s="45"/>
      <c r="L316" s="44"/>
      <c r="M316" s="44"/>
      <c r="N316" s="44"/>
      <c r="O316" s="44"/>
      <c r="P316" s="44"/>
      <c r="Q316" s="44"/>
    </row>
    <row r="317" spans="1:17" s="43" customFormat="1" ht="15.95" customHeight="1" x14ac:dyDescent="0.2">
      <c r="A317" s="577" t="s">
        <v>1305</v>
      </c>
      <c r="B317" s="374" t="s">
        <v>98</v>
      </c>
      <c r="C317" s="374">
        <v>3450</v>
      </c>
      <c r="D317" s="379" t="s">
        <v>148</v>
      </c>
      <c r="E317" s="543" t="s">
        <v>110</v>
      </c>
      <c r="F317" s="381">
        <v>1</v>
      </c>
      <c r="G317" s="376">
        <v>5.83</v>
      </c>
      <c r="H317" s="57">
        <f t="shared" si="22"/>
        <v>5.83</v>
      </c>
      <c r="I317" s="267">
        <f t="shared" si="23"/>
        <v>5.83</v>
      </c>
      <c r="J317" s="44"/>
      <c r="K317" s="45"/>
      <c r="L317" s="44"/>
      <c r="M317" s="44"/>
      <c r="N317" s="44"/>
      <c r="O317" s="44"/>
      <c r="P317" s="44"/>
      <c r="Q317" s="44"/>
    </row>
    <row r="318" spans="1:17" s="43" customFormat="1" ht="15.95" customHeight="1" x14ac:dyDescent="0.2">
      <c r="A318" s="577" t="s">
        <v>1306</v>
      </c>
      <c r="B318" s="374" t="s">
        <v>98</v>
      </c>
      <c r="C318" s="374">
        <v>3496</v>
      </c>
      <c r="D318" s="379" t="s">
        <v>149</v>
      </c>
      <c r="E318" s="543" t="s">
        <v>110</v>
      </c>
      <c r="F318" s="381">
        <v>1</v>
      </c>
      <c r="G318" s="376">
        <v>1.61</v>
      </c>
      <c r="H318" s="57">
        <f t="shared" si="22"/>
        <v>1.61</v>
      </c>
      <c r="I318" s="267">
        <f t="shared" si="23"/>
        <v>1.61</v>
      </c>
      <c r="J318" s="44"/>
      <c r="K318" s="45"/>
      <c r="L318" s="44"/>
      <c r="M318" s="44"/>
      <c r="N318" s="44"/>
      <c r="O318" s="44"/>
      <c r="P318" s="44"/>
      <c r="Q318" s="44"/>
    </row>
    <row r="319" spans="1:17" s="43" customFormat="1" ht="15.95" customHeight="1" x14ac:dyDescent="0.2">
      <c r="A319" s="577" t="s">
        <v>1307</v>
      </c>
      <c r="B319" s="374" t="s">
        <v>98</v>
      </c>
      <c r="C319" s="374">
        <v>9899</v>
      </c>
      <c r="D319" s="379" t="s">
        <v>43</v>
      </c>
      <c r="E319" s="543" t="s">
        <v>110</v>
      </c>
      <c r="F319" s="381">
        <v>1</v>
      </c>
      <c r="G319" s="376">
        <v>5.05</v>
      </c>
      <c r="H319" s="57">
        <f t="shared" si="22"/>
        <v>5.05</v>
      </c>
      <c r="I319" s="267">
        <f t="shared" si="23"/>
        <v>5.05</v>
      </c>
      <c r="J319" s="44"/>
      <c r="K319" s="45"/>
      <c r="L319" s="44"/>
      <c r="M319" s="44"/>
      <c r="N319" s="44"/>
      <c r="O319" s="44"/>
      <c r="P319" s="44"/>
      <c r="Q319" s="44"/>
    </row>
    <row r="320" spans="1:17" s="43" customFormat="1" ht="15.95" customHeight="1" x14ac:dyDescent="0.2">
      <c r="A320" s="577" t="s">
        <v>1308</v>
      </c>
      <c r="B320" s="374" t="s">
        <v>98</v>
      </c>
      <c r="C320" s="374">
        <v>4211</v>
      </c>
      <c r="D320" s="379" t="s">
        <v>142</v>
      </c>
      <c r="E320" s="543" t="s">
        <v>110</v>
      </c>
      <c r="F320" s="381">
        <v>1</v>
      </c>
      <c r="G320" s="376">
        <v>0.6</v>
      </c>
      <c r="H320" s="57">
        <f t="shared" si="22"/>
        <v>0.6</v>
      </c>
      <c r="I320" s="267">
        <f t="shared" si="23"/>
        <v>0.6</v>
      </c>
      <c r="J320" s="44"/>
      <c r="K320" s="45"/>
      <c r="L320" s="44"/>
      <c r="M320" s="44"/>
      <c r="N320" s="44"/>
      <c r="O320" s="44"/>
      <c r="P320" s="44"/>
      <c r="Q320" s="44"/>
    </row>
    <row r="321" spans="1:17" s="43" customFormat="1" ht="15.95" customHeight="1" x14ac:dyDescent="0.2">
      <c r="A321" s="577" t="s">
        <v>1309</v>
      </c>
      <c r="B321" s="374" t="s">
        <v>98</v>
      </c>
      <c r="C321" s="374">
        <v>4210</v>
      </c>
      <c r="D321" s="379" t="s">
        <v>143</v>
      </c>
      <c r="E321" s="543" t="s">
        <v>110</v>
      </c>
      <c r="F321" s="381">
        <v>1</v>
      </c>
      <c r="G321" s="376">
        <v>0.51</v>
      </c>
      <c r="H321" s="57">
        <f t="shared" si="22"/>
        <v>0.51</v>
      </c>
      <c r="I321" s="267">
        <f t="shared" si="23"/>
        <v>0.51</v>
      </c>
      <c r="J321" s="44"/>
      <c r="K321" s="45"/>
      <c r="L321" s="44"/>
      <c r="M321" s="44"/>
      <c r="N321" s="44"/>
      <c r="O321" s="44"/>
      <c r="P321" s="44"/>
      <c r="Q321" s="44"/>
    </row>
    <row r="322" spans="1:17" s="43" customFormat="1" ht="15.95" customHeight="1" x14ac:dyDescent="0.2">
      <c r="A322" s="577" t="s">
        <v>1310</v>
      </c>
      <c r="B322" s="374" t="s">
        <v>98</v>
      </c>
      <c r="C322" s="374">
        <v>10228</v>
      </c>
      <c r="D322" s="379" t="s">
        <v>56</v>
      </c>
      <c r="E322" s="543" t="s">
        <v>110</v>
      </c>
      <c r="F322" s="381">
        <v>1</v>
      </c>
      <c r="G322" s="376">
        <v>107.17</v>
      </c>
      <c r="H322" s="57">
        <f t="shared" si="22"/>
        <v>107.17</v>
      </c>
      <c r="I322" s="267">
        <f t="shared" si="23"/>
        <v>107.17</v>
      </c>
      <c r="J322" s="44"/>
      <c r="K322" s="45"/>
      <c r="L322" s="44"/>
      <c r="M322" s="44"/>
      <c r="N322" s="44"/>
      <c r="O322" s="44"/>
      <c r="P322" s="44"/>
      <c r="Q322" s="44"/>
    </row>
    <row r="323" spans="1:17" s="43" customFormat="1" ht="15.95" customHeight="1" x14ac:dyDescent="0.2">
      <c r="A323" s="577" t="s">
        <v>1311</v>
      </c>
      <c r="B323" s="374" t="s">
        <v>98</v>
      </c>
      <c r="C323" s="374">
        <v>1031</v>
      </c>
      <c r="D323" s="379" t="s">
        <v>150</v>
      </c>
      <c r="E323" s="543" t="s">
        <v>110</v>
      </c>
      <c r="F323" s="381">
        <v>1</v>
      </c>
      <c r="G323" s="376">
        <v>3.51</v>
      </c>
      <c r="H323" s="57">
        <f t="shared" si="22"/>
        <v>3.51</v>
      </c>
      <c r="I323" s="267">
        <f t="shared" si="23"/>
        <v>3.51</v>
      </c>
      <c r="J323" s="44"/>
      <c r="K323" s="45"/>
      <c r="L323" s="44"/>
      <c r="M323" s="44"/>
      <c r="N323" s="44"/>
      <c r="O323" s="44"/>
      <c r="P323" s="44"/>
      <c r="Q323" s="44"/>
    </row>
    <row r="324" spans="1:17" s="43" customFormat="1" ht="15.95" customHeight="1" x14ac:dyDescent="0.2">
      <c r="A324" s="577" t="s">
        <v>1312</v>
      </c>
      <c r="B324" s="374" t="s">
        <v>98</v>
      </c>
      <c r="C324" s="374">
        <v>6015</v>
      </c>
      <c r="D324" s="379" t="s">
        <v>44</v>
      </c>
      <c r="E324" s="543" t="s">
        <v>110</v>
      </c>
      <c r="F324" s="381">
        <v>1</v>
      </c>
      <c r="G324" s="57">
        <v>82.33</v>
      </c>
      <c r="H324" s="57">
        <f t="shared" si="22"/>
        <v>82.33</v>
      </c>
      <c r="I324" s="267">
        <f t="shared" si="23"/>
        <v>82.33</v>
      </c>
      <c r="J324" s="44"/>
      <c r="K324" s="45"/>
      <c r="L324" s="44"/>
      <c r="M324" s="44"/>
      <c r="N324" s="44"/>
      <c r="O324" s="44"/>
      <c r="P324" s="44"/>
      <c r="Q324" s="44"/>
    </row>
    <row r="325" spans="1:17" s="43" customFormat="1" ht="15.95" customHeight="1" x14ac:dyDescent="0.2">
      <c r="A325" s="577" t="s">
        <v>1313</v>
      </c>
      <c r="B325" s="374" t="s">
        <v>98</v>
      </c>
      <c r="C325" s="374">
        <v>6021</v>
      </c>
      <c r="D325" s="379" t="s">
        <v>151</v>
      </c>
      <c r="E325" s="543" t="s">
        <v>110</v>
      </c>
      <c r="F325" s="381">
        <v>1</v>
      </c>
      <c r="G325" s="376">
        <v>38.07</v>
      </c>
      <c r="H325" s="57">
        <f t="shared" si="22"/>
        <v>38.07</v>
      </c>
      <c r="I325" s="267">
        <f t="shared" si="23"/>
        <v>38.07</v>
      </c>
      <c r="J325" s="44"/>
      <c r="K325" s="45"/>
      <c r="L325" s="44"/>
      <c r="M325" s="44"/>
      <c r="N325" s="44"/>
      <c r="O325" s="44"/>
      <c r="P325" s="44"/>
      <c r="Q325" s="44"/>
    </row>
    <row r="326" spans="1:17" s="43" customFormat="1" ht="15.95" customHeight="1" x14ac:dyDescent="0.2">
      <c r="A326" s="577" t="s">
        <v>1314</v>
      </c>
      <c r="B326" s="375" t="s">
        <v>98</v>
      </c>
      <c r="C326" s="375">
        <v>11871</v>
      </c>
      <c r="D326" s="379" t="s">
        <v>181</v>
      </c>
      <c r="E326" s="543" t="s">
        <v>110</v>
      </c>
      <c r="F326" s="381">
        <v>1</v>
      </c>
      <c r="G326" s="376">
        <v>145.44</v>
      </c>
      <c r="H326" s="57">
        <f t="shared" si="22"/>
        <v>145.44</v>
      </c>
      <c r="I326" s="267">
        <f t="shared" si="23"/>
        <v>145.44</v>
      </c>
      <c r="J326" s="44"/>
      <c r="K326" s="45"/>
      <c r="L326" s="44"/>
      <c r="M326" s="44"/>
      <c r="N326" s="44"/>
      <c r="O326" s="44"/>
      <c r="P326" s="44"/>
      <c r="Q326" s="44"/>
    </row>
    <row r="327" spans="1:17" s="43" customFormat="1" ht="14.25" customHeight="1" x14ac:dyDescent="0.2">
      <c r="A327" s="577" t="s">
        <v>1315</v>
      </c>
      <c r="B327" s="374" t="s">
        <v>98</v>
      </c>
      <c r="C327" s="374">
        <v>6005</v>
      </c>
      <c r="D327" s="379" t="s">
        <v>24</v>
      </c>
      <c r="E327" s="543" t="s">
        <v>110</v>
      </c>
      <c r="F327" s="381">
        <v>1</v>
      </c>
      <c r="G327" s="376">
        <v>42.15</v>
      </c>
      <c r="H327" s="57">
        <f t="shared" si="22"/>
        <v>42.15</v>
      </c>
      <c r="I327" s="267">
        <f t="shared" si="23"/>
        <v>42.15</v>
      </c>
      <c r="J327" s="44"/>
      <c r="K327" s="45"/>
      <c r="L327" s="44"/>
      <c r="M327" s="44"/>
      <c r="N327" s="44"/>
      <c r="O327" s="44"/>
      <c r="P327" s="44"/>
      <c r="Q327" s="44"/>
    </row>
    <row r="328" spans="1:17" s="43" customFormat="1" ht="15.95" customHeight="1" x14ac:dyDescent="0.2">
      <c r="A328" s="577" t="s">
        <v>1316</v>
      </c>
      <c r="B328" s="375" t="s">
        <v>9</v>
      </c>
      <c r="C328" s="375"/>
      <c r="D328" s="377" t="s">
        <v>152</v>
      </c>
      <c r="E328" s="375" t="s">
        <v>110</v>
      </c>
      <c r="F328" s="376">
        <v>20</v>
      </c>
      <c r="G328" s="578">
        <v>4.18</v>
      </c>
      <c r="H328" s="376">
        <f t="shared" si="22"/>
        <v>4.18</v>
      </c>
      <c r="I328" s="271">
        <f t="shared" si="23"/>
        <v>83.6</v>
      </c>
      <c r="J328" s="44"/>
      <c r="K328" s="45"/>
      <c r="L328" s="44"/>
      <c r="M328" s="44"/>
      <c r="N328" s="44"/>
      <c r="O328" s="44"/>
      <c r="P328" s="44"/>
      <c r="Q328" s="44"/>
    </row>
    <row r="329" spans="1:17" s="43" customFormat="1" ht="15.95" customHeight="1" x14ac:dyDescent="0.2">
      <c r="A329" s="577" t="s">
        <v>1317</v>
      </c>
      <c r="B329" s="374" t="s">
        <v>98</v>
      </c>
      <c r="C329" s="374">
        <v>7606</v>
      </c>
      <c r="D329" s="379" t="s">
        <v>32</v>
      </c>
      <c r="E329" s="543" t="s">
        <v>110</v>
      </c>
      <c r="F329" s="381">
        <v>1</v>
      </c>
      <c r="G329" s="376">
        <v>30.44</v>
      </c>
      <c r="H329" s="57">
        <f t="shared" si="22"/>
        <v>30.44</v>
      </c>
      <c r="I329" s="267">
        <f t="shared" si="23"/>
        <v>30.44</v>
      </c>
      <c r="J329" s="44"/>
      <c r="K329" s="45"/>
      <c r="L329" s="44"/>
      <c r="M329" s="44"/>
      <c r="N329" s="44"/>
      <c r="O329" s="44"/>
      <c r="P329" s="44"/>
      <c r="Q329" s="44"/>
    </row>
    <row r="330" spans="1:17" s="43" customFormat="1" ht="15.95" customHeight="1" x14ac:dyDescent="0.2">
      <c r="A330" s="577" t="s">
        <v>1318</v>
      </c>
      <c r="B330" s="374" t="s">
        <v>98</v>
      </c>
      <c r="C330" s="374">
        <v>9836</v>
      </c>
      <c r="D330" s="379" t="s">
        <v>33</v>
      </c>
      <c r="E330" s="543" t="s">
        <v>107</v>
      </c>
      <c r="F330" s="381">
        <v>30</v>
      </c>
      <c r="G330" s="376">
        <v>8.5</v>
      </c>
      <c r="H330" s="57">
        <f t="shared" si="22"/>
        <v>8.5</v>
      </c>
      <c r="I330" s="267">
        <f t="shared" si="23"/>
        <v>255</v>
      </c>
      <c r="J330" s="44"/>
      <c r="K330" s="45"/>
      <c r="L330" s="44"/>
      <c r="M330" s="44"/>
      <c r="N330" s="44"/>
      <c r="O330" s="44"/>
      <c r="P330" s="44"/>
      <c r="Q330" s="44"/>
    </row>
    <row r="331" spans="1:17" s="43" customFormat="1" ht="14.25" x14ac:dyDescent="0.2">
      <c r="A331" s="577" t="s">
        <v>1319</v>
      </c>
      <c r="B331" s="374" t="s">
        <v>98</v>
      </c>
      <c r="C331" s="374">
        <v>9838</v>
      </c>
      <c r="D331" s="379" t="s">
        <v>34</v>
      </c>
      <c r="E331" s="543" t="s">
        <v>107</v>
      </c>
      <c r="F331" s="381">
        <v>9</v>
      </c>
      <c r="G331" s="376">
        <v>5.56</v>
      </c>
      <c r="H331" s="57">
        <f t="shared" si="22"/>
        <v>5.56</v>
      </c>
      <c r="I331" s="267">
        <f t="shared" si="23"/>
        <v>50.04</v>
      </c>
      <c r="J331" s="44"/>
      <c r="K331" s="45"/>
      <c r="L331" s="44"/>
      <c r="M331" s="44"/>
      <c r="N331" s="44"/>
      <c r="O331" s="44"/>
      <c r="P331" s="44"/>
      <c r="Q331" s="44"/>
    </row>
    <row r="332" spans="1:17" s="43" customFormat="1" ht="14.25" x14ac:dyDescent="0.2">
      <c r="A332" s="577" t="s">
        <v>1320</v>
      </c>
      <c r="B332" s="374" t="s">
        <v>98</v>
      </c>
      <c r="C332" s="374">
        <v>9835</v>
      </c>
      <c r="D332" s="379" t="s">
        <v>144</v>
      </c>
      <c r="E332" s="543" t="s">
        <v>107</v>
      </c>
      <c r="F332" s="381">
        <v>4</v>
      </c>
      <c r="G332" s="376">
        <v>2.93</v>
      </c>
      <c r="H332" s="57">
        <f t="shared" si="22"/>
        <v>2.93</v>
      </c>
      <c r="I332" s="267">
        <f t="shared" si="23"/>
        <v>11.72</v>
      </c>
      <c r="J332" s="44"/>
      <c r="K332" s="45"/>
      <c r="L332" s="44"/>
      <c r="M332" s="44"/>
      <c r="N332" s="44"/>
      <c r="O332" s="44"/>
      <c r="P332" s="44"/>
      <c r="Q332" s="44"/>
    </row>
    <row r="333" spans="1:17" s="43" customFormat="1" ht="14.25" x14ac:dyDescent="0.2">
      <c r="A333" s="577" t="s">
        <v>1321</v>
      </c>
      <c r="B333" s="374" t="s">
        <v>98</v>
      </c>
      <c r="C333" s="374">
        <v>20157</v>
      </c>
      <c r="D333" s="379" t="s">
        <v>153</v>
      </c>
      <c r="E333" s="543" t="s">
        <v>110</v>
      </c>
      <c r="F333" s="381">
        <v>1</v>
      </c>
      <c r="G333" s="376">
        <v>19.059999999999999</v>
      </c>
      <c r="H333" s="57">
        <f t="shared" si="22"/>
        <v>19.059999999999999</v>
      </c>
      <c r="I333" s="267">
        <f t="shared" si="23"/>
        <v>19.059999999999999</v>
      </c>
      <c r="J333" s="44"/>
      <c r="K333" s="45"/>
      <c r="L333" s="44"/>
      <c r="M333" s="44"/>
      <c r="N333" s="44"/>
      <c r="O333" s="44"/>
      <c r="P333" s="44"/>
      <c r="Q333" s="44"/>
    </row>
    <row r="334" spans="1:17" s="43" customFormat="1" ht="14.25" x14ac:dyDescent="0.2">
      <c r="A334" s="577" t="s">
        <v>1322</v>
      </c>
      <c r="B334" s="374" t="s">
        <v>98</v>
      </c>
      <c r="C334" s="374">
        <v>20149</v>
      </c>
      <c r="D334" s="379" t="s">
        <v>154</v>
      </c>
      <c r="E334" s="543" t="s">
        <v>110</v>
      </c>
      <c r="F334" s="381">
        <v>1</v>
      </c>
      <c r="G334" s="376">
        <v>4.7</v>
      </c>
      <c r="H334" s="57">
        <f t="shared" si="22"/>
        <v>4.7</v>
      </c>
      <c r="I334" s="267">
        <f t="shared" si="23"/>
        <v>4.7</v>
      </c>
      <c r="J334" s="44"/>
      <c r="K334" s="45"/>
      <c r="L334" s="44"/>
      <c r="M334" s="44"/>
      <c r="N334" s="44"/>
      <c r="O334" s="44"/>
      <c r="P334" s="44"/>
      <c r="Q334" s="44"/>
    </row>
    <row r="335" spans="1:17" s="43" customFormat="1" ht="14.25" customHeight="1" x14ac:dyDescent="0.2">
      <c r="A335" s="577" t="s">
        <v>1323</v>
      </c>
      <c r="B335" s="543" t="s">
        <v>98</v>
      </c>
      <c r="C335" s="543">
        <v>3517</v>
      </c>
      <c r="D335" s="379" t="s">
        <v>145</v>
      </c>
      <c r="E335" s="543" t="s">
        <v>110</v>
      </c>
      <c r="F335" s="381">
        <v>2</v>
      </c>
      <c r="G335" s="382">
        <v>1.03</v>
      </c>
      <c r="H335" s="381">
        <f t="shared" si="22"/>
        <v>1.03</v>
      </c>
      <c r="I335" s="289">
        <f t="shared" si="23"/>
        <v>2.06</v>
      </c>
      <c r="J335" s="44"/>
      <c r="K335" s="45"/>
      <c r="L335" s="44"/>
      <c r="M335" s="44"/>
      <c r="N335" s="44"/>
      <c r="O335" s="44"/>
      <c r="P335" s="44"/>
      <c r="Q335" s="44"/>
    </row>
    <row r="336" spans="1:17" s="43" customFormat="1" ht="14.25" customHeight="1" x14ac:dyDescent="0.2">
      <c r="A336" s="577" t="s">
        <v>1324</v>
      </c>
      <c r="B336" s="374" t="s">
        <v>98</v>
      </c>
      <c r="C336" s="374">
        <v>3502</v>
      </c>
      <c r="D336" s="379" t="s">
        <v>35</v>
      </c>
      <c r="E336" s="543" t="s">
        <v>110</v>
      </c>
      <c r="F336" s="381">
        <v>2</v>
      </c>
      <c r="G336" s="376">
        <v>3.36</v>
      </c>
      <c r="H336" s="57">
        <f t="shared" si="22"/>
        <v>3.36</v>
      </c>
      <c r="I336" s="267">
        <f t="shared" si="23"/>
        <v>6.72</v>
      </c>
      <c r="J336" s="44"/>
      <c r="K336" s="45"/>
      <c r="L336" s="44"/>
      <c r="M336" s="44"/>
      <c r="N336" s="44"/>
      <c r="O336" s="44"/>
      <c r="P336" s="44"/>
      <c r="Q336" s="44"/>
    </row>
    <row r="337" spans="1:17" s="43" customFormat="1" ht="14.25" x14ac:dyDescent="0.2">
      <c r="A337" s="577" t="s">
        <v>1325</v>
      </c>
      <c r="B337" s="374" t="s">
        <v>98</v>
      </c>
      <c r="C337" s="374">
        <v>3659</v>
      </c>
      <c r="D337" s="379" t="s">
        <v>36</v>
      </c>
      <c r="E337" s="543" t="s">
        <v>110</v>
      </c>
      <c r="F337" s="381">
        <v>1</v>
      </c>
      <c r="G337" s="376">
        <v>7.47</v>
      </c>
      <c r="H337" s="57">
        <f t="shared" si="22"/>
        <v>7.47</v>
      </c>
      <c r="I337" s="267">
        <f t="shared" si="23"/>
        <v>7.47</v>
      </c>
      <c r="J337" s="44"/>
      <c r="K337" s="45"/>
      <c r="L337" s="44"/>
      <c r="M337" s="44"/>
      <c r="N337" s="44"/>
      <c r="O337" s="44"/>
      <c r="P337" s="44"/>
      <c r="Q337" s="44"/>
    </row>
    <row r="338" spans="1:17" s="43" customFormat="1" ht="14.25" customHeight="1" x14ac:dyDescent="0.2">
      <c r="A338" s="577" t="s">
        <v>1326</v>
      </c>
      <c r="B338" s="374" t="s">
        <v>98</v>
      </c>
      <c r="C338" s="374">
        <v>11655</v>
      </c>
      <c r="D338" s="379" t="s">
        <v>37</v>
      </c>
      <c r="E338" s="543" t="s">
        <v>110</v>
      </c>
      <c r="F338" s="381">
        <v>1</v>
      </c>
      <c r="G338" s="376">
        <v>11.87</v>
      </c>
      <c r="H338" s="57">
        <f t="shared" si="22"/>
        <v>11.87</v>
      </c>
      <c r="I338" s="267">
        <f t="shared" si="23"/>
        <v>11.87</v>
      </c>
      <c r="J338" s="44"/>
      <c r="K338" s="45"/>
      <c r="L338" s="44"/>
      <c r="M338" s="44"/>
      <c r="N338" s="44"/>
      <c r="O338" s="44"/>
      <c r="P338" s="44"/>
      <c r="Q338" s="44"/>
    </row>
    <row r="339" spans="1:17" s="43" customFormat="1" ht="14.25" customHeight="1" x14ac:dyDescent="0.2">
      <c r="A339" s="577" t="s">
        <v>1327</v>
      </c>
      <c r="B339" s="374" t="s">
        <v>98</v>
      </c>
      <c r="C339" s="374">
        <v>11712</v>
      </c>
      <c r="D339" s="379" t="s">
        <v>45</v>
      </c>
      <c r="E339" s="543" t="s">
        <v>110</v>
      </c>
      <c r="F339" s="381">
        <v>1</v>
      </c>
      <c r="G339" s="376">
        <v>19.95</v>
      </c>
      <c r="H339" s="57">
        <f t="shared" si="22"/>
        <v>19.95</v>
      </c>
      <c r="I339" s="267">
        <f t="shared" si="23"/>
        <v>19.95</v>
      </c>
      <c r="J339" s="44"/>
      <c r="K339" s="45"/>
      <c r="L339" s="44"/>
      <c r="M339" s="44"/>
      <c r="N339" s="44"/>
      <c r="O339" s="44"/>
      <c r="P339" s="44"/>
      <c r="Q339" s="44"/>
    </row>
    <row r="340" spans="1:17" s="43" customFormat="1" ht="14.25" customHeight="1" x14ac:dyDescent="0.2">
      <c r="A340" s="577" t="s">
        <v>1328</v>
      </c>
      <c r="B340" s="375" t="s">
        <v>98</v>
      </c>
      <c r="C340" s="375">
        <v>11743</v>
      </c>
      <c r="D340" s="379" t="s">
        <v>182</v>
      </c>
      <c r="E340" s="543" t="s">
        <v>110</v>
      </c>
      <c r="F340" s="381">
        <v>1</v>
      </c>
      <c r="G340" s="376">
        <v>6.4</v>
      </c>
      <c r="H340" s="376">
        <f t="shared" si="22"/>
        <v>6.4</v>
      </c>
      <c r="I340" s="271">
        <f t="shared" si="23"/>
        <v>6.4</v>
      </c>
      <c r="J340" s="44"/>
      <c r="K340" s="45"/>
      <c r="L340" s="44"/>
      <c r="M340" s="44"/>
      <c r="N340" s="44"/>
      <c r="O340" s="44"/>
      <c r="P340" s="44"/>
      <c r="Q340" s="44"/>
    </row>
    <row r="341" spans="1:17" s="43" customFormat="1" ht="14.25" customHeight="1" x14ac:dyDescent="0.2">
      <c r="A341" s="577" t="s">
        <v>1329</v>
      </c>
      <c r="B341" s="374" t="s">
        <v>98</v>
      </c>
      <c r="C341" s="374">
        <v>84</v>
      </c>
      <c r="D341" s="379" t="s">
        <v>38</v>
      </c>
      <c r="E341" s="543" t="s">
        <v>110</v>
      </c>
      <c r="F341" s="381">
        <v>1</v>
      </c>
      <c r="G341" s="376">
        <v>1.86</v>
      </c>
      <c r="H341" s="57">
        <f t="shared" si="22"/>
        <v>1.86</v>
      </c>
      <c r="I341" s="267">
        <f t="shared" si="23"/>
        <v>1.86</v>
      </c>
      <c r="J341" s="44"/>
      <c r="K341" s="45"/>
      <c r="L341" s="44"/>
      <c r="M341" s="44"/>
      <c r="N341" s="44"/>
      <c r="O341" s="44"/>
      <c r="P341" s="44"/>
      <c r="Q341" s="44"/>
    </row>
    <row r="342" spans="1:17" s="43" customFormat="1" ht="14.25" customHeight="1" x14ac:dyDescent="0.2">
      <c r="A342" s="577" t="s">
        <v>1330</v>
      </c>
      <c r="B342" s="374" t="s">
        <v>9</v>
      </c>
      <c r="C342" s="269"/>
      <c r="D342" s="379" t="s">
        <v>46</v>
      </c>
      <c r="E342" s="543" t="s">
        <v>110</v>
      </c>
      <c r="F342" s="381">
        <v>1</v>
      </c>
      <c r="G342" s="376">
        <v>4.5</v>
      </c>
      <c r="H342" s="376">
        <f t="shared" si="22"/>
        <v>4.5</v>
      </c>
      <c r="I342" s="271">
        <f t="shared" si="23"/>
        <v>4.5</v>
      </c>
      <c r="J342" s="44"/>
      <c r="K342" s="45"/>
      <c r="L342" s="44"/>
      <c r="M342" s="44"/>
      <c r="N342" s="44"/>
      <c r="O342" s="44"/>
      <c r="P342" s="44"/>
      <c r="Q342" s="44"/>
    </row>
    <row r="343" spans="1:17" s="43" customFormat="1" ht="14.25" customHeight="1" x14ac:dyDescent="0.2">
      <c r="A343" s="577" t="s">
        <v>1331</v>
      </c>
      <c r="B343" s="375" t="s">
        <v>98</v>
      </c>
      <c r="C343" s="375">
        <v>6154</v>
      </c>
      <c r="D343" s="379" t="s">
        <v>183</v>
      </c>
      <c r="E343" s="543" t="s">
        <v>110</v>
      </c>
      <c r="F343" s="381">
        <v>1</v>
      </c>
      <c r="G343" s="376">
        <v>5.14</v>
      </c>
      <c r="H343" s="376">
        <f t="shared" si="22"/>
        <v>5.14</v>
      </c>
      <c r="I343" s="271">
        <f t="shared" si="23"/>
        <v>5.14</v>
      </c>
      <c r="J343" s="44"/>
      <c r="K343" s="45"/>
      <c r="L343" s="44"/>
      <c r="M343" s="44"/>
      <c r="N343" s="44"/>
      <c r="O343" s="44"/>
      <c r="P343" s="44"/>
      <c r="Q343" s="44"/>
    </row>
    <row r="344" spans="1:17" s="43" customFormat="1" ht="14.25" customHeight="1" x14ac:dyDescent="0.2">
      <c r="A344" s="577" t="s">
        <v>1332</v>
      </c>
      <c r="B344" s="375" t="s">
        <v>98</v>
      </c>
      <c r="C344" s="374">
        <v>12612</v>
      </c>
      <c r="D344" s="379" t="s">
        <v>184</v>
      </c>
      <c r="E344" s="543" t="s">
        <v>110</v>
      </c>
      <c r="F344" s="381">
        <v>1</v>
      </c>
      <c r="G344" s="376">
        <v>3.53</v>
      </c>
      <c r="H344" s="57">
        <f t="shared" si="22"/>
        <v>3.53</v>
      </c>
      <c r="I344" s="267">
        <f t="shared" si="23"/>
        <v>3.53</v>
      </c>
      <c r="J344" s="44"/>
      <c r="K344" s="45"/>
      <c r="L344" s="44"/>
      <c r="M344" s="44"/>
      <c r="N344" s="44"/>
      <c r="O344" s="44"/>
      <c r="P344" s="44"/>
      <c r="Q344" s="44"/>
    </row>
    <row r="345" spans="1:17" s="373" customFormat="1" ht="14.25" customHeight="1" x14ac:dyDescent="0.2">
      <c r="A345" s="577"/>
      <c r="B345" s="375"/>
      <c r="C345" s="374"/>
      <c r="D345" s="379"/>
      <c r="E345" s="543"/>
      <c r="F345" s="381"/>
      <c r="G345" s="376"/>
      <c r="H345" s="57"/>
      <c r="I345" s="267"/>
      <c r="J345" s="44"/>
      <c r="K345" s="45"/>
      <c r="L345" s="44"/>
      <c r="M345" s="44"/>
      <c r="N345" s="44"/>
      <c r="O345" s="44"/>
      <c r="P345" s="44"/>
      <c r="Q345" s="44"/>
    </row>
    <row r="346" spans="1:17" s="373" customFormat="1" ht="14.25" customHeight="1" x14ac:dyDescent="0.2">
      <c r="A346" s="577"/>
      <c r="B346" s="375"/>
      <c r="C346" s="374"/>
      <c r="D346" s="379"/>
      <c r="E346" s="543"/>
      <c r="F346" s="381"/>
      <c r="G346" s="376"/>
      <c r="H346" s="57"/>
      <c r="I346" s="267"/>
      <c r="J346" s="44"/>
      <c r="K346" s="45"/>
      <c r="L346" s="44"/>
      <c r="M346" s="44"/>
      <c r="N346" s="44"/>
      <c r="O346" s="44"/>
      <c r="P346" s="44"/>
      <c r="Q346" s="44"/>
    </row>
    <row r="347" spans="1:17" s="43" customFormat="1" ht="14.25" customHeight="1" x14ac:dyDescent="0.2">
      <c r="A347" s="577"/>
      <c r="B347" s="375"/>
      <c r="C347" s="374"/>
      <c r="D347" s="379"/>
      <c r="E347" s="543"/>
      <c r="F347" s="381"/>
      <c r="G347" s="376"/>
      <c r="H347" s="57"/>
      <c r="I347" s="267"/>
      <c r="J347" s="44"/>
      <c r="K347" s="45"/>
      <c r="L347" s="44"/>
      <c r="M347" s="44"/>
      <c r="N347" s="44"/>
      <c r="O347" s="44"/>
      <c r="P347" s="44"/>
      <c r="Q347" s="44"/>
    </row>
    <row r="348" spans="1:17" s="43" customFormat="1" x14ac:dyDescent="0.2">
      <c r="A348" s="263" t="s">
        <v>1333</v>
      </c>
      <c r="B348" s="205" t="s">
        <v>306</v>
      </c>
      <c r="C348" s="557" t="s">
        <v>674</v>
      </c>
      <c r="D348" s="206" t="s">
        <v>673</v>
      </c>
      <c r="E348" s="205" t="s">
        <v>10</v>
      </c>
      <c r="F348" s="315"/>
      <c r="G348" s="316"/>
      <c r="H348" s="316"/>
      <c r="I348" s="560">
        <f>SUM(I349:I351)</f>
        <v>1400</v>
      </c>
      <c r="J348" s="44"/>
      <c r="K348" s="45"/>
      <c r="L348" s="44"/>
      <c r="M348" s="44"/>
      <c r="N348" s="44"/>
      <c r="O348" s="44"/>
      <c r="P348" s="44"/>
      <c r="Q348" s="44"/>
    </row>
    <row r="349" spans="1:17" s="141" customFormat="1" x14ac:dyDescent="0.25">
      <c r="A349" s="577" t="s">
        <v>1334</v>
      </c>
      <c r="B349" s="543" t="s">
        <v>98</v>
      </c>
      <c r="C349" s="543">
        <v>2696</v>
      </c>
      <c r="D349" s="379" t="s">
        <v>251</v>
      </c>
      <c r="E349" s="543" t="s">
        <v>97</v>
      </c>
      <c r="F349" s="381">
        <v>56</v>
      </c>
      <c r="G349" s="382">
        <v>9.86</v>
      </c>
      <c r="H349" s="376">
        <f t="shared" si="22"/>
        <v>9.86</v>
      </c>
      <c r="I349" s="289">
        <f t="shared" si="23"/>
        <v>552.16</v>
      </c>
      <c r="J349" s="140"/>
      <c r="K349" s="140"/>
      <c r="L349" s="140"/>
      <c r="M349" s="140"/>
      <c r="N349" s="140"/>
      <c r="O349" s="140"/>
      <c r="P349" s="140"/>
      <c r="Q349" s="140"/>
    </row>
    <row r="350" spans="1:17" s="141" customFormat="1" x14ac:dyDescent="0.25">
      <c r="A350" s="577" t="s">
        <v>1335</v>
      </c>
      <c r="B350" s="543" t="s">
        <v>98</v>
      </c>
      <c r="C350" s="543">
        <v>246</v>
      </c>
      <c r="D350" s="379" t="s">
        <v>250</v>
      </c>
      <c r="E350" s="543" t="s">
        <v>97</v>
      </c>
      <c r="F350" s="381">
        <v>56</v>
      </c>
      <c r="G350" s="382">
        <v>8.68</v>
      </c>
      <c r="H350" s="376">
        <f t="shared" si="22"/>
        <v>8.68</v>
      </c>
      <c r="I350" s="289">
        <f t="shared" si="23"/>
        <v>486.08</v>
      </c>
      <c r="J350" s="140"/>
      <c r="K350" s="140"/>
      <c r="L350" s="140"/>
      <c r="M350" s="140"/>
      <c r="N350" s="140"/>
      <c r="O350" s="140"/>
      <c r="P350" s="140"/>
      <c r="Q350" s="140"/>
    </row>
    <row r="351" spans="1:17" s="135" customFormat="1" ht="14.25" x14ac:dyDescent="0.2">
      <c r="A351" s="577" t="s">
        <v>1336</v>
      </c>
      <c r="B351" s="543" t="s">
        <v>98</v>
      </c>
      <c r="C351" s="543">
        <v>6111</v>
      </c>
      <c r="D351" s="379" t="s">
        <v>252</v>
      </c>
      <c r="E351" s="543" t="s">
        <v>97</v>
      </c>
      <c r="F351" s="381">
        <v>56</v>
      </c>
      <c r="G351" s="382">
        <v>6.46</v>
      </c>
      <c r="H351" s="376">
        <f t="shared" si="22"/>
        <v>6.46</v>
      </c>
      <c r="I351" s="289">
        <f t="shared" si="23"/>
        <v>361.76</v>
      </c>
      <c r="J351" s="134"/>
      <c r="K351" s="134"/>
      <c r="L351" s="134"/>
      <c r="M351" s="134"/>
      <c r="N351" s="134"/>
      <c r="O351" s="134"/>
      <c r="P351" s="134"/>
      <c r="Q351" s="134"/>
    </row>
    <row r="352" spans="1:17" s="7" customFormat="1" x14ac:dyDescent="0.2">
      <c r="A352" s="566"/>
      <c r="B352" s="567"/>
      <c r="C352" s="567"/>
      <c r="D352" s="579"/>
      <c r="E352" s="567"/>
      <c r="F352" s="567"/>
      <c r="G352" s="567"/>
      <c r="H352" s="567"/>
      <c r="I352" s="568"/>
      <c r="J352" s="6"/>
      <c r="K352" s="6"/>
      <c r="L352" s="6"/>
      <c r="M352" s="6"/>
      <c r="N352" s="6"/>
      <c r="O352" s="6"/>
      <c r="P352" s="6"/>
      <c r="Q352" s="6"/>
    </row>
    <row r="353" spans="1:18" s="43" customFormat="1" ht="15" customHeight="1" x14ac:dyDescent="0.2">
      <c r="A353" s="263" t="s">
        <v>706</v>
      </c>
      <c r="B353" s="205" t="s">
        <v>306</v>
      </c>
      <c r="C353" s="557" t="s">
        <v>675</v>
      </c>
      <c r="D353" s="206" t="s">
        <v>459</v>
      </c>
      <c r="E353" s="205" t="s">
        <v>10</v>
      </c>
      <c r="F353" s="315"/>
      <c r="G353" s="316"/>
      <c r="H353" s="316"/>
      <c r="I353" s="560">
        <f>SUM(I354:I364)</f>
        <v>932.07</v>
      </c>
      <c r="J353" s="44"/>
      <c r="K353" s="45"/>
      <c r="L353" s="44"/>
      <c r="M353" s="44"/>
      <c r="N353" s="44"/>
      <c r="O353" s="44"/>
      <c r="P353" s="44"/>
      <c r="Q353" s="44"/>
    </row>
    <row r="354" spans="1:18" s="135" customFormat="1" ht="14.25" customHeight="1" x14ac:dyDescent="0.2">
      <c r="A354" s="265" t="s">
        <v>708</v>
      </c>
      <c r="B354" s="543" t="s">
        <v>98</v>
      </c>
      <c r="C354" s="543" t="s">
        <v>114</v>
      </c>
      <c r="D354" s="379" t="s">
        <v>115</v>
      </c>
      <c r="E354" s="543" t="s">
        <v>113</v>
      </c>
      <c r="F354" s="381">
        <f>1.5*1.5*0.55+2*2*0.4</f>
        <v>2.8375000000000004</v>
      </c>
      <c r="G354" s="382">
        <v>22.62</v>
      </c>
      <c r="H354" s="376">
        <f t="shared" ref="H354:H364" si="24">ROUND((1+K$3)*G354,2)</f>
        <v>22.62</v>
      </c>
      <c r="I354" s="289">
        <f t="shared" ref="I354:I364" si="25">ROUND(F354*H354,2)</f>
        <v>64.180000000000007</v>
      </c>
      <c r="J354" s="134"/>
      <c r="K354" s="134"/>
      <c r="L354" s="134"/>
      <c r="M354" s="134"/>
      <c r="N354" s="134"/>
      <c r="O354" s="134"/>
      <c r="P354" s="134"/>
      <c r="Q354" s="134"/>
    </row>
    <row r="355" spans="1:18" s="135" customFormat="1" ht="14.25" customHeight="1" x14ac:dyDescent="0.2">
      <c r="A355" s="265" t="s">
        <v>1337</v>
      </c>
      <c r="B355" s="543" t="s">
        <v>98</v>
      </c>
      <c r="C355" s="374">
        <v>5622</v>
      </c>
      <c r="D355" s="266" t="s">
        <v>660</v>
      </c>
      <c r="E355" s="543" t="s">
        <v>101</v>
      </c>
      <c r="F355" s="381">
        <f>1.5*1.5+2*2</f>
        <v>6.25</v>
      </c>
      <c r="G355" s="382">
        <v>2.13</v>
      </c>
      <c r="H355" s="376">
        <f t="shared" si="24"/>
        <v>2.13</v>
      </c>
      <c r="I355" s="289">
        <f t="shared" si="25"/>
        <v>13.31</v>
      </c>
      <c r="J355" s="134"/>
      <c r="K355" s="134"/>
      <c r="L355" s="134"/>
      <c r="M355" s="134"/>
      <c r="N355" s="134"/>
      <c r="O355" s="134"/>
      <c r="P355" s="134"/>
      <c r="Q355" s="134"/>
    </row>
    <row r="356" spans="1:18" s="135" customFormat="1" ht="14.25" customHeight="1" x14ac:dyDescent="0.2">
      <c r="A356" s="265" t="s">
        <v>1338</v>
      </c>
      <c r="B356" s="543" t="s">
        <v>98</v>
      </c>
      <c r="C356" s="543" t="s">
        <v>122</v>
      </c>
      <c r="D356" s="379" t="s">
        <v>123</v>
      </c>
      <c r="E356" s="543" t="s">
        <v>113</v>
      </c>
      <c r="F356" s="381">
        <f>0.1*F354</f>
        <v>0.28375000000000006</v>
      </c>
      <c r="G356" s="382">
        <v>15.21</v>
      </c>
      <c r="H356" s="376">
        <f t="shared" si="24"/>
        <v>15.21</v>
      </c>
      <c r="I356" s="289">
        <f t="shared" si="25"/>
        <v>4.32</v>
      </c>
      <c r="J356" s="134"/>
      <c r="K356" s="134"/>
      <c r="L356" s="134"/>
      <c r="M356" s="134"/>
      <c r="N356" s="134"/>
      <c r="O356" s="134"/>
      <c r="P356" s="134"/>
      <c r="Q356" s="134"/>
    </row>
    <row r="357" spans="1:18" s="135" customFormat="1" ht="14.25" customHeight="1" x14ac:dyDescent="0.2">
      <c r="A357" s="265" t="s">
        <v>709</v>
      </c>
      <c r="B357" s="543" t="s">
        <v>98</v>
      </c>
      <c r="C357" s="543" t="s">
        <v>439</v>
      </c>
      <c r="D357" s="379" t="s">
        <v>440</v>
      </c>
      <c r="E357" s="543" t="s">
        <v>113</v>
      </c>
      <c r="F357" s="381">
        <f>F354-F356</f>
        <v>2.5537500000000004</v>
      </c>
      <c r="G357" s="382">
        <v>25.85</v>
      </c>
      <c r="H357" s="376">
        <f t="shared" si="24"/>
        <v>25.85</v>
      </c>
      <c r="I357" s="289">
        <f t="shared" si="25"/>
        <v>66.010000000000005</v>
      </c>
      <c r="J357" s="134"/>
      <c r="K357" s="134"/>
      <c r="L357" s="134"/>
      <c r="M357" s="134"/>
      <c r="N357" s="134"/>
      <c r="O357" s="134"/>
      <c r="P357" s="134"/>
      <c r="Q357" s="134"/>
    </row>
    <row r="358" spans="1:18" s="135" customFormat="1" ht="14.25" customHeight="1" x14ac:dyDescent="0.2">
      <c r="A358" s="265" t="s">
        <v>1339</v>
      </c>
      <c r="B358" s="543" t="s">
        <v>98</v>
      </c>
      <c r="C358" s="543" t="s">
        <v>3</v>
      </c>
      <c r="D358" s="379" t="s">
        <v>4</v>
      </c>
      <c r="E358" s="543" t="s">
        <v>113</v>
      </c>
      <c r="F358" s="381">
        <f>1.5*1.5*0.1</f>
        <v>0.22500000000000001</v>
      </c>
      <c r="G358" s="382">
        <v>72.459999999999994</v>
      </c>
      <c r="H358" s="376">
        <f t="shared" si="24"/>
        <v>72.459999999999994</v>
      </c>
      <c r="I358" s="289">
        <f t="shared" si="25"/>
        <v>16.3</v>
      </c>
      <c r="J358" s="134"/>
      <c r="K358" s="134"/>
      <c r="L358" s="134"/>
      <c r="M358" s="134"/>
      <c r="N358" s="134"/>
      <c r="O358" s="134"/>
      <c r="P358" s="134"/>
      <c r="Q358" s="134"/>
    </row>
    <row r="359" spans="1:18" s="135" customFormat="1" ht="14.25" customHeight="1" x14ac:dyDescent="0.2">
      <c r="A359" s="265" t="s">
        <v>710</v>
      </c>
      <c r="B359" s="543" t="s">
        <v>98</v>
      </c>
      <c r="C359" s="543" t="s">
        <v>72</v>
      </c>
      <c r="D359" s="379" t="s">
        <v>21</v>
      </c>
      <c r="E359" s="543" t="s">
        <v>113</v>
      </c>
      <c r="F359" s="381">
        <f>1.5*1.5*0.15</f>
        <v>0.33749999999999997</v>
      </c>
      <c r="G359" s="382">
        <v>254.4</v>
      </c>
      <c r="H359" s="381">
        <f t="shared" si="24"/>
        <v>254.4</v>
      </c>
      <c r="I359" s="289">
        <f t="shared" si="25"/>
        <v>85.86</v>
      </c>
      <c r="J359" s="134"/>
      <c r="K359" s="134"/>
      <c r="L359" s="134"/>
      <c r="M359" s="134"/>
      <c r="N359" s="134"/>
      <c r="O359" s="134"/>
      <c r="P359" s="134"/>
      <c r="Q359" s="134"/>
    </row>
    <row r="360" spans="1:18" s="135" customFormat="1" ht="14.25" customHeight="1" x14ac:dyDescent="0.2">
      <c r="A360" s="265" t="s">
        <v>1340</v>
      </c>
      <c r="B360" s="543" t="s">
        <v>98</v>
      </c>
      <c r="C360" s="543" t="s">
        <v>191</v>
      </c>
      <c r="D360" s="379" t="s">
        <v>192</v>
      </c>
      <c r="E360" s="543" t="s">
        <v>101</v>
      </c>
      <c r="F360" s="381">
        <f>0.6*1.2*2+1.1*0.95</f>
        <v>2.4849999999999999</v>
      </c>
      <c r="G360" s="382">
        <v>60.33</v>
      </c>
      <c r="H360" s="376">
        <f t="shared" si="24"/>
        <v>60.33</v>
      </c>
      <c r="I360" s="289">
        <f t="shared" si="25"/>
        <v>149.91999999999999</v>
      </c>
      <c r="J360" s="134"/>
      <c r="K360" s="134"/>
      <c r="L360" s="134"/>
      <c r="M360" s="134"/>
      <c r="N360" s="134"/>
      <c r="O360" s="134"/>
      <c r="P360" s="134"/>
      <c r="Q360" s="134"/>
    </row>
    <row r="361" spans="1:18" s="135" customFormat="1" ht="14.25" customHeight="1" x14ac:dyDescent="0.2">
      <c r="A361" s="265" t="s">
        <v>1341</v>
      </c>
      <c r="B361" s="543" t="s">
        <v>98</v>
      </c>
      <c r="C361" s="543" t="s">
        <v>78</v>
      </c>
      <c r="D361" s="379" t="s">
        <v>79</v>
      </c>
      <c r="E361" s="543" t="s">
        <v>101</v>
      </c>
      <c r="F361" s="381">
        <f>1.5*4*0.15</f>
        <v>0.89999999999999991</v>
      </c>
      <c r="G361" s="382">
        <v>79.58</v>
      </c>
      <c r="H361" s="376">
        <f t="shared" si="24"/>
        <v>79.58</v>
      </c>
      <c r="I361" s="289">
        <f t="shared" si="25"/>
        <v>71.62</v>
      </c>
      <c r="J361" s="134"/>
      <c r="K361" s="134"/>
      <c r="L361" s="134"/>
      <c r="M361" s="134"/>
      <c r="N361" s="134"/>
      <c r="O361" s="134"/>
      <c r="P361" s="134"/>
      <c r="Q361" s="134"/>
    </row>
    <row r="362" spans="1:18" s="135" customFormat="1" ht="14.25" customHeight="1" x14ac:dyDescent="0.2">
      <c r="A362" s="265" t="s">
        <v>712</v>
      </c>
      <c r="B362" s="543" t="s">
        <v>98</v>
      </c>
      <c r="C362" s="543">
        <v>73611</v>
      </c>
      <c r="D362" s="379" t="s">
        <v>463</v>
      </c>
      <c r="E362" s="543" t="s">
        <v>113</v>
      </c>
      <c r="F362" s="381">
        <f>2*2*0.4</f>
        <v>1.6</v>
      </c>
      <c r="G362" s="382">
        <v>221.8</v>
      </c>
      <c r="H362" s="376">
        <f t="shared" si="24"/>
        <v>221.8</v>
      </c>
      <c r="I362" s="289">
        <f t="shared" si="25"/>
        <v>354.88</v>
      </c>
      <c r="J362" s="134"/>
      <c r="K362" s="134"/>
      <c r="L362" s="134"/>
      <c r="M362" s="134"/>
      <c r="N362" s="134"/>
      <c r="O362" s="134"/>
      <c r="P362" s="134"/>
      <c r="Q362" s="134"/>
    </row>
    <row r="363" spans="1:18" s="135" customFormat="1" ht="14.25" customHeight="1" x14ac:dyDescent="0.2">
      <c r="A363" s="265" t="s">
        <v>714</v>
      </c>
      <c r="B363" s="543" t="s">
        <v>98</v>
      </c>
      <c r="C363" s="543" t="s">
        <v>50</v>
      </c>
      <c r="D363" s="379" t="s">
        <v>53</v>
      </c>
      <c r="E363" s="543" t="s">
        <v>101</v>
      </c>
      <c r="F363" s="381">
        <f>F360*2</f>
        <v>4.97</v>
      </c>
      <c r="G363" s="382">
        <v>3.16</v>
      </c>
      <c r="H363" s="376">
        <f t="shared" si="24"/>
        <v>3.16</v>
      </c>
      <c r="I363" s="289">
        <f t="shared" si="25"/>
        <v>15.71</v>
      </c>
      <c r="J363" s="134"/>
      <c r="K363" s="134"/>
      <c r="L363" s="134"/>
      <c r="M363" s="134"/>
      <c r="N363" s="134"/>
      <c r="O363" s="134"/>
      <c r="P363" s="134"/>
      <c r="Q363" s="134"/>
    </row>
    <row r="364" spans="1:18" s="135" customFormat="1" ht="28.5" x14ac:dyDescent="0.2">
      <c r="A364" s="265" t="s">
        <v>1342</v>
      </c>
      <c r="B364" s="543" t="s">
        <v>98</v>
      </c>
      <c r="C364" s="543" t="s">
        <v>448</v>
      </c>
      <c r="D364" s="379" t="s">
        <v>449</v>
      </c>
      <c r="E364" s="543" t="s">
        <v>101</v>
      </c>
      <c r="F364" s="381">
        <f>F360*2</f>
        <v>4.97</v>
      </c>
      <c r="G364" s="382">
        <v>18.100000000000001</v>
      </c>
      <c r="H364" s="376">
        <f t="shared" si="24"/>
        <v>18.100000000000001</v>
      </c>
      <c r="I364" s="289">
        <f t="shared" si="25"/>
        <v>89.96</v>
      </c>
      <c r="J364" s="134"/>
      <c r="K364" s="134"/>
      <c r="L364" s="134"/>
      <c r="M364" s="134"/>
      <c r="N364" s="134"/>
      <c r="O364" s="134"/>
      <c r="P364" s="134"/>
      <c r="Q364" s="134"/>
    </row>
    <row r="365" spans="1:18" s="135" customFormat="1" ht="14.25" customHeight="1" x14ac:dyDescent="0.2">
      <c r="A365" s="265"/>
      <c r="B365" s="543"/>
      <c r="C365" s="543"/>
      <c r="D365" s="379"/>
      <c r="E365" s="543"/>
      <c r="F365" s="381"/>
      <c r="G365" s="382"/>
      <c r="H365" s="376"/>
      <c r="I365" s="289"/>
      <c r="J365" s="134"/>
      <c r="K365" s="134"/>
      <c r="L365" s="134"/>
      <c r="M365" s="134"/>
      <c r="N365" s="134"/>
      <c r="O365" s="134"/>
      <c r="P365" s="134"/>
      <c r="Q365" s="134"/>
    </row>
    <row r="366" spans="1:18" s="7" customFormat="1" ht="30" x14ac:dyDescent="0.2">
      <c r="A366" s="263" t="s">
        <v>716</v>
      </c>
      <c r="B366" s="205" t="s">
        <v>306</v>
      </c>
      <c r="C366" s="557" t="s">
        <v>676</v>
      </c>
      <c r="D366" s="206" t="s">
        <v>1591</v>
      </c>
      <c r="E366" s="205" t="s">
        <v>10</v>
      </c>
      <c r="F366" s="315"/>
      <c r="G366" s="316"/>
      <c r="H366" s="316"/>
      <c r="I366" s="560">
        <f>SUM(I367:I392)</f>
        <v>22916.07</v>
      </c>
      <c r="J366" s="54"/>
      <c r="K366" s="136"/>
      <c r="L366" s="54"/>
      <c r="M366" s="54"/>
      <c r="N366" s="54"/>
      <c r="O366" s="54"/>
      <c r="P366" s="54"/>
      <c r="Q366" s="54"/>
      <c r="R366" s="137"/>
    </row>
    <row r="367" spans="1:18" s="7" customFormat="1" ht="14.25" customHeight="1" x14ac:dyDescent="0.2">
      <c r="A367" s="268" t="s">
        <v>717</v>
      </c>
      <c r="B367" s="375" t="s">
        <v>98</v>
      </c>
      <c r="C367" s="375">
        <v>9828</v>
      </c>
      <c r="D367" s="377" t="s">
        <v>707</v>
      </c>
      <c r="E367" s="375" t="s">
        <v>107</v>
      </c>
      <c r="F367" s="376">
        <f>15+35</f>
        <v>50</v>
      </c>
      <c r="G367" s="376">
        <v>73.099999999999994</v>
      </c>
      <c r="H367" s="376">
        <f t="shared" ref="H367:H371" si="26">ROUND((1+K$3)*G367,2)</f>
        <v>73.099999999999994</v>
      </c>
      <c r="I367" s="271">
        <f t="shared" ref="I367:I371" si="27">ROUND(F367*H367,2)</f>
        <v>3655</v>
      </c>
      <c r="J367" s="54"/>
      <c r="K367" s="136"/>
      <c r="L367" s="54"/>
      <c r="M367" s="54"/>
      <c r="N367" s="54"/>
      <c r="O367" s="54"/>
      <c r="P367" s="54"/>
      <c r="Q367" s="54"/>
      <c r="R367" s="137"/>
    </row>
    <row r="368" spans="1:18" s="7" customFormat="1" ht="14.25" customHeight="1" x14ac:dyDescent="0.2">
      <c r="A368" s="268" t="s">
        <v>718</v>
      </c>
      <c r="B368" s="375" t="s">
        <v>98</v>
      </c>
      <c r="C368" s="378">
        <v>9818</v>
      </c>
      <c r="D368" s="377" t="s">
        <v>133</v>
      </c>
      <c r="E368" s="375" t="s">
        <v>107</v>
      </c>
      <c r="F368" s="376">
        <f>11+11+1</f>
        <v>23</v>
      </c>
      <c r="G368" s="376">
        <v>24.12</v>
      </c>
      <c r="H368" s="376">
        <f t="shared" si="26"/>
        <v>24.12</v>
      </c>
      <c r="I368" s="271">
        <f t="shared" si="27"/>
        <v>554.76</v>
      </c>
      <c r="J368" s="54"/>
      <c r="K368" s="136"/>
      <c r="L368" s="54"/>
      <c r="M368" s="54"/>
      <c r="N368" s="54"/>
      <c r="O368" s="54"/>
      <c r="P368" s="54"/>
      <c r="Q368" s="54"/>
      <c r="R368" s="137"/>
    </row>
    <row r="369" spans="1:18" s="7" customFormat="1" ht="14.25" customHeight="1" x14ac:dyDescent="0.2">
      <c r="A369" s="268" t="s">
        <v>719</v>
      </c>
      <c r="B369" s="375" t="s">
        <v>98</v>
      </c>
      <c r="C369" s="378">
        <v>9819</v>
      </c>
      <c r="D369" s="377" t="s">
        <v>971</v>
      </c>
      <c r="E369" s="375" t="s">
        <v>107</v>
      </c>
      <c r="F369" s="376">
        <f>365+18</f>
        <v>383</v>
      </c>
      <c r="G369" s="376">
        <v>37.270000000000003</v>
      </c>
      <c r="H369" s="376">
        <f t="shared" ref="H369" si="28">ROUND((1+K$3)*G369,2)</f>
        <v>37.270000000000003</v>
      </c>
      <c r="I369" s="271">
        <f t="shared" ref="I369" si="29">ROUND(F369*H369,2)</f>
        <v>14274.41</v>
      </c>
      <c r="J369" s="54"/>
      <c r="K369" s="136"/>
      <c r="L369" s="54"/>
      <c r="M369" s="54"/>
      <c r="N369" s="54"/>
      <c r="O369" s="54"/>
      <c r="P369" s="54"/>
      <c r="Q369" s="54"/>
      <c r="R369" s="137"/>
    </row>
    <row r="370" spans="1:18" s="7" customFormat="1" ht="14.25" customHeight="1" x14ac:dyDescent="0.2">
      <c r="A370" s="268" t="s">
        <v>720</v>
      </c>
      <c r="B370" s="375" t="s">
        <v>98</v>
      </c>
      <c r="C370" s="378">
        <v>9817</v>
      </c>
      <c r="D370" s="377" t="s">
        <v>147</v>
      </c>
      <c r="E370" s="375" t="s">
        <v>10</v>
      </c>
      <c r="F370" s="376">
        <v>32</v>
      </c>
      <c r="G370" s="250">
        <v>11.5</v>
      </c>
      <c r="H370" s="376">
        <f t="shared" si="26"/>
        <v>11.5</v>
      </c>
      <c r="I370" s="271">
        <f t="shared" si="27"/>
        <v>368</v>
      </c>
      <c r="J370" s="54"/>
      <c r="K370" s="136"/>
      <c r="L370" s="54"/>
      <c r="M370" s="54"/>
      <c r="N370" s="54"/>
      <c r="O370" s="54"/>
      <c r="P370" s="54"/>
      <c r="Q370" s="54"/>
      <c r="R370" s="137"/>
    </row>
    <row r="371" spans="1:18" s="43" customFormat="1" ht="14.25" customHeight="1" x14ac:dyDescent="0.2">
      <c r="A371" s="268" t="s">
        <v>721</v>
      </c>
      <c r="B371" s="375" t="s">
        <v>9</v>
      </c>
      <c r="C371" s="375"/>
      <c r="D371" s="377" t="s">
        <v>963</v>
      </c>
      <c r="E371" s="375" t="s">
        <v>10</v>
      </c>
      <c r="F371" s="376">
        <v>5</v>
      </c>
      <c r="G371" s="250">
        <v>378</v>
      </c>
      <c r="H371" s="376">
        <f t="shared" si="26"/>
        <v>378</v>
      </c>
      <c r="I371" s="271">
        <f t="shared" si="27"/>
        <v>1890</v>
      </c>
      <c r="J371" s="42"/>
      <c r="K371" s="45"/>
      <c r="L371" s="42"/>
      <c r="M371" s="42"/>
      <c r="N371" s="42"/>
      <c r="O371" s="42"/>
      <c r="P371" s="42"/>
      <c r="Q371" s="42"/>
      <c r="R371" s="249"/>
    </row>
    <row r="372" spans="1:18" s="373" customFormat="1" ht="14.25" customHeight="1" x14ac:dyDescent="0.2">
      <c r="A372" s="268" t="s">
        <v>722</v>
      </c>
      <c r="B372" s="375" t="s">
        <v>9</v>
      </c>
      <c r="C372" s="375"/>
      <c r="D372" s="377" t="s">
        <v>964</v>
      </c>
      <c r="E372" s="375" t="s">
        <v>10</v>
      </c>
      <c r="F372" s="376">
        <v>1</v>
      </c>
      <c r="G372" s="250">
        <v>134.55000000000001</v>
      </c>
      <c r="H372" s="376">
        <f t="shared" ref="H372:H392" si="30">ROUND((1+K$3)*G372,2)</f>
        <v>134.55000000000001</v>
      </c>
      <c r="I372" s="271">
        <f t="shared" ref="I372:I392" si="31">ROUND(F372*H372,2)</f>
        <v>134.55000000000001</v>
      </c>
      <c r="J372" s="372"/>
      <c r="K372" s="45"/>
      <c r="L372" s="372"/>
      <c r="M372" s="372"/>
      <c r="N372" s="372"/>
      <c r="O372" s="372"/>
      <c r="P372" s="372"/>
      <c r="Q372" s="372"/>
      <c r="R372" s="249"/>
    </row>
    <row r="373" spans="1:18" s="7" customFormat="1" ht="14.25" customHeight="1" x14ac:dyDescent="0.2">
      <c r="A373" s="268" t="s">
        <v>723</v>
      </c>
      <c r="B373" s="375" t="s">
        <v>98</v>
      </c>
      <c r="C373" s="375">
        <v>1865</v>
      </c>
      <c r="D373" s="377" t="s">
        <v>76</v>
      </c>
      <c r="E373" s="375" t="s">
        <v>10</v>
      </c>
      <c r="F373" s="376">
        <v>1</v>
      </c>
      <c r="G373" s="376">
        <v>119.45</v>
      </c>
      <c r="H373" s="376">
        <f t="shared" si="30"/>
        <v>119.45</v>
      </c>
      <c r="I373" s="271">
        <f t="shared" si="31"/>
        <v>119.45</v>
      </c>
      <c r="J373" s="54"/>
      <c r="K373" s="136"/>
      <c r="L373" s="54"/>
      <c r="M373" s="54"/>
      <c r="N373" s="54"/>
      <c r="O373" s="54"/>
      <c r="P373" s="54"/>
      <c r="Q373" s="54"/>
      <c r="R373" s="137"/>
    </row>
    <row r="374" spans="1:18" s="7" customFormat="1" ht="28.5" x14ac:dyDescent="0.2">
      <c r="A374" s="268" t="s">
        <v>724</v>
      </c>
      <c r="B374" s="375" t="s">
        <v>98</v>
      </c>
      <c r="C374" s="375">
        <v>21146</v>
      </c>
      <c r="D374" s="377" t="s">
        <v>750</v>
      </c>
      <c r="E374" s="375" t="s">
        <v>107</v>
      </c>
      <c r="F374" s="376">
        <v>53</v>
      </c>
      <c r="G374" s="376">
        <v>22.97</v>
      </c>
      <c r="H374" s="376">
        <f t="shared" si="30"/>
        <v>22.97</v>
      </c>
      <c r="I374" s="271">
        <f t="shared" si="31"/>
        <v>1217.4100000000001</v>
      </c>
      <c r="J374" s="54"/>
      <c r="K374" s="136"/>
      <c r="L374" s="54"/>
      <c r="M374" s="54"/>
      <c r="N374" s="54"/>
      <c r="O374" s="54"/>
      <c r="P374" s="54"/>
      <c r="Q374" s="54"/>
      <c r="R374" s="137"/>
    </row>
    <row r="375" spans="1:18" s="7" customFormat="1" ht="14.25" x14ac:dyDescent="0.2">
      <c r="A375" s="268" t="s">
        <v>725</v>
      </c>
      <c r="B375" s="375" t="s">
        <v>98</v>
      </c>
      <c r="C375" s="375">
        <v>9868</v>
      </c>
      <c r="D375" s="377" t="s">
        <v>539</v>
      </c>
      <c r="E375" s="375" t="s">
        <v>107</v>
      </c>
      <c r="F375" s="376">
        <v>45</v>
      </c>
      <c r="G375" s="376">
        <v>2.42</v>
      </c>
      <c r="H375" s="376">
        <f t="shared" si="30"/>
        <v>2.42</v>
      </c>
      <c r="I375" s="271">
        <f t="shared" si="31"/>
        <v>108.9</v>
      </c>
      <c r="J375" s="54"/>
      <c r="K375" s="136"/>
      <c r="L375" s="54"/>
      <c r="M375" s="54"/>
      <c r="N375" s="54"/>
      <c r="O375" s="54"/>
      <c r="P375" s="54"/>
      <c r="Q375" s="54"/>
      <c r="R375" s="137"/>
    </row>
    <row r="376" spans="1:18" s="7" customFormat="1" ht="14.25" customHeight="1" x14ac:dyDescent="0.2">
      <c r="A376" s="268" t="s">
        <v>726</v>
      </c>
      <c r="B376" s="375" t="s">
        <v>98</v>
      </c>
      <c r="C376" s="375">
        <v>9869</v>
      </c>
      <c r="D376" s="377" t="s">
        <v>751</v>
      </c>
      <c r="E376" s="375" t="s">
        <v>107</v>
      </c>
      <c r="F376" s="376">
        <v>24</v>
      </c>
      <c r="G376" s="376">
        <v>5.51</v>
      </c>
      <c r="H376" s="376">
        <f t="shared" si="30"/>
        <v>5.51</v>
      </c>
      <c r="I376" s="271">
        <f t="shared" si="31"/>
        <v>132.24</v>
      </c>
      <c r="J376" s="54"/>
      <c r="K376" s="136"/>
      <c r="L376" s="54"/>
      <c r="M376" s="54"/>
      <c r="N376" s="54"/>
      <c r="O376" s="54"/>
      <c r="P376" s="54"/>
      <c r="Q376" s="54"/>
      <c r="R376" s="137"/>
    </row>
    <row r="377" spans="1:18" s="7" customFormat="1" ht="14.25" customHeight="1" x14ac:dyDescent="0.2">
      <c r="A377" s="268" t="s">
        <v>727</v>
      </c>
      <c r="B377" s="375" t="s">
        <v>98</v>
      </c>
      <c r="C377" s="378" t="s">
        <v>752</v>
      </c>
      <c r="D377" s="377" t="s">
        <v>753</v>
      </c>
      <c r="E377" s="375" t="s">
        <v>10</v>
      </c>
      <c r="F377" s="376">
        <v>3</v>
      </c>
      <c r="G377" s="376">
        <v>0.46</v>
      </c>
      <c r="H377" s="376">
        <f t="shared" si="30"/>
        <v>0.46</v>
      </c>
      <c r="I377" s="271">
        <f t="shared" si="31"/>
        <v>1.38</v>
      </c>
      <c r="J377" s="54"/>
      <c r="K377" s="136"/>
      <c r="L377" s="54"/>
      <c r="M377" s="54"/>
      <c r="N377" s="54"/>
      <c r="O377" s="54"/>
      <c r="P377" s="54"/>
      <c r="Q377" s="54"/>
      <c r="R377" s="137"/>
    </row>
    <row r="378" spans="1:18" s="7" customFormat="1" ht="14.25" customHeight="1" x14ac:dyDescent="0.2">
      <c r="A378" s="268" t="s">
        <v>728</v>
      </c>
      <c r="B378" s="375" t="s">
        <v>98</v>
      </c>
      <c r="C378" s="375">
        <v>7140</v>
      </c>
      <c r="D378" s="377" t="s">
        <v>754</v>
      </c>
      <c r="E378" s="375" t="s">
        <v>10</v>
      </c>
      <c r="F378" s="376">
        <v>2</v>
      </c>
      <c r="G378" s="376">
        <v>2.63</v>
      </c>
      <c r="H378" s="376">
        <f t="shared" si="30"/>
        <v>2.63</v>
      </c>
      <c r="I378" s="271">
        <f t="shared" si="31"/>
        <v>5.26</v>
      </c>
      <c r="J378" s="54"/>
      <c r="K378" s="136"/>
      <c r="L378" s="54"/>
      <c r="M378" s="54"/>
      <c r="N378" s="54"/>
      <c r="O378" s="54"/>
      <c r="P378" s="54"/>
      <c r="Q378" s="54"/>
      <c r="R378" s="137"/>
    </row>
    <row r="379" spans="1:18" s="7" customFormat="1" ht="14.25" customHeight="1" x14ac:dyDescent="0.2">
      <c r="A379" s="268" t="s">
        <v>729</v>
      </c>
      <c r="B379" s="375" t="s">
        <v>98</v>
      </c>
      <c r="C379" s="375">
        <v>7136</v>
      </c>
      <c r="D379" s="377" t="s">
        <v>755</v>
      </c>
      <c r="E379" s="375" t="s">
        <v>10</v>
      </c>
      <c r="F379" s="376">
        <v>1</v>
      </c>
      <c r="G379" s="376">
        <v>4.5</v>
      </c>
      <c r="H379" s="376">
        <f t="shared" si="30"/>
        <v>4.5</v>
      </c>
      <c r="I379" s="271">
        <f t="shared" si="31"/>
        <v>4.5</v>
      </c>
      <c r="J379" s="54"/>
      <c r="K379" s="136"/>
      <c r="L379" s="54"/>
      <c r="M379" s="54"/>
      <c r="N379" s="54"/>
      <c r="O379" s="54"/>
      <c r="P379" s="54"/>
      <c r="Q379" s="54"/>
      <c r="R379" s="137"/>
    </row>
    <row r="380" spans="1:18" s="7" customFormat="1" ht="14.25" customHeight="1" x14ac:dyDescent="0.2">
      <c r="A380" s="268" t="s">
        <v>730</v>
      </c>
      <c r="B380" s="375" t="s">
        <v>98</v>
      </c>
      <c r="C380" s="375">
        <v>3529</v>
      </c>
      <c r="D380" s="377" t="s">
        <v>756</v>
      </c>
      <c r="E380" s="375" t="s">
        <v>10</v>
      </c>
      <c r="F380" s="376">
        <v>2</v>
      </c>
      <c r="G380" s="376">
        <v>0.45</v>
      </c>
      <c r="H380" s="376">
        <f t="shared" si="30"/>
        <v>0.45</v>
      </c>
      <c r="I380" s="271">
        <f t="shared" si="31"/>
        <v>0.9</v>
      </c>
      <c r="J380" s="54"/>
      <c r="K380" s="136"/>
      <c r="L380" s="54"/>
      <c r="M380" s="54"/>
      <c r="N380" s="54"/>
      <c r="O380" s="54"/>
      <c r="P380" s="54"/>
      <c r="Q380" s="54"/>
      <c r="R380" s="137"/>
    </row>
    <row r="381" spans="1:18" s="7" customFormat="1" ht="14.25" customHeight="1" x14ac:dyDescent="0.2">
      <c r="A381" s="268" t="s">
        <v>1343</v>
      </c>
      <c r="B381" s="375" t="s">
        <v>98</v>
      </c>
      <c r="C381" s="375">
        <v>3536</v>
      </c>
      <c r="D381" s="377" t="s">
        <v>757</v>
      </c>
      <c r="E381" s="375" t="s">
        <v>10</v>
      </c>
      <c r="F381" s="376">
        <v>1</v>
      </c>
      <c r="G381" s="376">
        <v>1.1599999999999999</v>
      </c>
      <c r="H381" s="376">
        <f t="shared" si="30"/>
        <v>1.1599999999999999</v>
      </c>
      <c r="I381" s="271">
        <f t="shared" si="31"/>
        <v>1.1599999999999999</v>
      </c>
      <c r="J381" s="54"/>
      <c r="K381" s="136"/>
      <c r="L381" s="54"/>
      <c r="M381" s="54"/>
      <c r="N381" s="54"/>
      <c r="O381" s="54"/>
      <c r="P381" s="54"/>
      <c r="Q381" s="54"/>
      <c r="R381" s="137"/>
    </row>
    <row r="382" spans="1:18" s="7" customFormat="1" ht="14.25" customHeight="1" x14ac:dyDescent="0.2">
      <c r="A382" s="268" t="s">
        <v>1344</v>
      </c>
      <c r="B382" s="375" t="s">
        <v>98</v>
      </c>
      <c r="C382" s="378" t="s">
        <v>758</v>
      </c>
      <c r="D382" s="377" t="s">
        <v>759</v>
      </c>
      <c r="E382" s="375" t="s">
        <v>10</v>
      </c>
      <c r="F382" s="376">
        <v>3</v>
      </c>
      <c r="G382" s="376">
        <v>0.62</v>
      </c>
      <c r="H382" s="376">
        <f t="shared" si="30"/>
        <v>0.62</v>
      </c>
      <c r="I382" s="271">
        <f t="shared" si="31"/>
        <v>1.86</v>
      </c>
      <c r="J382" s="54"/>
      <c r="K382" s="136"/>
      <c r="L382" s="54"/>
      <c r="M382" s="54"/>
      <c r="N382" s="54"/>
      <c r="O382" s="54"/>
      <c r="P382" s="54"/>
      <c r="Q382" s="54"/>
      <c r="R382" s="137"/>
    </row>
    <row r="383" spans="1:18" s="7" customFormat="1" ht="14.25" x14ac:dyDescent="0.2">
      <c r="A383" s="268" t="s">
        <v>1345</v>
      </c>
      <c r="B383" s="375" t="s">
        <v>98</v>
      </c>
      <c r="C383" s="378" t="s">
        <v>760</v>
      </c>
      <c r="D383" s="377" t="s">
        <v>761</v>
      </c>
      <c r="E383" s="375" t="s">
        <v>10</v>
      </c>
      <c r="F383" s="376">
        <v>1</v>
      </c>
      <c r="G383" s="376">
        <v>1.3</v>
      </c>
      <c r="H383" s="376">
        <f t="shared" si="30"/>
        <v>1.3</v>
      </c>
      <c r="I383" s="271">
        <f t="shared" si="31"/>
        <v>1.3</v>
      </c>
      <c r="J383" s="54"/>
      <c r="K383" s="136"/>
      <c r="L383" s="54"/>
      <c r="M383" s="54"/>
      <c r="N383" s="54"/>
      <c r="O383" s="54"/>
      <c r="P383" s="54"/>
      <c r="Q383" s="54"/>
      <c r="R383" s="137"/>
    </row>
    <row r="384" spans="1:18" s="7" customFormat="1" ht="14.25" customHeight="1" x14ac:dyDescent="0.2">
      <c r="A384" s="268" t="s">
        <v>1346</v>
      </c>
      <c r="B384" s="375" t="s">
        <v>9</v>
      </c>
      <c r="C384" s="375"/>
      <c r="D384" s="377" t="s">
        <v>711</v>
      </c>
      <c r="E384" s="375" t="s">
        <v>10</v>
      </c>
      <c r="F384" s="376">
        <v>1</v>
      </c>
      <c r="G384" s="376">
        <v>198</v>
      </c>
      <c r="H384" s="376">
        <f t="shared" si="30"/>
        <v>198</v>
      </c>
      <c r="I384" s="271">
        <f t="shared" si="31"/>
        <v>198</v>
      </c>
      <c r="J384" s="54"/>
      <c r="K384" s="136"/>
      <c r="L384" s="54"/>
      <c r="M384" s="54"/>
      <c r="N384" s="54"/>
      <c r="O384" s="54"/>
      <c r="P384" s="54"/>
      <c r="Q384" s="54"/>
      <c r="R384" s="137"/>
    </row>
    <row r="385" spans="1:18" s="7" customFormat="1" ht="14.25" customHeight="1" x14ac:dyDescent="0.2">
      <c r="A385" s="268" t="s">
        <v>1347</v>
      </c>
      <c r="B385" s="375" t="s">
        <v>98</v>
      </c>
      <c r="C385" s="375">
        <v>7602</v>
      </c>
      <c r="D385" s="377" t="s">
        <v>715</v>
      </c>
      <c r="E385" s="375" t="s">
        <v>10</v>
      </c>
      <c r="F385" s="376">
        <v>3</v>
      </c>
      <c r="G385" s="376">
        <v>10.96</v>
      </c>
      <c r="H385" s="376">
        <f t="shared" si="30"/>
        <v>10.96</v>
      </c>
      <c r="I385" s="271">
        <f t="shared" si="31"/>
        <v>32.880000000000003</v>
      </c>
      <c r="J385" s="54"/>
      <c r="K385" s="136"/>
      <c r="L385" s="54"/>
      <c r="M385" s="54"/>
      <c r="N385" s="54"/>
      <c r="O385" s="54"/>
      <c r="P385" s="54"/>
      <c r="Q385" s="54"/>
      <c r="R385" s="137"/>
    </row>
    <row r="386" spans="1:18" s="43" customFormat="1" ht="14.25" customHeight="1" x14ac:dyDescent="0.2">
      <c r="A386" s="268" t="s">
        <v>1348</v>
      </c>
      <c r="B386" s="375" t="s">
        <v>98</v>
      </c>
      <c r="C386" s="378">
        <v>1816</v>
      </c>
      <c r="D386" s="377" t="s">
        <v>762</v>
      </c>
      <c r="E386" s="375" t="s">
        <v>10</v>
      </c>
      <c r="F386" s="376">
        <v>1</v>
      </c>
      <c r="G386" s="376">
        <v>21.6</v>
      </c>
      <c r="H386" s="376">
        <f t="shared" si="30"/>
        <v>21.6</v>
      </c>
      <c r="I386" s="271">
        <f t="shared" si="31"/>
        <v>21.6</v>
      </c>
      <c r="J386" s="44"/>
      <c r="K386" s="45"/>
      <c r="L386" s="44"/>
      <c r="M386" s="44"/>
      <c r="N386" s="44"/>
      <c r="O386" s="44"/>
      <c r="P386" s="44"/>
      <c r="Q386" s="44"/>
    </row>
    <row r="387" spans="1:18" s="43" customFormat="1" ht="14.25" customHeight="1" x14ac:dyDescent="0.2">
      <c r="A387" s="268" t="s">
        <v>1349</v>
      </c>
      <c r="B387" s="375" t="s">
        <v>98</v>
      </c>
      <c r="C387" s="378">
        <v>1776</v>
      </c>
      <c r="D387" s="377" t="s">
        <v>763</v>
      </c>
      <c r="E387" s="375" t="s">
        <v>10</v>
      </c>
      <c r="F387" s="376">
        <v>2</v>
      </c>
      <c r="G387" s="376">
        <v>19.329999999999998</v>
      </c>
      <c r="H387" s="376">
        <f t="shared" si="30"/>
        <v>19.329999999999998</v>
      </c>
      <c r="I387" s="271">
        <f t="shared" si="31"/>
        <v>38.659999999999997</v>
      </c>
      <c r="J387" s="44"/>
      <c r="K387" s="45"/>
      <c r="L387" s="44"/>
      <c r="M387" s="44"/>
      <c r="N387" s="44"/>
      <c r="O387" s="44"/>
      <c r="P387" s="44"/>
      <c r="Q387" s="44"/>
    </row>
    <row r="388" spans="1:18" s="43" customFormat="1" ht="14.25" customHeight="1" x14ac:dyDescent="0.2">
      <c r="A388" s="268" t="s">
        <v>1350</v>
      </c>
      <c r="B388" s="375" t="s">
        <v>98</v>
      </c>
      <c r="C388" s="378" t="s">
        <v>764</v>
      </c>
      <c r="D388" s="377" t="s">
        <v>765</v>
      </c>
      <c r="E388" s="375" t="s">
        <v>10</v>
      </c>
      <c r="F388" s="376">
        <v>1</v>
      </c>
      <c r="G388" s="376">
        <v>47.79</v>
      </c>
      <c r="H388" s="376">
        <f t="shared" si="30"/>
        <v>47.79</v>
      </c>
      <c r="I388" s="271">
        <f t="shared" si="31"/>
        <v>47.79</v>
      </c>
      <c r="J388" s="44"/>
      <c r="K388" s="45"/>
      <c r="L388" s="44"/>
      <c r="M388" s="44"/>
      <c r="N388" s="44"/>
      <c r="O388" s="44"/>
      <c r="P388" s="44"/>
      <c r="Q388" s="44"/>
    </row>
    <row r="389" spans="1:18" s="43" customFormat="1" ht="14.25" customHeight="1" x14ac:dyDescent="0.2">
      <c r="A389" s="268" t="s">
        <v>1351</v>
      </c>
      <c r="B389" s="375" t="s">
        <v>98</v>
      </c>
      <c r="C389" s="378">
        <v>4211</v>
      </c>
      <c r="D389" s="377" t="s">
        <v>766</v>
      </c>
      <c r="E389" s="375" t="s">
        <v>10</v>
      </c>
      <c r="F389" s="376">
        <v>1</v>
      </c>
      <c r="G389" s="376">
        <v>0.6</v>
      </c>
      <c r="H389" s="376">
        <f t="shared" si="30"/>
        <v>0.6</v>
      </c>
      <c r="I389" s="271">
        <f t="shared" si="31"/>
        <v>0.6</v>
      </c>
      <c r="J389" s="44"/>
      <c r="K389" s="45"/>
      <c r="L389" s="44"/>
      <c r="M389" s="44"/>
      <c r="N389" s="44"/>
      <c r="O389" s="44"/>
      <c r="P389" s="44"/>
      <c r="Q389" s="44"/>
    </row>
    <row r="390" spans="1:18" s="43" customFormat="1" ht="14.25" customHeight="1" x14ac:dyDescent="0.2">
      <c r="A390" s="268" t="s">
        <v>1352</v>
      </c>
      <c r="B390" s="375" t="s">
        <v>9</v>
      </c>
      <c r="C390" s="375"/>
      <c r="D390" s="377" t="s">
        <v>965</v>
      </c>
      <c r="E390" s="375" t="s">
        <v>10</v>
      </c>
      <c r="F390" s="376">
        <v>1</v>
      </c>
      <c r="G390" s="376">
        <v>17.77</v>
      </c>
      <c r="H390" s="376">
        <f t="shared" si="30"/>
        <v>17.77</v>
      </c>
      <c r="I390" s="271">
        <f t="shared" si="31"/>
        <v>17.77</v>
      </c>
      <c r="J390" s="44"/>
      <c r="K390" s="45"/>
      <c r="L390" s="44"/>
      <c r="M390" s="44"/>
      <c r="N390" s="44"/>
      <c r="O390" s="44"/>
      <c r="P390" s="44"/>
      <c r="Q390" s="44"/>
    </row>
    <row r="391" spans="1:18" s="43" customFormat="1" ht="14.25" x14ac:dyDescent="0.2">
      <c r="A391" s="268" t="s">
        <v>1353</v>
      </c>
      <c r="B391" s="375" t="s">
        <v>98</v>
      </c>
      <c r="C391" s="375">
        <v>3455</v>
      </c>
      <c r="D391" s="377" t="s">
        <v>966</v>
      </c>
      <c r="E391" s="375" t="s">
        <v>10</v>
      </c>
      <c r="F391" s="376">
        <v>6</v>
      </c>
      <c r="G391" s="376">
        <v>3.13</v>
      </c>
      <c r="H391" s="376">
        <f t="shared" si="30"/>
        <v>3.13</v>
      </c>
      <c r="I391" s="271">
        <f t="shared" si="31"/>
        <v>18.78</v>
      </c>
      <c r="J391" s="44"/>
      <c r="K391" s="45"/>
      <c r="L391" s="44"/>
      <c r="M391" s="44"/>
      <c r="N391" s="44"/>
      <c r="O391" s="44"/>
      <c r="P391" s="44"/>
      <c r="Q391" s="44"/>
    </row>
    <row r="392" spans="1:18" s="43" customFormat="1" ht="14.25" customHeight="1" x14ac:dyDescent="0.2">
      <c r="A392" s="268"/>
      <c r="B392" s="584" t="s">
        <v>98</v>
      </c>
      <c r="C392" s="375">
        <v>21146</v>
      </c>
      <c r="D392" s="377" t="s">
        <v>311</v>
      </c>
      <c r="E392" s="375" t="s">
        <v>107</v>
      </c>
      <c r="F392" s="376">
        <v>3</v>
      </c>
      <c r="G392" s="376">
        <v>22.97</v>
      </c>
      <c r="H392" s="376">
        <f t="shared" si="30"/>
        <v>22.97</v>
      </c>
      <c r="I392" s="271">
        <f t="shared" si="31"/>
        <v>68.91</v>
      </c>
      <c r="J392" s="44"/>
      <c r="K392" s="45"/>
      <c r="L392" s="44"/>
      <c r="M392" s="44"/>
      <c r="N392" s="44"/>
      <c r="O392" s="44"/>
      <c r="P392" s="44"/>
      <c r="Q392" s="44"/>
    </row>
    <row r="393" spans="1:18" s="373" customFormat="1" ht="14.25" customHeight="1" x14ac:dyDescent="0.2">
      <c r="A393" s="268"/>
      <c r="B393" s="584"/>
      <c r="C393" s="584"/>
      <c r="D393" s="377"/>
      <c r="E393" s="584"/>
      <c r="F393" s="376"/>
      <c r="G393" s="376"/>
      <c r="H393" s="376"/>
      <c r="I393" s="271"/>
      <c r="J393" s="44"/>
      <c r="K393" s="45"/>
      <c r="L393" s="44"/>
      <c r="M393" s="44"/>
      <c r="N393" s="44"/>
      <c r="O393" s="44"/>
      <c r="P393" s="44"/>
      <c r="Q393" s="44"/>
    </row>
    <row r="394" spans="1:18" s="373" customFormat="1" x14ac:dyDescent="0.2">
      <c r="A394" s="263" t="s">
        <v>1333</v>
      </c>
      <c r="B394" s="205" t="s">
        <v>306</v>
      </c>
      <c r="C394" s="557" t="s">
        <v>1590</v>
      </c>
      <c r="D394" s="206" t="s">
        <v>1589</v>
      </c>
      <c r="E394" s="205" t="s">
        <v>10</v>
      </c>
      <c r="F394" s="315"/>
      <c r="G394" s="316"/>
      <c r="H394" s="316"/>
      <c r="I394" s="560">
        <f>SUM(I395:I397)</f>
        <v>2227.8000000000002</v>
      </c>
      <c r="J394" s="44"/>
      <c r="K394" s="45"/>
      <c r="L394" s="44"/>
      <c r="M394" s="44"/>
      <c r="N394" s="44"/>
      <c r="O394" s="44"/>
      <c r="P394" s="44"/>
      <c r="Q394" s="44"/>
    </row>
    <row r="395" spans="1:18" s="141" customFormat="1" x14ac:dyDescent="0.25">
      <c r="A395" s="577" t="s">
        <v>1334</v>
      </c>
      <c r="B395" s="585" t="s">
        <v>98</v>
      </c>
      <c r="C395" s="585">
        <v>2696</v>
      </c>
      <c r="D395" s="379" t="s">
        <v>251</v>
      </c>
      <c r="E395" s="585" t="s">
        <v>97</v>
      </c>
      <c r="F395" s="381">
        <v>90</v>
      </c>
      <c r="G395" s="382">
        <v>9.86</v>
      </c>
      <c r="H395" s="376">
        <f t="shared" ref="H395:H397" si="32">ROUND((1+K$3)*G395,2)</f>
        <v>9.86</v>
      </c>
      <c r="I395" s="289">
        <f t="shared" ref="I395:I397" si="33">ROUND(F395*H395,2)</f>
        <v>887.4</v>
      </c>
      <c r="J395" s="140"/>
      <c r="K395" s="140"/>
      <c r="L395" s="140"/>
      <c r="M395" s="140"/>
      <c r="N395" s="140"/>
      <c r="O395" s="140"/>
      <c r="P395" s="140"/>
      <c r="Q395" s="140"/>
    </row>
    <row r="396" spans="1:18" s="141" customFormat="1" x14ac:dyDescent="0.25">
      <c r="A396" s="577" t="s">
        <v>1335</v>
      </c>
      <c r="B396" s="585" t="s">
        <v>98</v>
      </c>
      <c r="C396" s="585">
        <v>246</v>
      </c>
      <c r="D396" s="379" t="s">
        <v>250</v>
      </c>
      <c r="E396" s="585" t="s">
        <v>97</v>
      </c>
      <c r="F396" s="381">
        <v>80</v>
      </c>
      <c r="G396" s="382">
        <v>8.68</v>
      </c>
      <c r="H396" s="376">
        <f t="shared" si="32"/>
        <v>8.68</v>
      </c>
      <c r="I396" s="289">
        <f t="shared" si="33"/>
        <v>694.4</v>
      </c>
      <c r="J396" s="140"/>
      <c r="K396" s="140"/>
      <c r="L396" s="140"/>
      <c r="M396" s="140"/>
      <c r="N396" s="140"/>
      <c r="O396" s="140"/>
      <c r="P396" s="140"/>
      <c r="Q396" s="140"/>
    </row>
    <row r="397" spans="1:18" s="135" customFormat="1" ht="14.25" x14ac:dyDescent="0.2">
      <c r="A397" s="577" t="s">
        <v>1336</v>
      </c>
      <c r="B397" s="585" t="s">
        <v>98</v>
      </c>
      <c r="C397" s="585">
        <v>6111</v>
      </c>
      <c r="D397" s="379" t="s">
        <v>252</v>
      </c>
      <c r="E397" s="585" t="s">
        <v>97</v>
      </c>
      <c r="F397" s="381">
        <v>100</v>
      </c>
      <c r="G397" s="382">
        <v>6.46</v>
      </c>
      <c r="H397" s="376">
        <f t="shared" si="32"/>
        <v>6.46</v>
      </c>
      <c r="I397" s="289">
        <f t="shared" si="33"/>
        <v>646</v>
      </c>
      <c r="J397" s="134"/>
      <c r="K397" s="134"/>
      <c r="L397" s="134"/>
      <c r="M397" s="134"/>
      <c r="N397" s="134"/>
      <c r="O397" s="134"/>
      <c r="P397" s="134"/>
      <c r="Q397" s="134"/>
    </row>
    <row r="398" spans="1:18" s="373" customFormat="1" ht="14.25" customHeight="1" x14ac:dyDescent="0.2">
      <c r="A398" s="268"/>
      <c r="B398" s="375"/>
      <c r="C398" s="375"/>
      <c r="D398" s="377"/>
      <c r="E398" s="375"/>
      <c r="F398" s="376"/>
      <c r="G398" s="376"/>
      <c r="H398" s="376"/>
      <c r="I398" s="271"/>
      <c r="J398" s="44"/>
      <c r="K398" s="45"/>
      <c r="L398" s="44"/>
      <c r="M398" s="44"/>
      <c r="N398" s="44"/>
      <c r="O398" s="44"/>
      <c r="P398" s="44"/>
      <c r="Q398" s="44"/>
    </row>
    <row r="399" spans="1:18" s="135" customFormat="1" ht="15.95" customHeight="1" x14ac:dyDescent="0.2">
      <c r="A399" s="263" t="s">
        <v>731</v>
      </c>
      <c r="B399" s="205" t="s">
        <v>306</v>
      </c>
      <c r="C399" s="557" t="s">
        <v>677</v>
      </c>
      <c r="D399" s="206" t="s">
        <v>501</v>
      </c>
      <c r="E399" s="205" t="s">
        <v>10</v>
      </c>
      <c r="F399" s="315"/>
      <c r="G399" s="316"/>
      <c r="H399" s="316"/>
      <c r="I399" s="560">
        <f>SUM(I400:I413)</f>
        <v>2917.65</v>
      </c>
      <c r="J399" s="134"/>
      <c r="K399" s="134"/>
      <c r="L399" s="134"/>
      <c r="M399" s="134"/>
      <c r="N399" s="134"/>
      <c r="O399" s="134"/>
      <c r="P399" s="134"/>
      <c r="Q399" s="134"/>
    </row>
    <row r="400" spans="1:18" s="135" customFormat="1" ht="15.95" customHeight="1" x14ac:dyDescent="0.2">
      <c r="A400" s="265" t="s">
        <v>732</v>
      </c>
      <c r="B400" s="543" t="s">
        <v>98</v>
      </c>
      <c r="C400" s="543" t="s">
        <v>114</v>
      </c>
      <c r="D400" s="379" t="s">
        <v>115</v>
      </c>
      <c r="E400" s="543" t="s">
        <v>113</v>
      </c>
      <c r="F400" s="381">
        <v>0.38400000000000001</v>
      </c>
      <c r="G400" s="382">
        <v>22.62</v>
      </c>
      <c r="H400" s="376">
        <f t="shared" ref="H400:H413" si="34">ROUND((1+K$3)*G400,2)</f>
        <v>22.62</v>
      </c>
      <c r="I400" s="289">
        <f t="shared" ref="I400:I413" si="35">ROUND(F400*H400,2)</f>
        <v>8.69</v>
      </c>
      <c r="J400" s="134"/>
      <c r="K400" s="134"/>
      <c r="L400" s="134"/>
      <c r="M400" s="134"/>
      <c r="N400" s="134"/>
      <c r="O400" s="134"/>
      <c r="P400" s="134"/>
      <c r="Q400" s="134"/>
    </row>
    <row r="401" spans="1:17" s="135" customFormat="1" ht="15.95" customHeight="1" x14ac:dyDescent="0.2">
      <c r="A401" s="265" t="s">
        <v>733</v>
      </c>
      <c r="B401" s="543" t="s">
        <v>98</v>
      </c>
      <c r="C401" s="374">
        <v>5622</v>
      </c>
      <c r="D401" s="266" t="s">
        <v>660</v>
      </c>
      <c r="E401" s="543" t="s">
        <v>101</v>
      </c>
      <c r="F401" s="381">
        <v>1.28</v>
      </c>
      <c r="G401" s="382">
        <v>2.13</v>
      </c>
      <c r="H401" s="381">
        <f t="shared" si="34"/>
        <v>2.13</v>
      </c>
      <c r="I401" s="289">
        <f t="shared" si="35"/>
        <v>2.73</v>
      </c>
      <c r="J401" s="134"/>
      <c r="K401" s="134"/>
      <c r="L401" s="134"/>
      <c r="M401" s="134"/>
      <c r="N401" s="134"/>
      <c r="O401" s="134"/>
      <c r="P401" s="134"/>
      <c r="Q401" s="134"/>
    </row>
    <row r="402" spans="1:17" s="135" customFormat="1" ht="15.95" customHeight="1" x14ac:dyDescent="0.2">
      <c r="A402" s="265" t="s">
        <v>734</v>
      </c>
      <c r="B402" s="543" t="s">
        <v>98</v>
      </c>
      <c r="C402" s="543" t="s">
        <v>439</v>
      </c>
      <c r="D402" s="379" t="s">
        <v>440</v>
      </c>
      <c r="E402" s="543" t="s">
        <v>113</v>
      </c>
      <c r="F402" s="381">
        <f>F401</f>
        <v>1.28</v>
      </c>
      <c r="G402" s="382">
        <v>25.85</v>
      </c>
      <c r="H402" s="376">
        <f t="shared" si="34"/>
        <v>25.85</v>
      </c>
      <c r="I402" s="289">
        <f t="shared" si="35"/>
        <v>33.090000000000003</v>
      </c>
      <c r="J402" s="134"/>
      <c r="K402" s="134"/>
      <c r="L402" s="134"/>
      <c r="M402" s="134"/>
      <c r="N402" s="134"/>
      <c r="O402" s="134"/>
      <c r="P402" s="134"/>
      <c r="Q402" s="134"/>
    </row>
    <row r="403" spans="1:17" s="135" customFormat="1" ht="15.95" customHeight="1" x14ac:dyDescent="0.2">
      <c r="A403" s="265" t="s">
        <v>735</v>
      </c>
      <c r="B403" s="543" t="s">
        <v>98</v>
      </c>
      <c r="C403" s="543" t="s">
        <v>72</v>
      </c>
      <c r="D403" s="379" t="s">
        <v>21</v>
      </c>
      <c r="E403" s="543" t="s">
        <v>113</v>
      </c>
      <c r="F403" s="381">
        <v>6.4000000000000001E-2</v>
      </c>
      <c r="G403" s="382">
        <v>254.4</v>
      </c>
      <c r="H403" s="376">
        <f t="shared" si="34"/>
        <v>254.4</v>
      </c>
      <c r="I403" s="289">
        <f t="shared" si="35"/>
        <v>16.28</v>
      </c>
      <c r="J403" s="134"/>
      <c r="K403" s="134"/>
      <c r="L403" s="134"/>
      <c r="M403" s="134"/>
      <c r="N403" s="134"/>
      <c r="O403" s="134"/>
      <c r="P403" s="134"/>
      <c r="Q403" s="134"/>
    </row>
    <row r="404" spans="1:17" s="135" customFormat="1" ht="15.95" customHeight="1" x14ac:dyDescent="0.2">
      <c r="A404" s="265" t="s">
        <v>736</v>
      </c>
      <c r="B404" s="543" t="s">
        <v>98</v>
      </c>
      <c r="C404" s="543" t="s">
        <v>78</v>
      </c>
      <c r="D404" s="379" t="s">
        <v>79</v>
      </c>
      <c r="E404" s="543" t="s">
        <v>101</v>
      </c>
      <c r="F404" s="381">
        <v>4.34</v>
      </c>
      <c r="G404" s="382">
        <v>79.58</v>
      </c>
      <c r="H404" s="376">
        <f t="shared" si="34"/>
        <v>79.58</v>
      </c>
      <c r="I404" s="289">
        <f t="shared" si="35"/>
        <v>345.38</v>
      </c>
      <c r="J404" s="134"/>
      <c r="K404" s="134"/>
      <c r="L404" s="134"/>
      <c r="M404" s="134"/>
      <c r="N404" s="134"/>
      <c r="O404" s="134"/>
      <c r="P404" s="134"/>
      <c r="Q404" s="134"/>
    </row>
    <row r="405" spans="1:17" s="135" customFormat="1" ht="15.95" customHeight="1" x14ac:dyDescent="0.2">
      <c r="A405" s="265" t="s">
        <v>737</v>
      </c>
      <c r="B405" s="543" t="s">
        <v>98</v>
      </c>
      <c r="C405" s="543">
        <v>73406</v>
      </c>
      <c r="D405" s="379" t="s">
        <v>749</v>
      </c>
      <c r="E405" s="543" t="s">
        <v>113</v>
      </c>
      <c r="F405" s="381">
        <v>0.81899999999999995</v>
      </c>
      <c r="G405" s="382">
        <v>332.85</v>
      </c>
      <c r="H405" s="376">
        <f>ROUND((1+K$3)*G405,2)</f>
        <v>332.85</v>
      </c>
      <c r="I405" s="289">
        <f>ROUND(F405*H405,2)</f>
        <v>272.60000000000002</v>
      </c>
      <c r="J405" s="134"/>
      <c r="K405" s="134"/>
      <c r="L405" s="134"/>
      <c r="M405" s="134"/>
      <c r="N405" s="134"/>
      <c r="O405" s="134"/>
      <c r="P405" s="134"/>
      <c r="Q405" s="134"/>
    </row>
    <row r="406" spans="1:17" s="135" customFormat="1" ht="15.95" customHeight="1" x14ac:dyDescent="0.2">
      <c r="A406" s="265" t="s">
        <v>738</v>
      </c>
      <c r="B406" s="543" t="s">
        <v>98</v>
      </c>
      <c r="C406" s="543" t="s">
        <v>6</v>
      </c>
      <c r="D406" s="379" t="s">
        <v>502</v>
      </c>
      <c r="E406" s="543" t="s">
        <v>101</v>
      </c>
      <c r="F406" s="381">
        <v>9.94</v>
      </c>
      <c r="G406" s="382">
        <v>44.58</v>
      </c>
      <c r="H406" s="376">
        <f t="shared" si="34"/>
        <v>44.58</v>
      </c>
      <c r="I406" s="289">
        <f t="shared" si="35"/>
        <v>443.13</v>
      </c>
      <c r="J406" s="134"/>
      <c r="K406" s="134"/>
      <c r="L406" s="134"/>
      <c r="M406" s="134"/>
      <c r="N406" s="134"/>
      <c r="O406" s="134"/>
      <c r="P406" s="134"/>
      <c r="Q406" s="134"/>
    </row>
    <row r="407" spans="1:17" s="135" customFormat="1" ht="15.95" customHeight="1" x14ac:dyDescent="0.2">
      <c r="A407" s="265" t="s">
        <v>739</v>
      </c>
      <c r="B407" s="543" t="s">
        <v>98</v>
      </c>
      <c r="C407" s="543" t="s">
        <v>50</v>
      </c>
      <c r="D407" s="379" t="s">
        <v>53</v>
      </c>
      <c r="E407" s="543" t="s">
        <v>101</v>
      </c>
      <c r="F407" s="381">
        <f>F406*2</f>
        <v>19.88</v>
      </c>
      <c r="G407" s="382">
        <v>3.16</v>
      </c>
      <c r="H407" s="376">
        <f t="shared" si="34"/>
        <v>3.16</v>
      </c>
      <c r="I407" s="289">
        <f t="shared" si="35"/>
        <v>62.82</v>
      </c>
      <c r="J407" s="134"/>
      <c r="K407" s="134"/>
      <c r="L407" s="134"/>
      <c r="M407" s="134"/>
      <c r="N407" s="134"/>
      <c r="O407" s="134"/>
      <c r="P407" s="134"/>
      <c r="Q407" s="134"/>
    </row>
    <row r="408" spans="1:17" s="135" customFormat="1" ht="15.95" customHeight="1" x14ac:dyDescent="0.2">
      <c r="A408" s="265" t="s">
        <v>740</v>
      </c>
      <c r="B408" s="543" t="s">
        <v>98</v>
      </c>
      <c r="C408" s="543" t="s">
        <v>448</v>
      </c>
      <c r="D408" s="379" t="s">
        <v>449</v>
      </c>
      <c r="E408" s="543" t="s">
        <v>101</v>
      </c>
      <c r="F408" s="381">
        <f>F407</f>
        <v>19.88</v>
      </c>
      <c r="G408" s="382">
        <v>18.100000000000001</v>
      </c>
      <c r="H408" s="376">
        <f t="shared" si="34"/>
        <v>18.100000000000001</v>
      </c>
      <c r="I408" s="289">
        <f t="shared" si="35"/>
        <v>359.83</v>
      </c>
      <c r="J408" s="134"/>
      <c r="K408" s="134"/>
      <c r="L408" s="134"/>
      <c r="M408" s="134"/>
      <c r="N408" s="134"/>
      <c r="O408" s="134"/>
      <c r="P408" s="134"/>
      <c r="Q408" s="134"/>
    </row>
    <row r="409" spans="1:17" s="135" customFormat="1" ht="15.95" customHeight="1" x14ac:dyDescent="0.2">
      <c r="A409" s="265" t="s">
        <v>741</v>
      </c>
      <c r="B409" s="543" t="s">
        <v>98</v>
      </c>
      <c r="C409" s="543" t="s">
        <v>503</v>
      </c>
      <c r="D409" s="379" t="s">
        <v>504</v>
      </c>
      <c r="E409" s="543" t="s">
        <v>101</v>
      </c>
      <c r="F409" s="376">
        <v>5.0599999999999996</v>
      </c>
      <c r="G409" s="382">
        <v>177.84</v>
      </c>
      <c r="H409" s="376">
        <f t="shared" si="34"/>
        <v>177.84</v>
      </c>
      <c r="I409" s="289">
        <f t="shared" si="35"/>
        <v>899.87</v>
      </c>
      <c r="J409" s="134"/>
      <c r="K409" s="134"/>
      <c r="L409" s="134"/>
      <c r="M409" s="134"/>
      <c r="N409" s="134"/>
      <c r="O409" s="134"/>
      <c r="P409" s="134"/>
      <c r="Q409" s="134"/>
    </row>
    <row r="410" spans="1:17" s="135" customFormat="1" ht="15.95" customHeight="1" x14ac:dyDescent="0.2">
      <c r="A410" s="265" t="s">
        <v>742</v>
      </c>
      <c r="B410" s="543" t="s">
        <v>98</v>
      </c>
      <c r="C410" s="543">
        <v>2426</v>
      </c>
      <c r="D410" s="379" t="s">
        <v>505</v>
      </c>
      <c r="E410" s="543" t="s">
        <v>10</v>
      </c>
      <c r="F410" s="376">
        <v>6</v>
      </c>
      <c r="G410" s="382">
        <v>5.88</v>
      </c>
      <c r="H410" s="376">
        <f t="shared" si="34"/>
        <v>5.88</v>
      </c>
      <c r="I410" s="289">
        <f t="shared" si="35"/>
        <v>35.28</v>
      </c>
      <c r="J410" s="134"/>
      <c r="K410" s="134"/>
      <c r="L410" s="134"/>
      <c r="M410" s="134"/>
      <c r="N410" s="134"/>
      <c r="O410" s="134"/>
      <c r="P410" s="134"/>
      <c r="Q410" s="134"/>
    </row>
    <row r="411" spans="1:17" s="135" customFormat="1" ht="15.95" customHeight="1" x14ac:dyDescent="0.2">
      <c r="A411" s="265" t="s">
        <v>1354</v>
      </c>
      <c r="B411" s="543" t="s">
        <v>98</v>
      </c>
      <c r="C411" s="543">
        <v>3105</v>
      </c>
      <c r="D411" s="379" t="s">
        <v>506</v>
      </c>
      <c r="E411" s="543" t="s">
        <v>10</v>
      </c>
      <c r="F411" s="376">
        <v>1</v>
      </c>
      <c r="G411" s="382">
        <v>56.54</v>
      </c>
      <c r="H411" s="376">
        <f t="shared" si="34"/>
        <v>56.54</v>
      </c>
      <c r="I411" s="289">
        <f t="shared" si="35"/>
        <v>56.54</v>
      </c>
      <c r="J411" s="134"/>
      <c r="K411" s="134"/>
      <c r="L411" s="134"/>
      <c r="M411" s="134"/>
      <c r="N411" s="134"/>
      <c r="O411" s="134"/>
      <c r="P411" s="134"/>
      <c r="Q411" s="134"/>
    </row>
    <row r="412" spans="1:17" s="135" customFormat="1" ht="15.95" customHeight="1" x14ac:dyDescent="0.2">
      <c r="A412" s="265" t="s">
        <v>1355</v>
      </c>
      <c r="B412" s="543" t="s">
        <v>98</v>
      </c>
      <c r="C412" s="543" t="s">
        <v>507</v>
      </c>
      <c r="D412" s="379" t="s">
        <v>508</v>
      </c>
      <c r="E412" s="543" t="s">
        <v>101</v>
      </c>
      <c r="F412" s="376">
        <f>F406*1.6</f>
        <v>15.904</v>
      </c>
      <c r="G412" s="382">
        <v>10.19</v>
      </c>
      <c r="H412" s="376">
        <f t="shared" si="34"/>
        <v>10.19</v>
      </c>
      <c r="I412" s="289">
        <f t="shared" si="35"/>
        <v>162.06</v>
      </c>
      <c r="J412" s="134"/>
      <c r="K412" s="134"/>
      <c r="L412" s="134"/>
      <c r="M412" s="134"/>
      <c r="N412" s="134"/>
      <c r="O412" s="134"/>
      <c r="P412" s="134"/>
      <c r="Q412" s="134"/>
    </row>
    <row r="413" spans="1:17" s="135" customFormat="1" ht="15.95" customHeight="1" x14ac:dyDescent="0.2">
      <c r="A413" s="265" t="s">
        <v>1356</v>
      </c>
      <c r="B413" s="543" t="s">
        <v>98</v>
      </c>
      <c r="C413" s="543" t="s">
        <v>509</v>
      </c>
      <c r="D413" s="379" t="s">
        <v>510</v>
      </c>
      <c r="E413" s="543" t="s">
        <v>101</v>
      </c>
      <c r="F413" s="376">
        <f>F409*2.5</f>
        <v>12.649999999999999</v>
      </c>
      <c r="G413" s="382">
        <v>17.34</v>
      </c>
      <c r="H413" s="376">
        <f t="shared" si="34"/>
        <v>17.34</v>
      </c>
      <c r="I413" s="289">
        <f t="shared" si="35"/>
        <v>219.35</v>
      </c>
      <c r="J413" s="134"/>
      <c r="K413" s="134"/>
      <c r="L413" s="134"/>
      <c r="M413" s="134"/>
      <c r="N413" s="134"/>
      <c r="O413" s="134"/>
      <c r="P413" s="134"/>
      <c r="Q413" s="134"/>
    </row>
    <row r="414" spans="1:17" s="135" customFormat="1" ht="15.95" customHeight="1" x14ac:dyDescent="0.2">
      <c r="A414" s="265"/>
      <c r="B414" s="543"/>
      <c r="C414" s="543"/>
      <c r="D414" s="379"/>
      <c r="E414" s="543"/>
      <c r="F414" s="376"/>
      <c r="G414" s="382"/>
      <c r="H414" s="376"/>
      <c r="I414" s="289"/>
      <c r="J414" s="134"/>
      <c r="K414" s="134"/>
      <c r="L414" s="134"/>
      <c r="M414" s="134"/>
      <c r="N414" s="134"/>
      <c r="O414" s="134"/>
      <c r="P414" s="134"/>
      <c r="Q414" s="134"/>
    </row>
    <row r="415" spans="1:17" s="135" customFormat="1" ht="15.95" customHeight="1" x14ac:dyDescent="0.2">
      <c r="A415" s="263" t="s">
        <v>1357</v>
      </c>
      <c r="B415" s="205" t="s">
        <v>306</v>
      </c>
      <c r="C415" s="557" t="s">
        <v>678</v>
      </c>
      <c r="D415" s="206" t="s">
        <v>512</v>
      </c>
      <c r="E415" s="205" t="s">
        <v>10</v>
      </c>
      <c r="F415" s="315"/>
      <c r="G415" s="316"/>
      <c r="H415" s="316"/>
      <c r="I415" s="560">
        <f>SUM(I416:I426)</f>
        <v>445.77000000000004</v>
      </c>
      <c r="J415" s="134"/>
      <c r="K415" s="134"/>
      <c r="L415" s="134"/>
      <c r="M415" s="134"/>
      <c r="N415" s="134"/>
      <c r="O415" s="134"/>
      <c r="P415" s="134"/>
      <c r="Q415" s="134"/>
    </row>
    <row r="416" spans="1:17" s="135" customFormat="1" ht="15.95" customHeight="1" x14ac:dyDescent="0.2">
      <c r="A416" s="265" t="s">
        <v>1358</v>
      </c>
      <c r="B416" s="543" t="s">
        <v>98</v>
      </c>
      <c r="C416" s="543" t="s">
        <v>114</v>
      </c>
      <c r="D416" s="379" t="s">
        <v>115</v>
      </c>
      <c r="E416" s="543" t="s">
        <v>113</v>
      </c>
      <c r="F416" s="381">
        <v>0.12</v>
      </c>
      <c r="G416" s="382">
        <v>22.62</v>
      </c>
      <c r="H416" s="376">
        <f t="shared" ref="H416:H426" si="36">ROUND((1+K$3)*G416,2)</f>
        <v>22.62</v>
      </c>
      <c r="I416" s="289">
        <f t="shared" ref="I416:I426" si="37">ROUND(F416*H416,2)</f>
        <v>2.71</v>
      </c>
      <c r="J416" s="134"/>
      <c r="K416" s="134"/>
      <c r="L416" s="134"/>
      <c r="M416" s="134"/>
      <c r="N416" s="134"/>
      <c r="O416" s="134"/>
      <c r="P416" s="134"/>
      <c r="Q416" s="134"/>
    </row>
    <row r="417" spans="1:17" s="135" customFormat="1" ht="15.95" customHeight="1" x14ac:dyDescent="0.2">
      <c r="A417" s="265" t="s">
        <v>1359</v>
      </c>
      <c r="B417" s="543" t="s">
        <v>98</v>
      </c>
      <c r="C417" s="374">
        <v>5622</v>
      </c>
      <c r="D417" s="266" t="s">
        <v>660</v>
      </c>
      <c r="E417" s="543" t="s">
        <v>101</v>
      </c>
      <c r="F417" s="381">
        <v>0.42</v>
      </c>
      <c r="G417" s="382">
        <v>2.13</v>
      </c>
      <c r="H417" s="376">
        <f t="shared" si="36"/>
        <v>2.13</v>
      </c>
      <c r="I417" s="289">
        <f t="shared" si="37"/>
        <v>0.89</v>
      </c>
      <c r="J417" s="134"/>
      <c r="K417" s="134"/>
      <c r="L417" s="134"/>
      <c r="M417" s="134"/>
      <c r="N417" s="134"/>
      <c r="O417" s="134"/>
      <c r="P417" s="134"/>
      <c r="Q417" s="134"/>
    </row>
    <row r="418" spans="1:17" s="135" customFormat="1" ht="15.95" customHeight="1" x14ac:dyDescent="0.2">
      <c r="A418" s="265" t="s">
        <v>1360</v>
      </c>
      <c r="B418" s="543" t="s">
        <v>98</v>
      </c>
      <c r="C418" s="543" t="s">
        <v>439</v>
      </c>
      <c r="D418" s="379" t="s">
        <v>440</v>
      </c>
      <c r="E418" s="543" t="s">
        <v>113</v>
      </c>
      <c r="F418" s="381">
        <v>0.42</v>
      </c>
      <c r="G418" s="382">
        <v>25.85</v>
      </c>
      <c r="H418" s="376">
        <f t="shared" si="36"/>
        <v>25.85</v>
      </c>
      <c r="I418" s="289">
        <f t="shared" si="37"/>
        <v>10.86</v>
      </c>
      <c r="J418" s="134"/>
      <c r="K418" s="134"/>
      <c r="L418" s="134"/>
      <c r="M418" s="134"/>
      <c r="N418" s="134"/>
      <c r="O418" s="134"/>
      <c r="P418" s="134"/>
      <c r="Q418" s="134"/>
    </row>
    <row r="419" spans="1:17" s="135" customFormat="1" ht="15.95" customHeight="1" x14ac:dyDescent="0.2">
      <c r="A419" s="265" t="s">
        <v>1361</v>
      </c>
      <c r="B419" s="543" t="s">
        <v>98</v>
      </c>
      <c r="C419" s="543" t="s">
        <v>72</v>
      </c>
      <c r="D419" s="379" t="s">
        <v>21</v>
      </c>
      <c r="E419" s="543" t="s">
        <v>113</v>
      </c>
      <c r="F419" s="381">
        <v>0.02</v>
      </c>
      <c r="G419" s="382">
        <v>254.4</v>
      </c>
      <c r="H419" s="376">
        <f t="shared" si="36"/>
        <v>254.4</v>
      </c>
      <c r="I419" s="289">
        <f t="shared" si="37"/>
        <v>5.09</v>
      </c>
      <c r="J419" s="134"/>
      <c r="K419" s="134"/>
      <c r="L419" s="134"/>
      <c r="M419" s="134"/>
      <c r="N419" s="134"/>
      <c r="O419" s="134"/>
      <c r="P419" s="134"/>
      <c r="Q419" s="134"/>
    </row>
    <row r="420" spans="1:17" s="135" customFormat="1" ht="15.95" customHeight="1" x14ac:dyDescent="0.2">
      <c r="A420" s="265" t="s">
        <v>1362</v>
      </c>
      <c r="B420" s="543" t="s">
        <v>98</v>
      </c>
      <c r="C420" s="543" t="s">
        <v>78</v>
      </c>
      <c r="D420" s="379" t="s">
        <v>79</v>
      </c>
      <c r="E420" s="543" t="s">
        <v>101</v>
      </c>
      <c r="F420" s="381">
        <v>0.4</v>
      </c>
      <c r="G420" s="382">
        <v>79.58</v>
      </c>
      <c r="H420" s="376">
        <f t="shared" si="36"/>
        <v>79.58</v>
      </c>
      <c r="I420" s="289">
        <f t="shared" si="37"/>
        <v>31.83</v>
      </c>
      <c r="J420" s="134"/>
      <c r="K420" s="134"/>
      <c r="L420" s="134"/>
      <c r="M420" s="134"/>
      <c r="N420" s="134"/>
      <c r="O420" s="134"/>
      <c r="P420" s="134"/>
      <c r="Q420" s="134"/>
    </row>
    <row r="421" spans="1:17" s="135" customFormat="1" ht="15.95" customHeight="1" x14ac:dyDescent="0.2">
      <c r="A421" s="265" t="s">
        <v>1363</v>
      </c>
      <c r="B421" s="543" t="s">
        <v>98</v>
      </c>
      <c r="C421" s="543">
        <v>73406</v>
      </c>
      <c r="D421" s="379" t="s">
        <v>749</v>
      </c>
      <c r="E421" s="543" t="s">
        <v>113</v>
      </c>
      <c r="F421" s="381">
        <v>0.14000000000000001</v>
      </c>
      <c r="G421" s="382">
        <v>332.85</v>
      </c>
      <c r="H421" s="376">
        <f t="shared" si="36"/>
        <v>332.85</v>
      </c>
      <c r="I421" s="289">
        <f t="shared" si="37"/>
        <v>46.6</v>
      </c>
      <c r="J421" s="134"/>
      <c r="K421" s="134"/>
      <c r="L421" s="134"/>
      <c r="M421" s="134"/>
      <c r="N421" s="134"/>
      <c r="O421" s="134"/>
      <c r="P421" s="134"/>
      <c r="Q421" s="134"/>
    </row>
    <row r="422" spans="1:17" s="135" customFormat="1" ht="15.95" customHeight="1" x14ac:dyDescent="0.2">
      <c r="A422" s="265" t="s">
        <v>1364</v>
      </c>
      <c r="B422" s="543" t="s">
        <v>98</v>
      </c>
      <c r="C422" s="543" t="s">
        <v>6</v>
      </c>
      <c r="D422" s="379" t="s">
        <v>502</v>
      </c>
      <c r="E422" s="543" t="s">
        <v>101</v>
      </c>
      <c r="F422" s="381">
        <v>3.3</v>
      </c>
      <c r="G422" s="382">
        <v>44.58</v>
      </c>
      <c r="H422" s="376">
        <f t="shared" si="36"/>
        <v>44.58</v>
      </c>
      <c r="I422" s="289">
        <f t="shared" si="37"/>
        <v>147.11000000000001</v>
      </c>
      <c r="J422" s="134"/>
      <c r="K422" s="134"/>
      <c r="L422" s="134"/>
      <c r="M422" s="134"/>
      <c r="N422" s="134"/>
      <c r="O422" s="134"/>
      <c r="P422" s="134"/>
      <c r="Q422" s="134"/>
    </row>
    <row r="423" spans="1:17" s="135" customFormat="1" ht="15.95" customHeight="1" x14ac:dyDescent="0.2">
      <c r="A423" s="265" t="s">
        <v>1365</v>
      </c>
      <c r="B423" s="543" t="s">
        <v>98</v>
      </c>
      <c r="C423" s="543" t="s">
        <v>50</v>
      </c>
      <c r="D423" s="379" t="s">
        <v>53</v>
      </c>
      <c r="E423" s="543" t="s">
        <v>101</v>
      </c>
      <c r="F423" s="381">
        <v>6.63</v>
      </c>
      <c r="G423" s="382">
        <v>3.16</v>
      </c>
      <c r="H423" s="376">
        <f t="shared" si="36"/>
        <v>3.16</v>
      </c>
      <c r="I423" s="289">
        <f t="shared" si="37"/>
        <v>20.95</v>
      </c>
      <c r="J423" s="134"/>
      <c r="K423" s="134"/>
      <c r="L423" s="134"/>
      <c r="M423" s="134"/>
      <c r="N423" s="134"/>
      <c r="O423" s="134"/>
      <c r="P423" s="134"/>
      <c r="Q423" s="134"/>
    </row>
    <row r="424" spans="1:17" s="135" customFormat="1" ht="15.95" customHeight="1" x14ac:dyDescent="0.2">
      <c r="A424" s="265" t="s">
        <v>1366</v>
      </c>
      <c r="B424" s="543" t="s">
        <v>98</v>
      </c>
      <c r="C424" s="543" t="s">
        <v>448</v>
      </c>
      <c r="D424" s="379" t="s">
        <v>449</v>
      </c>
      <c r="E424" s="543" t="s">
        <v>101</v>
      </c>
      <c r="F424" s="381">
        <v>6.63</v>
      </c>
      <c r="G424" s="382">
        <v>18.100000000000001</v>
      </c>
      <c r="H424" s="376">
        <f t="shared" si="36"/>
        <v>18.100000000000001</v>
      </c>
      <c r="I424" s="289">
        <f t="shared" si="37"/>
        <v>120</v>
      </c>
      <c r="J424" s="134"/>
      <c r="K424" s="134"/>
      <c r="L424" s="134"/>
      <c r="M424" s="134"/>
      <c r="N424" s="134"/>
      <c r="O424" s="134"/>
      <c r="P424" s="134"/>
      <c r="Q424" s="134"/>
    </row>
    <row r="425" spans="1:17" s="135" customFormat="1" ht="15.95" customHeight="1" x14ac:dyDescent="0.2">
      <c r="A425" s="265" t="s">
        <v>1367</v>
      </c>
      <c r="B425" s="543" t="s">
        <v>98</v>
      </c>
      <c r="C425" s="543" t="s">
        <v>507</v>
      </c>
      <c r="D425" s="379" t="s">
        <v>508</v>
      </c>
      <c r="E425" s="543" t="s">
        <v>101</v>
      </c>
      <c r="F425" s="381">
        <v>5.3</v>
      </c>
      <c r="G425" s="382">
        <v>10.19</v>
      </c>
      <c r="H425" s="376">
        <f t="shared" si="36"/>
        <v>10.19</v>
      </c>
      <c r="I425" s="289">
        <f t="shared" si="37"/>
        <v>54.01</v>
      </c>
      <c r="J425" s="134"/>
      <c r="K425" s="134"/>
      <c r="L425" s="134"/>
      <c r="M425" s="134"/>
      <c r="N425" s="134"/>
      <c r="O425" s="134"/>
      <c r="P425" s="134"/>
      <c r="Q425" s="134"/>
    </row>
    <row r="426" spans="1:17" s="135" customFormat="1" ht="15.95" customHeight="1" x14ac:dyDescent="0.2">
      <c r="A426" s="265" t="s">
        <v>1368</v>
      </c>
      <c r="B426" s="543" t="s">
        <v>98</v>
      </c>
      <c r="C426" s="543" t="s">
        <v>509</v>
      </c>
      <c r="D426" s="379" t="s">
        <v>510</v>
      </c>
      <c r="E426" s="543" t="s">
        <v>101</v>
      </c>
      <c r="F426" s="381">
        <v>0.33</v>
      </c>
      <c r="G426" s="382">
        <v>17.34</v>
      </c>
      <c r="H426" s="376">
        <f t="shared" si="36"/>
        <v>17.34</v>
      </c>
      <c r="I426" s="289">
        <f t="shared" si="37"/>
        <v>5.72</v>
      </c>
      <c r="J426" s="134"/>
      <c r="K426" s="134"/>
      <c r="L426" s="134"/>
      <c r="M426" s="134"/>
      <c r="N426" s="134"/>
      <c r="O426" s="134"/>
      <c r="P426" s="134"/>
      <c r="Q426" s="134"/>
    </row>
    <row r="427" spans="1:17" s="135" customFormat="1" ht="15.95" customHeight="1" x14ac:dyDescent="0.2">
      <c r="A427" s="265"/>
      <c r="B427" s="543"/>
      <c r="C427" s="543"/>
      <c r="D427" s="379"/>
      <c r="E427" s="543"/>
      <c r="F427" s="381"/>
      <c r="G427" s="382"/>
      <c r="H427" s="376"/>
      <c r="I427" s="289"/>
      <c r="J427" s="134"/>
      <c r="K427" s="134"/>
      <c r="L427" s="134"/>
      <c r="M427" s="134"/>
      <c r="N427" s="134"/>
      <c r="O427" s="134"/>
      <c r="P427" s="134"/>
      <c r="Q427" s="134"/>
    </row>
    <row r="428" spans="1:17" s="135" customFormat="1" ht="15.95" customHeight="1" x14ac:dyDescent="0.2">
      <c r="A428" s="265"/>
      <c r="B428" s="543"/>
      <c r="C428" s="543"/>
      <c r="D428" s="379"/>
      <c r="E428" s="543"/>
      <c r="F428" s="381"/>
      <c r="G428" s="382"/>
      <c r="H428" s="376"/>
      <c r="I428" s="289"/>
      <c r="J428" s="134"/>
      <c r="K428" s="134"/>
      <c r="L428" s="134"/>
      <c r="M428" s="134"/>
      <c r="N428" s="134"/>
      <c r="O428" s="134"/>
      <c r="P428" s="134"/>
      <c r="Q428" s="134"/>
    </row>
    <row r="429" spans="1:17" s="135" customFormat="1" ht="15.95" customHeight="1" x14ac:dyDescent="0.2">
      <c r="A429" s="265"/>
      <c r="B429" s="543"/>
      <c r="C429" s="543"/>
      <c r="D429" s="379"/>
      <c r="E429" s="543"/>
      <c r="F429" s="381"/>
      <c r="G429" s="382"/>
      <c r="H429" s="376"/>
      <c r="I429" s="289"/>
      <c r="J429" s="134"/>
      <c r="K429" s="134"/>
      <c r="L429" s="134"/>
      <c r="M429" s="134"/>
      <c r="N429" s="134"/>
      <c r="O429" s="134"/>
      <c r="P429" s="134"/>
      <c r="Q429" s="134"/>
    </row>
    <row r="430" spans="1:17" s="135" customFormat="1" ht="15.95" customHeight="1" x14ac:dyDescent="0.2">
      <c r="A430" s="265"/>
      <c r="B430" s="543"/>
      <c r="C430" s="543"/>
      <c r="D430" s="379"/>
      <c r="E430" s="543"/>
      <c r="F430" s="381"/>
      <c r="G430" s="382"/>
      <c r="H430" s="376"/>
      <c r="I430" s="289"/>
      <c r="J430" s="134"/>
      <c r="K430" s="134"/>
      <c r="L430" s="134"/>
      <c r="M430" s="134"/>
      <c r="N430" s="134"/>
      <c r="O430" s="134"/>
      <c r="P430" s="134"/>
      <c r="Q430" s="134"/>
    </row>
    <row r="431" spans="1:17" s="135" customFormat="1" ht="15.95" customHeight="1" x14ac:dyDescent="0.2">
      <c r="A431" s="265"/>
      <c r="B431" s="543"/>
      <c r="C431" s="543"/>
      <c r="D431" s="379"/>
      <c r="E431" s="543"/>
      <c r="F431" s="381"/>
      <c r="G431" s="382"/>
      <c r="H431" s="376"/>
      <c r="I431" s="289"/>
      <c r="J431" s="134"/>
      <c r="K431" s="134"/>
      <c r="L431" s="134"/>
      <c r="M431" s="134"/>
      <c r="N431" s="134"/>
      <c r="O431" s="134"/>
      <c r="P431" s="134"/>
      <c r="Q431" s="134"/>
    </row>
    <row r="432" spans="1:17" s="135" customFormat="1" ht="15.95" customHeight="1" x14ac:dyDescent="0.2">
      <c r="A432" s="265"/>
      <c r="B432" s="543"/>
      <c r="C432" s="543"/>
      <c r="D432" s="379"/>
      <c r="E432" s="543"/>
      <c r="F432" s="381"/>
      <c r="G432" s="382"/>
      <c r="H432" s="376"/>
      <c r="I432" s="289"/>
      <c r="J432" s="134"/>
      <c r="K432" s="134"/>
      <c r="L432" s="134"/>
      <c r="M432" s="134"/>
      <c r="N432" s="134"/>
      <c r="O432" s="134"/>
      <c r="P432" s="134"/>
      <c r="Q432" s="134"/>
    </row>
    <row r="433" spans="1:17" s="135" customFormat="1" ht="15.95" customHeight="1" x14ac:dyDescent="0.2">
      <c r="A433" s="265"/>
      <c r="B433" s="543"/>
      <c r="C433" s="543"/>
      <c r="D433" s="379"/>
      <c r="E433" s="543"/>
      <c r="F433" s="381"/>
      <c r="G433" s="382"/>
      <c r="H433" s="376"/>
      <c r="I433" s="289"/>
      <c r="J433" s="134"/>
      <c r="K433" s="134"/>
      <c r="L433" s="134"/>
      <c r="M433" s="134"/>
      <c r="N433" s="134"/>
      <c r="O433" s="134"/>
      <c r="P433" s="134"/>
      <c r="Q433" s="134"/>
    </row>
    <row r="434" spans="1:17" s="135" customFormat="1" ht="15.95" customHeight="1" x14ac:dyDescent="0.2">
      <c r="A434" s="265"/>
      <c r="B434" s="543"/>
      <c r="C434" s="543"/>
      <c r="D434" s="379"/>
      <c r="E434" s="543"/>
      <c r="F434" s="381"/>
      <c r="G434" s="382"/>
      <c r="H434" s="376"/>
      <c r="I434" s="289"/>
      <c r="J434" s="134"/>
      <c r="K434" s="134"/>
      <c r="L434" s="134"/>
      <c r="M434" s="134"/>
      <c r="N434" s="134"/>
      <c r="O434" s="134"/>
      <c r="P434" s="134"/>
      <c r="Q434" s="134"/>
    </row>
    <row r="435" spans="1:17" s="135" customFormat="1" ht="15.95" customHeight="1" x14ac:dyDescent="0.2">
      <c r="A435" s="265"/>
      <c r="B435" s="543"/>
      <c r="C435" s="543"/>
      <c r="D435" s="379"/>
      <c r="E435" s="543"/>
      <c r="F435" s="381"/>
      <c r="G435" s="382"/>
      <c r="H435" s="376"/>
      <c r="I435" s="289"/>
      <c r="J435" s="134"/>
      <c r="K435" s="134"/>
      <c r="L435" s="134"/>
      <c r="M435" s="134"/>
      <c r="N435" s="134"/>
      <c r="O435" s="134"/>
      <c r="P435" s="134"/>
      <c r="Q435" s="134"/>
    </row>
    <row r="436" spans="1:17" s="135" customFormat="1" ht="15.95" customHeight="1" x14ac:dyDescent="0.2">
      <c r="A436" s="265"/>
      <c r="B436" s="543"/>
      <c r="C436" s="543"/>
      <c r="D436" s="379"/>
      <c r="E436" s="543"/>
      <c r="F436" s="381"/>
      <c r="G436" s="382"/>
      <c r="H436" s="376"/>
      <c r="I436" s="289"/>
      <c r="J436" s="134"/>
      <c r="K436" s="134"/>
      <c r="L436" s="134"/>
      <c r="M436" s="134"/>
      <c r="N436" s="134"/>
      <c r="O436" s="134"/>
      <c r="P436" s="134"/>
      <c r="Q436" s="134"/>
    </row>
    <row r="437" spans="1:17" s="135" customFormat="1" ht="15.95" customHeight="1" x14ac:dyDescent="0.2">
      <c r="A437" s="265"/>
      <c r="B437" s="543"/>
      <c r="C437" s="543"/>
      <c r="D437" s="379"/>
      <c r="E437" s="543"/>
      <c r="F437" s="381"/>
      <c r="G437" s="382"/>
      <c r="H437" s="376"/>
      <c r="I437" s="289"/>
      <c r="J437" s="134"/>
      <c r="K437" s="134"/>
      <c r="L437" s="134"/>
      <c r="M437" s="134"/>
      <c r="N437" s="134"/>
      <c r="O437" s="134"/>
      <c r="P437" s="134"/>
      <c r="Q437" s="134"/>
    </row>
    <row r="438" spans="1:17" s="135" customFormat="1" ht="15.95" customHeight="1" x14ac:dyDescent="0.2">
      <c r="A438" s="265"/>
      <c r="B438" s="543"/>
      <c r="C438" s="543"/>
      <c r="D438" s="379"/>
      <c r="E438" s="543"/>
      <c r="F438" s="381"/>
      <c r="G438" s="382"/>
      <c r="H438" s="376"/>
      <c r="I438" s="289"/>
      <c r="J438" s="134"/>
      <c r="K438" s="134"/>
      <c r="L438" s="134"/>
      <c r="M438" s="134"/>
      <c r="N438" s="134"/>
      <c r="O438" s="134"/>
      <c r="P438" s="134"/>
      <c r="Q438" s="134"/>
    </row>
    <row r="439" spans="1:17" s="135" customFormat="1" ht="15.95" customHeight="1" x14ac:dyDescent="0.2">
      <c r="A439" s="265"/>
      <c r="B439" s="543"/>
      <c r="C439" s="543"/>
      <c r="D439" s="379"/>
      <c r="E439" s="543"/>
      <c r="F439" s="381"/>
      <c r="G439" s="382"/>
      <c r="H439" s="376"/>
      <c r="I439" s="289"/>
      <c r="J439" s="134"/>
      <c r="K439" s="134"/>
      <c r="L439" s="134"/>
      <c r="M439" s="134"/>
      <c r="N439" s="134"/>
      <c r="O439" s="134"/>
      <c r="P439" s="134"/>
      <c r="Q439" s="134"/>
    </row>
    <row r="440" spans="1:17" s="135" customFormat="1" ht="15.95" customHeight="1" x14ac:dyDescent="0.2">
      <c r="A440" s="265"/>
      <c r="B440" s="543"/>
      <c r="C440" s="543"/>
      <c r="D440" s="379"/>
      <c r="E440" s="543"/>
      <c r="F440" s="381"/>
      <c r="G440" s="382"/>
      <c r="H440" s="376"/>
      <c r="I440" s="289"/>
      <c r="J440" s="134"/>
      <c r="K440" s="134"/>
      <c r="L440" s="134"/>
      <c r="M440" s="134"/>
      <c r="N440" s="134"/>
      <c r="O440" s="134"/>
      <c r="P440" s="134"/>
      <c r="Q440" s="134"/>
    </row>
    <row r="441" spans="1:17" s="135" customFormat="1" ht="15.95" customHeight="1" x14ac:dyDescent="0.2">
      <c r="A441" s="265"/>
      <c r="B441" s="543"/>
      <c r="C441" s="543"/>
      <c r="D441" s="379"/>
      <c r="E441" s="543"/>
      <c r="F441" s="381"/>
      <c r="G441" s="382"/>
      <c r="H441" s="376"/>
      <c r="I441" s="289"/>
      <c r="J441" s="134"/>
      <c r="K441" s="134"/>
      <c r="L441" s="134"/>
      <c r="M441" s="134"/>
      <c r="N441" s="134"/>
      <c r="O441" s="134"/>
      <c r="P441" s="134"/>
      <c r="Q441" s="134"/>
    </row>
    <row r="442" spans="1:17" s="135" customFormat="1" ht="15.95" customHeight="1" x14ac:dyDescent="0.2">
      <c r="A442" s="265"/>
      <c r="B442" s="543"/>
      <c r="C442" s="543"/>
      <c r="D442" s="379"/>
      <c r="E442" s="543"/>
      <c r="F442" s="381"/>
      <c r="G442" s="382"/>
      <c r="H442" s="376"/>
      <c r="I442" s="289"/>
      <c r="J442" s="134"/>
      <c r="K442" s="134"/>
      <c r="L442" s="134"/>
      <c r="M442" s="134"/>
      <c r="N442" s="134"/>
      <c r="O442" s="134"/>
      <c r="P442" s="134"/>
      <c r="Q442" s="134"/>
    </row>
    <row r="443" spans="1:17" s="135" customFormat="1" ht="15.95" customHeight="1" x14ac:dyDescent="0.2">
      <c r="A443" s="265"/>
      <c r="B443" s="543"/>
      <c r="C443" s="543"/>
      <c r="D443" s="379"/>
      <c r="E443" s="543"/>
      <c r="F443" s="381"/>
      <c r="G443" s="382"/>
      <c r="H443" s="376"/>
      <c r="I443" s="289"/>
      <c r="J443" s="134"/>
      <c r="K443" s="134"/>
      <c r="L443" s="134"/>
      <c r="M443" s="134"/>
      <c r="N443" s="134"/>
      <c r="O443" s="134"/>
      <c r="P443" s="134"/>
      <c r="Q443" s="134"/>
    </row>
    <row r="444" spans="1:17" s="135" customFormat="1" ht="15.95" customHeight="1" x14ac:dyDescent="0.2">
      <c r="A444" s="265"/>
      <c r="B444" s="543"/>
      <c r="C444" s="543"/>
      <c r="D444" s="379"/>
      <c r="E444" s="543"/>
      <c r="F444" s="381"/>
      <c r="G444" s="382"/>
      <c r="H444" s="376"/>
      <c r="I444" s="289"/>
      <c r="J444" s="134"/>
      <c r="K444" s="134"/>
      <c r="L444" s="134"/>
      <c r="M444" s="134"/>
      <c r="N444" s="134"/>
      <c r="O444" s="134"/>
      <c r="P444" s="134"/>
      <c r="Q444" s="134"/>
    </row>
    <row r="445" spans="1:17" s="135" customFormat="1" ht="15.95" customHeight="1" x14ac:dyDescent="0.2">
      <c r="A445" s="265"/>
      <c r="B445" s="543"/>
      <c r="C445" s="543"/>
      <c r="D445" s="379"/>
      <c r="E445" s="543"/>
      <c r="F445" s="381"/>
      <c r="G445" s="382"/>
      <c r="H445" s="376"/>
      <c r="I445" s="289"/>
      <c r="J445" s="134"/>
      <c r="K445" s="134"/>
      <c r="L445" s="134"/>
      <c r="M445" s="134"/>
      <c r="N445" s="134"/>
      <c r="O445" s="134"/>
      <c r="P445" s="134"/>
      <c r="Q445" s="134"/>
    </row>
    <row r="446" spans="1:17" s="135" customFormat="1" ht="15.95" customHeight="1" x14ac:dyDescent="0.2">
      <c r="A446" s="265"/>
      <c r="B446" s="543"/>
      <c r="C446" s="543"/>
      <c r="D446" s="379"/>
      <c r="E446" s="543"/>
      <c r="F446" s="381"/>
      <c r="G446" s="382"/>
      <c r="H446" s="376"/>
      <c r="I446" s="289"/>
      <c r="J446" s="134"/>
      <c r="K446" s="134"/>
      <c r="L446" s="134"/>
      <c r="M446" s="134"/>
      <c r="N446" s="134"/>
      <c r="O446" s="134"/>
      <c r="P446" s="134"/>
      <c r="Q446" s="134"/>
    </row>
    <row r="447" spans="1:17" s="135" customFormat="1" ht="15.95" customHeight="1" x14ac:dyDescent="0.2">
      <c r="A447" s="265"/>
      <c r="B447" s="543"/>
      <c r="C447" s="543"/>
      <c r="D447" s="379"/>
      <c r="E447" s="543"/>
      <c r="F447" s="381"/>
      <c r="G447" s="382"/>
      <c r="H447" s="376"/>
      <c r="I447" s="289"/>
      <c r="J447" s="134"/>
      <c r="K447" s="134"/>
      <c r="L447" s="134"/>
      <c r="M447" s="134"/>
      <c r="N447" s="134"/>
      <c r="O447" s="134"/>
      <c r="P447" s="134"/>
      <c r="Q447" s="134"/>
    </row>
    <row r="448" spans="1:17" s="135" customFormat="1" ht="15.95" customHeight="1" x14ac:dyDescent="0.2">
      <c r="A448" s="265"/>
      <c r="B448" s="543"/>
      <c r="C448" s="543"/>
      <c r="D448" s="379"/>
      <c r="E448" s="543"/>
      <c r="F448" s="381"/>
      <c r="G448" s="382"/>
      <c r="H448" s="376"/>
      <c r="I448" s="289"/>
      <c r="J448" s="134"/>
      <c r="K448" s="134"/>
      <c r="L448" s="134"/>
      <c r="M448" s="134"/>
      <c r="N448" s="134"/>
      <c r="O448" s="134"/>
      <c r="P448" s="134"/>
      <c r="Q448" s="134"/>
    </row>
    <row r="449" spans="1:17" s="135" customFormat="1" ht="15.95" customHeight="1" x14ac:dyDescent="0.2">
      <c r="A449" s="265"/>
      <c r="B449" s="543"/>
      <c r="C449" s="543"/>
      <c r="D449" s="379"/>
      <c r="E449" s="543"/>
      <c r="F449" s="381"/>
      <c r="G449" s="382"/>
      <c r="H449" s="376"/>
      <c r="I449" s="289"/>
      <c r="J449" s="134"/>
      <c r="K449" s="134"/>
      <c r="L449" s="134"/>
      <c r="M449" s="134"/>
      <c r="N449" s="134"/>
      <c r="O449" s="134"/>
      <c r="P449" s="134"/>
      <c r="Q449" s="134"/>
    </row>
    <row r="450" spans="1:17" s="135" customFormat="1" ht="15.95" customHeight="1" x14ac:dyDescent="0.2">
      <c r="A450" s="265"/>
      <c r="B450" s="543"/>
      <c r="C450" s="543"/>
      <c r="D450" s="379"/>
      <c r="E450" s="543"/>
      <c r="F450" s="381"/>
      <c r="G450" s="382"/>
      <c r="H450" s="376"/>
      <c r="I450" s="289"/>
      <c r="J450" s="134"/>
      <c r="K450" s="134"/>
      <c r="L450" s="134"/>
      <c r="M450" s="134"/>
      <c r="N450" s="134"/>
      <c r="O450" s="134"/>
      <c r="P450" s="134"/>
      <c r="Q450" s="134"/>
    </row>
    <row r="451" spans="1:17" s="135" customFormat="1" ht="15.95" customHeight="1" x14ac:dyDescent="0.2">
      <c r="A451" s="265"/>
      <c r="B451" s="543"/>
      <c r="C451" s="543"/>
      <c r="D451" s="379"/>
      <c r="E451" s="543"/>
      <c r="F451" s="381"/>
      <c r="G451" s="382"/>
      <c r="H451" s="376"/>
      <c r="I451" s="289"/>
      <c r="J451" s="134"/>
      <c r="K451" s="134"/>
      <c r="L451" s="134"/>
      <c r="M451" s="134"/>
      <c r="N451" s="134"/>
      <c r="O451" s="134"/>
      <c r="P451" s="134"/>
      <c r="Q451" s="134"/>
    </row>
    <row r="452" spans="1:17" ht="1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5"/>
      <c r="K452" s="5"/>
      <c r="L452" s="5"/>
      <c r="M452" s="5"/>
      <c r="N452" s="5"/>
      <c r="O452" s="5"/>
      <c r="P452" s="5"/>
      <c r="Q452" s="5"/>
    </row>
    <row r="453" spans="1:17" ht="1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5"/>
      <c r="K453" s="5"/>
      <c r="L453" s="5"/>
      <c r="M453" s="5"/>
      <c r="N453" s="5"/>
      <c r="O453" s="5"/>
      <c r="P453" s="5"/>
      <c r="Q453" s="5"/>
    </row>
    <row r="454" spans="1:17" ht="1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5"/>
      <c r="K454" s="5"/>
      <c r="L454" s="5"/>
      <c r="M454" s="5"/>
      <c r="N454" s="5"/>
      <c r="O454" s="5"/>
      <c r="P454" s="5"/>
      <c r="Q454" s="5"/>
    </row>
    <row r="455" spans="1:17" ht="1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5"/>
      <c r="K455" s="5"/>
      <c r="L455" s="5"/>
      <c r="M455" s="5"/>
      <c r="N455" s="5"/>
      <c r="O455" s="5"/>
      <c r="P455" s="5"/>
      <c r="Q455" s="5"/>
    </row>
    <row r="456" spans="1:17" ht="1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5"/>
      <c r="K456" s="5"/>
      <c r="L456" s="5"/>
      <c r="M456" s="5"/>
      <c r="N456" s="5"/>
      <c r="O456" s="5"/>
      <c r="P456" s="5"/>
      <c r="Q456" s="5"/>
    </row>
    <row r="457" spans="1:17" ht="1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5"/>
      <c r="K457" s="5"/>
      <c r="L457" s="5"/>
      <c r="M457" s="5"/>
      <c r="N457" s="5"/>
      <c r="O457" s="5"/>
      <c r="P457" s="5"/>
      <c r="Q457" s="5"/>
    </row>
    <row r="458" spans="1:17" ht="1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5"/>
      <c r="K458" s="5"/>
      <c r="L458" s="5"/>
      <c r="M458" s="5"/>
      <c r="N458" s="5"/>
      <c r="O458" s="5"/>
      <c r="P458" s="5"/>
      <c r="Q458" s="5"/>
    </row>
    <row r="459" spans="1:17" ht="1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5"/>
      <c r="K459" s="5"/>
      <c r="L459" s="5"/>
      <c r="M459" s="5"/>
      <c r="N459" s="5"/>
      <c r="O459" s="5"/>
      <c r="P459" s="5"/>
      <c r="Q459" s="5"/>
    </row>
    <row r="460" spans="1:17" ht="1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5"/>
      <c r="K460" s="5"/>
      <c r="L460" s="5"/>
      <c r="M460" s="5"/>
      <c r="N460" s="5"/>
      <c r="O460" s="5"/>
      <c r="P460" s="5"/>
      <c r="Q460" s="5"/>
    </row>
    <row r="461" spans="1:17" ht="1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5"/>
      <c r="K461" s="5"/>
      <c r="L461" s="5"/>
      <c r="M461" s="5"/>
      <c r="N461" s="5"/>
      <c r="O461" s="5"/>
      <c r="P461" s="5"/>
      <c r="Q461" s="5"/>
    </row>
    <row r="462" spans="1:17" ht="1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5"/>
      <c r="K462" s="5"/>
      <c r="L462" s="5"/>
      <c r="M462" s="5"/>
      <c r="N462" s="5"/>
      <c r="O462" s="5"/>
      <c r="P462" s="5"/>
      <c r="Q462" s="5"/>
    </row>
    <row r="463" spans="1:17" ht="1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5"/>
      <c r="K463" s="5"/>
      <c r="L463" s="5"/>
      <c r="M463" s="5"/>
      <c r="N463" s="5"/>
      <c r="O463" s="5"/>
      <c r="P463" s="5"/>
      <c r="Q463" s="5"/>
    </row>
    <row r="464" spans="1:17" ht="1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5"/>
      <c r="K464" s="5"/>
      <c r="L464" s="5"/>
      <c r="M464" s="5"/>
      <c r="N464" s="5"/>
      <c r="O464" s="5"/>
      <c r="P464" s="5"/>
      <c r="Q464" s="5"/>
    </row>
    <row r="465" spans="1:17" ht="1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5"/>
      <c r="K465" s="5"/>
      <c r="L465" s="5"/>
      <c r="M465" s="5"/>
      <c r="N465" s="5"/>
      <c r="O465" s="5"/>
      <c r="P465" s="5"/>
      <c r="Q465" s="5"/>
    </row>
    <row r="466" spans="1:17" ht="1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5"/>
      <c r="K466" s="5"/>
      <c r="L466" s="5"/>
      <c r="M466" s="5"/>
      <c r="N466" s="5"/>
      <c r="O466" s="5"/>
      <c r="P466" s="5"/>
      <c r="Q466" s="5"/>
    </row>
    <row r="467" spans="1:17" ht="1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5"/>
      <c r="K467" s="5"/>
      <c r="L467" s="5"/>
      <c r="M467" s="5"/>
      <c r="N467" s="5"/>
      <c r="O467" s="5"/>
      <c r="P467" s="5"/>
      <c r="Q467" s="5"/>
    </row>
    <row r="468" spans="1:17" ht="1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5"/>
      <c r="K468" s="5"/>
      <c r="L468" s="5"/>
      <c r="M468" s="5"/>
      <c r="N468" s="5"/>
      <c r="O468" s="5"/>
      <c r="P468" s="5"/>
      <c r="Q468" s="5"/>
    </row>
    <row r="469" spans="1:17" ht="1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5"/>
      <c r="K469" s="5"/>
      <c r="L469" s="5"/>
      <c r="M469" s="5"/>
      <c r="N469" s="5"/>
      <c r="O469" s="5"/>
      <c r="P469" s="5"/>
      <c r="Q469" s="5"/>
    </row>
    <row r="470" spans="1:17" ht="1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5"/>
      <c r="K470" s="5"/>
      <c r="L470" s="5"/>
      <c r="M470" s="5"/>
      <c r="N470" s="5"/>
      <c r="O470" s="5"/>
      <c r="P470" s="5"/>
      <c r="Q470" s="5"/>
    </row>
    <row r="471" spans="1:17" ht="1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5"/>
      <c r="K471" s="5"/>
      <c r="L471" s="5"/>
      <c r="M471" s="5"/>
      <c r="N471" s="5"/>
      <c r="O471" s="5"/>
      <c r="P471" s="5"/>
      <c r="Q471" s="5"/>
    </row>
    <row r="472" spans="1:17" ht="1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5"/>
      <c r="K472" s="5"/>
      <c r="L472" s="5"/>
      <c r="M472" s="5"/>
      <c r="N472" s="5"/>
      <c r="O472" s="5"/>
      <c r="P472" s="5"/>
      <c r="Q472" s="5"/>
    </row>
    <row r="473" spans="1:17" ht="1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5"/>
      <c r="K473" s="5"/>
      <c r="L473" s="5"/>
      <c r="M473" s="5"/>
      <c r="N473" s="5"/>
      <c r="O473" s="5"/>
      <c r="P473" s="5"/>
      <c r="Q473" s="5"/>
    </row>
    <row r="474" spans="1:17" ht="1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5"/>
      <c r="K474" s="5"/>
      <c r="L474" s="5"/>
      <c r="M474" s="5"/>
      <c r="N474" s="5"/>
      <c r="O474" s="5"/>
      <c r="P474" s="5"/>
      <c r="Q474" s="5"/>
    </row>
    <row r="475" spans="1:17" ht="1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5"/>
      <c r="K475" s="5"/>
      <c r="L475" s="5"/>
      <c r="M475" s="5"/>
      <c r="N475" s="5"/>
      <c r="O475" s="5"/>
      <c r="P475" s="5"/>
      <c r="Q475" s="5"/>
    </row>
    <row r="476" spans="1:17" ht="1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5"/>
      <c r="K476" s="5"/>
      <c r="L476" s="5"/>
      <c r="M476" s="5"/>
      <c r="N476" s="5"/>
      <c r="O476" s="5"/>
      <c r="P476" s="5"/>
      <c r="Q476" s="5"/>
    </row>
    <row r="477" spans="1:17" ht="1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5"/>
      <c r="K477" s="5"/>
      <c r="L477" s="5"/>
      <c r="M477" s="5"/>
      <c r="N477" s="5"/>
      <c r="O477" s="5"/>
      <c r="P477" s="5"/>
      <c r="Q477" s="5"/>
    </row>
    <row r="478" spans="1:17" ht="1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5"/>
      <c r="K478" s="5"/>
      <c r="L478" s="5"/>
      <c r="M478" s="5"/>
      <c r="N478" s="5"/>
      <c r="O478" s="5"/>
      <c r="P478" s="5"/>
      <c r="Q478" s="5"/>
    </row>
    <row r="479" spans="1:17" ht="1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5"/>
      <c r="K479" s="5"/>
      <c r="L479" s="5"/>
      <c r="M479" s="5"/>
      <c r="N479" s="5"/>
      <c r="O479" s="5"/>
      <c r="P479" s="5"/>
      <c r="Q479" s="5"/>
    </row>
    <row r="480" spans="1:17" ht="1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5"/>
      <c r="K480" s="5"/>
      <c r="L480" s="5"/>
      <c r="M480" s="5"/>
      <c r="N480" s="5"/>
      <c r="O480" s="5"/>
      <c r="P480" s="5"/>
      <c r="Q480" s="5"/>
    </row>
    <row r="481" spans="1:17" ht="1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5"/>
      <c r="K481" s="5"/>
      <c r="L481" s="5"/>
      <c r="M481" s="5"/>
      <c r="N481" s="5"/>
      <c r="O481" s="5"/>
      <c r="P481" s="5"/>
      <c r="Q481" s="5"/>
    </row>
    <row r="482" spans="1:17" ht="1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5"/>
      <c r="K482" s="5"/>
      <c r="L482" s="5"/>
      <c r="M482" s="5"/>
      <c r="N482" s="5"/>
      <c r="O482" s="5"/>
      <c r="P482" s="5"/>
      <c r="Q482" s="5"/>
    </row>
    <row r="483" spans="1:17" ht="1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5"/>
      <c r="K483" s="5"/>
      <c r="L483" s="5"/>
      <c r="M483" s="5"/>
      <c r="N483" s="5"/>
      <c r="O483" s="5"/>
      <c r="P483" s="5"/>
      <c r="Q483" s="5"/>
    </row>
    <row r="484" spans="1:17" ht="1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5"/>
      <c r="K484" s="5"/>
      <c r="L484" s="5"/>
      <c r="M484" s="5"/>
      <c r="N484" s="5"/>
      <c r="O484" s="5"/>
      <c r="P484" s="5"/>
      <c r="Q484" s="5"/>
    </row>
    <row r="485" spans="1:17" ht="1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5"/>
      <c r="K485" s="5"/>
      <c r="L485" s="5"/>
      <c r="M485" s="5"/>
      <c r="N485" s="5"/>
      <c r="O485" s="5"/>
      <c r="P485" s="5"/>
      <c r="Q485" s="5"/>
    </row>
    <row r="486" spans="1:17" ht="1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5"/>
      <c r="K486" s="5"/>
      <c r="L486" s="5"/>
      <c r="M486" s="5"/>
      <c r="N486" s="5"/>
      <c r="O486" s="5"/>
      <c r="P486" s="5"/>
      <c r="Q486" s="5"/>
    </row>
    <row r="487" spans="1:17" ht="1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5"/>
      <c r="K487" s="5"/>
      <c r="L487" s="5"/>
      <c r="M487" s="5"/>
      <c r="N487" s="5"/>
      <c r="O487" s="5"/>
      <c r="P487" s="5"/>
      <c r="Q487" s="5"/>
    </row>
    <row r="488" spans="1:17" ht="1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5"/>
      <c r="K488" s="5"/>
      <c r="L488" s="5"/>
      <c r="M488" s="5"/>
      <c r="N488" s="5"/>
      <c r="O488" s="5"/>
      <c r="P488" s="5"/>
      <c r="Q488" s="5"/>
    </row>
    <row r="489" spans="1:17" ht="1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5"/>
      <c r="K489" s="5"/>
      <c r="L489" s="5"/>
      <c r="M489" s="5"/>
      <c r="N489" s="5"/>
      <c r="O489" s="5"/>
      <c r="P489" s="5"/>
      <c r="Q489" s="5"/>
    </row>
    <row r="490" spans="1:17" ht="1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5"/>
      <c r="K490" s="5"/>
      <c r="L490" s="5"/>
      <c r="M490" s="5"/>
      <c r="N490" s="5"/>
      <c r="O490" s="5"/>
      <c r="P490" s="5"/>
      <c r="Q490" s="5"/>
    </row>
    <row r="491" spans="1:17" ht="1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5"/>
      <c r="K491" s="5"/>
      <c r="L491" s="5"/>
      <c r="M491" s="5"/>
      <c r="N491" s="5"/>
      <c r="O491" s="5"/>
      <c r="P491" s="5"/>
      <c r="Q491" s="5"/>
    </row>
    <row r="492" spans="1:17" ht="1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5"/>
      <c r="K492" s="5"/>
      <c r="L492" s="5"/>
      <c r="M492" s="5"/>
      <c r="N492" s="5"/>
      <c r="O492" s="5"/>
      <c r="P492" s="5"/>
      <c r="Q492" s="5"/>
    </row>
    <row r="493" spans="1:17" ht="1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5"/>
      <c r="K493" s="5"/>
      <c r="L493" s="5"/>
      <c r="M493" s="5"/>
      <c r="N493" s="5"/>
      <c r="O493" s="5"/>
      <c r="P493" s="5"/>
      <c r="Q493" s="5"/>
    </row>
    <row r="494" spans="1:17" ht="1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5"/>
      <c r="K494" s="5"/>
      <c r="L494" s="5"/>
      <c r="M494" s="5"/>
      <c r="N494" s="5"/>
      <c r="O494" s="5"/>
      <c r="P494" s="5"/>
      <c r="Q494" s="5"/>
    </row>
    <row r="495" spans="1:17" ht="1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5"/>
      <c r="K495" s="5"/>
      <c r="L495" s="5"/>
      <c r="M495" s="5"/>
      <c r="N495" s="5"/>
      <c r="O495" s="5"/>
      <c r="P495" s="5"/>
      <c r="Q495" s="5"/>
    </row>
    <row r="496" spans="1:17" ht="1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5"/>
      <c r="K496" s="5"/>
      <c r="L496" s="5"/>
      <c r="M496" s="5"/>
      <c r="N496" s="5"/>
      <c r="O496" s="5"/>
      <c r="P496" s="5"/>
      <c r="Q496" s="5"/>
    </row>
    <row r="497" spans="1:17" ht="1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5"/>
      <c r="K497" s="5"/>
      <c r="L497" s="5"/>
      <c r="M497" s="5"/>
      <c r="N497" s="5"/>
      <c r="O497" s="5"/>
      <c r="P497" s="5"/>
      <c r="Q497" s="5"/>
    </row>
    <row r="498" spans="1:17" ht="1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5"/>
      <c r="K498" s="5"/>
      <c r="L498" s="5"/>
      <c r="M498" s="5"/>
      <c r="N498" s="5"/>
      <c r="O498" s="5"/>
      <c r="P498" s="5"/>
      <c r="Q498" s="5"/>
    </row>
    <row r="499" spans="1:17" ht="1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5"/>
      <c r="K499" s="5"/>
      <c r="L499" s="5"/>
      <c r="M499" s="5"/>
      <c r="N499" s="5"/>
      <c r="O499" s="5"/>
      <c r="P499" s="5"/>
      <c r="Q499" s="5"/>
    </row>
    <row r="500" spans="1:17" ht="1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5"/>
      <c r="K500" s="5"/>
      <c r="L500" s="5"/>
      <c r="M500" s="5"/>
      <c r="N500" s="5"/>
      <c r="O500" s="5"/>
      <c r="P500" s="5"/>
      <c r="Q500" s="5"/>
    </row>
    <row r="501" spans="1:17" ht="1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5"/>
      <c r="K501" s="5"/>
      <c r="L501" s="5"/>
      <c r="M501" s="5"/>
      <c r="N501" s="5"/>
      <c r="O501" s="5"/>
      <c r="P501" s="5"/>
      <c r="Q501" s="5"/>
    </row>
    <row r="502" spans="1:17" ht="1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5"/>
      <c r="K502" s="5"/>
      <c r="L502" s="5"/>
      <c r="M502" s="5"/>
      <c r="N502" s="5"/>
      <c r="O502" s="5"/>
      <c r="P502" s="5"/>
      <c r="Q502" s="5"/>
    </row>
    <row r="503" spans="1:17" ht="1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5"/>
      <c r="K503" s="5"/>
      <c r="L503" s="5"/>
      <c r="M503" s="5"/>
      <c r="N503" s="5"/>
      <c r="O503" s="5"/>
      <c r="P503" s="5"/>
      <c r="Q503" s="5"/>
    </row>
    <row r="504" spans="1:17" ht="1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5"/>
      <c r="K504" s="5"/>
      <c r="L504" s="5"/>
      <c r="M504" s="5"/>
      <c r="N504" s="5"/>
      <c r="O504" s="5"/>
      <c r="P504" s="5"/>
      <c r="Q504" s="5"/>
    </row>
    <row r="505" spans="1:17" ht="1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5"/>
      <c r="K505" s="5"/>
      <c r="L505" s="5"/>
      <c r="M505" s="5"/>
      <c r="N505" s="5"/>
      <c r="O505" s="5"/>
      <c r="P505" s="5"/>
      <c r="Q505" s="5"/>
    </row>
    <row r="506" spans="1:17" ht="1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5"/>
      <c r="K506" s="5"/>
      <c r="L506" s="5"/>
      <c r="M506" s="5"/>
      <c r="N506" s="5"/>
      <c r="O506" s="5"/>
      <c r="P506" s="5"/>
      <c r="Q506" s="5"/>
    </row>
    <row r="507" spans="1:17" ht="1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5"/>
      <c r="K507" s="5"/>
      <c r="L507" s="5"/>
      <c r="M507" s="5"/>
      <c r="N507" s="5"/>
      <c r="O507" s="5"/>
      <c r="P507" s="5"/>
      <c r="Q507" s="5"/>
    </row>
    <row r="508" spans="1:17" ht="1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5"/>
      <c r="K508" s="5"/>
      <c r="L508" s="5"/>
      <c r="M508" s="5"/>
      <c r="N508" s="5"/>
      <c r="O508" s="5"/>
      <c r="P508" s="5"/>
      <c r="Q508" s="5"/>
    </row>
    <row r="509" spans="1:17" ht="1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5"/>
      <c r="K509" s="5"/>
      <c r="L509" s="5"/>
      <c r="M509" s="5"/>
      <c r="N509" s="5"/>
      <c r="O509" s="5"/>
      <c r="P509" s="5"/>
      <c r="Q509" s="5"/>
    </row>
  </sheetData>
  <mergeCells count="17">
    <mergeCell ref="G9:G11"/>
    <mergeCell ref="H9:H11"/>
    <mergeCell ref="I9:I11"/>
    <mergeCell ref="B42:C42"/>
    <mergeCell ref="B43:C43"/>
    <mergeCell ref="A1:I1"/>
    <mergeCell ref="A9:A11"/>
    <mergeCell ref="B9:B11"/>
    <mergeCell ref="C9:C11"/>
    <mergeCell ref="D9:D11"/>
    <mergeCell ref="E9:E11"/>
    <mergeCell ref="F9:F11"/>
    <mergeCell ref="A3:G3"/>
    <mergeCell ref="H3:I3"/>
    <mergeCell ref="A5:H5"/>
    <mergeCell ref="A7:H7"/>
    <mergeCell ref="A8:I8"/>
  </mergeCells>
  <printOptions horizontalCentered="1"/>
  <pageMargins left="0.51181102362204722" right="0.51181102362204722" top="0.94488188976377963" bottom="0.78740157480314965" header="0.31496062992125984" footer="0.31496062992125984"/>
  <pageSetup paperSize="9" scale="70" orientation="landscape" r:id="rId1"/>
  <headerFooter>
    <oddHeader>&amp;L
&amp;G&amp;R&amp;G</oddHeader>
    <oddFooter>&amp;CAv. Pres. Tancredo Neves, 3557 sala 306 – Bairro Castelo CEP 31.330-430 – Belo Horizonte / Minas Gerais.
Endereço Eletrônico: ottawaeng@terra.com.br – Telefax (31) 3418-2175 – CNPJ: 04.472.311/0001-04
&amp;R&amp;P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view="pageBreakPreview" topLeftCell="A10" zoomScale="85" zoomScaleNormal="85" zoomScaleSheetLayoutView="85" workbookViewId="0">
      <selection activeCell="A24" sqref="A24"/>
    </sheetView>
  </sheetViews>
  <sheetFormatPr defaultRowHeight="17.100000000000001" customHeight="1" x14ac:dyDescent="0.2"/>
  <cols>
    <col min="1" max="1" width="8.7109375" style="37" customWidth="1"/>
    <col min="2" max="2" width="44.7109375" style="37" customWidth="1"/>
    <col min="3" max="3" width="8.7109375" style="37" customWidth="1"/>
    <col min="4" max="4" width="14.28515625" style="37" customWidth="1"/>
    <col min="5" max="13" width="14.28515625" style="38" customWidth="1"/>
    <col min="14" max="14" width="14.28515625" style="37" customWidth="1"/>
    <col min="15" max="15" width="4.28515625" style="37" customWidth="1"/>
    <col min="16" max="16" width="10.7109375" style="37" customWidth="1"/>
    <col min="17" max="17" width="3.5703125" style="37" customWidth="1"/>
    <col min="18" max="27" width="10.7109375" style="37" customWidth="1"/>
    <col min="28" max="28" width="12.140625" style="40" customWidth="1"/>
    <col min="29" max="16384" width="9.140625" style="37"/>
  </cols>
  <sheetData>
    <row r="1" spans="1:28" s="12" customFormat="1" ht="30.75" customHeight="1" thickBot="1" x14ac:dyDescent="0.25">
      <c r="A1" s="634" t="s">
        <v>60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6"/>
    </row>
    <row r="2" spans="1:28" s="12" customFormat="1" ht="6" customHeight="1" thickBot="1" x14ac:dyDescent="0.25">
      <c r="A2" s="228"/>
      <c r="B2" s="229"/>
      <c r="C2" s="229"/>
      <c r="D2" s="230"/>
      <c r="E2" s="229"/>
      <c r="F2" s="229"/>
      <c r="G2" s="229"/>
      <c r="H2" s="229"/>
      <c r="I2" s="229"/>
      <c r="J2" s="229"/>
      <c r="K2" s="229"/>
      <c r="L2" s="231"/>
      <c r="M2" s="231"/>
      <c r="N2" s="232"/>
    </row>
    <row r="3" spans="1:28" s="12" customFormat="1" ht="15.75" thickBot="1" x14ac:dyDescent="0.25">
      <c r="A3" s="184" t="s">
        <v>777</v>
      </c>
      <c r="B3" s="185"/>
      <c r="C3" s="185"/>
      <c r="D3" s="186"/>
      <c r="E3" s="187"/>
      <c r="F3" s="187"/>
      <c r="G3" s="187"/>
      <c r="H3" s="187"/>
      <c r="I3" s="187"/>
      <c r="J3" s="187"/>
      <c r="K3" s="187"/>
      <c r="L3" s="188"/>
      <c r="M3" s="188"/>
      <c r="N3" s="189" t="s">
        <v>785</v>
      </c>
    </row>
    <row r="4" spans="1:28" s="12" customFormat="1" ht="6" customHeight="1" thickBot="1" x14ac:dyDescent="0.25">
      <c r="A4" s="228"/>
      <c r="B4" s="229"/>
      <c r="C4" s="229"/>
      <c r="D4" s="230"/>
      <c r="E4" s="229"/>
      <c r="F4" s="229"/>
      <c r="G4" s="229"/>
      <c r="H4" s="229"/>
      <c r="I4" s="229"/>
      <c r="J4" s="229"/>
      <c r="K4" s="229"/>
      <c r="L4" s="231"/>
      <c r="M4" s="231"/>
      <c r="N4" s="232"/>
    </row>
    <row r="5" spans="1:28" s="12" customFormat="1" ht="15.75" thickBot="1" x14ac:dyDescent="0.25">
      <c r="A5" s="190" t="s">
        <v>783</v>
      </c>
      <c r="B5" s="191"/>
      <c r="C5" s="191"/>
      <c r="D5" s="192"/>
      <c r="E5" s="183"/>
      <c r="F5" s="183"/>
      <c r="G5" s="183"/>
      <c r="H5" s="183"/>
      <c r="I5" s="183"/>
      <c r="J5" s="541"/>
      <c r="K5" s="541"/>
      <c r="L5" s="193"/>
      <c r="M5" s="193"/>
      <c r="N5" s="194"/>
      <c r="O5" s="13"/>
    </row>
    <row r="6" spans="1:28" s="12" customFormat="1" ht="6" customHeight="1" thickBot="1" x14ac:dyDescent="0.25">
      <c r="A6" s="233"/>
      <c r="B6" s="234"/>
      <c r="C6" s="234"/>
      <c r="D6" s="235"/>
      <c r="E6" s="234"/>
      <c r="F6" s="234"/>
      <c r="G6" s="234"/>
      <c r="H6" s="234"/>
      <c r="I6" s="234"/>
      <c r="J6" s="234"/>
      <c r="K6" s="234"/>
      <c r="L6" s="231"/>
      <c r="M6" s="231"/>
      <c r="N6" s="232"/>
    </row>
    <row r="7" spans="1:28" s="12" customFormat="1" ht="15.75" thickBot="1" x14ac:dyDescent="0.25">
      <c r="A7" s="190" t="s">
        <v>779</v>
      </c>
      <c r="B7" s="191"/>
      <c r="C7" s="191"/>
      <c r="D7" s="192"/>
      <c r="E7" s="191"/>
      <c r="F7" s="191"/>
      <c r="G7" s="191"/>
      <c r="H7" s="191"/>
      <c r="I7" s="191"/>
      <c r="J7" s="191"/>
      <c r="K7" s="191"/>
      <c r="L7" s="193"/>
      <c r="M7" s="193"/>
      <c r="N7" s="194"/>
    </row>
    <row r="8" spans="1:28" s="18" customFormat="1" ht="30.75" customHeight="1" thickBot="1" x14ac:dyDescent="0.25">
      <c r="A8" s="14" t="s">
        <v>61</v>
      </c>
      <c r="B8" s="15" t="s">
        <v>62</v>
      </c>
      <c r="C8" s="15" t="s">
        <v>63</v>
      </c>
      <c r="D8" s="15" t="s">
        <v>1573</v>
      </c>
      <c r="E8" s="15" t="s">
        <v>1575</v>
      </c>
      <c r="F8" s="15" t="s">
        <v>1576</v>
      </c>
      <c r="G8" s="15" t="s">
        <v>1577</v>
      </c>
      <c r="H8" s="15" t="s">
        <v>1578</v>
      </c>
      <c r="I8" s="15" t="s">
        <v>1579</v>
      </c>
      <c r="J8" s="15" t="s">
        <v>1580</v>
      </c>
      <c r="K8" s="15" t="s">
        <v>1581</v>
      </c>
      <c r="L8" s="15" t="s">
        <v>1582</v>
      </c>
      <c r="M8" s="15" t="s">
        <v>1574</v>
      </c>
      <c r="N8" s="16" t="s">
        <v>64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B8" s="19"/>
    </row>
    <row r="9" spans="1:28" s="18" customFormat="1" ht="21" customHeight="1" thickTop="1" x14ac:dyDescent="0.2">
      <c r="A9" s="117" t="str">
        <f>ORÇAMENTO!A15</f>
        <v>01.00</v>
      </c>
      <c r="B9" s="20" t="str">
        <f>ORÇAMENTO!D15</f>
        <v>MOBILIZAÇÃO E DESMOBILIZAÇÃO</v>
      </c>
      <c r="C9" s="21">
        <f t="shared" ref="C9:C22" si="0">N9/$N$30*100</f>
        <v>4.5364981604559134</v>
      </c>
      <c r="D9" s="158">
        <v>80</v>
      </c>
      <c r="E9" s="580"/>
      <c r="F9" s="161"/>
      <c r="G9" s="161"/>
      <c r="H9" s="161"/>
      <c r="I9" s="161"/>
      <c r="J9" s="161"/>
      <c r="K9" s="161"/>
      <c r="L9" s="161"/>
      <c r="M9" s="159">
        <v>20</v>
      </c>
      <c r="N9" s="22">
        <f>SUMIF(ORÇAMENTO!$D$15:$D$43,CRONOGRAMA!B9,ORÇAMENTO!$I$15:$I$44)</f>
        <v>269358.08000000002</v>
      </c>
      <c r="O9" s="23"/>
      <c r="P9" s="126">
        <f t="shared" ref="P9:P22" si="1">SUM(D9:M9)</f>
        <v>100</v>
      </c>
      <c r="Q9" s="23"/>
      <c r="R9" s="118">
        <f t="shared" ref="R9:R22" si="2">$C9*D9/100</f>
        <v>3.6291985283647308</v>
      </c>
      <c r="S9" s="119">
        <f t="shared" ref="S9:S22" si="3">$C9*E9/100</f>
        <v>0</v>
      </c>
      <c r="T9" s="119">
        <f t="shared" ref="T9:T22" si="4">$C9*F9/100</f>
        <v>0</v>
      </c>
      <c r="U9" s="119">
        <f t="shared" ref="U9:U22" si="5">$C9*G9/100</f>
        <v>0</v>
      </c>
      <c r="V9" s="119">
        <f t="shared" ref="V9:V22" si="6">$C9*H9/100</f>
        <v>0</v>
      </c>
      <c r="W9" s="119">
        <f t="shared" ref="W9:W22" si="7">$C9*I9/100</f>
        <v>0</v>
      </c>
      <c r="X9" s="119">
        <f t="shared" ref="X9:X22" si="8">$C9*J9/100</f>
        <v>0</v>
      </c>
      <c r="Y9" s="119">
        <f t="shared" ref="Y9:Y22" si="9">$C9*K9/100</f>
        <v>0</v>
      </c>
      <c r="Z9" s="119">
        <f t="shared" ref="Z9:Z22" si="10">$C9*L9/100</f>
        <v>0</v>
      </c>
      <c r="AA9" s="120">
        <f t="shared" ref="AA9:AA22" si="11">$C9*M9/100</f>
        <v>0.9072996320911827</v>
      </c>
    </row>
    <row r="10" spans="1:28" s="18" customFormat="1" ht="21" customHeight="1" x14ac:dyDescent="0.2">
      <c r="A10" s="117" t="str">
        <f>ORÇAMENTO!A17</f>
        <v>02.00</v>
      </c>
      <c r="B10" s="20" t="str">
        <f>ORÇAMENTO!D17</f>
        <v>ADMINISTRAÇÃO DA OBRA</v>
      </c>
      <c r="C10" s="21">
        <f t="shared" si="0"/>
        <v>11.041608033393834</v>
      </c>
      <c r="D10" s="158">
        <v>10</v>
      </c>
      <c r="E10" s="158">
        <v>10</v>
      </c>
      <c r="F10" s="159">
        <v>10</v>
      </c>
      <c r="G10" s="159">
        <v>10</v>
      </c>
      <c r="H10" s="159">
        <v>10</v>
      </c>
      <c r="I10" s="159">
        <v>10</v>
      </c>
      <c r="J10" s="159">
        <v>10</v>
      </c>
      <c r="K10" s="159">
        <v>10</v>
      </c>
      <c r="L10" s="159">
        <v>10</v>
      </c>
      <c r="M10" s="159">
        <v>10</v>
      </c>
      <c r="N10" s="22">
        <f>SUMIF(ORÇAMENTO!$D$15:$D$43,CRONOGRAMA!B10,ORÇAMENTO!$I$15:$I$44)</f>
        <v>655604</v>
      </c>
      <c r="O10" s="23"/>
      <c r="P10" s="127">
        <f t="shared" si="1"/>
        <v>100</v>
      </c>
      <c r="Q10" s="23"/>
      <c r="R10" s="121">
        <f t="shared" si="2"/>
        <v>1.1041608033393835</v>
      </c>
      <c r="S10" s="23">
        <f t="shared" si="3"/>
        <v>1.1041608033393835</v>
      </c>
      <c r="T10" s="23">
        <f t="shared" si="4"/>
        <v>1.1041608033393835</v>
      </c>
      <c r="U10" s="23">
        <f t="shared" si="5"/>
        <v>1.1041608033393835</v>
      </c>
      <c r="V10" s="23">
        <f t="shared" si="6"/>
        <v>1.1041608033393835</v>
      </c>
      <c r="W10" s="23">
        <f t="shared" si="7"/>
        <v>1.1041608033393835</v>
      </c>
      <c r="X10" s="23">
        <f t="shared" si="8"/>
        <v>1.1041608033393835</v>
      </c>
      <c r="Y10" s="23">
        <f t="shared" si="9"/>
        <v>1.1041608033393835</v>
      </c>
      <c r="Z10" s="23">
        <f t="shared" si="10"/>
        <v>1.1041608033393835</v>
      </c>
      <c r="AA10" s="122">
        <f t="shared" si="11"/>
        <v>1.1041608033393835</v>
      </c>
    </row>
    <row r="11" spans="1:28" s="18" customFormat="1" ht="21" customHeight="1" x14ac:dyDescent="0.2">
      <c r="A11" s="24" t="str">
        <f>ORÇAMENTO!A19</f>
        <v>03.00</v>
      </c>
      <c r="B11" s="25" t="str">
        <f>ORÇAMENTO!D19</f>
        <v>REDE COLETORA DE ESGOTOS</v>
      </c>
      <c r="C11" s="26">
        <f t="shared" si="0"/>
        <v>67.780474446345664</v>
      </c>
      <c r="D11" s="160">
        <v>10</v>
      </c>
      <c r="E11" s="160">
        <v>15</v>
      </c>
      <c r="F11" s="159">
        <v>15</v>
      </c>
      <c r="G11" s="159">
        <v>15</v>
      </c>
      <c r="H11" s="159">
        <v>15</v>
      </c>
      <c r="I11" s="159">
        <v>10</v>
      </c>
      <c r="J11" s="159">
        <v>10</v>
      </c>
      <c r="K11" s="159">
        <v>10</v>
      </c>
      <c r="L11" s="161"/>
      <c r="M11" s="161"/>
      <c r="N11" s="22">
        <f>SUMIF(ORÇAMENTO!$D$15:$D$43,CRONOGRAMA!B11,ORÇAMENTO!$I$15:$I$44)</f>
        <v>4024517.9899999998</v>
      </c>
      <c r="O11" s="23"/>
      <c r="P11" s="127">
        <f t="shared" si="1"/>
        <v>100</v>
      </c>
      <c r="Q11" s="23"/>
      <c r="R11" s="121">
        <f t="shared" si="2"/>
        <v>6.7780474446345673</v>
      </c>
      <c r="S11" s="23">
        <f t="shared" si="3"/>
        <v>10.16707116695185</v>
      </c>
      <c r="T11" s="23">
        <f t="shared" si="4"/>
        <v>10.16707116695185</v>
      </c>
      <c r="U11" s="23">
        <f t="shared" si="5"/>
        <v>10.16707116695185</v>
      </c>
      <c r="V11" s="23">
        <f t="shared" si="6"/>
        <v>10.16707116695185</v>
      </c>
      <c r="W11" s="23">
        <f t="shared" si="7"/>
        <v>6.7780474446345673</v>
      </c>
      <c r="X11" s="23">
        <f t="shared" si="8"/>
        <v>6.7780474446345673</v>
      </c>
      <c r="Y11" s="23">
        <f t="shared" si="9"/>
        <v>6.7780474446345673</v>
      </c>
      <c r="Z11" s="23">
        <f t="shared" si="10"/>
        <v>0</v>
      </c>
      <c r="AA11" s="122">
        <f t="shared" si="11"/>
        <v>0</v>
      </c>
    </row>
    <row r="12" spans="1:28" s="18" customFormat="1" ht="21" customHeight="1" x14ac:dyDescent="0.2">
      <c r="A12" s="24" t="str">
        <f>ORÇAMENTO!A21</f>
        <v>04.00</v>
      </c>
      <c r="B12" s="25" t="str">
        <f>ORÇAMENTO!D21</f>
        <v>ELEVATÓRIA E LINHA DE RECALQUE - BAIRRO MIGUEL VIEIRA</v>
      </c>
      <c r="C12" s="26">
        <f t="shared" si="0"/>
        <v>2.3345542392856027</v>
      </c>
      <c r="D12" s="581"/>
      <c r="E12" s="581"/>
      <c r="F12" s="161"/>
      <c r="G12" s="161"/>
      <c r="H12" s="161"/>
      <c r="I12" s="159">
        <v>10</v>
      </c>
      <c r="J12" s="159">
        <v>15</v>
      </c>
      <c r="K12" s="159">
        <v>15</v>
      </c>
      <c r="L12" s="159">
        <v>30</v>
      </c>
      <c r="M12" s="159">
        <v>30</v>
      </c>
      <c r="N12" s="22">
        <f>SUMIF(ORÇAMENTO!$D$15:$D$43,CRONOGRAMA!B12,ORÇAMENTO!$I$15:$I$44)</f>
        <v>138615.96</v>
      </c>
      <c r="O12" s="23"/>
      <c r="P12" s="127">
        <f t="shared" si="1"/>
        <v>100</v>
      </c>
      <c r="Q12" s="23"/>
      <c r="R12" s="121">
        <f t="shared" si="2"/>
        <v>0</v>
      </c>
      <c r="S12" s="23">
        <f t="shared" si="3"/>
        <v>0</v>
      </c>
      <c r="T12" s="23">
        <f t="shared" si="4"/>
        <v>0</v>
      </c>
      <c r="U12" s="23">
        <f t="shared" si="5"/>
        <v>0</v>
      </c>
      <c r="V12" s="23">
        <f t="shared" si="6"/>
        <v>0</v>
      </c>
      <c r="W12" s="23">
        <f t="shared" si="7"/>
        <v>0.23345542392856025</v>
      </c>
      <c r="X12" s="23">
        <f t="shared" si="8"/>
        <v>0.35018313589284039</v>
      </c>
      <c r="Y12" s="23">
        <f t="shared" si="9"/>
        <v>0.35018313589284039</v>
      </c>
      <c r="Z12" s="23">
        <f t="shared" si="10"/>
        <v>0.70036627178568078</v>
      </c>
      <c r="AA12" s="122">
        <f t="shared" si="11"/>
        <v>0.70036627178568078</v>
      </c>
    </row>
    <row r="13" spans="1:28" s="18" customFormat="1" ht="21" customHeight="1" x14ac:dyDescent="0.2">
      <c r="A13" s="24" t="str">
        <f>ORÇAMENTO!A23</f>
        <v>05.01</v>
      </c>
      <c r="B13" s="25" t="str">
        <f>ORÇAMENTO!D23</f>
        <v xml:space="preserve">TERRAPLENAGEM </v>
      </c>
      <c r="C13" s="26">
        <f t="shared" si="0"/>
        <v>0.62160084524307446</v>
      </c>
      <c r="D13" s="581"/>
      <c r="E13" s="581"/>
      <c r="F13" s="161"/>
      <c r="G13" s="161"/>
      <c r="H13" s="161"/>
      <c r="I13" s="159">
        <v>10</v>
      </c>
      <c r="J13" s="159">
        <v>15</v>
      </c>
      <c r="K13" s="159">
        <v>15</v>
      </c>
      <c r="L13" s="159">
        <v>30</v>
      </c>
      <c r="M13" s="159">
        <v>30</v>
      </c>
      <c r="N13" s="22">
        <f>SUMIF(ORÇAMENTO!$D$15:$D$43,CRONOGRAMA!B13,ORÇAMENTO!$I$15:$I$44)</f>
        <v>36908.03</v>
      </c>
      <c r="O13" s="23"/>
      <c r="P13" s="127">
        <f t="shared" si="1"/>
        <v>100</v>
      </c>
      <c r="Q13" s="23"/>
      <c r="R13" s="121">
        <f t="shared" si="2"/>
        <v>0</v>
      </c>
      <c r="S13" s="23">
        <f t="shared" si="3"/>
        <v>0</v>
      </c>
      <c r="T13" s="23">
        <f t="shared" si="4"/>
        <v>0</v>
      </c>
      <c r="U13" s="23">
        <f t="shared" si="5"/>
        <v>0</v>
      </c>
      <c r="V13" s="23">
        <f t="shared" si="6"/>
        <v>0</v>
      </c>
      <c r="W13" s="23">
        <f t="shared" si="7"/>
        <v>6.2160084524307449E-2</v>
      </c>
      <c r="X13" s="23">
        <f t="shared" si="8"/>
        <v>9.3240126786461167E-2</v>
      </c>
      <c r="Y13" s="23">
        <f t="shared" si="9"/>
        <v>9.3240126786461167E-2</v>
      </c>
      <c r="Z13" s="23">
        <f t="shared" si="10"/>
        <v>0.18648025357292233</v>
      </c>
      <c r="AA13" s="122">
        <f t="shared" si="11"/>
        <v>0.18648025357292233</v>
      </c>
    </row>
    <row r="14" spans="1:28" s="18" customFormat="1" ht="21" customHeight="1" x14ac:dyDescent="0.2">
      <c r="A14" s="24" t="str">
        <f>ORÇAMENTO!A25</f>
        <v>05.02</v>
      </c>
      <c r="B14" s="25" t="str">
        <f>ORÇAMENTO!D25</f>
        <v>TRATAMENTO PRELIMINAR</v>
      </c>
      <c r="C14" s="26">
        <f t="shared" si="0"/>
        <v>0.18955391466666557</v>
      </c>
      <c r="D14" s="581"/>
      <c r="E14" s="581"/>
      <c r="F14" s="161"/>
      <c r="G14" s="161"/>
      <c r="H14" s="161"/>
      <c r="I14" s="159">
        <v>10</v>
      </c>
      <c r="J14" s="159">
        <v>10</v>
      </c>
      <c r="K14" s="159">
        <v>10</v>
      </c>
      <c r="L14" s="159">
        <v>40</v>
      </c>
      <c r="M14" s="159">
        <v>30</v>
      </c>
      <c r="N14" s="22">
        <f>SUMIF(ORÇAMENTO!$D$15:$D$43,CRONOGRAMA!B14,ORÇAMENTO!$I$15:$I$44)</f>
        <v>11254.910000000002</v>
      </c>
      <c r="O14" s="23"/>
      <c r="P14" s="127">
        <f t="shared" si="1"/>
        <v>100</v>
      </c>
      <c r="Q14" s="23"/>
      <c r="R14" s="121">
        <f t="shared" si="2"/>
        <v>0</v>
      </c>
      <c r="S14" s="23">
        <f t="shared" si="3"/>
        <v>0</v>
      </c>
      <c r="T14" s="23">
        <f t="shared" si="4"/>
        <v>0</v>
      </c>
      <c r="U14" s="23">
        <f t="shared" si="5"/>
        <v>0</v>
      </c>
      <c r="V14" s="23">
        <f t="shared" si="6"/>
        <v>0</v>
      </c>
      <c r="W14" s="23">
        <f t="shared" si="7"/>
        <v>1.8955391466666558E-2</v>
      </c>
      <c r="X14" s="23">
        <f t="shared" si="8"/>
        <v>1.8955391466666558E-2</v>
      </c>
      <c r="Y14" s="23">
        <f t="shared" si="9"/>
        <v>1.8955391466666558E-2</v>
      </c>
      <c r="Z14" s="23">
        <f t="shared" si="10"/>
        <v>7.5821565866666232E-2</v>
      </c>
      <c r="AA14" s="122">
        <f t="shared" si="11"/>
        <v>5.6866174399999671E-2</v>
      </c>
    </row>
    <row r="15" spans="1:28" s="18" customFormat="1" ht="21" customHeight="1" x14ac:dyDescent="0.2">
      <c r="A15" s="24" t="str">
        <f>ORÇAMENTO!A27</f>
        <v>05.03</v>
      </c>
      <c r="B15" s="25" t="str">
        <f>ORÇAMENTO!D27</f>
        <v>ELEVATÓRIA PÓS TRATAMENTO PRELIMINAR</v>
      </c>
      <c r="C15" s="26">
        <f t="shared" si="0"/>
        <v>0.87407217353581879</v>
      </c>
      <c r="D15" s="581"/>
      <c r="E15" s="581"/>
      <c r="F15" s="161"/>
      <c r="G15" s="161"/>
      <c r="H15" s="161"/>
      <c r="I15" s="159">
        <v>10</v>
      </c>
      <c r="J15" s="159">
        <v>15</v>
      </c>
      <c r="K15" s="159">
        <v>15</v>
      </c>
      <c r="L15" s="159">
        <v>30</v>
      </c>
      <c r="M15" s="159">
        <v>30</v>
      </c>
      <c r="N15" s="22">
        <f>SUMIF(ORÇAMENTO!$D$15:$D$43,CRONOGRAMA!B15,ORÇAMENTO!$I$15:$I$44)</f>
        <v>51898.71</v>
      </c>
      <c r="O15" s="23"/>
      <c r="P15" s="127">
        <f t="shared" si="1"/>
        <v>100</v>
      </c>
      <c r="Q15" s="23"/>
      <c r="R15" s="121">
        <f t="shared" si="2"/>
        <v>0</v>
      </c>
      <c r="S15" s="23">
        <f t="shared" si="3"/>
        <v>0</v>
      </c>
      <c r="T15" s="23">
        <f t="shared" si="4"/>
        <v>0</v>
      </c>
      <c r="U15" s="23">
        <f t="shared" si="5"/>
        <v>0</v>
      </c>
      <c r="V15" s="23">
        <f t="shared" si="6"/>
        <v>0</v>
      </c>
      <c r="W15" s="23">
        <f t="shared" si="7"/>
        <v>8.7407217353581868E-2</v>
      </c>
      <c r="X15" s="23">
        <f t="shared" si="8"/>
        <v>0.13111082603037283</v>
      </c>
      <c r="Y15" s="23">
        <f t="shared" si="9"/>
        <v>0.13111082603037283</v>
      </c>
      <c r="Z15" s="23">
        <f t="shared" si="10"/>
        <v>0.26222165206074566</v>
      </c>
      <c r="AA15" s="122">
        <f t="shared" si="11"/>
        <v>0.26222165206074566</v>
      </c>
    </row>
    <row r="16" spans="1:28" s="18" customFormat="1" ht="21" customHeight="1" x14ac:dyDescent="0.2">
      <c r="A16" s="24" t="str">
        <f>ORÇAMENTO!A29</f>
        <v>05.04</v>
      </c>
      <c r="B16" s="27" t="str">
        <f>ORÇAMENTO!D29</f>
        <v>REATOR UASB</v>
      </c>
      <c r="C16" s="26">
        <f t="shared" si="0"/>
        <v>4.5483644482944392</v>
      </c>
      <c r="D16" s="581"/>
      <c r="E16" s="581"/>
      <c r="F16" s="161"/>
      <c r="G16" s="161"/>
      <c r="H16" s="161"/>
      <c r="I16" s="159">
        <v>15</v>
      </c>
      <c r="J16" s="159">
        <v>15</v>
      </c>
      <c r="K16" s="159">
        <v>15</v>
      </c>
      <c r="L16" s="159">
        <v>30</v>
      </c>
      <c r="M16" s="159">
        <v>25</v>
      </c>
      <c r="N16" s="22">
        <f>SUMIF(ORÇAMENTO!$D$15:$D$43,CRONOGRAMA!B16,ORÇAMENTO!$I$15:$I$44)</f>
        <v>270062.65000000002</v>
      </c>
      <c r="O16" s="23"/>
      <c r="P16" s="127">
        <f t="shared" si="1"/>
        <v>100</v>
      </c>
      <c r="Q16" s="23"/>
      <c r="R16" s="121">
        <f t="shared" si="2"/>
        <v>0</v>
      </c>
      <c r="S16" s="23">
        <f t="shared" si="3"/>
        <v>0</v>
      </c>
      <c r="T16" s="23">
        <f t="shared" si="4"/>
        <v>0</v>
      </c>
      <c r="U16" s="23">
        <f t="shared" si="5"/>
        <v>0</v>
      </c>
      <c r="V16" s="23">
        <f t="shared" si="6"/>
        <v>0</v>
      </c>
      <c r="W16" s="23">
        <f t="shared" si="7"/>
        <v>0.68225466724416595</v>
      </c>
      <c r="X16" s="23">
        <f t="shared" si="8"/>
        <v>0.68225466724416595</v>
      </c>
      <c r="Y16" s="23">
        <f t="shared" si="9"/>
        <v>0.68225466724416595</v>
      </c>
      <c r="Z16" s="23">
        <f t="shared" si="10"/>
        <v>1.3645093344883319</v>
      </c>
      <c r="AA16" s="122">
        <f t="shared" si="11"/>
        <v>1.1370911120736098</v>
      </c>
    </row>
    <row r="17" spans="1:27" s="18" customFormat="1" ht="21" customHeight="1" x14ac:dyDescent="0.2">
      <c r="A17" s="24" t="str">
        <f>ORÇAMENTO!A31</f>
        <v>05.05</v>
      </c>
      <c r="B17" s="27" t="str">
        <f>ORÇAMENTO!D31</f>
        <v>FILTRO ANAERÓBIO DE FLUXO ASCENDENTE</v>
      </c>
      <c r="C17" s="26">
        <f t="shared" si="0"/>
        <v>3.365830769098598</v>
      </c>
      <c r="D17" s="581"/>
      <c r="E17" s="581"/>
      <c r="F17" s="161"/>
      <c r="G17" s="161"/>
      <c r="H17" s="161"/>
      <c r="I17" s="159">
        <v>15</v>
      </c>
      <c r="J17" s="159">
        <v>15</v>
      </c>
      <c r="K17" s="159">
        <v>15</v>
      </c>
      <c r="L17" s="159">
        <v>30</v>
      </c>
      <c r="M17" s="159">
        <v>25</v>
      </c>
      <c r="N17" s="22">
        <f>SUMIF(ORÇAMENTO!$D$15:$D$43,CRONOGRAMA!B17,ORÇAMENTO!$I$15:$I$44)</f>
        <v>199848.8</v>
      </c>
      <c r="O17" s="23"/>
      <c r="P17" s="127">
        <f t="shared" si="1"/>
        <v>100</v>
      </c>
      <c r="Q17" s="23"/>
      <c r="R17" s="121">
        <f t="shared" si="2"/>
        <v>0</v>
      </c>
      <c r="S17" s="23">
        <f t="shared" si="3"/>
        <v>0</v>
      </c>
      <c r="T17" s="23">
        <f t="shared" si="4"/>
        <v>0</v>
      </c>
      <c r="U17" s="23">
        <f t="shared" si="5"/>
        <v>0</v>
      </c>
      <c r="V17" s="23">
        <f t="shared" si="6"/>
        <v>0</v>
      </c>
      <c r="W17" s="23">
        <f t="shared" si="7"/>
        <v>0.50487461536478973</v>
      </c>
      <c r="X17" s="23">
        <f t="shared" si="8"/>
        <v>0.50487461536478973</v>
      </c>
      <c r="Y17" s="23">
        <f t="shared" si="9"/>
        <v>0.50487461536478973</v>
      </c>
      <c r="Z17" s="23">
        <f t="shared" si="10"/>
        <v>1.0097492307295795</v>
      </c>
      <c r="AA17" s="122">
        <f t="shared" si="11"/>
        <v>0.8414576922746495</v>
      </c>
    </row>
    <row r="18" spans="1:27" s="18" customFormat="1" ht="21" customHeight="1" x14ac:dyDescent="0.2">
      <c r="A18" s="24" t="str">
        <f>ORÇAMENTO!A33</f>
        <v>05.06</v>
      </c>
      <c r="B18" s="27" t="str">
        <f>ORÇAMENTO!D33</f>
        <v>LEITOS DE SECAGEM</v>
      </c>
      <c r="C18" s="26">
        <f t="shared" si="0"/>
        <v>1.5971251735423748</v>
      </c>
      <c r="D18" s="581"/>
      <c r="E18" s="581"/>
      <c r="F18" s="161"/>
      <c r="G18" s="161"/>
      <c r="H18" s="161"/>
      <c r="I18" s="159">
        <v>15</v>
      </c>
      <c r="J18" s="159">
        <v>15</v>
      </c>
      <c r="K18" s="159">
        <v>15</v>
      </c>
      <c r="L18" s="159">
        <v>30</v>
      </c>
      <c r="M18" s="159">
        <v>25</v>
      </c>
      <c r="N18" s="22">
        <f>SUMIF(ORÇAMENTO!$D$15:$D$43,CRONOGRAMA!B18,ORÇAMENTO!$I$15:$I$44)</f>
        <v>94830.54</v>
      </c>
      <c r="O18" s="23"/>
      <c r="P18" s="127">
        <f t="shared" si="1"/>
        <v>100</v>
      </c>
      <c r="Q18" s="23"/>
      <c r="R18" s="121">
        <f>$C18*D18/100</f>
        <v>0</v>
      </c>
      <c r="S18" s="23">
        <f t="shared" si="3"/>
        <v>0</v>
      </c>
      <c r="T18" s="23">
        <f t="shared" si="4"/>
        <v>0</v>
      </c>
      <c r="U18" s="23">
        <f t="shared" si="5"/>
        <v>0</v>
      </c>
      <c r="V18" s="23">
        <f t="shared" si="6"/>
        <v>0</v>
      </c>
      <c r="W18" s="23">
        <f t="shared" si="7"/>
        <v>0.23956877603135623</v>
      </c>
      <c r="X18" s="23">
        <f t="shared" si="8"/>
        <v>0.23956877603135623</v>
      </c>
      <c r="Y18" s="23">
        <f t="shared" si="9"/>
        <v>0.23956877603135623</v>
      </c>
      <c r="Z18" s="23">
        <f t="shared" si="10"/>
        <v>0.47913755206271247</v>
      </c>
      <c r="AA18" s="122">
        <f t="shared" si="11"/>
        <v>0.39928129338559371</v>
      </c>
    </row>
    <row r="19" spans="1:27" s="18" customFormat="1" ht="21" customHeight="1" x14ac:dyDescent="0.2">
      <c r="A19" s="24" t="str">
        <f>ORÇAMENTO!A35</f>
        <v>05.07</v>
      </c>
      <c r="B19" s="27" t="str">
        <f>ORÇAMENTO!D35</f>
        <v>QUEIMADOR DE GÁS</v>
      </c>
      <c r="C19" s="26">
        <f t="shared" si="0"/>
        <v>0.22434487289587551</v>
      </c>
      <c r="D19" s="581"/>
      <c r="E19" s="581"/>
      <c r="F19" s="161"/>
      <c r="G19" s="161"/>
      <c r="H19" s="161"/>
      <c r="I19" s="159">
        <v>15</v>
      </c>
      <c r="J19" s="159">
        <v>15</v>
      </c>
      <c r="K19" s="159">
        <v>15</v>
      </c>
      <c r="L19" s="159">
        <v>30</v>
      </c>
      <c r="M19" s="159">
        <v>25</v>
      </c>
      <c r="N19" s="22">
        <f>SUMIF(ORÇAMENTO!$D$15:$D$43,CRONOGRAMA!B19,ORÇAMENTO!$I$15:$I$44)</f>
        <v>13320.65</v>
      </c>
      <c r="O19" s="23"/>
      <c r="P19" s="127">
        <f t="shared" si="1"/>
        <v>100</v>
      </c>
      <c r="Q19" s="23"/>
      <c r="R19" s="121">
        <f t="shared" si="2"/>
        <v>0</v>
      </c>
      <c r="S19" s="23">
        <f t="shared" si="3"/>
        <v>0</v>
      </c>
      <c r="T19" s="23">
        <f t="shared" si="4"/>
        <v>0</v>
      </c>
      <c r="U19" s="23">
        <f t="shared" si="5"/>
        <v>0</v>
      </c>
      <c r="V19" s="23">
        <f t="shared" si="6"/>
        <v>0</v>
      </c>
      <c r="W19" s="23">
        <f t="shared" si="7"/>
        <v>3.3651730934381327E-2</v>
      </c>
      <c r="X19" s="23">
        <f t="shared" si="8"/>
        <v>3.3651730934381327E-2</v>
      </c>
      <c r="Y19" s="23">
        <f t="shared" si="9"/>
        <v>3.3651730934381327E-2</v>
      </c>
      <c r="Z19" s="23">
        <f t="shared" si="10"/>
        <v>6.7303461868762654E-2</v>
      </c>
      <c r="AA19" s="122">
        <f t="shared" si="11"/>
        <v>5.6086218223968878E-2</v>
      </c>
    </row>
    <row r="20" spans="1:27" s="18" customFormat="1" ht="21" customHeight="1" x14ac:dyDescent="0.2">
      <c r="A20" s="24" t="str">
        <f>ORÇAMENTO!A37</f>
        <v>05.08</v>
      </c>
      <c r="B20" s="27" t="str">
        <f>ORÇAMENTO!D37</f>
        <v>UNIDADE DE APOIO</v>
      </c>
      <c r="C20" s="26">
        <f t="shared" si="0"/>
        <v>0.48310681414484485</v>
      </c>
      <c r="D20" s="581"/>
      <c r="E20" s="581"/>
      <c r="F20" s="161"/>
      <c r="G20" s="161"/>
      <c r="H20" s="161"/>
      <c r="I20" s="159">
        <v>15</v>
      </c>
      <c r="J20" s="159">
        <v>15</v>
      </c>
      <c r="K20" s="159">
        <v>15</v>
      </c>
      <c r="L20" s="159">
        <v>30</v>
      </c>
      <c r="M20" s="159">
        <v>25</v>
      </c>
      <c r="N20" s="22">
        <f>SUMIF(ORÇAMENTO!$D$15:$D$43,CRONOGRAMA!B20,ORÇAMENTO!$I$15:$I$44)</f>
        <v>28684.840000000007</v>
      </c>
      <c r="O20" s="23"/>
      <c r="P20" s="127">
        <f t="shared" si="1"/>
        <v>100</v>
      </c>
      <c r="Q20" s="23"/>
      <c r="R20" s="121">
        <f t="shared" si="2"/>
        <v>0</v>
      </c>
      <c r="S20" s="23">
        <f t="shared" si="3"/>
        <v>0</v>
      </c>
      <c r="T20" s="23">
        <f t="shared" si="4"/>
        <v>0</v>
      </c>
      <c r="U20" s="23">
        <f t="shared" si="5"/>
        <v>0</v>
      </c>
      <c r="V20" s="23">
        <f t="shared" si="6"/>
        <v>0</v>
      </c>
      <c r="W20" s="23">
        <f t="shared" si="7"/>
        <v>7.2466022121726731E-2</v>
      </c>
      <c r="X20" s="23">
        <f t="shared" si="8"/>
        <v>7.2466022121726731E-2</v>
      </c>
      <c r="Y20" s="23">
        <f t="shared" si="9"/>
        <v>7.2466022121726731E-2</v>
      </c>
      <c r="Z20" s="23">
        <f t="shared" si="10"/>
        <v>0.14493204424345346</v>
      </c>
      <c r="AA20" s="122">
        <f t="shared" si="11"/>
        <v>0.12077670353621121</v>
      </c>
    </row>
    <row r="21" spans="1:27" s="18" customFormat="1" ht="21" customHeight="1" x14ac:dyDescent="0.2">
      <c r="A21" s="24" t="str">
        <f>ORÇAMENTO!A39</f>
        <v>05.09</v>
      </c>
      <c r="B21" s="27" t="str">
        <f>ORÇAMENTO!D39</f>
        <v>INTERLIGAÇÕES DAS UNIDADES DA ETE</v>
      </c>
      <c r="C21" s="26">
        <f t="shared" si="0"/>
        <v>1.0643640996606563</v>
      </c>
      <c r="D21" s="581"/>
      <c r="E21" s="581"/>
      <c r="F21" s="161"/>
      <c r="G21" s="161"/>
      <c r="H21" s="161"/>
      <c r="I21" s="159">
        <v>15</v>
      </c>
      <c r="J21" s="159">
        <v>15</v>
      </c>
      <c r="K21" s="159">
        <v>15</v>
      </c>
      <c r="L21" s="159">
        <v>30</v>
      </c>
      <c r="M21" s="159">
        <v>25</v>
      </c>
      <c r="N21" s="22">
        <f>SUMIF(ORÇAMENTO!$D$15:$D$43,CRONOGRAMA!B21,ORÇAMENTO!$I$15:$I$44)</f>
        <v>63197.440000000002</v>
      </c>
      <c r="O21" s="23"/>
      <c r="P21" s="127">
        <f t="shared" si="1"/>
        <v>100</v>
      </c>
      <c r="Q21" s="23"/>
      <c r="R21" s="121">
        <f t="shared" si="2"/>
        <v>0</v>
      </c>
      <c r="S21" s="23">
        <f t="shared" si="3"/>
        <v>0</v>
      </c>
      <c r="T21" s="23">
        <f t="shared" si="4"/>
        <v>0</v>
      </c>
      <c r="U21" s="23">
        <f t="shared" si="5"/>
        <v>0</v>
      </c>
      <c r="V21" s="23">
        <f t="shared" si="6"/>
        <v>0</v>
      </c>
      <c r="W21" s="23">
        <f t="shared" si="7"/>
        <v>0.15965461494909844</v>
      </c>
      <c r="X21" s="23">
        <f t="shared" si="8"/>
        <v>0.15965461494909844</v>
      </c>
      <c r="Y21" s="23">
        <f t="shared" si="9"/>
        <v>0.15965461494909844</v>
      </c>
      <c r="Z21" s="23">
        <f t="shared" si="10"/>
        <v>0.31930922989819688</v>
      </c>
      <c r="AA21" s="122">
        <f t="shared" si="11"/>
        <v>0.26609102491516406</v>
      </c>
    </row>
    <row r="22" spans="1:27" s="18" customFormat="1" ht="21" customHeight="1" thickBot="1" x14ac:dyDescent="0.25">
      <c r="A22" s="24" t="str">
        <f>ORÇAMENTO!A41</f>
        <v>05.10</v>
      </c>
      <c r="B22" s="25" t="str">
        <f>ORÇAMENTO!D41</f>
        <v>URBANIZAÇÃO E PAISAGISMO</v>
      </c>
      <c r="C22" s="26">
        <f t="shared" si="0"/>
        <v>1.3385020094366131</v>
      </c>
      <c r="D22" s="581"/>
      <c r="E22" s="581"/>
      <c r="F22" s="161"/>
      <c r="G22" s="161"/>
      <c r="H22" s="161"/>
      <c r="I22" s="159">
        <v>15</v>
      </c>
      <c r="J22" s="159">
        <v>15</v>
      </c>
      <c r="K22" s="159">
        <v>15</v>
      </c>
      <c r="L22" s="159">
        <v>30</v>
      </c>
      <c r="M22" s="159">
        <v>25</v>
      </c>
      <c r="N22" s="22">
        <f>SUMIF(ORÇAMENTO!$D$15:$D$43,CRONOGRAMA!B22,ORÇAMENTO!$I$15:$I$44)</f>
        <v>79474.59</v>
      </c>
      <c r="O22" s="23"/>
      <c r="P22" s="128">
        <f t="shared" si="1"/>
        <v>100</v>
      </c>
      <c r="Q22" s="23"/>
      <c r="R22" s="123">
        <f t="shared" si="2"/>
        <v>0</v>
      </c>
      <c r="S22" s="124">
        <f t="shared" si="3"/>
        <v>0</v>
      </c>
      <c r="T22" s="124">
        <f t="shared" si="4"/>
        <v>0</v>
      </c>
      <c r="U22" s="124">
        <f t="shared" si="5"/>
        <v>0</v>
      </c>
      <c r="V22" s="124">
        <f t="shared" si="6"/>
        <v>0</v>
      </c>
      <c r="W22" s="124">
        <f t="shared" si="7"/>
        <v>0.20077530141549196</v>
      </c>
      <c r="X22" s="124">
        <f t="shared" si="8"/>
        <v>0.20077530141549196</v>
      </c>
      <c r="Y22" s="124">
        <f t="shared" si="9"/>
        <v>0.20077530141549196</v>
      </c>
      <c r="Z22" s="124">
        <f t="shared" si="10"/>
        <v>0.40155060283098393</v>
      </c>
      <c r="AA22" s="125">
        <f t="shared" si="11"/>
        <v>0.33462550235915328</v>
      </c>
    </row>
    <row r="23" spans="1:27" s="18" customFormat="1" ht="21" customHeight="1" thickTop="1" x14ac:dyDescent="0.2">
      <c r="A23" s="24"/>
      <c r="B23" s="25"/>
      <c r="C23" s="26"/>
      <c r="D23" s="157"/>
      <c r="E23" s="157"/>
      <c r="F23" s="156"/>
      <c r="G23" s="156"/>
      <c r="H23" s="156"/>
      <c r="I23" s="161"/>
      <c r="J23" s="161"/>
      <c r="K23" s="161"/>
      <c r="L23" s="161"/>
      <c r="M23" s="161"/>
      <c r="N23" s="22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1:27" s="18" customFormat="1" ht="21" customHeight="1" x14ac:dyDescent="0.2">
      <c r="A24" s="24"/>
      <c r="B24" s="25"/>
      <c r="C24" s="26"/>
      <c r="D24" s="157"/>
      <c r="E24" s="157"/>
      <c r="F24" s="156"/>
      <c r="G24" s="156"/>
      <c r="H24" s="156"/>
      <c r="I24" s="161"/>
      <c r="J24" s="161"/>
      <c r="K24" s="161"/>
      <c r="L24" s="161"/>
      <c r="M24" s="161"/>
      <c r="N24" s="22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s="18" customFormat="1" ht="21" customHeight="1" x14ac:dyDescent="0.2">
      <c r="A25" s="24"/>
      <c r="B25" s="25"/>
      <c r="C25" s="26"/>
      <c r="D25" s="157"/>
      <c r="E25" s="157"/>
      <c r="F25" s="156"/>
      <c r="G25" s="156"/>
      <c r="H25" s="156"/>
      <c r="I25" s="161"/>
      <c r="J25" s="161"/>
      <c r="K25" s="161"/>
      <c r="L25" s="161"/>
      <c r="M25" s="161"/>
      <c r="N25" s="22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s="18" customFormat="1" ht="21" customHeight="1" x14ac:dyDescent="0.2">
      <c r="A26" s="24"/>
      <c r="B26" s="25"/>
      <c r="C26" s="26"/>
      <c r="D26" s="157"/>
      <c r="E26" s="157"/>
      <c r="F26" s="156"/>
      <c r="G26" s="156"/>
      <c r="H26" s="156"/>
      <c r="I26" s="161"/>
      <c r="J26" s="161"/>
      <c r="K26" s="161"/>
      <c r="L26" s="161"/>
      <c r="M26" s="161"/>
      <c r="N26" s="22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s="18" customFormat="1" ht="21" customHeight="1" x14ac:dyDescent="0.2">
      <c r="A27" s="24"/>
      <c r="B27" s="25"/>
      <c r="C27" s="26"/>
      <c r="D27" s="157"/>
      <c r="E27" s="157"/>
      <c r="F27" s="156"/>
      <c r="G27" s="156"/>
      <c r="H27" s="156"/>
      <c r="I27" s="161"/>
      <c r="J27" s="161"/>
      <c r="K27" s="161"/>
      <c r="L27" s="161"/>
      <c r="M27" s="161"/>
      <c r="N27" s="22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s="18" customFormat="1" ht="21" customHeight="1" thickBot="1" x14ac:dyDescent="0.25">
      <c r="A28" s="24"/>
      <c r="B28" s="27"/>
      <c r="C28" s="26"/>
      <c r="D28" s="154"/>
      <c r="E28" s="154"/>
      <c r="F28" s="155"/>
      <c r="G28" s="155"/>
      <c r="H28" s="155"/>
      <c r="I28" s="155"/>
      <c r="J28" s="155"/>
      <c r="K28" s="155"/>
      <c r="L28" s="155"/>
      <c r="M28" s="155"/>
      <c r="N28" s="41"/>
      <c r="O28" s="23"/>
      <c r="P28" s="23"/>
      <c r="Q28" s="23"/>
      <c r="R28" s="23"/>
      <c r="V28" s="19"/>
      <c r="W28" s="19"/>
      <c r="X28" s="19"/>
      <c r="Y28" s="19"/>
      <c r="Z28" s="19"/>
    </row>
    <row r="29" spans="1:27" s="18" customFormat="1" ht="29.25" customHeight="1" thickTop="1" thickBot="1" x14ac:dyDescent="0.25">
      <c r="A29" s="637" t="s">
        <v>65</v>
      </c>
      <c r="B29" s="638"/>
      <c r="C29" s="639"/>
      <c r="D29" s="28">
        <f>R29</f>
        <v>11.511406776338681</v>
      </c>
      <c r="E29" s="28">
        <f t="shared" ref="E29:M29" si="12">S29</f>
        <v>11.271231970291232</v>
      </c>
      <c r="F29" s="28">
        <f t="shared" si="12"/>
        <v>11.271231970291232</v>
      </c>
      <c r="G29" s="28">
        <f t="shared" si="12"/>
        <v>11.271231970291232</v>
      </c>
      <c r="H29" s="28">
        <f t="shared" si="12"/>
        <v>11.271231970291232</v>
      </c>
      <c r="I29" s="28">
        <f t="shared" si="12"/>
        <v>10.177432093308077</v>
      </c>
      <c r="J29" s="28">
        <f t="shared" si="12"/>
        <v>10.368943456211301</v>
      </c>
      <c r="K29" s="28">
        <f t="shared" si="12"/>
        <v>10.368943456211301</v>
      </c>
      <c r="L29" s="28">
        <f t="shared" si="12"/>
        <v>6.1155420027474188</v>
      </c>
      <c r="M29" s="28">
        <f t="shared" si="12"/>
        <v>6.372804334018265</v>
      </c>
      <c r="N29" s="29">
        <f>SUM(D29:M29)</f>
        <v>99.999999999999972</v>
      </c>
      <c r="O29" s="23"/>
      <c r="P29" s="23"/>
      <c r="Q29" s="23"/>
      <c r="R29" s="298">
        <f t="shared" ref="R29:AA29" si="13">SUM(R9:R28)</f>
        <v>11.511406776338681</v>
      </c>
      <c r="S29" s="299">
        <f t="shared" si="13"/>
        <v>11.271231970291232</v>
      </c>
      <c r="T29" s="299">
        <f t="shared" si="13"/>
        <v>11.271231970291232</v>
      </c>
      <c r="U29" s="299">
        <f t="shared" si="13"/>
        <v>11.271231970291232</v>
      </c>
      <c r="V29" s="299">
        <f t="shared" si="13"/>
        <v>11.271231970291232</v>
      </c>
      <c r="W29" s="299">
        <f t="shared" si="13"/>
        <v>10.177432093308077</v>
      </c>
      <c r="X29" s="299">
        <f t="shared" si="13"/>
        <v>10.368943456211301</v>
      </c>
      <c r="Y29" s="299">
        <f t="shared" si="13"/>
        <v>10.368943456211301</v>
      </c>
      <c r="Z29" s="299">
        <f t="shared" si="13"/>
        <v>6.1155420027474188</v>
      </c>
      <c r="AA29" s="300">
        <f t="shared" si="13"/>
        <v>6.372804334018265</v>
      </c>
    </row>
    <row r="30" spans="1:27" s="18" customFormat="1" ht="29.25" customHeight="1" thickTop="1" x14ac:dyDescent="0.2">
      <c r="A30" s="640" t="s">
        <v>66</v>
      </c>
      <c r="B30" s="641"/>
      <c r="C30" s="642"/>
      <c r="D30" s="30">
        <f>D29*$N30/100</f>
        <v>683498.66299999994</v>
      </c>
      <c r="E30" s="30">
        <f t="shared" ref="E30:M30" si="14">E29*$N30/100</f>
        <v>669238.09849999996</v>
      </c>
      <c r="F30" s="30">
        <f t="shared" si="14"/>
        <v>669238.09849999996</v>
      </c>
      <c r="G30" s="30">
        <f t="shared" si="14"/>
        <v>669238.09849999996</v>
      </c>
      <c r="H30" s="30">
        <f t="shared" si="14"/>
        <v>669238.09849999996</v>
      </c>
      <c r="I30" s="30">
        <f t="shared" si="14"/>
        <v>604292.88650000002</v>
      </c>
      <c r="J30" s="30">
        <f t="shared" si="14"/>
        <v>615664.02150000003</v>
      </c>
      <c r="K30" s="30">
        <f t="shared" si="14"/>
        <v>615664.02150000003</v>
      </c>
      <c r="L30" s="30">
        <f t="shared" si="14"/>
        <v>363115.02699999994</v>
      </c>
      <c r="M30" s="30">
        <f t="shared" si="14"/>
        <v>378390.1765</v>
      </c>
      <c r="N30" s="31">
        <f>SUM(N9:N22)</f>
        <v>5937577.1900000013</v>
      </c>
      <c r="O30" s="23"/>
      <c r="P30" s="23"/>
      <c r="Q30" s="23"/>
      <c r="R30" s="23"/>
      <c r="V30" s="19"/>
      <c r="W30" s="19"/>
      <c r="X30" s="19"/>
      <c r="Y30" s="19"/>
      <c r="Z30" s="19"/>
    </row>
    <row r="31" spans="1:27" s="18" customFormat="1" ht="29.25" customHeight="1" x14ac:dyDescent="0.2">
      <c r="A31" s="640" t="s">
        <v>67</v>
      </c>
      <c r="B31" s="641"/>
      <c r="C31" s="642"/>
      <c r="D31" s="32">
        <f>D29</f>
        <v>11.511406776338681</v>
      </c>
      <c r="E31" s="32">
        <f>E29+D31</f>
        <v>22.782638746629914</v>
      </c>
      <c r="F31" s="32">
        <f t="shared" ref="F31:I31" si="15">F29+E31</f>
        <v>34.053870716921146</v>
      </c>
      <c r="G31" s="32">
        <f t="shared" si="15"/>
        <v>45.325102687212379</v>
      </c>
      <c r="H31" s="32">
        <f>H29+G31</f>
        <v>56.596334657503611</v>
      </c>
      <c r="I31" s="32">
        <f t="shared" si="15"/>
        <v>66.773766750811689</v>
      </c>
      <c r="J31" s="32">
        <f t="shared" ref="J31:J32" si="16">J29+I31</f>
        <v>77.142710207022986</v>
      </c>
      <c r="K31" s="32">
        <f t="shared" ref="K31:K32" si="17">K29+J31</f>
        <v>87.511653663234284</v>
      </c>
      <c r="L31" s="32">
        <f t="shared" ref="L31:L32" si="18">L29+K31</f>
        <v>93.627195665981702</v>
      </c>
      <c r="M31" s="32">
        <f t="shared" ref="M31:M32" si="19">M29+L31</f>
        <v>99.999999999999972</v>
      </c>
      <c r="N31" s="31"/>
      <c r="O31" s="23"/>
      <c r="P31" s="23"/>
      <c r="Q31" s="23"/>
      <c r="R31" s="23"/>
      <c r="V31" s="19"/>
      <c r="W31" s="19"/>
      <c r="X31" s="19"/>
      <c r="Y31" s="19"/>
      <c r="Z31" s="19"/>
    </row>
    <row r="32" spans="1:27" s="18" customFormat="1" ht="29.25" customHeight="1" thickBot="1" x14ac:dyDescent="0.25">
      <c r="A32" s="631" t="s">
        <v>68</v>
      </c>
      <c r="B32" s="632"/>
      <c r="C32" s="633"/>
      <c r="D32" s="33">
        <f>D30</f>
        <v>683498.66299999994</v>
      </c>
      <c r="E32" s="33">
        <f>E30+D32</f>
        <v>1352736.7615</v>
      </c>
      <c r="F32" s="33">
        <f t="shared" ref="F32:I32" si="20">F30+E32</f>
        <v>2021974.8599999999</v>
      </c>
      <c r="G32" s="33">
        <f t="shared" si="20"/>
        <v>2691212.9584999997</v>
      </c>
      <c r="H32" s="33">
        <f>H30+G32</f>
        <v>3360451.0569999996</v>
      </c>
      <c r="I32" s="33">
        <f t="shared" si="20"/>
        <v>3964743.9434999996</v>
      </c>
      <c r="J32" s="33">
        <f t="shared" si="16"/>
        <v>4580407.9649999999</v>
      </c>
      <c r="K32" s="33">
        <f t="shared" si="17"/>
        <v>5196071.9864999996</v>
      </c>
      <c r="L32" s="33">
        <f t="shared" si="18"/>
        <v>5559187.0134999994</v>
      </c>
      <c r="M32" s="33">
        <f t="shared" si="19"/>
        <v>5937577.1899999995</v>
      </c>
      <c r="N32" s="34"/>
      <c r="O32" s="23"/>
      <c r="P32" s="23"/>
      <c r="Q32" s="23"/>
      <c r="R32" s="23"/>
      <c r="V32" s="19"/>
      <c r="W32" s="19"/>
      <c r="X32" s="19"/>
      <c r="Y32" s="19"/>
      <c r="Z32" s="19"/>
    </row>
    <row r="33" spans="1:28" s="18" customFormat="1" ht="18" customHeight="1" x14ac:dyDescent="0.2">
      <c r="B33" s="35"/>
      <c r="D33" s="36"/>
      <c r="S33" s="19"/>
      <c r="T33" s="19"/>
      <c r="U33" s="19"/>
    </row>
    <row r="34" spans="1:28" s="18" customFormat="1" ht="17.100000000000001" customHeight="1" x14ac:dyDescent="0.2">
      <c r="B34" s="35"/>
      <c r="E34" s="36"/>
      <c r="F34" s="36"/>
      <c r="G34" s="36"/>
      <c r="H34" s="36"/>
      <c r="I34" s="36"/>
      <c r="J34" s="36"/>
      <c r="K34" s="36"/>
      <c r="L34" s="36"/>
      <c r="M34" s="36"/>
      <c r="AB34" s="19"/>
    </row>
    <row r="35" spans="1:28" s="18" customFormat="1" ht="17.100000000000001" customHeight="1" x14ac:dyDescent="0.2">
      <c r="A35" s="37"/>
      <c r="B35" s="35"/>
      <c r="E35" s="36"/>
      <c r="F35" s="36"/>
      <c r="G35" s="36"/>
      <c r="H35" s="36"/>
      <c r="I35" s="36"/>
      <c r="J35" s="36"/>
      <c r="K35" s="36"/>
      <c r="L35" s="36"/>
      <c r="M35" s="36"/>
      <c r="AB35" s="19"/>
    </row>
    <row r="36" spans="1:28" ht="17.100000000000001" customHeight="1" x14ac:dyDescent="0.2">
      <c r="P36" s="39"/>
    </row>
  </sheetData>
  <mergeCells count="5">
    <mergeCell ref="A32:C32"/>
    <mergeCell ref="A1:N1"/>
    <mergeCell ref="A29:C29"/>
    <mergeCell ref="A30:C30"/>
    <mergeCell ref="A31:C31"/>
  </mergeCells>
  <phoneticPr fontId="0" type="noConversion"/>
  <printOptions horizontalCentered="1"/>
  <pageMargins left="0.39370078740157483" right="0.39370078740157483" top="1.1811023622047245" bottom="0.98425196850393704" header="0.39370078740157483" footer="0.51181102362204722"/>
  <pageSetup paperSize="9" scale="64" orientation="landscape" r:id="rId1"/>
  <headerFooter alignWithMargins="0">
    <oddHeader>&amp;L
&amp;G&amp;R&amp;G</oddHeader>
    <oddFooter>&amp;CAv. Tancredo Neves, 3557 sala 306 – Bairro Castelo CEP 31.330-430 – Belo Horizonte / Minas Gerais.
Endereço Eletrônico: ottawaeng@terra.com.br – Telefax (31) 3418-2175 – CNPJ: 04.472.311/0001-04&amp;R&amp;P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9"/>
  <sheetViews>
    <sheetView view="pageBreakPreview" topLeftCell="A43" zoomScale="85" zoomScaleNormal="70" zoomScaleSheetLayoutView="85" workbookViewId="0">
      <selection activeCell="G65" sqref="G65"/>
    </sheetView>
  </sheetViews>
  <sheetFormatPr defaultRowHeight="14.25" x14ac:dyDescent="0.2"/>
  <cols>
    <col min="1" max="2" width="16" style="2" customWidth="1"/>
    <col min="3" max="3" width="15.140625" style="2" customWidth="1"/>
    <col min="4" max="4" width="78.85546875" style="46" customWidth="1"/>
    <col min="5" max="5" width="11" style="2" customWidth="1"/>
    <col min="6" max="6" width="13.5703125" style="2" customWidth="1"/>
    <col min="7" max="7" width="11.7109375" style="496" customWidth="1"/>
    <col min="8" max="8" width="11.7109375" style="68" customWidth="1"/>
    <col min="9" max="9" width="17.42578125" style="69" customWidth="1"/>
    <col min="10" max="10" width="9.7109375" style="1" customWidth="1"/>
    <col min="11" max="11" width="8.140625" style="1" customWidth="1"/>
    <col min="12" max="12" width="5.7109375" style="1" customWidth="1"/>
    <col min="13" max="16384" width="9.140625" style="1"/>
  </cols>
  <sheetData>
    <row r="1" spans="1:16" ht="32.25" customHeight="1" x14ac:dyDescent="0.2">
      <c r="A1" s="651" t="s">
        <v>1073</v>
      </c>
      <c r="B1" s="652"/>
      <c r="C1" s="652"/>
      <c r="D1" s="652"/>
      <c r="E1" s="652"/>
      <c r="F1" s="652"/>
      <c r="G1" s="652"/>
      <c r="H1" s="652"/>
      <c r="I1" s="653"/>
      <c r="J1" s="3"/>
      <c r="K1" s="4"/>
      <c r="L1" s="4"/>
      <c r="M1" s="4"/>
      <c r="N1" s="4"/>
      <c r="O1" s="4"/>
      <c r="P1" s="4"/>
    </row>
    <row r="2" spans="1:16" ht="4.5" customHeight="1" thickBot="1" x14ac:dyDescent="0.25">
      <c r="A2" s="445"/>
      <c r="B2" s="446"/>
      <c r="C2" s="446"/>
      <c r="D2" s="447"/>
      <c r="E2" s="446"/>
      <c r="F2" s="448"/>
      <c r="G2" s="449"/>
      <c r="H2" s="450"/>
      <c r="I2" s="451"/>
      <c r="J2" s="3"/>
      <c r="K2" s="4"/>
      <c r="L2" s="4"/>
      <c r="M2" s="4"/>
      <c r="N2" s="4"/>
      <c r="O2" s="4"/>
      <c r="P2" s="4"/>
    </row>
    <row r="3" spans="1:16" ht="17.25" thickTop="1" thickBot="1" x14ac:dyDescent="0.25">
      <c r="A3" s="452" t="s">
        <v>1074</v>
      </c>
      <c r="B3" s="668" t="s">
        <v>1075</v>
      </c>
      <c r="C3" s="668"/>
      <c r="D3" s="668"/>
      <c r="E3" s="453"/>
      <c r="F3" s="454"/>
      <c r="G3" s="455"/>
      <c r="H3" s="456" t="s">
        <v>1076</v>
      </c>
      <c r="I3" s="457" t="s">
        <v>1077</v>
      </c>
      <c r="J3" s="3"/>
      <c r="K3" s="101" t="s">
        <v>292</v>
      </c>
      <c r="L3" s="102">
        <v>0</v>
      </c>
      <c r="M3" s="4"/>
      <c r="N3" s="4"/>
      <c r="O3" s="4"/>
      <c r="P3" s="4"/>
    </row>
    <row r="4" spans="1:16" ht="4.5" customHeight="1" thickBot="1" x14ac:dyDescent="0.25">
      <c r="A4" s="445"/>
      <c r="B4" s="446"/>
      <c r="C4" s="446"/>
      <c r="D4" s="447"/>
      <c r="E4" s="446"/>
      <c r="F4" s="448"/>
      <c r="G4" s="449"/>
      <c r="H4" s="450"/>
      <c r="I4" s="451"/>
      <c r="J4" s="3"/>
      <c r="K4" s="4"/>
      <c r="L4" s="4"/>
      <c r="M4" s="4"/>
      <c r="N4" s="4"/>
      <c r="O4" s="4"/>
      <c r="P4" s="4"/>
    </row>
    <row r="5" spans="1:16" ht="15.75" customHeight="1" thickBot="1" x14ac:dyDescent="0.25">
      <c r="A5" s="458" t="s">
        <v>1078</v>
      </c>
      <c r="B5" s="669" t="s">
        <v>1079</v>
      </c>
      <c r="C5" s="670"/>
      <c r="D5" s="670"/>
      <c r="E5" s="459"/>
      <c r="F5" s="459"/>
      <c r="G5" s="460"/>
      <c r="H5" s="461"/>
      <c r="I5" s="462"/>
      <c r="J5" s="3"/>
      <c r="K5" s="4">
        <v>1.2242999999999999</v>
      </c>
      <c r="L5" s="4"/>
      <c r="M5" s="4"/>
      <c r="N5" s="4"/>
      <c r="O5" s="4"/>
      <c r="P5" s="4"/>
    </row>
    <row r="6" spans="1:16" ht="4.5" customHeight="1" thickBot="1" x14ac:dyDescent="0.25">
      <c r="A6" s="445"/>
      <c r="B6" s="446"/>
      <c r="C6" s="446"/>
      <c r="D6" s="447"/>
      <c r="E6" s="446"/>
      <c r="F6" s="448"/>
      <c r="G6" s="449"/>
      <c r="H6" s="450"/>
      <c r="I6" s="451"/>
      <c r="J6" s="3"/>
      <c r="K6" s="4"/>
      <c r="L6" s="4"/>
      <c r="M6" s="4"/>
      <c r="N6" s="4"/>
      <c r="O6" s="4"/>
      <c r="P6" s="4"/>
    </row>
    <row r="7" spans="1:16" ht="15" customHeight="1" thickBot="1" x14ac:dyDescent="0.25">
      <c r="A7" s="458" t="s">
        <v>1080</v>
      </c>
      <c r="B7" s="463" t="s">
        <v>1081</v>
      </c>
      <c r="C7" s="459"/>
      <c r="D7" s="464"/>
      <c r="E7" s="459"/>
      <c r="F7" s="465"/>
      <c r="G7" s="460"/>
      <c r="H7" s="461"/>
      <c r="I7" s="466"/>
      <c r="J7" s="3"/>
      <c r="K7" s="4"/>
      <c r="L7" s="4"/>
      <c r="M7" s="4"/>
      <c r="N7" s="4"/>
      <c r="O7" s="4"/>
      <c r="P7" s="4"/>
    </row>
    <row r="8" spans="1:16" ht="4.5" customHeight="1" thickBot="1" x14ac:dyDescent="0.25">
      <c r="A8" s="445"/>
      <c r="B8" s="446"/>
      <c r="C8" s="446"/>
      <c r="D8" s="447"/>
      <c r="E8" s="446"/>
      <c r="F8" s="448"/>
      <c r="G8" s="449"/>
      <c r="H8" s="450"/>
      <c r="I8" s="451"/>
      <c r="J8" s="3"/>
      <c r="K8" s="4"/>
      <c r="L8" s="4"/>
      <c r="M8" s="4"/>
      <c r="N8" s="4"/>
      <c r="O8" s="4"/>
      <c r="P8" s="4"/>
    </row>
    <row r="9" spans="1:16" ht="15" x14ac:dyDescent="0.2">
      <c r="A9" s="654" t="s">
        <v>89</v>
      </c>
      <c r="B9" s="657" t="s">
        <v>90</v>
      </c>
      <c r="C9" s="657" t="s">
        <v>91</v>
      </c>
      <c r="D9" s="659" t="s">
        <v>92</v>
      </c>
      <c r="E9" s="662" t="s">
        <v>93</v>
      </c>
      <c r="F9" s="665" t="s">
        <v>94</v>
      </c>
      <c r="G9" s="467" t="s">
        <v>1082</v>
      </c>
      <c r="H9" s="468" t="s">
        <v>1082</v>
      </c>
      <c r="I9" s="469" t="s">
        <v>1082</v>
      </c>
      <c r="J9" s="3"/>
      <c r="K9" s="4"/>
      <c r="L9" s="4"/>
      <c r="M9" s="4"/>
      <c r="N9" s="4"/>
      <c r="O9" s="4"/>
      <c r="P9" s="4"/>
    </row>
    <row r="10" spans="1:16" ht="30.75" customHeight="1" x14ac:dyDescent="0.2">
      <c r="A10" s="655"/>
      <c r="B10" s="658"/>
      <c r="C10" s="658"/>
      <c r="D10" s="660"/>
      <c r="E10" s="663"/>
      <c r="F10" s="666"/>
      <c r="G10" s="470" t="s">
        <v>1083</v>
      </c>
      <c r="H10" s="471" t="s">
        <v>1083</v>
      </c>
      <c r="I10" s="472" t="s">
        <v>1084</v>
      </c>
      <c r="J10" s="3"/>
      <c r="K10" s="4"/>
      <c r="L10" s="4"/>
      <c r="M10" s="4"/>
      <c r="N10" s="4"/>
      <c r="O10" s="4"/>
      <c r="P10" s="4"/>
    </row>
    <row r="11" spans="1:16" ht="21" customHeight="1" x14ac:dyDescent="0.2">
      <c r="A11" s="656"/>
      <c r="B11" s="658"/>
      <c r="C11" s="658"/>
      <c r="D11" s="661"/>
      <c r="E11" s="664"/>
      <c r="F11" s="667"/>
      <c r="G11" s="470" t="s">
        <v>1085</v>
      </c>
      <c r="H11" s="176" t="s">
        <v>559</v>
      </c>
      <c r="I11" s="472"/>
      <c r="J11" s="3"/>
      <c r="K11" s="4"/>
      <c r="L11" s="4"/>
      <c r="M11" s="4"/>
      <c r="N11" s="4"/>
      <c r="O11" s="4"/>
      <c r="P11" s="4"/>
    </row>
    <row r="12" spans="1:16" ht="14.25" customHeight="1" x14ac:dyDescent="0.2">
      <c r="A12" s="473"/>
      <c r="B12" s="474"/>
      <c r="C12" s="474"/>
      <c r="D12" s="475" t="s">
        <v>95</v>
      </c>
      <c r="E12" s="474"/>
      <c r="F12" s="476"/>
      <c r="G12" s="477"/>
      <c r="H12" s="478"/>
      <c r="I12" s="479"/>
      <c r="J12" s="3"/>
      <c r="K12" s="4"/>
      <c r="L12" s="4"/>
      <c r="M12" s="4"/>
      <c r="N12" s="4"/>
      <c r="O12" s="4"/>
      <c r="P12" s="4"/>
    </row>
    <row r="13" spans="1:16" s="7" customFormat="1" ht="14.25" customHeight="1" x14ac:dyDescent="0.2">
      <c r="A13" s="393"/>
      <c r="B13" s="374"/>
      <c r="C13" s="374"/>
      <c r="D13" s="105"/>
      <c r="E13" s="374"/>
      <c r="F13" s="394"/>
      <c r="G13" s="416"/>
      <c r="H13" s="396"/>
      <c r="I13" s="397"/>
      <c r="J13" s="480"/>
      <c r="K13" s="6"/>
      <c r="L13" s="6"/>
      <c r="M13" s="6"/>
      <c r="N13" s="6"/>
      <c r="O13" s="6"/>
      <c r="P13" s="6"/>
    </row>
    <row r="14" spans="1:16" s="7" customFormat="1" ht="14.25" customHeight="1" x14ac:dyDescent="0.2">
      <c r="A14" s="393"/>
      <c r="B14" s="363"/>
      <c r="C14" s="363"/>
      <c r="D14" s="105"/>
      <c r="E14" s="363"/>
      <c r="F14" s="414"/>
      <c r="G14" s="481"/>
      <c r="H14" s="427"/>
      <c r="I14" s="397"/>
      <c r="J14" s="480"/>
      <c r="K14" s="6"/>
      <c r="L14" s="6"/>
      <c r="M14" s="6"/>
      <c r="N14" s="6"/>
      <c r="O14" s="6"/>
      <c r="P14" s="6"/>
    </row>
    <row r="15" spans="1:16" s="7" customFormat="1" ht="14.25" customHeight="1" x14ac:dyDescent="0.2">
      <c r="A15" s="393" t="str">
        <f>A49</f>
        <v>01.00.00</v>
      </c>
      <c r="B15" s="363"/>
      <c r="C15" s="363"/>
      <c r="D15" s="105" t="str">
        <f>D49</f>
        <v>ETE-BANCO DE DUTOS E ALIMENTAÇÃO DOS MOTORES (1/2 CV)</v>
      </c>
      <c r="E15" s="363"/>
      <c r="F15" s="414"/>
      <c r="G15" s="481"/>
      <c r="H15" s="427"/>
      <c r="I15" s="397">
        <f>I49</f>
        <v>10505.14</v>
      </c>
      <c r="J15" s="480"/>
      <c r="K15" s="6"/>
      <c r="L15" s="6"/>
      <c r="M15" s="6"/>
      <c r="N15" s="6"/>
      <c r="O15" s="6"/>
      <c r="P15" s="6"/>
    </row>
    <row r="16" spans="1:16" s="7" customFormat="1" ht="14.25" customHeight="1" x14ac:dyDescent="0.2">
      <c r="A16" s="393"/>
      <c r="B16" s="363"/>
      <c r="C16" s="363"/>
      <c r="D16" s="105"/>
      <c r="E16" s="363"/>
      <c r="F16" s="414"/>
      <c r="G16" s="481"/>
      <c r="H16" s="427"/>
      <c r="I16" s="397"/>
      <c r="J16" s="480"/>
      <c r="K16" s="6"/>
      <c r="L16" s="6"/>
      <c r="M16" s="6"/>
      <c r="N16" s="6"/>
      <c r="O16" s="6"/>
      <c r="P16" s="6"/>
    </row>
    <row r="17" spans="1:16" s="7" customFormat="1" ht="14.25" customHeight="1" x14ac:dyDescent="0.2">
      <c r="A17" s="393" t="str">
        <f>A65</f>
        <v>05.00.00</v>
      </c>
      <c r="B17" s="363"/>
      <c r="C17" s="363"/>
      <c r="D17" s="105" t="str">
        <f>D65</f>
        <v>EQUIPAMENTOS - QCM</v>
      </c>
      <c r="E17" s="363"/>
      <c r="F17" s="414"/>
      <c r="G17" s="481"/>
      <c r="H17" s="427"/>
      <c r="I17" s="397">
        <f>I65</f>
        <v>3000</v>
      </c>
      <c r="J17" s="480"/>
      <c r="K17" s="6"/>
      <c r="L17" s="6"/>
      <c r="M17" s="6"/>
      <c r="N17" s="6"/>
      <c r="O17" s="6"/>
      <c r="P17" s="6"/>
    </row>
    <row r="18" spans="1:16" s="7" customFormat="1" ht="14.25" customHeight="1" x14ac:dyDescent="0.2">
      <c r="A18" s="393"/>
      <c r="B18" s="363"/>
      <c r="C18" s="363"/>
      <c r="D18" s="105"/>
      <c r="E18" s="363"/>
      <c r="F18" s="414"/>
      <c r="G18" s="481"/>
      <c r="H18" s="427"/>
      <c r="I18" s="397"/>
      <c r="J18" s="480"/>
      <c r="K18" s="6"/>
      <c r="L18" s="6"/>
      <c r="M18" s="6"/>
      <c r="N18" s="6"/>
      <c r="O18" s="6"/>
      <c r="P18" s="6"/>
    </row>
    <row r="19" spans="1:16" s="7" customFormat="1" ht="14.25" customHeight="1" x14ac:dyDescent="0.2">
      <c r="A19" s="393" t="str">
        <f>A68</f>
        <v>06.00.00</v>
      </c>
      <c r="B19" s="363"/>
      <c r="C19" s="363"/>
      <c r="D19" s="105" t="str">
        <f>D68</f>
        <v>PADRÃO DE ENTRADA TIPO C1</v>
      </c>
      <c r="E19" s="363"/>
      <c r="F19" s="414"/>
      <c r="G19" s="481"/>
      <c r="H19" s="427"/>
      <c r="I19" s="397">
        <f>I68</f>
        <v>1387.4100000000003</v>
      </c>
      <c r="J19" s="480"/>
      <c r="K19" s="6"/>
      <c r="L19" s="6"/>
      <c r="M19" s="6"/>
      <c r="N19" s="6"/>
      <c r="O19" s="6"/>
      <c r="P19" s="6"/>
    </row>
    <row r="20" spans="1:16" s="7" customFormat="1" ht="14.25" customHeight="1" x14ac:dyDescent="0.2">
      <c r="A20" s="393"/>
      <c r="B20" s="363"/>
      <c r="C20" s="363"/>
      <c r="D20" s="105"/>
      <c r="E20" s="363"/>
      <c r="F20" s="414"/>
      <c r="G20" s="481"/>
      <c r="H20" s="427"/>
      <c r="I20" s="397"/>
      <c r="J20" s="480"/>
      <c r="K20" s="6"/>
      <c r="L20" s="6"/>
      <c r="M20" s="6"/>
      <c r="N20" s="6"/>
      <c r="O20" s="6"/>
      <c r="P20" s="6"/>
    </row>
    <row r="21" spans="1:16" s="7" customFormat="1" ht="14.25" customHeight="1" x14ac:dyDescent="0.2">
      <c r="A21" s="393"/>
      <c r="B21" s="363"/>
      <c r="C21" s="363"/>
      <c r="D21" s="105"/>
      <c r="E21" s="363"/>
      <c r="F21" s="414"/>
      <c r="G21" s="481"/>
      <c r="H21" s="427"/>
      <c r="I21" s="397"/>
      <c r="J21" s="480"/>
      <c r="K21" s="6"/>
      <c r="L21" s="6"/>
      <c r="M21" s="6"/>
      <c r="N21" s="6"/>
      <c r="O21" s="6"/>
      <c r="P21" s="6"/>
    </row>
    <row r="22" spans="1:16" s="7" customFormat="1" ht="14.25" customHeight="1" x14ac:dyDescent="0.2">
      <c r="A22" s="393"/>
      <c r="B22" s="363"/>
      <c r="C22" s="363"/>
      <c r="D22" s="105"/>
      <c r="E22" s="363"/>
      <c r="F22" s="414"/>
      <c r="G22" s="481"/>
      <c r="H22" s="427"/>
      <c r="I22" s="397"/>
      <c r="J22" s="480"/>
      <c r="K22" s="6"/>
      <c r="L22" s="6"/>
      <c r="M22" s="6"/>
      <c r="N22" s="6"/>
      <c r="O22" s="6"/>
      <c r="P22" s="6"/>
    </row>
    <row r="23" spans="1:16" s="7" customFormat="1" ht="14.25" customHeight="1" x14ac:dyDescent="0.2">
      <c r="A23" s="393"/>
      <c r="B23" s="363"/>
      <c r="C23" s="363"/>
      <c r="D23" s="105"/>
      <c r="E23" s="363"/>
      <c r="F23" s="414"/>
      <c r="G23" s="481"/>
      <c r="H23" s="427"/>
      <c r="I23" s="397"/>
      <c r="J23" s="480"/>
      <c r="K23" s="6"/>
      <c r="L23" s="6"/>
      <c r="M23" s="6"/>
      <c r="N23" s="6"/>
      <c r="O23" s="6"/>
      <c r="P23" s="6"/>
    </row>
    <row r="24" spans="1:16" s="7" customFormat="1" ht="14.25" customHeight="1" x14ac:dyDescent="0.2">
      <c r="A24" s="393"/>
      <c r="B24" s="363"/>
      <c r="C24" s="363"/>
      <c r="D24" s="105"/>
      <c r="E24" s="363"/>
      <c r="F24" s="414"/>
      <c r="G24" s="481"/>
      <c r="H24" s="427"/>
      <c r="I24" s="397"/>
      <c r="J24" s="480"/>
      <c r="K24" s="6"/>
      <c r="L24" s="6"/>
      <c r="M24" s="6"/>
      <c r="N24" s="6"/>
      <c r="O24" s="6"/>
      <c r="P24" s="6"/>
    </row>
    <row r="25" spans="1:16" s="7" customFormat="1" ht="14.25" customHeight="1" x14ac:dyDescent="0.2">
      <c r="A25" s="393"/>
      <c r="B25" s="363"/>
      <c r="C25" s="363"/>
      <c r="D25" s="105"/>
      <c r="E25" s="363"/>
      <c r="F25" s="414"/>
      <c r="G25" s="481"/>
      <c r="H25" s="427"/>
      <c r="I25" s="397"/>
      <c r="J25" s="480"/>
      <c r="K25" s="6"/>
      <c r="L25" s="6"/>
      <c r="M25" s="6"/>
      <c r="N25" s="6"/>
      <c r="O25" s="6"/>
      <c r="P25" s="6"/>
    </row>
    <row r="26" spans="1:16" s="7" customFormat="1" ht="14.25" customHeight="1" x14ac:dyDescent="0.2">
      <c r="A26" s="393"/>
      <c r="B26" s="363"/>
      <c r="C26" s="363"/>
      <c r="D26" s="105" t="s">
        <v>1086</v>
      </c>
      <c r="E26" s="363"/>
      <c r="F26" s="414"/>
      <c r="G26" s="481"/>
      <c r="H26" s="427"/>
      <c r="I26" s="397">
        <f>SUM(I14:I19)</f>
        <v>14892.55</v>
      </c>
      <c r="J26" s="480"/>
      <c r="K26" s="6"/>
      <c r="L26" s="6"/>
      <c r="M26" s="6"/>
      <c r="N26" s="6"/>
      <c r="O26" s="6"/>
      <c r="P26" s="6"/>
    </row>
    <row r="27" spans="1:16" s="7" customFormat="1" ht="14.25" customHeight="1" x14ac:dyDescent="0.2">
      <c r="A27" s="393"/>
      <c r="B27" s="374"/>
      <c r="C27" s="374"/>
      <c r="D27" s="105"/>
      <c r="E27" s="374"/>
      <c r="F27" s="394"/>
      <c r="G27" s="416"/>
      <c r="H27" s="396"/>
      <c r="I27" s="397"/>
      <c r="J27" s="480"/>
      <c r="K27" s="6"/>
      <c r="L27" s="6"/>
      <c r="M27" s="6"/>
      <c r="N27" s="6"/>
      <c r="O27" s="6"/>
      <c r="P27" s="6"/>
    </row>
    <row r="28" spans="1:16" s="7" customFormat="1" ht="14.25" customHeight="1" x14ac:dyDescent="0.2">
      <c r="A28" s="393"/>
      <c r="B28" s="374"/>
      <c r="C28" s="374"/>
      <c r="D28" s="105"/>
      <c r="E28" s="374"/>
      <c r="F28" s="394"/>
      <c r="G28" s="416"/>
      <c r="H28" s="396"/>
      <c r="I28" s="397"/>
      <c r="J28" s="480"/>
      <c r="K28" s="6"/>
      <c r="L28" s="6"/>
      <c r="M28" s="6"/>
      <c r="N28" s="6"/>
      <c r="O28" s="6"/>
      <c r="P28" s="6"/>
    </row>
    <row r="29" spans="1:16" s="7" customFormat="1" ht="14.25" customHeight="1" x14ac:dyDescent="0.2">
      <c r="A29" s="393"/>
      <c r="B29" s="374"/>
      <c r="C29" s="374"/>
      <c r="D29" s="105"/>
      <c r="E29" s="374"/>
      <c r="F29" s="394"/>
      <c r="G29" s="416"/>
      <c r="H29" s="396"/>
      <c r="I29" s="397"/>
      <c r="J29" s="480"/>
      <c r="K29" s="6"/>
      <c r="L29" s="6"/>
      <c r="M29" s="6"/>
      <c r="N29" s="6"/>
      <c r="O29" s="6"/>
      <c r="P29" s="6"/>
    </row>
    <row r="30" spans="1:16" s="7" customFormat="1" ht="14.25" customHeight="1" x14ac:dyDescent="0.2">
      <c r="A30" s="393"/>
      <c r="B30" s="374"/>
      <c r="C30" s="374"/>
      <c r="D30" s="105"/>
      <c r="E30" s="374"/>
      <c r="F30" s="394"/>
      <c r="G30" s="416"/>
      <c r="H30" s="396"/>
      <c r="I30" s="397"/>
      <c r="J30" s="480"/>
      <c r="K30" s="6"/>
      <c r="L30" s="6"/>
      <c r="M30" s="6"/>
      <c r="N30" s="6"/>
      <c r="O30" s="6"/>
      <c r="P30" s="6"/>
    </row>
    <row r="31" spans="1:16" s="7" customFormat="1" ht="14.25" customHeight="1" x14ac:dyDescent="0.2">
      <c r="A31" s="393"/>
      <c r="B31" s="374"/>
      <c r="C31" s="374"/>
      <c r="D31" s="105"/>
      <c r="E31" s="374"/>
      <c r="F31" s="394"/>
      <c r="G31" s="416"/>
      <c r="H31" s="396"/>
      <c r="I31" s="397"/>
      <c r="J31" s="480"/>
      <c r="K31" s="6"/>
      <c r="L31" s="6"/>
      <c r="M31" s="6"/>
      <c r="N31" s="6"/>
      <c r="O31" s="6"/>
      <c r="P31" s="6"/>
    </row>
    <row r="32" spans="1:16" s="7" customFormat="1" ht="14.25" customHeight="1" x14ac:dyDescent="0.2">
      <c r="A32" s="393"/>
      <c r="B32" s="374"/>
      <c r="C32" s="374"/>
      <c r="D32" s="105"/>
      <c r="E32" s="374"/>
      <c r="F32" s="394"/>
      <c r="G32" s="416"/>
      <c r="H32" s="396"/>
      <c r="I32" s="397"/>
      <c r="J32" s="480"/>
      <c r="K32" s="6"/>
      <c r="L32" s="6"/>
      <c r="M32" s="6"/>
      <c r="N32" s="6"/>
      <c r="O32" s="6"/>
      <c r="P32" s="6"/>
    </row>
    <row r="33" spans="1:16" s="7" customFormat="1" ht="14.25" customHeight="1" x14ac:dyDescent="0.2">
      <c r="A33" s="393"/>
      <c r="B33" s="374"/>
      <c r="C33" s="374"/>
      <c r="D33" s="363" t="s">
        <v>1087</v>
      </c>
      <c r="E33" s="374"/>
      <c r="F33" s="394"/>
      <c r="G33" s="416"/>
      <c r="H33" s="396"/>
      <c r="I33" s="397"/>
      <c r="J33" s="480"/>
      <c r="K33" s="6"/>
      <c r="L33" s="6"/>
      <c r="M33" s="6"/>
      <c r="N33" s="6"/>
      <c r="O33" s="6"/>
      <c r="P33" s="6"/>
    </row>
    <row r="34" spans="1:16" s="7" customFormat="1" ht="14.25" customHeight="1" x14ac:dyDescent="0.2">
      <c r="A34" s="393"/>
      <c r="B34" s="374"/>
      <c r="C34" s="374"/>
      <c r="D34" s="363" t="s">
        <v>775</v>
      </c>
      <c r="E34" s="374"/>
      <c r="F34" s="394"/>
      <c r="G34" s="416"/>
      <c r="H34" s="396"/>
      <c r="I34" s="397"/>
      <c r="J34" s="480"/>
      <c r="K34" s="6"/>
      <c r="L34" s="6"/>
      <c r="M34" s="6"/>
      <c r="N34" s="6"/>
      <c r="O34" s="6"/>
      <c r="P34" s="6"/>
    </row>
    <row r="35" spans="1:16" s="7" customFormat="1" ht="14.25" customHeight="1" x14ac:dyDescent="0.2">
      <c r="A35" s="393"/>
      <c r="B35" s="374"/>
      <c r="C35" s="374"/>
      <c r="D35" s="105"/>
      <c r="E35" s="374"/>
      <c r="F35" s="394"/>
      <c r="G35" s="416"/>
      <c r="H35" s="396"/>
      <c r="I35" s="397"/>
      <c r="J35" s="480"/>
      <c r="K35" s="6"/>
      <c r="L35" s="6"/>
      <c r="M35" s="6"/>
      <c r="N35" s="6"/>
      <c r="O35" s="6"/>
      <c r="P35" s="6"/>
    </row>
    <row r="36" spans="1:16" s="7" customFormat="1" ht="14.25" customHeight="1" x14ac:dyDescent="0.2">
      <c r="A36" s="393"/>
      <c r="B36" s="374"/>
      <c r="C36" s="374"/>
      <c r="D36" s="105"/>
      <c r="E36" s="374"/>
      <c r="F36" s="394"/>
      <c r="G36" s="416"/>
      <c r="H36" s="396"/>
      <c r="I36" s="397"/>
      <c r="J36" s="480"/>
      <c r="K36" s="6"/>
      <c r="L36" s="6"/>
      <c r="M36" s="6"/>
      <c r="N36" s="6"/>
      <c r="O36" s="6"/>
      <c r="P36" s="6"/>
    </row>
    <row r="37" spans="1:16" s="7" customFormat="1" ht="14.25" customHeight="1" x14ac:dyDescent="0.2">
      <c r="A37" s="393"/>
      <c r="B37" s="374"/>
      <c r="C37" s="374"/>
      <c r="D37" s="105" t="s">
        <v>1088</v>
      </c>
      <c r="E37" s="374"/>
      <c r="F37" s="394"/>
      <c r="G37" s="416"/>
      <c r="H37" s="396"/>
      <c r="I37" s="397"/>
      <c r="J37" s="480"/>
      <c r="K37" s="6"/>
      <c r="L37" s="6"/>
      <c r="M37" s="6"/>
      <c r="N37" s="6"/>
      <c r="O37" s="6"/>
      <c r="P37" s="6"/>
    </row>
    <row r="38" spans="1:16" s="7" customFormat="1" ht="14.25" customHeight="1" x14ac:dyDescent="0.2">
      <c r="A38" s="393"/>
      <c r="B38" s="374"/>
      <c r="C38" s="374"/>
      <c r="D38" s="105" t="s">
        <v>1089</v>
      </c>
      <c r="E38" s="374"/>
      <c r="F38" s="394"/>
      <c r="G38" s="416"/>
      <c r="H38" s="396"/>
      <c r="I38" s="397"/>
      <c r="J38" s="480"/>
      <c r="K38" s="6"/>
      <c r="L38" s="6"/>
      <c r="M38" s="6"/>
      <c r="N38" s="6"/>
      <c r="O38" s="6"/>
      <c r="P38" s="6"/>
    </row>
    <row r="39" spans="1:16" s="7" customFormat="1" ht="14.25" customHeight="1" x14ac:dyDescent="0.2">
      <c r="A39" s="393"/>
      <c r="B39" s="374"/>
      <c r="C39" s="374"/>
      <c r="D39" s="105"/>
      <c r="E39" s="374"/>
      <c r="F39" s="394"/>
      <c r="G39" s="416"/>
      <c r="H39" s="396"/>
      <c r="I39" s="397"/>
      <c r="J39" s="480"/>
      <c r="K39" s="6"/>
      <c r="L39" s="6"/>
      <c r="M39" s="6"/>
      <c r="N39" s="6"/>
      <c r="O39" s="6"/>
      <c r="P39" s="6"/>
    </row>
    <row r="40" spans="1:16" s="7" customFormat="1" ht="14.25" customHeight="1" x14ac:dyDescent="0.2">
      <c r="A40" s="393"/>
      <c r="B40" s="374"/>
      <c r="C40" s="374"/>
      <c r="D40" s="105"/>
      <c r="E40" s="374"/>
      <c r="F40" s="394"/>
      <c r="G40" s="416"/>
      <c r="H40" s="396"/>
      <c r="I40" s="397"/>
      <c r="J40" s="480"/>
      <c r="K40" s="6"/>
      <c r="L40" s="6"/>
      <c r="M40" s="6"/>
      <c r="N40" s="6"/>
      <c r="O40" s="6"/>
      <c r="P40" s="6"/>
    </row>
    <row r="41" spans="1:16" s="7" customFormat="1" ht="14.25" customHeight="1" x14ac:dyDescent="0.2">
      <c r="A41" s="393"/>
      <c r="B41" s="374"/>
      <c r="C41" s="374"/>
      <c r="D41" s="105"/>
      <c r="E41" s="374"/>
      <c r="F41" s="394"/>
      <c r="G41" s="416"/>
      <c r="H41" s="396"/>
      <c r="I41" s="397"/>
      <c r="J41" s="480"/>
      <c r="K41" s="6"/>
      <c r="L41" s="6"/>
      <c r="M41" s="6"/>
      <c r="N41" s="6"/>
      <c r="O41" s="6"/>
      <c r="P41" s="6"/>
    </row>
    <row r="42" spans="1:16" s="7" customFormat="1" ht="14.25" customHeight="1" x14ac:dyDescent="0.2">
      <c r="A42" s="393"/>
      <c r="B42" s="374"/>
      <c r="C42" s="374"/>
      <c r="D42" s="105"/>
      <c r="E42" s="374"/>
      <c r="F42" s="394"/>
      <c r="G42" s="416"/>
      <c r="H42" s="396"/>
      <c r="I42" s="397"/>
      <c r="J42" s="480"/>
      <c r="K42" s="6"/>
      <c r="L42" s="6"/>
      <c r="M42" s="6"/>
      <c r="N42" s="6"/>
      <c r="O42" s="6"/>
      <c r="P42" s="6"/>
    </row>
    <row r="43" spans="1:16" s="7" customFormat="1" ht="14.25" customHeight="1" x14ac:dyDescent="0.2">
      <c r="A43" s="393"/>
      <c r="B43" s="374"/>
      <c r="C43" s="374"/>
      <c r="D43" s="105"/>
      <c r="E43" s="374"/>
      <c r="F43" s="394"/>
      <c r="G43" s="416"/>
      <c r="H43" s="396"/>
      <c r="I43" s="397"/>
      <c r="J43" s="480"/>
      <c r="K43" s="6"/>
      <c r="L43" s="6"/>
      <c r="M43" s="6"/>
      <c r="N43" s="6"/>
      <c r="O43" s="6"/>
      <c r="P43" s="6"/>
    </row>
    <row r="44" spans="1:16" s="7" customFormat="1" ht="14.25" customHeight="1" x14ac:dyDescent="0.2">
      <c r="A44" s="393"/>
      <c r="B44" s="374"/>
      <c r="C44" s="374"/>
      <c r="D44" s="105"/>
      <c r="E44" s="374"/>
      <c r="F44" s="394"/>
      <c r="G44" s="416"/>
      <c r="H44" s="396"/>
      <c r="I44" s="397"/>
      <c r="J44" s="480"/>
      <c r="K44" s="6"/>
      <c r="L44" s="6"/>
      <c r="M44" s="6"/>
      <c r="N44" s="6"/>
      <c r="O44" s="6"/>
      <c r="P44" s="6"/>
    </row>
    <row r="45" spans="1:16" s="7" customFormat="1" ht="14.25" customHeight="1" x14ac:dyDescent="0.2">
      <c r="A45" s="393"/>
      <c r="B45" s="374"/>
      <c r="C45" s="374"/>
      <c r="D45" s="105"/>
      <c r="E45" s="374"/>
      <c r="F45" s="394"/>
      <c r="G45" s="416"/>
      <c r="H45" s="396"/>
      <c r="I45" s="397"/>
      <c r="J45" s="480"/>
      <c r="K45" s="6"/>
      <c r="L45" s="6"/>
      <c r="M45" s="6"/>
      <c r="N45" s="6"/>
      <c r="O45" s="6"/>
      <c r="P45" s="6"/>
    </row>
    <row r="46" spans="1:16" s="7" customFormat="1" ht="14.25" customHeight="1" x14ac:dyDescent="0.2">
      <c r="A46" s="393"/>
      <c r="B46" s="374"/>
      <c r="C46" s="374"/>
      <c r="D46" s="105"/>
      <c r="E46" s="374"/>
      <c r="F46" s="394"/>
      <c r="G46" s="416"/>
      <c r="H46" s="396"/>
      <c r="I46" s="397"/>
      <c r="J46" s="480"/>
      <c r="K46" s="6"/>
      <c r="L46" s="6"/>
      <c r="M46" s="6"/>
      <c r="N46" s="6"/>
      <c r="O46" s="6"/>
      <c r="P46" s="6"/>
    </row>
    <row r="47" spans="1:16" s="7" customFormat="1" ht="14.25" customHeight="1" thickBot="1" x14ac:dyDescent="0.25">
      <c r="A47" s="482"/>
      <c r="B47" s="399"/>
      <c r="C47" s="399"/>
      <c r="D47" s="483"/>
      <c r="E47" s="399"/>
      <c r="F47" s="400"/>
      <c r="G47" s="484"/>
      <c r="H47" s="401"/>
      <c r="I47" s="485"/>
      <c r="J47" s="480"/>
      <c r="K47" s="6"/>
      <c r="L47" s="6"/>
      <c r="M47" s="6"/>
      <c r="N47" s="6"/>
      <c r="O47" s="6"/>
      <c r="P47" s="6"/>
    </row>
    <row r="48" spans="1:16" s="7" customFormat="1" ht="14.25" customHeight="1" x14ac:dyDescent="0.2">
      <c r="A48" s="393"/>
      <c r="B48" s="374"/>
      <c r="C48" s="374"/>
      <c r="D48" s="105"/>
      <c r="E48" s="374"/>
      <c r="F48" s="394"/>
      <c r="G48" s="395"/>
      <c r="H48" s="396"/>
      <c r="I48" s="408"/>
      <c r="J48" s="480"/>
      <c r="K48" s="6"/>
      <c r="L48" s="6"/>
      <c r="M48" s="6"/>
      <c r="N48" s="6"/>
      <c r="O48" s="6"/>
      <c r="P48" s="6"/>
    </row>
    <row r="49" spans="1:16" s="7" customFormat="1" ht="14.25" customHeight="1" x14ac:dyDescent="0.2">
      <c r="A49" s="393" t="s">
        <v>997</v>
      </c>
      <c r="B49" s="374"/>
      <c r="C49" s="374"/>
      <c r="D49" s="105" t="s">
        <v>998</v>
      </c>
      <c r="E49" s="374"/>
      <c r="F49" s="394"/>
      <c r="G49" s="395"/>
      <c r="H49" s="396"/>
      <c r="I49" s="397">
        <f>I50+I61</f>
        <v>10505.14</v>
      </c>
      <c r="J49" s="480"/>
      <c r="K49" s="6"/>
      <c r="L49" s="6"/>
      <c r="M49" s="6"/>
      <c r="N49" s="6"/>
      <c r="O49" s="6"/>
      <c r="P49" s="6"/>
    </row>
    <row r="50" spans="1:16" s="7" customFormat="1" ht="14.25" customHeight="1" x14ac:dyDescent="0.2">
      <c r="A50" s="393" t="s">
        <v>211</v>
      </c>
      <c r="B50" s="374"/>
      <c r="C50" s="374"/>
      <c r="D50" s="105" t="s">
        <v>132</v>
      </c>
      <c r="E50" s="374"/>
      <c r="F50" s="394"/>
      <c r="G50" s="395"/>
      <c r="H50" s="396"/>
      <c r="I50" s="397">
        <f>SUM(I51:I59)</f>
        <v>6739.14</v>
      </c>
      <c r="J50" s="480"/>
      <c r="K50" s="6"/>
      <c r="L50" s="6"/>
      <c r="M50" s="6"/>
      <c r="N50" s="6"/>
      <c r="O50" s="6"/>
      <c r="P50" s="6"/>
    </row>
    <row r="51" spans="1:16" s="7" customFormat="1" ht="14.25" customHeight="1" x14ac:dyDescent="0.2">
      <c r="A51" s="47" t="s">
        <v>47</v>
      </c>
      <c r="B51" s="649" t="s">
        <v>9</v>
      </c>
      <c r="C51" s="650"/>
      <c r="D51" s="227" t="s">
        <v>999</v>
      </c>
      <c r="E51" s="374" t="s">
        <v>107</v>
      </c>
      <c r="F51" s="394">
        <v>80</v>
      </c>
      <c r="G51" s="395">
        <v>16.02</v>
      </c>
      <c r="H51" s="396">
        <f t="shared" ref="H51:H59" si="0">ROUND(G51*(1+L$3),2)</f>
        <v>16.02</v>
      </c>
      <c r="I51" s="408">
        <f t="shared" ref="I51:I63" si="1">ROUND(F51*H51,2)</f>
        <v>1281.5999999999999</v>
      </c>
      <c r="J51" s="480"/>
      <c r="K51" s="6"/>
      <c r="L51" s="6"/>
      <c r="M51" s="6"/>
      <c r="N51" s="6"/>
      <c r="O51" s="6"/>
      <c r="P51" s="6"/>
    </row>
    <row r="52" spans="1:16" s="7" customFormat="1" ht="14.25" customHeight="1" x14ac:dyDescent="0.2">
      <c r="A52" s="47" t="s">
        <v>617</v>
      </c>
      <c r="B52" s="649" t="s">
        <v>9</v>
      </c>
      <c r="C52" s="650"/>
      <c r="D52" s="227" t="s">
        <v>1000</v>
      </c>
      <c r="E52" s="374" t="s">
        <v>107</v>
      </c>
      <c r="F52" s="394">
        <v>100</v>
      </c>
      <c r="G52" s="395">
        <v>8.6199999999999992</v>
      </c>
      <c r="H52" s="396">
        <f t="shared" si="0"/>
        <v>8.6199999999999992</v>
      </c>
      <c r="I52" s="408">
        <f t="shared" si="1"/>
        <v>862</v>
      </c>
      <c r="J52" s="480"/>
      <c r="K52" s="6"/>
      <c r="L52" s="6"/>
      <c r="M52" s="6"/>
      <c r="N52" s="6"/>
      <c r="O52" s="6"/>
      <c r="P52" s="6"/>
    </row>
    <row r="53" spans="1:16" s="7" customFormat="1" ht="14.25" customHeight="1" x14ac:dyDescent="0.2">
      <c r="A53" s="47" t="s">
        <v>199</v>
      </c>
      <c r="B53" s="649" t="s">
        <v>9</v>
      </c>
      <c r="C53" s="650"/>
      <c r="D53" s="227" t="s">
        <v>1001</v>
      </c>
      <c r="E53" s="374" t="s">
        <v>107</v>
      </c>
      <c r="F53" s="394">
        <v>200</v>
      </c>
      <c r="G53" s="395">
        <v>4.78</v>
      </c>
      <c r="H53" s="396">
        <f t="shared" si="0"/>
        <v>4.78</v>
      </c>
      <c r="I53" s="408">
        <f t="shared" si="1"/>
        <v>956</v>
      </c>
      <c r="J53" s="480"/>
      <c r="K53" s="6"/>
      <c r="L53" s="6"/>
      <c r="M53" s="6"/>
      <c r="N53" s="6"/>
      <c r="O53" s="6"/>
      <c r="P53" s="6"/>
    </row>
    <row r="54" spans="1:16" s="7" customFormat="1" ht="14.25" customHeight="1" x14ac:dyDescent="0.2">
      <c r="A54" s="47" t="s">
        <v>48</v>
      </c>
      <c r="B54" s="649" t="s">
        <v>9</v>
      </c>
      <c r="C54" s="650"/>
      <c r="D54" s="227" t="s">
        <v>1002</v>
      </c>
      <c r="E54" s="374" t="s">
        <v>107</v>
      </c>
      <c r="F54" s="394">
        <v>200</v>
      </c>
      <c r="G54" s="395">
        <v>2.92</v>
      </c>
      <c r="H54" s="396">
        <f t="shared" si="0"/>
        <v>2.92</v>
      </c>
      <c r="I54" s="408">
        <f t="shared" si="1"/>
        <v>584</v>
      </c>
      <c r="J54" s="480"/>
      <c r="K54" s="6"/>
      <c r="L54" s="6"/>
      <c r="M54" s="6"/>
      <c r="N54" s="6"/>
      <c r="O54" s="6"/>
      <c r="P54" s="6"/>
    </row>
    <row r="55" spans="1:16" s="7" customFormat="1" ht="14.25" customHeight="1" x14ac:dyDescent="0.2">
      <c r="A55" s="47" t="s">
        <v>49</v>
      </c>
      <c r="B55" s="649" t="s">
        <v>9</v>
      </c>
      <c r="C55" s="650"/>
      <c r="D55" s="227" t="s">
        <v>1003</v>
      </c>
      <c r="E55" s="374" t="s">
        <v>107</v>
      </c>
      <c r="F55" s="394">
        <v>20</v>
      </c>
      <c r="G55" s="395">
        <v>2.0299999999999998</v>
      </c>
      <c r="H55" s="396">
        <f t="shared" si="0"/>
        <v>2.0299999999999998</v>
      </c>
      <c r="I55" s="408">
        <f t="shared" si="1"/>
        <v>40.6</v>
      </c>
      <c r="J55" s="480"/>
      <c r="K55" s="6"/>
      <c r="L55" s="6"/>
      <c r="M55" s="6"/>
      <c r="N55" s="6"/>
      <c r="O55" s="6"/>
      <c r="P55" s="6"/>
    </row>
    <row r="56" spans="1:16" s="7" customFormat="1" ht="14.25" customHeight="1" x14ac:dyDescent="0.2">
      <c r="A56" s="47" t="s">
        <v>216</v>
      </c>
      <c r="B56" s="649" t="s">
        <v>9</v>
      </c>
      <c r="C56" s="650"/>
      <c r="D56" s="227" t="s">
        <v>1004</v>
      </c>
      <c r="E56" s="374" t="s">
        <v>107</v>
      </c>
      <c r="F56" s="394">
        <v>150</v>
      </c>
      <c r="G56" s="395">
        <v>3.28</v>
      </c>
      <c r="H56" s="396">
        <f t="shared" si="0"/>
        <v>3.28</v>
      </c>
      <c r="I56" s="408">
        <f t="shared" si="1"/>
        <v>492</v>
      </c>
      <c r="J56" s="480"/>
      <c r="K56" s="6"/>
      <c r="L56" s="6"/>
      <c r="M56" s="6"/>
      <c r="N56" s="6"/>
      <c r="O56" s="6"/>
      <c r="P56" s="6"/>
    </row>
    <row r="57" spans="1:16" s="7" customFormat="1" x14ac:dyDescent="0.2">
      <c r="A57" s="47" t="s">
        <v>218</v>
      </c>
      <c r="B57" s="649" t="s">
        <v>9</v>
      </c>
      <c r="C57" s="650"/>
      <c r="D57" s="107" t="s">
        <v>1005</v>
      </c>
      <c r="E57" s="374" t="s">
        <v>10</v>
      </c>
      <c r="F57" s="394">
        <v>2</v>
      </c>
      <c r="G57" s="409">
        <v>26.8</v>
      </c>
      <c r="H57" s="396">
        <f t="shared" si="0"/>
        <v>26.8</v>
      </c>
      <c r="I57" s="408">
        <f t="shared" si="1"/>
        <v>53.6</v>
      </c>
      <c r="J57" s="480"/>
      <c r="K57" s="6"/>
      <c r="L57" s="6"/>
      <c r="M57" s="6"/>
      <c r="N57" s="6"/>
      <c r="O57" s="6"/>
      <c r="P57" s="6"/>
    </row>
    <row r="58" spans="1:16" s="373" customFormat="1" x14ac:dyDescent="0.2">
      <c r="A58" s="384" t="s">
        <v>219</v>
      </c>
      <c r="B58" s="375" t="s">
        <v>98</v>
      </c>
      <c r="C58" s="375">
        <v>83449</v>
      </c>
      <c r="D58" s="107" t="s">
        <v>1090</v>
      </c>
      <c r="E58" s="375" t="s">
        <v>10</v>
      </c>
      <c r="F58" s="410">
        <v>10</v>
      </c>
      <c r="G58" s="409">
        <v>192.73</v>
      </c>
      <c r="H58" s="411">
        <f t="shared" si="0"/>
        <v>192.73</v>
      </c>
      <c r="I58" s="412">
        <f t="shared" si="1"/>
        <v>1927.3</v>
      </c>
      <c r="J58" s="486"/>
      <c r="K58" s="372"/>
      <c r="L58" s="372"/>
      <c r="M58" s="372"/>
      <c r="N58" s="372"/>
      <c r="O58" s="372"/>
      <c r="P58" s="372"/>
    </row>
    <row r="59" spans="1:16" s="373" customFormat="1" x14ac:dyDescent="0.2">
      <c r="A59" s="384" t="s">
        <v>476</v>
      </c>
      <c r="B59" s="375" t="s">
        <v>98</v>
      </c>
      <c r="C59" s="375">
        <v>83447</v>
      </c>
      <c r="D59" s="107" t="s">
        <v>771</v>
      </c>
      <c r="E59" s="375" t="s">
        <v>10</v>
      </c>
      <c r="F59" s="410">
        <v>6</v>
      </c>
      <c r="G59" s="413">
        <v>90.34</v>
      </c>
      <c r="H59" s="411">
        <f t="shared" si="0"/>
        <v>90.34</v>
      </c>
      <c r="I59" s="412">
        <f t="shared" si="1"/>
        <v>542.04</v>
      </c>
      <c r="J59" s="486"/>
      <c r="K59" s="372"/>
      <c r="L59" s="372"/>
      <c r="M59" s="372"/>
      <c r="N59" s="372"/>
      <c r="O59" s="372"/>
      <c r="P59" s="372"/>
    </row>
    <row r="60" spans="1:16" s="109" customFormat="1" x14ac:dyDescent="0.2">
      <c r="A60" s="384"/>
      <c r="B60" s="375"/>
      <c r="C60" s="375"/>
      <c r="D60" s="107"/>
      <c r="E60" s="375"/>
      <c r="F60" s="410"/>
      <c r="G60" s="409"/>
      <c r="H60" s="411"/>
      <c r="I60" s="412"/>
      <c r="J60" s="487"/>
      <c r="K60" s="108"/>
      <c r="L60" s="108"/>
      <c r="M60" s="108"/>
      <c r="N60" s="108"/>
      <c r="O60" s="108"/>
      <c r="P60" s="108"/>
    </row>
    <row r="61" spans="1:16" s="7" customFormat="1" ht="15" x14ac:dyDescent="0.2">
      <c r="A61" s="393" t="s">
        <v>221</v>
      </c>
      <c r="B61" s="374"/>
      <c r="C61" s="374"/>
      <c r="D61" s="105" t="s">
        <v>294</v>
      </c>
      <c r="E61" s="374"/>
      <c r="F61" s="394"/>
      <c r="G61" s="395"/>
      <c r="H61" s="396"/>
      <c r="I61" s="397">
        <f>SUM(I62:I63)</f>
        <v>3766</v>
      </c>
      <c r="J61" s="480"/>
      <c r="K61" s="6"/>
      <c r="L61" s="6"/>
      <c r="M61" s="6"/>
      <c r="N61" s="6"/>
      <c r="O61" s="6"/>
      <c r="P61" s="6"/>
    </row>
    <row r="62" spans="1:16" s="7" customFormat="1" x14ac:dyDescent="0.2">
      <c r="A62" s="47" t="s">
        <v>223</v>
      </c>
      <c r="B62" s="374" t="s">
        <v>98</v>
      </c>
      <c r="C62" s="374">
        <v>2436</v>
      </c>
      <c r="D62" s="227" t="s">
        <v>295</v>
      </c>
      <c r="E62" s="374" t="s">
        <v>296</v>
      </c>
      <c r="F62" s="394">
        <v>100</v>
      </c>
      <c r="G62" s="395">
        <v>9.86</v>
      </c>
      <c r="H62" s="396">
        <f t="shared" ref="H62:H63" si="2">ROUND(G62*(1+K$5),2)</f>
        <v>21.93</v>
      </c>
      <c r="I62" s="408">
        <f t="shared" si="1"/>
        <v>2193</v>
      </c>
      <c r="J62" s="480"/>
      <c r="K62" s="6"/>
      <c r="L62" s="6"/>
      <c r="M62" s="6"/>
      <c r="N62" s="6"/>
      <c r="O62" s="6"/>
      <c r="P62" s="6"/>
    </row>
    <row r="63" spans="1:16" s="7" customFormat="1" x14ac:dyDescent="0.2">
      <c r="A63" s="47" t="s">
        <v>225</v>
      </c>
      <c r="B63" s="374" t="s">
        <v>98</v>
      </c>
      <c r="C63" s="374">
        <v>6113</v>
      </c>
      <c r="D63" s="227" t="s">
        <v>297</v>
      </c>
      <c r="E63" s="374" t="s">
        <v>296</v>
      </c>
      <c r="F63" s="394">
        <v>100</v>
      </c>
      <c r="G63" s="395">
        <v>7.07</v>
      </c>
      <c r="H63" s="396">
        <f t="shared" si="2"/>
        <v>15.73</v>
      </c>
      <c r="I63" s="408">
        <f t="shared" si="1"/>
        <v>1573</v>
      </c>
      <c r="J63" s="480"/>
      <c r="K63" s="6"/>
      <c r="L63" s="6"/>
      <c r="M63" s="6"/>
      <c r="N63" s="6"/>
      <c r="O63" s="6"/>
      <c r="P63" s="6"/>
    </row>
    <row r="64" spans="1:16" s="7" customFormat="1" ht="15" x14ac:dyDescent="0.25">
      <c r="A64" s="393"/>
      <c r="B64" s="363"/>
      <c r="C64" s="363"/>
      <c r="D64" s="105"/>
      <c r="E64" s="363"/>
      <c r="F64" s="414"/>
      <c r="G64" s="415"/>
      <c r="H64" s="396"/>
      <c r="I64" s="408"/>
      <c r="J64" s="480"/>
      <c r="K64" s="6"/>
      <c r="L64" s="6"/>
      <c r="M64" s="6"/>
      <c r="N64" s="6"/>
      <c r="O64" s="6"/>
      <c r="P64" s="6"/>
    </row>
    <row r="65" spans="1:16" ht="15" x14ac:dyDescent="0.2">
      <c r="A65" s="393" t="s">
        <v>1006</v>
      </c>
      <c r="B65" s="363"/>
      <c r="C65" s="363"/>
      <c r="D65" s="105" t="s">
        <v>304</v>
      </c>
      <c r="E65" s="374"/>
      <c r="F65" s="394"/>
      <c r="G65" s="416"/>
      <c r="H65" s="396"/>
      <c r="I65" s="397">
        <f>I66</f>
        <v>3000</v>
      </c>
      <c r="J65" s="3"/>
      <c r="K65" s="4"/>
      <c r="L65" s="4"/>
      <c r="M65" s="4"/>
      <c r="N65" s="4"/>
      <c r="O65" s="4"/>
      <c r="P65" s="4"/>
    </row>
    <row r="66" spans="1:16" s="109" customFormat="1" ht="28.5" x14ac:dyDescent="0.2">
      <c r="A66" s="384" t="s">
        <v>1007</v>
      </c>
      <c r="B66" s="645" t="s">
        <v>9</v>
      </c>
      <c r="C66" s="646"/>
      <c r="D66" s="107" t="s">
        <v>1008</v>
      </c>
      <c r="E66" s="375" t="s">
        <v>10</v>
      </c>
      <c r="F66" s="410">
        <v>1</v>
      </c>
      <c r="G66" s="416">
        <v>3000</v>
      </c>
      <c r="H66" s="411">
        <f t="shared" ref="H66:H90" si="3">ROUND(G66*(1+L$3),2)</f>
        <v>3000</v>
      </c>
      <c r="I66" s="412">
        <f t="shared" ref="I66:I95" si="4">ROUND(F66*H66,2)</f>
        <v>3000</v>
      </c>
      <c r="J66" s="487"/>
      <c r="K66" s="108"/>
      <c r="L66" s="108"/>
      <c r="M66" s="108"/>
      <c r="N66" s="108"/>
      <c r="O66" s="108"/>
      <c r="P66" s="108"/>
    </row>
    <row r="67" spans="1:16" s="7" customFormat="1" ht="15" x14ac:dyDescent="0.2">
      <c r="A67" s="47"/>
      <c r="B67" s="363"/>
      <c r="C67" s="363"/>
      <c r="D67" s="227"/>
      <c r="E67" s="374"/>
      <c r="F67" s="394"/>
      <c r="G67" s="416"/>
      <c r="H67" s="396"/>
      <c r="I67" s="408"/>
      <c r="J67" s="480"/>
      <c r="K67" s="6"/>
      <c r="L67" s="6"/>
      <c r="M67" s="6"/>
      <c r="N67" s="6"/>
      <c r="O67" s="6"/>
      <c r="P67" s="6"/>
    </row>
    <row r="68" spans="1:16" s="7" customFormat="1" ht="15" x14ac:dyDescent="0.2">
      <c r="A68" s="393" t="s">
        <v>1009</v>
      </c>
      <c r="B68" s="363"/>
      <c r="C68" s="363"/>
      <c r="D68" s="105" t="s">
        <v>1010</v>
      </c>
      <c r="E68" s="374"/>
      <c r="F68" s="394"/>
      <c r="G68" s="416"/>
      <c r="H68" s="396"/>
      <c r="I68" s="397">
        <f>I69+I92</f>
        <v>1387.4100000000003</v>
      </c>
      <c r="J68" s="480"/>
      <c r="K68" s="6"/>
      <c r="L68" s="6"/>
      <c r="M68" s="6"/>
      <c r="N68" s="6"/>
      <c r="O68" s="6"/>
      <c r="P68" s="6"/>
    </row>
    <row r="69" spans="1:16" s="7" customFormat="1" ht="15" x14ac:dyDescent="0.2">
      <c r="A69" s="47" t="s">
        <v>1011</v>
      </c>
      <c r="B69" s="374"/>
      <c r="C69" s="374"/>
      <c r="D69" s="105" t="s">
        <v>132</v>
      </c>
      <c r="E69" s="374"/>
      <c r="F69" s="394"/>
      <c r="G69" s="416"/>
      <c r="H69" s="396"/>
      <c r="I69" s="397">
        <f>SUM(I70:I90)</f>
        <v>822.97000000000014</v>
      </c>
      <c r="J69" s="480"/>
      <c r="K69" s="6"/>
      <c r="L69" s="6"/>
      <c r="M69" s="6"/>
      <c r="N69" s="6"/>
      <c r="O69" s="6"/>
      <c r="P69" s="6"/>
    </row>
    <row r="70" spans="1:16" s="7" customFormat="1" x14ac:dyDescent="0.2">
      <c r="A70" s="47" t="s">
        <v>1012</v>
      </c>
      <c r="B70" s="645" t="s">
        <v>9</v>
      </c>
      <c r="C70" s="646"/>
      <c r="D70" s="227" t="s">
        <v>1013</v>
      </c>
      <c r="E70" s="374" t="s">
        <v>107</v>
      </c>
      <c r="F70" s="394">
        <v>30</v>
      </c>
      <c r="G70" s="417">
        <v>3.92</v>
      </c>
      <c r="H70" s="396">
        <f t="shared" si="3"/>
        <v>3.92</v>
      </c>
      <c r="I70" s="408">
        <f t="shared" si="4"/>
        <v>117.6</v>
      </c>
      <c r="J70" s="480"/>
      <c r="K70" s="6"/>
      <c r="L70" s="6"/>
      <c r="M70" s="6"/>
      <c r="N70" s="6"/>
      <c r="O70" s="6"/>
      <c r="P70" s="6"/>
    </row>
    <row r="71" spans="1:16" s="7" customFormat="1" x14ac:dyDescent="0.2">
      <c r="A71" s="47" t="s">
        <v>1014</v>
      </c>
      <c r="B71" s="645" t="s">
        <v>9</v>
      </c>
      <c r="C71" s="646"/>
      <c r="D71" s="227" t="s">
        <v>1015</v>
      </c>
      <c r="E71" s="374" t="s">
        <v>1016</v>
      </c>
      <c r="F71" s="394">
        <v>6</v>
      </c>
      <c r="G71" s="417">
        <v>3.17</v>
      </c>
      <c r="H71" s="396">
        <f t="shared" si="3"/>
        <v>3.17</v>
      </c>
      <c r="I71" s="408">
        <f t="shared" si="4"/>
        <v>19.02</v>
      </c>
      <c r="J71" s="480"/>
      <c r="K71" s="6"/>
      <c r="L71" s="6"/>
      <c r="M71" s="6"/>
      <c r="N71" s="6"/>
      <c r="O71" s="6"/>
      <c r="P71" s="6"/>
    </row>
    <row r="72" spans="1:16" s="7" customFormat="1" x14ac:dyDescent="0.2">
      <c r="A72" s="47" t="s">
        <v>1017</v>
      </c>
      <c r="B72" s="645" t="s">
        <v>9</v>
      </c>
      <c r="C72" s="646"/>
      <c r="D72" s="107" t="s">
        <v>1018</v>
      </c>
      <c r="E72" s="374" t="s">
        <v>10</v>
      </c>
      <c r="F72" s="394">
        <v>1</v>
      </c>
      <c r="G72" s="417">
        <v>1.9</v>
      </c>
      <c r="H72" s="396">
        <f t="shared" si="3"/>
        <v>1.9</v>
      </c>
      <c r="I72" s="408">
        <f t="shared" si="4"/>
        <v>1.9</v>
      </c>
      <c r="J72" s="480"/>
      <c r="K72" s="6"/>
      <c r="L72" s="6"/>
      <c r="M72" s="6"/>
      <c r="N72" s="6"/>
      <c r="O72" s="6"/>
      <c r="P72" s="6"/>
    </row>
    <row r="73" spans="1:16" s="7" customFormat="1" x14ac:dyDescent="0.2">
      <c r="A73" s="47" t="s">
        <v>1019</v>
      </c>
      <c r="B73" s="645" t="s">
        <v>9</v>
      </c>
      <c r="C73" s="646"/>
      <c r="D73" s="107" t="s">
        <v>1020</v>
      </c>
      <c r="E73" s="374" t="s">
        <v>10</v>
      </c>
      <c r="F73" s="394">
        <v>1</v>
      </c>
      <c r="G73" s="409">
        <v>8.56</v>
      </c>
      <c r="H73" s="396">
        <f t="shared" si="3"/>
        <v>8.56</v>
      </c>
      <c r="I73" s="408">
        <f t="shared" si="4"/>
        <v>8.56</v>
      </c>
      <c r="J73" s="480"/>
      <c r="K73" s="6"/>
      <c r="L73" s="6"/>
      <c r="M73" s="6"/>
      <c r="N73" s="6"/>
      <c r="O73" s="6"/>
      <c r="P73" s="6"/>
    </row>
    <row r="74" spans="1:16" s="7" customFormat="1" ht="14.25" customHeight="1" x14ac:dyDescent="0.2">
      <c r="A74" s="47" t="s">
        <v>1021</v>
      </c>
      <c r="B74" s="645" t="s">
        <v>9</v>
      </c>
      <c r="C74" s="646"/>
      <c r="D74" s="107" t="s">
        <v>1022</v>
      </c>
      <c r="E74" s="374" t="s">
        <v>2</v>
      </c>
      <c r="F74" s="394">
        <v>1</v>
      </c>
      <c r="G74" s="417">
        <v>10.039999999999999</v>
      </c>
      <c r="H74" s="396">
        <f t="shared" si="3"/>
        <v>10.039999999999999</v>
      </c>
      <c r="I74" s="408">
        <f t="shared" si="4"/>
        <v>10.039999999999999</v>
      </c>
      <c r="J74" s="480"/>
      <c r="K74" s="6"/>
      <c r="L74" s="6"/>
      <c r="M74" s="6"/>
      <c r="N74" s="6"/>
      <c r="O74" s="6"/>
      <c r="P74" s="6"/>
    </row>
    <row r="75" spans="1:16" s="7" customFormat="1" ht="14.25" customHeight="1" x14ac:dyDescent="0.2">
      <c r="A75" s="47" t="s">
        <v>1023</v>
      </c>
      <c r="B75" s="645" t="s">
        <v>9</v>
      </c>
      <c r="C75" s="646"/>
      <c r="D75" s="107" t="s">
        <v>1024</v>
      </c>
      <c r="E75" s="374" t="s">
        <v>10</v>
      </c>
      <c r="F75" s="394">
        <v>1</v>
      </c>
      <c r="G75" s="409">
        <v>5.5</v>
      </c>
      <c r="H75" s="396">
        <f t="shared" si="3"/>
        <v>5.5</v>
      </c>
      <c r="I75" s="408">
        <f t="shared" si="4"/>
        <v>5.5</v>
      </c>
      <c r="J75" s="480"/>
      <c r="K75" s="6"/>
      <c r="L75" s="6"/>
      <c r="M75" s="6"/>
      <c r="N75" s="6"/>
      <c r="O75" s="6"/>
      <c r="P75" s="6"/>
    </row>
    <row r="76" spans="1:16" s="7" customFormat="1" ht="14.25" customHeight="1" x14ac:dyDescent="0.2">
      <c r="A76" s="47" t="s">
        <v>1025</v>
      </c>
      <c r="B76" s="645" t="s">
        <v>9</v>
      </c>
      <c r="C76" s="646"/>
      <c r="D76" s="107" t="s">
        <v>1026</v>
      </c>
      <c r="E76" s="374" t="s">
        <v>10</v>
      </c>
      <c r="F76" s="394">
        <v>1</v>
      </c>
      <c r="G76" s="409">
        <v>1.99</v>
      </c>
      <c r="H76" s="396">
        <f t="shared" si="3"/>
        <v>1.99</v>
      </c>
      <c r="I76" s="408">
        <f t="shared" si="4"/>
        <v>1.99</v>
      </c>
      <c r="J76" s="480"/>
      <c r="K76" s="6"/>
      <c r="L76" s="6"/>
      <c r="M76" s="6"/>
      <c r="N76" s="6"/>
      <c r="O76" s="6"/>
      <c r="P76" s="6"/>
    </row>
    <row r="77" spans="1:16" s="7" customFormat="1" ht="14.25" customHeight="1" x14ac:dyDescent="0.2">
      <c r="A77" s="47" t="s">
        <v>1027</v>
      </c>
      <c r="B77" s="645" t="s">
        <v>9</v>
      </c>
      <c r="C77" s="646"/>
      <c r="D77" s="107" t="s">
        <v>1028</v>
      </c>
      <c r="E77" s="374" t="s">
        <v>10</v>
      </c>
      <c r="F77" s="394">
        <v>1</v>
      </c>
      <c r="G77" s="409">
        <v>204.96</v>
      </c>
      <c r="H77" s="396">
        <f t="shared" si="3"/>
        <v>204.96</v>
      </c>
      <c r="I77" s="408">
        <f t="shared" si="4"/>
        <v>204.96</v>
      </c>
      <c r="J77" s="480"/>
      <c r="K77" s="6"/>
      <c r="L77" s="6"/>
      <c r="M77" s="6"/>
      <c r="N77" s="6"/>
      <c r="O77" s="6"/>
      <c r="P77" s="6"/>
    </row>
    <row r="78" spans="1:16" s="7" customFormat="1" ht="14.25" customHeight="1" x14ac:dyDescent="0.2">
      <c r="A78" s="47" t="s">
        <v>1029</v>
      </c>
      <c r="B78" s="645" t="s">
        <v>9</v>
      </c>
      <c r="C78" s="646"/>
      <c r="D78" s="107" t="s">
        <v>1030</v>
      </c>
      <c r="E78" s="374" t="s">
        <v>10</v>
      </c>
      <c r="F78" s="394">
        <v>1</v>
      </c>
      <c r="G78" s="417">
        <v>1.1100000000000001</v>
      </c>
      <c r="H78" s="396">
        <f t="shared" si="3"/>
        <v>1.1100000000000001</v>
      </c>
      <c r="I78" s="408">
        <f t="shared" si="4"/>
        <v>1.1100000000000001</v>
      </c>
      <c r="J78" s="480"/>
      <c r="K78" s="6"/>
      <c r="L78" s="6"/>
      <c r="M78" s="6"/>
      <c r="N78" s="6"/>
      <c r="O78" s="6"/>
      <c r="P78" s="6"/>
    </row>
    <row r="79" spans="1:16" s="7" customFormat="1" x14ac:dyDescent="0.2">
      <c r="A79" s="47" t="s">
        <v>1031</v>
      </c>
      <c r="B79" s="645" t="s">
        <v>9</v>
      </c>
      <c r="C79" s="646"/>
      <c r="D79" s="107" t="s">
        <v>1032</v>
      </c>
      <c r="E79" s="374" t="s">
        <v>10</v>
      </c>
      <c r="F79" s="404">
        <v>1</v>
      </c>
      <c r="G79" s="409">
        <v>159.54</v>
      </c>
      <c r="H79" s="396">
        <f t="shared" si="3"/>
        <v>159.54</v>
      </c>
      <c r="I79" s="408">
        <f t="shared" si="4"/>
        <v>159.54</v>
      </c>
      <c r="J79" s="480"/>
      <c r="K79" s="6"/>
      <c r="L79" s="6"/>
      <c r="M79" s="6"/>
      <c r="N79" s="6"/>
      <c r="O79" s="6"/>
      <c r="P79" s="6"/>
    </row>
    <row r="80" spans="1:16" s="7" customFormat="1" x14ac:dyDescent="0.2">
      <c r="A80" s="47" t="s">
        <v>1033</v>
      </c>
      <c r="B80" s="645" t="s">
        <v>9</v>
      </c>
      <c r="C80" s="646"/>
      <c r="D80" s="107" t="s">
        <v>1034</v>
      </c>
      <c r="E80" s="374" t="s">
        <v>10</v>
      </c>
      <c r="F80" s="394">
        <v>1</v>
      </c>
      <c r="G80" s="417">
        <v>1.5</v>
      </c>
      <c r="H80" s="396">
        <f t="shared" si="3"/>
        <v>1.5</v>
      </c>
      <c r="I80" s="408">
        <f t="shared" si="4"/>
        <v>1.5</v>
      </c>
      <c r="J80" s="480"/>
      <c r="K80" s="6"/>
      <c r="L80" s="6"/>
      <c r="M80" s="6"/>
      <c r="N80" s="6"/>
      <c r="O80" s="6"/>
      <c r="P80" s="6"/>
    </row>
    <row r="81" spans="1:16" s="7" customFormat="1" x14ac:dyDescent="0.2">
      <c r="A81" s="47" t="s">
        <v>1035</v>
      </c>
      <c r="B81" s="645" t="s">
        <v>9</v>
      </c>
      <c r="C81" s="646"/>
      <c r="D81" s="107" t="s">
        <v>1036</v>
      </c>
      <c r="E81" s="374" t="s">
        <v>1016</v>
      </c>
      <c r="F81" s="394">
        <v>6</v>
      </c>
      <c r="G81" s="409">
        <v>1.52</v>
      </c>
      <c r="H81" s="396">
        <f t="shared" si="3"/>
        <v>1.52</v>
      </c>
      <c r="I81" s="408">
        <f t="shared" si="4"/>
        <v>9.1199999999999992</v>
      </c>
      <c r="J81" s="480"/>
      <c r="K81" s="6"/>
      <c r="L81" s="6"/>
      <c r="M81" s="6"/>
      <c r="N81" s="6"/>
      <c r="O81" s="6"/>
      <c r="P81" s="6"/>
    </row>
    <row r="82" spans="1:16" s="7" customFormat="1" x14ac:dyDescent="0.2">
      <c r="A82" s="47" t="s">
        <v>1037</v>
      </c>
      <c r="B82" s="645" t="s">
        <v>9</v>
      </c>
      <c r="C82" s="646"/>
      <c r="D82" s="403" t="s">
        <v>1038</v>
      </c>
      <c r="E82" s="374" t="s">
        <v>10</v>
      </c>
      <c r="F82" s="394">
        <v>3</v>
      </c>
      <c r="G82" s="417">
        <v>1.49</v>
      </c>
      <c r="H82" s="396">
        <f t="shared" si="3"/>
        <v>1.49</v>
      </c>
      <c r="I82" s="408">
        <f t="shared" si="4"/>
        <v>4.47</v>
      </c>
      <c r="J82" s="480"/>
      <c r="K82" s="6"/>
      <c r="L82" s="6"/>
      <c r="M82" s="6"/>
      <c r="N82" s="6"/>
      <c r="O82" s="6"/>
      <c r="P82" s="6"/>
    </row>
    <row r="83" spans="1:16" s="7" customFormat="1" x14ac:dyDescent="0.2">
      <c r="A83" s="47" t="s">
        <v>1039</v>
      </c>
      <c r="B83" s="645" t="s">
        <v>9</v>
      </c>
      <c r="C83" s="646"/>
      <c r="D83" s="107" t="s">
        <v>1040</v>
      </c>
      <c r="E83" s="374" t="s">
        <v>10</v>
      </c>
      <c r="F83" s="394">
        <v>3</v>
      </c>
      <c r="G83" s="417">
        <v>30.94</v>
      </c>
      <c r="H83" s="396">
        <f t="shared" si="3"/>
        <v>30.94</v>
      </c>
      <c r="I83" s="408">
        <f t="shared" si="4"/>
        <v>92.82</v>
      </c>
      <c r="J83" s="480"/>
      <c r="K83" s="6"/>
      <c r="L83" s="6"/>
      <c r="M83" s="6"/>
      <c r="N83" s="6"/>
      <c r="O83" s="6"/>
      <c r="P83" s="6"/>
    </row>
    <row r="84" spans="1:16" s="7" customFormat="1" x14ac:dyDescent="0.2">
      <c r="A84" s="47" t="s">
        <v>1041</v>
      </c>
      <c r="B84" s="645" t="s">
        <v>9</v>
      </c>
      <c r="C84" s="646"/>
      <c r="D84" s="107" t="s">
        <v>1042</v>
      </c>
      <c r="E84" s="374" t="s">
        <v>10</v>
      </c>
      <c r="F84" s="394">
        <v>1</v>
      </c>
      <c r="G84" s="417">
        <v>43.85</v>
      </c>
      <c r="H84" s="396">
        <f t="shared" si="3"/>
        <v>43.85</v>
      </c>
      <c r="I84" s="408">
        <f t="shared" si="4"/>
        <v>43.85</v>
      </c>
      <c r="J84" s="480"/>
      <c r="K84" s="6"/>
      <c r="L84" s="6"/>
      <c r="M84" s="6"/>
      <c r="N84" s="6"/>
      <c r="O84" s="6"/>
      <c r="P84" s="6"/>
    </row>
    <row r="85" spans="1:16" s="7" customFormat="1" x14ac:dyDescent="0.2">
      <c r="A85" s="47" t="s">
        <v>1043</v>
      </c>
      <c r="B85" s="645" t="s">
        <v>9</v>
      </c>
      <c r="C85" s="646"/>
      <c r="D85" s="107" t="s">
        <v>1044</v>
      </c>
      <c r="E85" s="374" t="s">
        <v>10</v>
      </c>
      <c r="F85" s="394">
        <v>1</v>
      </c>
      <c r="G85" s="417">
        <v>6.03</v>
      </c>
      <c r="H85" s="396">
        <f t="shared" si="3"/>
        <v>6.03</v>
      </c>
      <c r="I85" s="408">
        <f t="shared" si="4"/>
        <v>6.03</v>
      </c>
      <c r="J85" s="480"/>
      <c r="K85" s="6"/>
      <c r="L85" s="6"/>
      <c r="M85" s="6"/>
      <c r="N85" s="6"/>
      <c r="O85" s="6"/>
      <c r="P85" s="6"/>
    </row>
    <row r="86" spans="1:16" s="7" customFormat="1" ht="15" thickBot="1" x14ac:dyDescent="0.25">
      <c r="A86" s="398" t="s">
        <v>1045</v>
      </c>
      <c r="B86" s="647" t="s">
        <v>9</v>
      </c>
      <c r="C86" s="648"/>
      <c r="D86" s="418" t="s">
        <v>1046</v>
      </c>
      <c r="E86" s="399" t="s">
        <v>10</v>
      </c>
      <c r="F86" s="400">
        <v>1</v>
      </c>
      <c r="G86" s="419">
        <v>2.96</v>
      </c>
      <c r="H86" s="401">
        <f t="shared" si="3"/>
        <v>2.96</v>
      </c>
      <c r="I86" s="402">
        <f t="shared" si="4"/>
        <v>2.96</v>
      </c>
      <c r="J86" s="480"/>
      <c r="K86" s="6"/>
      <c r="L86" s="6"/>
      <c r="M86" s="6"/>
      <c r="N86" s="6"/>
      <c r="O86" s="6"/>
      <c r="P86" s="6"/>
    </row>
    <row r="87" spans="1:16" s="7" customFormat="1" x14ac:dyDescent="0.2">
      <c r="A87" s="172" t="s">
        <v>1047</v>
      </c>
      <c r="B87" s="643" t="s">
        <v>9</v>
      </c>
      <c r="C87" s="644"/>
      <c r="D87" s="420" t="s">
        <v>1048</v>
      </c>
      <c r="E87" s="143" t="s">
        <v>10</v>
      </c>
      <c r="F87" s="404">
        <v>200</v>
      </c>
      <c r="G87" s="421">
        <v>0.32</v>
      </c>
      <c r="H87" s="406">
        <f t="shared" si="3"/>
        <v>0.32</v>
      </c>
      <c r="I87" s="407">
        <f t="shared" si="4"/>
        <v>64</v>
      </c>
      <c r="J87" s="480"/>
      <c r="K87" s="6"/>
      <c r="L87" s="6"/>
      <c r="M87" s="6"/>
      <c r="N87" s="6"/>
      <c r="O87" s="6"/>
      <c r="P87" s="6"/>
    </row>
    <row r="88" spans="1:16" s="7" customFormat="1" x14ac:dyDescent="0.2">
      <c r="A88" s="47" t="s">
        <v>1049</v>
      </c>
      <c r="B88" s="645" t="s">
        <v>9</v>
      </c>
      <c r="C88" s="646"/>
      <c r="D88" s="107" t="s">
        <v>1050</v>
      </c>
      <c r="E88" s="374" t="s">
        <v>10</v>
      </c>
      <c r="F88" s="394">
        <v>200</v>
      </c>
      <c r="G88" s="417">
        <v>0.15</v>
      </c>
      <c r="H88" s="396">
        <f t="shared" si="3"/>
        <v>0.15</v>
      </c>
      <c r="I88" s="408">
        <f t="shared" si="4"/>
        <v>30</v>
      </c>
      <c r="J88" s="480"/>
      <c r="K88" s="6"/>
      <c r="L88" s="6"/>
      <c r="M88" s="6"/>
      <c r="N88" s="6"/>
      <c r="O88" s="6"/>
      <c r="P88" s="6"/>
    </row>
    <row r="89" spans="1:16" s="7" customFormat="1" x14ac:dyDescent="0.2">
      <c r="A89" s="47" t="s">
        <v>1051</v>
      </c>
      <c r="B89" s="645" t="s">
        <v>9</v>
      </c>
      <c r="C89" s="646"/>
      <c r="D89" s="107" t="s">
        <v>1052</v>
      </c>
      <c r="E89" s="374" t="s">
        <v>10</v>
      </c>
      <c r="F89" s="394">
        <v>200</v>
      </c>
      <c r="G89" s="417">
        <v>0.08</v>
      </c>
      <c r="H89" s="396">
        <f t="shared" si="3"/>
        <v>0.08</v>
      </c>
      <c r="I89" s="408">
        <f t="shared" si="4"/>
        <v>16</v>
      </c>
      <c r="J89" s="480"/>
      <c r="K89" s="6"/>
      <c r="L89" s="6"/>
      <c r="M89" s="6"/>
      <c r="N89" s="6"/>
      <c r="O89" s="6"/>
      <c r="P89" s="6"/>
    </row>
    <row r="90" spans="1:16" s="7" customFormat="1" x14ac:dyDescent="0.2">
      <c r="A90" s="47" t="s">
        <v>1053</v>
      </c>
      <c r="B90" s="645" t="s">
        <v>9</v>
      </c>
      <c r="C90" s="646"/>
      <c r="D90" s="107" t="s">
        <v>1054</v>
      </c>
      <c r="E90" s="374" t="s">
        <v>10</v>
      </c>
      <c r="F90" s="394">
        <v>200</v>
      </c>
      <c r="G90" s="409">
        <v>0.11</v>
      </c>
      <c r="H90" s="396">
        <f t="shared" si="3"/>
        <v>0.11</v>
      </c>
      <c r="I90" s="408">
        <f t="shared" si="4"/>
        <v>22</v>
      </c>
      <c r="J90" s="480"/>
      <c r="K90" s="6"/>
      <c r="L90" s="6"/>
      <c r="M90" s="6"/>
      <c r="N90" s="6"/>
      <c r="O90" s="6"/>
      <c r="P90" s="6"/>
    </row>
    <row r="91" spans="1:16" s="7" customFormat="1" x14ac:dyDescent="0.2">
      <c r="A91" s="47"/>
      <c r="B91" s="374"/>
      <c r="C91" s="374"/>
      <c r="D91" s="107"/>
      <c r="E91" s="374"/>
      <c r="F91" s="394"/>
      <c r="G91" s="409"/>
      <c r="H91" s="396"/>
      <c r="I91" s="408"/>
      <c r="J91" s="480"/>
      <c r="K91" s="6"/>
      <c r="L91" s="6"/>
      <c r="M91" s="6"/>
      <c r="N91" s="6"/>
      <c r="O91" s="6"/>
      <c r="P91" s="6"/>
    </row>
    <row r="92" spans="1:16" s="7" customFormat="1" ht="15" x14ac:dyDescent="0.2">
      <c r="A92" s="393" t="s">
        <v>1055</v>
      </c>
      <c r="B92" s="374"/>
      <c r="C92" s="374"/>
      <c r="D92" s="105" t="s">
        <v>294</v>
      </c>
      <c r="E92" s="374"/>
      <c r="F92" s="394"/>
      <c r="G92" s="395"/>
      <c r="H92" s="396"/>
      <c r="I92" s="397">
        <f>SUM(I93:I95)</f>
        <v>564.44000000000005</v>
      </c>
      <c r="J92" s="480"/>
      <c r="K92" s="6"/>
      <c r="L92" s="6"/>
      <c r="M92" s="6"/>
      <c r="N92" s="6"/>
      <c r="O92" s="6"/>
      <c r="P92" s="6"/>
    </row>
    <row r="93" spans="1:16" s="7" customFormat="1" x14ac:dyDescent="0.2">
      <c r="A93" s="47" t="s">
        <v>1056</v>
      </c>
      <c r="B93" s="374" t="s">
        <v>98</v>
      </c>
      <c r="C93" s="374">
        <v>2436</v>
      </c>
      <c r="D93" s="227" t="s">
        <v>295</v>
      </c>
      <c r="E93" s="374" t="s">
        <v>296</v>
      </c>
      <c r="F93" s="394">
        <v>8</v>
      </c>
      <c r="G93" s="417">
        <v>9.86</v>
      </c>
      <c r="H93" s="396">
        <f t="shared" ref="H93:H95" si="5">ROUND(G93*(1+K$5),2)</f>
        <v>21.93</v>
      </c>
      <c r="I93" s="408">
        <f t="shared" si="4"/>
        <v>175.44</v>
      </c>
      <c r="J93" s="480"/>
      <c r="K93" s="6"/>
      <c r="L93" s="6"/>
      <c r="M93" s="6"/>
      <c r="N93" s="6"/>
      <c r="O93" s="6"/>
      <c r="P93" s="6"/>
    </row>
    <row r="94" spans="1:16" s="7" customFormat="1" x14ac:dyDescent="0.2">
      <c r="A94" s="47" t="s">
        <v>1057</v>
      </c>
      <c r="B94" s="374" t="s">
        <v>98</v>
      </c>
      <c r="C94" s="374">
        <v>6113</v>
      </c>
      <c r="D94" s="227" t="s">
        <v>297</v>
      </c>
      <c r="E94" s="374" t="s">
        <v>296</v>
      </c>
      <c r="F94" s="394">
        <v>8</v>
      </c>
      <c r="G94" s="395">
        <v>7.07</v>
      </c>
      <c r="H94" s="396">
        <f t="shared" si="5"/>
        <v>15.73</v>
      </c>
      <c r="I94" s="408">
        <f t="shared" si="4"/>
        <v>125.84</v>
      </c>
      <c r="J94" s="480"/>
      <c r="K94" s="6"/>
      <c r="L94" s="6"/>
      <c r="M94" s="6"/>
      <c r="N94" s="6"/>
      <c r="O94" s="6"/>
      <c r="P94" s="6"/>
    </row>
    <row r="95" spans="1:16" s="7" customFormat="1" x14ac:dyDescent="0.2">
      <c r="A95" s="47" t="s">
        <v>1058</v>
      </c>
      <c r="B95" s="374" t="s">
        <v>98</v>
      </c>
      <c r="C95" s="374">
        <v>4750</v>
      </c>
      <c r="D95" s="227" t="s">
        <v>305</v>
      </c>
      <c r="E95" s="374" t="s">
        <v>296</v>
      </c>
      <c r="F95" s="394">
        <v>12</v>
      </c>
      <c r="G95" s="395">
        <v>9.86</v>
      </c>
      <c r="H95" s="396">
        <f t="shared" si="5"/>
        <v>21.93</v>
      </c>
      <c r="I95" s="408">
        <f t="shared" si="4"/>
        <v>263.16000000000003</v>
      </c>
      <c r="J95" s="480"/>
      <c r="K95" s="6"/>
      <c r="L95" s="6"/>
      <c r="M95" s="6"/>
      <c r="N95" s="6"/>
      <c r="O95" s="6"/>
      <c r="P95" s="6"/>
    </row>
    <row r="96" spans="1:16" s="7" customFormat="1" ht="15" x14ac:dyDescent="0.2">
      <c r="A96" s="488"/>
      <c r="B96" s="489"/>
      <c r="C96" s="489"/>
      <c r="D96" s="440"/>
      <c r="E96" s="489"/>
      <c r="F96" s="490"/>
      <c r="G96" s="491"/>
      <c r="H96" s="396"/>
      <c r="I96" s="408"/>
      <c r="J96" s="6"/>
      <c r="K96" s="6"/>
      <c r="L96" s="6"/>
      <c r="M96" s="6"/>
      <c r="N96" s="6"/>
      <c r="O96" s="6"/>
      <c r="P96" s="6"/>
    </row>
    <row r="97" spans="1:16" s="7" customFormat="1" ht="15" x14ac:dyDescent="0.2">
      <c r="A97" s="488"/>
      <c r="B97" s="489"/>
      <c r="C97" s="489"/>
      <c r="D97" s="440"/>
      <c r="E97" s="489"/>
      <c r="F97" s="490"/>
      <c r="G97" s="491"/>
      <c r="H97" s="396"/>
      <c r="I97" s="408"/>
      <c r="J97" s="6"/>
      <c r="K97" s="6"/>
      <c r="L97" s="6"/>
      <c r="M97" s="6"/>
      <c r="N97" s="6"/>
      <c r="O97" s="6"/>
      <c r="P97" s="6"/>
    </row>
    <row r="98" spans="1:16" s="7" customFormat="1" ht="15" x14ac:dyDescent="0.2">
      <c r="A98" s="488"/>
      <c r="B98" s="489"/>
      <c r="C98" s="489"/>
      <c r="D98" s="440"/>
      <c r="E98" s="489"/>
      <c r="F98" s="490"/>
      <c r="G98" s="491"/>
      <c r="H98" s="396"/>
      <c r="I98" s="408"/>
      <c r="J98" s="6"/>
      <c r="K98" s="6"/>
      <c r="L98" s="6"/>
      <c r="M98" s="6"/>
      <c r="N98" s="6"/>
      <c r="O98" s="6"/>
      <c r="P98" s="6"/>
    </row>
    <row r="99" spans="1:16" s="7" customFormat="1" ht="15" x14ac:dyDescent="0.2">
      <c r="A99" s="488"/>
      <c r="B99" s="489"/>
      <c r="C99" s="489"/>
      <c r="D99" s="440"/>
      <c r="E99" s="489"/>
      <c r="F99" s="490"/>
      <c r="G99" s="491"/>
      <c r="H99" s="396"/>
      <c r="I99" s="408"/>
      <c r="J99" s="6"/>
      <c r="K99" s="6"/>
      <c r="L99" s="6"/>
      <c r="M99" s="6"/>
      <c r="N99" s="6"/>
      <c r="O99" s="6"/>
      <c r="P99" s="6"/>
    </row>
    <row r="100" spans="1:16" s="7" customFormat="1" ht="15" x14ac:dyDescent="0.2">
      <c r="A100" s="488"/>
      <c r="B100" s="489"/>
      <c r="C100" s="489"/>
      <c r="D100" s="440"/>
      <c r="E100" s="489"/>
      <c r="F100" s="490"/>
      <c r="G100" s="491"/>
      <c r="H100" s="396"/>
      <c r="I100" s="408"/>
      <c r="J100" s="6"/>
      <c r="K100" s="6"/>
      <c r="L100" s="6"/>
      <c r="M100" s="6"/>
      <c r="N100" s="6"/>
      <c r="O100" s="6"/>
      <c r="P100" s="6"/>
    </row>
    <row r="101" spans="1:16" s="7" customFormat="1" ht="15" x14ac:dyDescent="0.2">
      <c r="A101" s="488"/>
      <c r="B101" s="489"/>
      <c r="C101" s="489"/>
      <c r="D101" s="440"/>
      <c r="E101" s="489"/>
      <c r="F101" s="490"/>
      <c r="G101" s="491"/>
      <c r="H101" s="396"/>
      <c r="I101" s="408"/>
      <c r="J101" s="6"/>
      <c r="K101" s="6"/>
      <c r="L101" s="6"/>
      <c r="M101" s="6"/>
      <c r="N101" s="6"/>
      <c r="O101" s="6"/>
      <c r="P101" s="6"/>
    </row>
    <row r="102" spans="1:16" s="7" customFormat="1" ht="15" x14ac:dyDescent="0.2">
      <c r="A102" s="488"/>
      <c r="B102" s="489"/>
      <c r="C102" s="489"/>
      <c r="D102" s="440"/>
      <c r="E102" s="489"/>
      <c r="F102" s="490"/>
      <c r="G102" s="491"/>
      <c r="H102" s="396"/>
      <c r="I102" s="408"/>
      <c r="J102" s="6"/>
      <c r="K102" s="6"/>
      <c r="L102" s="6"/>
      <c r="M102" s="6"/>
      <c r="N102" s="6"/>
      <c r="O102" s="6"/>
      <c r="P102" s="6"/>
    </row>
    <row r="103" spans="1:16" s="7" customFormat="1" ht="15" x14ac:dyDescent="0.2">
      <c r="A103" s="488"/>
      <c r="B103" s="489"/>
      <c r="C103" s="489"/>
      <c r="D103" s="440"/>
      <c r="E103" s="489"/>
      <c r="F103" s="490"/>
      <c r="G103" s="491"/>
      <c r="H103" s="396"/>
      <c r="I103" s="408"/>
      <c r="J103" s="6"/>
      <c r="K103" s="6"/>
      <c r="L103" s="6"/>
      <c r="M103" s="6"/>
      <c r="N103" s="6"/>
      <c r="O103" s="6"/>
      <c r="P103" s="6"/>
    </row>
    <row r="104" spans="1:16" s="7" customFormat="1" ht="15" x14ac:dyDescent="0.2">
      <c r="A104" s="488"/>
      <c r="B104" s="489"/>
      <c r="C104" s="489"/>
      <c r="D104" s="440"/>
      <c r="E104" s="489"/>
      <c r="F104" s="490"/>
      <c r="G104" s="491"/>
      <c r="H104" s="396"/>
      <c r="I104" s="408"/>
      <c r="J104" s="6"/>
      <c r="K104" s="6"/>
      <c r="L104" s="6"/>
      <c r="M104" s="6"/>
      <c r="N104" s="6"/>
      <c r="O104" s="6"/>
      <c r="P104" s="6"/>
    </row>
    <row r="105" spans="1:16" s="7" customFormat="1" ht="15" x14ac:dyDescent="0.2">
      <c r="A105" s="488"/>
      <c r="B105" s="489"/>
      <c r="C105" s="489"/>
      <c r="D105" s="440"/>
      <c r="E105" s="489"/>
      <c r="F105" s="490"/>
      <c r="G105" s="491"/>
      <c r="H105" s="396"/>
      <c r="I105" s="408"/>
      <c r="J105" s="6"/>
      <c r="K105" s="6"/>
      <c r="L105" s="6"/>
      <c r="M105" s="6"/>
      <c r="N105" s="6"/>
      <c r="O105" s="6"/>
      <c r="P105" s="6"/>
    </row>
    <row r="106" spans="1:16" s="7" customFormat="1" ht="15" x14ac:dyDescent="0.2">
      <c r="A106" s="488"/>
      <c r="B106" s="489"/>
      <c r="C106" s="489"/>
      <c r="D106" s="440"/>
      <c r="E106" s="489"/>
      <c r="F106" s="490"/>
      <c r="G106" s="491"/>
      <c r="H106" s="396"/>
      <c r="I106" s="408"/>
      <c r="J106" s="6"/>
      <c r="K106" s="6"/>
      <c r="L106" s="6"/>
      <c r="M106" s="6"/>
      <c r="N106" s="6"/>
      <c r="O106" s="6"/>
      <c r="P106" s="6"/>
    </row>
    <row r="107" spans="1:16" s="7" customFormat="1" ht="15" x14ac:dyDescent="0.2">
      <c r="A107" s="488"/>
      <c r="B107" s="489"/>
      <c r="C107" s="489"/>
      <c r="D107" s="440"/>
      <c r="E107" s="489"/>
      <c r="F107" s="490"/>
      <c r="G107" s="491"/>
      <c r="H107" s="396"/>
      <c r="I107" s="408"/>
      <c r="J107" s="6"/>
      <c r="K107" s="6"/>
      <c r="L107" s="6"/>
      <c r="M107" s="6"/>
      <c r="N107" s="6"/>
      <c r="O107" s="6"/>
      <c r="P107" s="6"/>
    </row>
    <row r="108" spans="1:16" s="7" customFormat="1" ht="15" x14ac:dyDescent="0.2">
      <c r="A108" s="488"/>
      <c r="B108" s="489"/>
      <c r="C108" s="489"/>
      <c r="D108" s="440"/>
      <c r="E108" s="489"/>
      <c r="F108" s="490"/>
      <c r="G108" s="491"/>
      <c r="H108" s="396"/>
      <c r="I108" s="408"/>
      <c r="J108" s="6"/>
      <c r="K108" s="6"/>
      <c r="L108" s="6"/>
      <c r="M108" s="6"/>
      <c r="N108" s="6"/>
      <c r="O108" s="6"/>
      <c r="P108" s="6"/>
    </row>
    <row r="109" spans="1:16" s="7" customFormat="1" ht="15" x14ac:dyDescent="0.2">
      <c r="A109" s="488"/>
      <c r="B109" s="489"/>
      <c r="C109" s="489"/>
      <c r="D109" s="440"/>
      <c r="E109" s="489"/>
      <c r="F109" s="490"/>
      <c r="G109" s="491"/>
      <c r="H109" s="396"/>
      <c r="I109" s="408"/>
      <c r="J109" s="6"/>
      <c r="K109" s="6"/>
      <c r="L109" s="6"/>
      <c r="M109" s="6"/>
      <c r="N109" s="6"/>
      <c r="O109" s="6"/>
      <c r="P109" s="6"/>
    </row>
    <row r="110" spans="1:16" s="7" customFormat="1" ht="15" x14ac:dyDescent="0.2">
      <c r="A110" s="488"/>
      <c r="B110" s="489"/>
      <c r="C110" s="489"/>
      <c r="D110" s="440"/>
      <c r="E110" s="489"/>
      <c r="F110" s="490"/>
      <c r="G110" s="491"/>
      <c r="H110" s="396"/>
      <c r="I110" s="408"/>
      <c r="J110" s="6"/>
      <c r="K110" s="6"/>
      <c r="L110" s="6"/>
      <c r="M110" s="6"/>
      <c r="N110" s="6"/>
      <c r="O110" s="6"/>
      <c r="P110" s="6"/>
    </row>
    <row r="111" spans="1:16" s="7" customFormat="1" ht="15" x14ac:dyDescent="0.2">
      <c r="A111" s="488"/>
      <c r="B111" s="489"/>
      <c r="C111" s="489"/>
      <c r="D111" s="440"/>
      <c r="E111" s="489"/>
      <c r="F111" s="490"/>
      <c r="G111" s="491"/>
      <c r="H111" s="396"/>
      <c r="I111" s="408"/>
      <c r="J111" s="6"/>
      <c r="K111" s="6"/>
      <c r="L111" s="6"/>
      <c r="M111" s="6"/>
      <c r="N111" s="6"/>
      <c r="O111" s="6"/>
      <c r="P111" s="6"/>
    </row>
    <row r="112" spans="1:16" s="7" customFormat="1" ht="15" x14ac:dyDescent="0.2">
      <c r="A112" s="488"/>
      <c r="B112" s="489"/>
      <c r="C112" s="489"/>
      <c r="D112" s="440"/>
      <c r="E112" s="489"/>
      <c r="F112" s="490"/>
      <c r="G112" s="491"/>
      <c r="H112" s="396"/>
      <c r="I112" s="408"/>
      <c r="J112" s="6"/>
      <c r="K112" s="6"/>
      <c r="L112" s="6"/>
      <c r="M112" s="6"/>
      <c r="N112" s="6"/>
      <c r="O112" s="6"/>
      <c r="P112" s="6"/>
    </row>
    <row r="113" spans="1:16" s="7" customFormat="1" ht="15" x14ac:dyDescent="0.2">
      <c r="A113" s="488"/>
      <c r="B113" s="489"/>
      <c r="C113" s="489"/>
      <c r="D113" s="440"/>
      <c r="E113" s="489"/>
      <c r="F113" s="490"/>
      <c r="G113" s="491"/>
      <c r="H113" s="396"/>
      <c r="I113" s="408"/>
      <c r="J113" s="6"/>
      <c r="K113" s="6"/>
      <c r="L113" s="6"/>
      <c r="M113" s="6"/>
      <c r="N113" s="6"/>
      <c r="O113" s="6"/>
      <c r="P113" s="6"/>
    </row>
    <row r="114" spans="1:16" s="7" customFormat="1" ht="15" x14ac:dyDescent="0.2">
      <c r="A114" s="488"/>
      <c r="B114" s="489"/>
      <c r="C114" s="489"/>
      <c r="D114" s="440"/>
      <c r="E114" s="489"/>
      <c r="F114" s="490"/>
      <c r="G114" s="491"/>
      <c r="H114" s="396"/>
      <c r="I114" s="408"/>
      <c r="J114" s="6"/>
      <c r="K114" s="6"/>
      <c r="L114" s="6"/>
      <c r="M114" s="6"/>
      <c r="N114" s="6"/>
      <c r="O114" s="6"/>
      <c r="P114" s="6"/>
    </row>
    <row r="115" spans="1:16" s="7" customFormat="1" ht="15" x14ac:dyDescent="0.2">
      <c r="A115" s="488"/>
      <c r="B115" s="489"/>
      <c r="C115" s="489"/>
      <c r="D115" s="440"/>
      <c r="E115" s="489"/>
      <c r="F115" s="490"/>
      <c r="G115" s="491"/>
      <c r="H115" s="396"/>
      <c r="I115" s="408"/>
      <c r="J115" s="6"/>
      <c r="K115" s="6"/>
      <c r="L115" s="6"/>
      <c r="M115" s="6"/>
      <c r="N115" s="6"/>
      <c r="O115" s="6"/>
      <c r="P115" s="6"/>
    </row>
    <row r="116" spans="1:16" s="7" customFormat="1" ht="15" x14ac:dyDescent="0.2">
      <c r="A116" s="488"/>
      <c r="B116" s="489"/>
      <c r="C116" s="489"/>
      <c r="D116" s="440"/>
      <c r="E116" s="489"/>
      <c r="F116" s="490"/>
      <c r="G116" s="491"/>
      <c r="H116" s="396"/>
      <c r="I116" s="408"/>
      <c r="J116" s="6"/>
      <c r="K116" s="6"/>
      <c r="L116" s="6"/>
      <c r="M116" s="6"/>
      <c r="N116" s="6"/>
      <c r="O116" s="6"/>
      <c r="P116" s="6"/>
    </row>
    <row r="117" spans="1:16" s="7" customFormat="1" ht="15" x14ac:dyDescent="0.2">
      <c r="A117" s="488"/>
      <c r="B117" s="489"/>
      <c r="C117" s="489"/>
      <c r="D117" s="440"/>
      <c r="E117" s="489"/>
      <c r="F117" s="490"/>
      <c r="G117" s="491"/>
      <c r="H117" s="396"/>
      <c r="I117" s="408"/>
      <c r="J117" s="6"/>
      <c r="K117" s="6"/>
      <c r="L117" s="6"/>
      <c r="M117" s="6"/>
      <c r="N117" s="6"/>
      <c r="O117" s="6"/>
      <c r="P117" s="6"/>
    </row>
    <row r="118" spans="1:16" s="7" customFormat="1" ht="15" x14ac:dyDescent="0.2">
      <c r="A118" s="488"/>
      <c r="B118" s="489"/>
      <c r="C118" s="489"/>
      <c r="D118" s="440"/>
      <c r="E118" s="489"/>
      <c r="F118" s="490"/>
      <c r="G118" s="491"/>
      <c r="H118" s="396"/>
      <c r="I118" s="408"/>
      <c r="J118" s="6"/>
      <c r="K118" s="6"/>
      <c r="L118" s="6"/>
      <c r="M118" s="6"/>
      <c r="N118" s="6"/>
      <c r="O118" s="6"/>
      <c r="P118" s="6"/>
    </row>
    <row r="119" spans="1:16" s="7" customFormat="1" ht="15" x14ac:dyDescent="0.2">
      <c r="A119" s="488"/>
      <c r="B119" s="489"/>
      <c r="C119" s="489"/>
      <c r="D119" s="440"/>
      <c r="E119" s="489"/>
      <c r="F119" s="490"/>
      <c r="G119" s="491"/>
      <c r="H119" s="396"/>
      <c r="I119" s="408"/>
      <c r="J119" s="6"/>
      <c r="K119" s="6"/>
      <c r="L119" s="6"/>
      <c r="M119" s="6"/>
      <c r="N119" s="6"/>
      <c r="O119" s="6"/>
      <c r="P119" s="6"/>
    </row>
    <row r="120" spans="1:16" s="7" customFormat="1" ht="15" x14ac:dyDescent="0.2">
      <c r="A120" s="488"/>
      <c r="B120" s="489"/>
      <c r="C120" s="489"/>
      <c r="D120" s="440"/>
      <c r="E120" s="489"/>
      <c r="F120" s="490"/>
      <c r="G120" s="491"/>
      <c r="H120" s="396"/>
      <c r="I120" s="408"/>
      <c r="J120" s="6"/>
      <c r="K120" s="6"/>
      <c r="L120" s="6"/>
      <c r="M120" s="6"/>
      <c r="N120" s="6"/>
      <c r="O120" s="6"/>
      <c r="P120" s="6"/>
    </row>
    <row r="121" spans="1:16" s="7" customFormat="1" ht="15" x14ac:dyDescent="0.2">
      <c r="A121" s="488"/>
      <c r="B121" s="489"/>
      <c r="C121" s="489"/>
      <c r="D121" s="440"/>
      <c r="E121" s="489"/>
      <c r="F121" s="490"/>
      <c r="G121" s="491"/>
      <c r="H121" s="396"/>
      <c r="I121" s="408"/>
      <c r="J121" s="6"/>
      <c r="K121" s="6"/>
      <c r="L121" s="6"/>
      <c r="M121" s="6"/>
      <c r="N121" s="6"/>
      <c r="O121" s="6"/>
      <c r="P121" s="6"/>
    </row>
    <row r="122" spans="1:16" s="7" customFormat="1" ht="15" x14ac:dyDescent="0.2">
      <c r="A122" s="488"/>
      <c r="B122" s="489"/>
      <c r="C122" s="489"/>
      <c r="D122" s="440"/>
      <c r="E122" s="489"/>
      <c r="F122" s="490"/>
      <c r="G122" s="491"/>
      <c r="H122" s="396"/>
      <c r="I122" s="408"/>
      <c r="J122" s="6"/>
      <c r="K122" s="6"/>
      <c r="L122" s="6"/>
      <c r="M122" s="6"/>
      <c r="N122" s="6"/>
      <c r="O122" s="6"/>
      <c r="P122" s="6"/>
    </row>
    <row r="123" spans="1:16" s="7" customFormat="1" ht="15" x14ac:dyDescent="0.2">
      <c r="A123" s="488"/>
      <c r="B123" s="489"/>
      <c r="C123" s="489"/>
      <c r="D123" s="440"/>
      <c r="E123" s="489"/>
      <c r="F123" s="490"/>
      <c r="G123" s="491"/>
      <c r="H123" s="396"/>
      <c r="I123" s="408"/>
      <c r="J123" s="6"/>
      <c r="K123" s="6"/>
      <c r="L123" s="6"/>
      <c r="M123" s="6"/>
      <c r="N123" s="6"/>
      <c r="O123" s="6"/>
      <c r="P123" s="6"/>
    </row>
    <row r="124" spans="1:16" s="7" customFormat="1" ht="15" x14ac:dyDescent="0.2">
      <c r="A124" s="488"/>
      <c r="B124" s="489"/>
      <c r="C124" s="489"/>
      <c r="D124" s="492"/>
      <c r="E124" s="489"/>
      <c r="F124" s="490"/>
      <c r="G124" s="491"/>
      <c r="H124" s="396"/>
      <c r="I124" s="397"/>
      <c r="J124" s="6"/>
      <c r="K124" s="6"/>
      <c r="L124" s="6"/>
      <c r="M124" s="6"/>
      <c r="N124" s="6"/>
      <c r="O124" s="6"/>
      <c r="P124" s="6"/>
    </row>
    <row r="125" spans="1:16" s="7" customFormat="1" ht="15.75" thickBot="1" x14ac:dyDescent="0.25">
      <c r="A125" s="482"/>
      <c r="B125" s="493"/>
      <c r="C125" s="493"/>
      <c r="D125" s="483"/>
      <c r="E125" s="493"/>
      <c r="F125" s="494"/>
      <c r="G125" s="495"/>
      <c r="H125" s="401"/>
      <c r="I125" s="485"/>
      <c r="J125" s="8"/>
      <c r="K125" s="8"/>
      <c r="L125" s="8"/>
      <c r="M125" s="8"/>
      <c r="N125" s="8"/>
      <c r="O125" s="8"/>
      <c r="P125" s="8"/>
    </row>
    <row r="126" spans="1:16" s="7" customFormat="1" x14ac:dyDescent="0.2">
      <c r="G126" s="110"/>
      <c r="J126" s="8"/>
      <c r="K126" s="9"/>
      <c r="L126" s="8"/>
      <c r="M126" s="8"/>
      <c r="N126" s="8"/>
      <c r="O126" s="8"/>
      <c r="P126" s="8"/>
    </row>
    <row r="127" spans="1:16" x14ac:dyDescent="0.2">
      <c r="J127" s="5"/>
      <c r="K127" s="5"/>
      <c r="L127" s="5"/>
      <c r="M127" s="5"/>
      <c r="N127" s="5"/>
      <c r="O127" s="5"/>
      <c r="P127" s="5"/>
    </row>
    <row r="128" spans="1:16" x14ac:dyDescent="0.2">
      <c r="J128" s="5"/>
      <c r="K128" s="5"/>
      <c r="L128" s="5"/>
      <c r="M128" s="5"/>
      <c r="N128" s="5"/>
      <c r="O128" s="5"/>
      <c r="P128" s="5"/>
    </row>
    <row r="129" spans="1:16" x14ac:dyDescent="0.2">
      <c r="J129" s="5"/>
      <c r="K129" s="5"/>
      <c r="L129" s="5"/>
      <c r="M129" s="5"/>
      <c r="N129" s="5"/>
      <c r="O129" s="5"/>
      <c r="P129" s="5"/>
    </row>
    <row r="130" spans="1:16" x14ac:dyDescent="0.2">
      <c r="J130" s="5"/>
      <c r="K130" s="5"/>
      <c r="L130" s="5"/>
      <c r="M130" s="5"/>
      <c r="N130" s="5"/>
      <c r="O130" s="5"/>
      <c r="P130" s="5"/>
    </row>
    <row r="131" spans="1:16" x14ac:dyDescent="0.2">
      <c r="J131" s="5"/>
      <c r="K131" s="5"/>
      <c r="L131" s="5"/>
      <c r="M131" s="5"/>
      <c r="N131" s="5"/>
      <c r="O131" s="5"/>
      <c r="P131" s="5"/>
    </row>
    <row r="132" spans="1:16" x14ac:dyDescent="0.2">
      <c r="J132" s="5"/>
      <c r="K132" s="5"/>
      <c r="L132" s="5"/>
      <c r="M132" s="5"/>
      <c r="N132" s="5"/>
      <c r="O132" s="5"/>
      <c r="P132" s="5"/>
    </row>
    <row r="133" spans="1:16" x14ac:dyDescent="0.2">
      <c r="J133" s="5"/>
      <c r="K133" s="5"/>
      <c r="L133" s="5"/>
      <c r="M133" s="5"/>
      <c r="N133" s="5"/>
      <c r="O133" s="5"/>
      <c r="P133" s="5"/>
    </row>
    <row r="134" spans="1:16" x14ac:dyDescent="0.2">
      <c r="J134" s="5"/>
      <c r="K134" s="5"/>
      <c r="L134" s="5"/>
      <c r="M134" s="5"/>
      <c r="N134" s="5"/>
      <c r="O134" s="5"/>
      <c r="P134" s="5"/>
    </row>
    <row r="135" spans="1:16" x14ac:dyDescent="0.2">
      <c r="J135" s="5"/>
      <c r="K135" s="5"/>
      <c r="L135" s="5"/>
      <c r="M135" s="5"/>
      <c r="N135" s="5"/>
      <c r="O135" s="5"/>
      <c r="P135" s="5"/>
    </row>
    <row r="136" spans="1:16" x14ac:dyDescent="0.2">
      <c r="J136" s="5"/>
      <c r="K136" s="5"/>
      <c r="L136" s="5"/>
      <c r="M136" s="5"/>
      <c r="N136" s="5"/>
      <c r="O136" s="5"/>
      <c r="P136" s="5"/>
    </row>
    <row r="137" spans="1:1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5"/>
      <c r="K137" s="5"/>
      <c r="L137" s="5"/>
      <c r="M137" s="5"/>
      <c r="N137" s="5"/>
      <c r="O137" s="5"/>
      <c r="P137" s="5"/>
    </row>
    <row r="138" spans="1:1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5"/>
      <c r="K138" s="5"/>
      <c r="L138" s="5"/>
      <c r="M138" s="5"/>
      <c r="N138" s="5"/>
      <c r="O138" s="5"/>
      <c r="P138" s="5"/>
    </row>
    <row r="139" spans="1:1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5"/>
      <c r="K139" s="5"/>
      <c r="L139" s="5"/>
      <c r="M139" s="5"/>
      <c r="N139" s="5"/>
      <c r="O139" s="5"/>
      <c r="P139" s="5"/>
    </row>
    <row r="140" spans="1:16" ht="14.2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5"/>
      <c r="K140" s="5"/>
      <c r="L140" s="5"/>
      <c r="M140" s="5"/>
      <c r="N140" s="5"/>
      <c r="O140" s="5"/>
      <c r="P140" s="5"/>
    </row>
    <row r="141" spans="1:1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5"/>
      <c r="K141" s="5"/>
      <c r="L141" s="5"/>
      <c r="M141" s="5"/>
      <c r="N141" s="5"/>
      <c r="O141" s="5"/>
      <c r="P141" s="5"/>
    </row>
    <row r="142" spans="1:16" ht="15.9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5"/>
      <c r="K142" s="5"/>
      <c r="L142" s="5"/>
      <c r="M142" s="5"/>
      <c r="N142" s="5"/>
      <c r="O142" s="5"/>
      <c r="P142" s="5"/>
    </row>
    <row r="143" spans="1:16" ht="15.9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5"/>
      <c r="K143" s="5"/>
      <c r="L143" s="5"/>
      <c r="M143" s="5"/>
      <c r="N143" s="5"/>
      <c r="O143" s="5"/>
      <c r="P143" s="5"/>
    </row>
    <row r="144" spans="1:16" ht="15.9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5"/>
      <c r="K144" s="5"/>
      <c r="L144" s="5"/>
      <c r="M144" s="5"/>
      <c r="N144" s="5"/>
      <c r="O144" s="5"/>
      <c r="P144" s="5"/>
    </row>
    <row r="145" spans="1:16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5"/>
      <c r="K145" s="5"/>
      <c r="L145" s="5"/>
      <c r="M145" s="5"/>
      <c r="N145" s="5"/>
      <c r="O145" s="5"/>
      <c r="P145" s="5"/>
    </row>
    <row r="146" spans="1:16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5"/>
      <c r="K146" s="5"/>
      <c r="L146" s="5"/>
      <c r="M146" s="5"/>
      <c r="N146" s="5"/>
      <c r="O146" s="5"/>
      <c r="P146" s="5"/>
    </row>
    <row r="147" spans="1:16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5"/>
      <c r="K147" s="5"/>
      <c r="L147" s="5"/>
      <c r="M147" s="5"/>
      <c r="N147" s="5"/>
      <c r="O147" s="5"/>
      <c r="P147" s="5"/>
    </row>
    <row r="148" spans="1:16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5"/>
      <c r="K148" s="5"/>
      <c r="L148" s="5"/>
      <c r="M148" s="5"/>
      <c r="N148" s="5"/>
      <c r="O148" s="5"/>
      <c r="P148" s="5"/>
    </row>
    <row r="149" spans="1:16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5"/>
      <c r="K149" s="5"/>
      <c r="L149" s="5"/>
      <c r="M149" s="5"/>
      <c r="N149" s="5"/>
      <c r="O149" s="5"/>
      <c r="P149" s="5"/>
    </row>
    <row r="150" spans="1:16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5"/>
      <c r="K150" s="5"/>
      <c r="L150" s="5"/>
      <c r="M150" s="5"/>
      <c r="N150" s="5"/>
      <c r="O150" s="5"/>
      <c r="P150" s="5"/>
    </row>
    <row r="151" spans="1:16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5"/>
      <c r="K151" s="5"/>
      <c r="L151" s="5"/>
      <c r="M151" s="5"/>
      <c r="N151" s="5"/>
      <c r="O151" s="5"/>
      <c r="P151" s="5"/>
    </row>
    <row r="152" spans="1:16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5"/>
      <c r="K152" s="5"/>
      <c r="L152" s="5"/>
      <c r="M152" s="5"/>
      <c r="N152" s="5"/>
      <c r="O152" s="5"/>
      <c r="P152" s="5"/>
    </row>
    <row r="153" spans="1:16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5"/>
      <c r="K153" s="5"/>
      <c r="L153" s="5"/>
      <c r="M153" s="5"/>
      <c r="N153" s="5"/>
      <c r="O153" s="5"/>
      <c r="P153" s="5"/>
    </row>
    <row r="154" spans="1:16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5"/>
      <c r="K154" s="5"/>
      <c r="L154" s="5"/>
      <c r="M154" s="5"/>
      <c r="N154" s="5"/>
      <c r="O154" s="5"/>
      <c r="P154" s="5"/>
    </row>
    <row r="155" spans="1:16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5"/>
      <c r="K155" s="5"/>
      <c r="L155" s="5"/>
      <c r="M155" s="5"/>
      <c r="N155" s="5"/>
      <c r="O155" s="5"/>
      <c r="P155" s="5"/>
    </row>
    <row r="156" spans="1:16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5"/>
      <c r="K156" s="5"/>
      <c r="L156" s="5"/>
      <c r="M156" s="5"/>
      <c r="N156" s="5"/>
      <c r="O156" s="5"/>
      <c r="P156" s="5"/>
    </row>
    <row r="157" spans="1:16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5"/>
      <c r="K157" s="5"/>
      <c r="L157" s="5"/>
      <c r="M157" s="5"/>
      <c r="N157" s="5"/>
      <c r="O157" s="5"/>
      <c r="P157" s="5"/>
    </row>
    <row r="158" spans="1:16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5"/>
      <c r="K158" s="5"/>
      <c r="L158" s="5"/>
      <c r="M158" s="5"/>
      <c r="N158" s="5"/>
      <c r="O158" s="5"/>
      <c r="P158" s="5"/>
    </row>
    <row r="159" spans="1:16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5"/>
      <c r="K159" s="5"/>
      <c r="L159" s="5"/>
      <c r="M159" s="5"/>
      <c r="N159" s="5"/>
      <c r="O159" s="5"/>
      <c r="P159" s="5"/>
    </row>
    <row r="160" spans="1:16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5"/>
      <c r="K160" s="5"/>
      <c r="L160" s="5"/>
      <c r="M160" s="5"/>
      <c r="N160" s="5"/>
      <c r="O160" s="5"/>
      <c r="P160" s="5"/>
    </row>
    <row r="161" spans="1:16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5"/>
      <c r="K161" s="5"/>
      <c r="L161" s="5"/>
      <c r="M161" s="5"/>
      <c r="N161" s="5"/>
      <c r="O161" s="5"/>
      <c r="P161" s="5"/>
    </row>
    <row r="162" spans="1:16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5"/>
      <c r="K162" s="5"/>
      <c r="L162" s="5"/>
      <c r="M162" s="5"/>
      <c r="N162" s="5"/>
      <c r="O162" s="5"/>
      <c r="P162" s="5"/>
    </row>
    <row r="163" spans="1:16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5"/>
      <c r="K163" s="5"/>
      <c r="L163" s="5"/>
      <c r="M163" s="5"/>
      <c r="N163" s="5"/>
      <c r="O163" s="5"/>
      <c r="P163" s="5"/>
    </row>
    <row r="164" spans="1:16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5"/>
      <c r="K164" s="5"/>
      <c r="L164" s="5"/>
      <c r="M164" s="5"/>
      <c r="N164" s="5"/>
      <c r="O164" s="5"/>
      <c r="P164" s="5"/>
    </row>
    <row r="165" spans="1:16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5"/>
      <c r="K165" s="5"/>
      <c r="L165" s="5"/>
      <c r="M165" s="5"/>
      <c r="N165" s="5"/>
      <c r="O165" s="5"/>
      <c r="P165" s="5"/>
    </row>
    <row r="166" spans="1:16" ht="15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5"/>
      <c r="K166" s="5"/>
      <c r="L166" s="5"/>
      <c r="M166" s="5"/>
      <c r="N166" s="5"/>
      <c r="O166" s="5"/>
      <c r="P166" s="5"/>
    </row>
    <row r="167" spans="1:16" ht="15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5"/>
      <c r="K167" s="5"/>
      <c r="L167" s="5"/>
      <c r="M167" s="5"/>
      <c r="N167" s="5"/>
      <c r="O167" s="5"/>
      <c r="P167" s="5"/>
    </row>
    <row r="168" spans="1:16" ht="15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5"/>
      <c r="K168" s="5"/>
      <c r="L168" s="5"/>
      <c r="M168" s="5"/>
      <c r="N168" s="5"/>
      <c r="O168" s="5"/>
      <c r="P168" s="5"/>
    </row>
    <row r="169" spans="1:16" ht="15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5"/>
      <c r="K169" s="5"/>
      <c r="L169" s="5"/>
      <c r="M169" s="5"/>
      <c r="N169" s="5"/>
      <c r="O169" s="5"/>
      <c r="P169" s="5"/>
    </row>
    <row r="170" spans="1:16" ht="15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5"/>
      <c r="K170" s="5"/>
      <c r="L170" s="5"/>
      <c r="M170" s="5"/>
      <c r="N170" s="5"/>
      <c r="O170" s="5"/>
      <c r="P170" s="5"/>
    </row>
    <row r="171" spans="1:16" ht="15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5"/>
      <c r="K171" s="5"/>
      <c r="L171" s="5"/>
      <c r="M171" s="5"/>
      <c r="N171" s="5"/>
      <c r="O171" s="5"/>
      <c r="P171" s="5"/>
    </row>
    <row r="172" spans="1:16" ht="15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5"/>
      <c r="K172" s="5"/>
      <c r="L172" s="5"/>
      <c r="M172" s="5"/>
      <c r="N172" s="5"/>
      <c r="O172" s="5"/>
      <c r="P172" s="5"/>
    </row>
    <row r="173" spans="1:16" ht="15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5"/>
      <c r="K173" s="5"/>
      <c r="L173" s="5"/>
      <c r="M173" s="5"/>
      <c r="N173" s="5"/>
      <c r="O173" s="5"/>
      <c r="P173" s="5"/>
    </row>
    <row r="174" spans="1:16" ht="15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5"/>
      <c r="K174" s="5"/>
      <c r="L174" s="5"/>
      <c r="M174" s="5"/>
      <c r="N174" s="5"/>
      <c r="O174" s="5"/>
      <c r="P174" s="5"/>
    </row>
    <row r="175" spans="1:16" ht="15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5"/>
      <c r="K175" s="5"/>
      <c r="L175" s="5"/>
      <c r="M175" s="5"/>
      <c r="N175" s="5"/>
      <c r="O175" s="5"/>
      <c r="P175" s="5"/>
    </row>
    <row r="176" spans="1:16" ht="15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5"/>
      <c r="K176" s="5"/>
      <c r="L176" s="5"/>
      <c r="M176" s="5"/>
      <c r="N176" s="5"/>
      <c r="O176" s="5"/>
      <c r="P176" s="5"/>
    </row>
    <row r="177" spans="1:16" ht="15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5"/>
      <c r="K177" s="5"/>
      <c r="L177" s="5"/>
      <c r="M177" s="5"/>
      <c r="N177" s="5"/>
      <c r="O177" s="5"/>
      <c r="P177" s="5"/>
    </row>
    <row r="178" spans="1:16" ht="15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5"/>
      <c r="K178" s="5"/>
      <c r="L178" s="5"/>
      <c r="M178" s="5"/>
      <c r="N178" s="5"/>
      <c r="O178" s="5"/>
      <c r="P178" s="5"/>
    </row>
    <row r="179" spans="1:16" ht="15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5"/>
      <c r="K179" s="5"/>
      <c r="L179" s="5"/>
      <c r="M179" s="5"/>
      <c r="N179" s="5"/>
      <c r="O179" s="5"/>
      <c r="P179" s="5"/>
    </row>
    <row r="180" spans="1:16" ht="15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5"/>
      <c r="K180" s="5"/>
      <c r="L180" s="5"/>
      <c r="M180" s="5"/>
      <c r="N180" s="5"/>
      <c r="O180" s="5"/>
      <c r="P180" s="5"/>
    </row>
    <row r="181" spans="1:16" ht="15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5"/>
      <c r="K181" s="5"/>
      <c r="L181" s="5"/>
      <c r="M181" s="5"/>
      <c r="N181" s="5"/>
      <c r="O181" s="5"/>
      <c r="P181" s="5"/>
    </row>
    <row r="182" spans="1:16" ht="15.9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5"/>
      <c r="K182" s="5"/>
      <c r="L182" s="5"/>
      <c r="M182" s="5"/>
      <c r="N182" s="5"/>
      <c r="O182" s="5"/>
      <c r="P182" s="5"/>
    </row>
    <row r="183" spans="1:16" ht="15.9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5"/>
      <c r="K183" s="5"/>
      <c r="L183" s="5"/>
      <c r="M183" s="5"/>
      <c r="N183" s="5"/>
      <c r="O183" s="5"/>
      <c r="P183" s="5"/>
    </row>
    <row r="184" spans="1:16" ht="15.9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5"/>
      <c r="K184" s="5"/>
      <c r="L184" s="5"/>
      <c r="M184" s="5"/>
      <c r="N184" s="5"/>
      <c r="O184" s="5"/>
      <c r="P184" s="5"/>
    </row>
    <row r="185" spans="1:16" ht="15.9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5"/>
      <c r="K185" s="5"/>
      <c r="L185" s="5"/>
      <c r="M185" s="5"/>
      <c r="N185" s="5"/>
      <c r="O185" s="5"/>
      <c r="P185" s="5"/>
    </row>
    <row r="186" spans="1:16" ht="15.9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5"/>
      <c r="K186" s="5"/>
      <c r="L186" s="5"/>
      <c r="M186" s="5"/>
      <c r="N186" s="5"/>
      <c r="O186" s="5"/>
      <c r="P186" s="5"/>
    </row>
    <row r="187" spans="1:16" ht="15.9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5"/>
      <c r="K187" s="5"/>
      <c r="L187" s="5"/>
      <c r="M187" s="5"/>
      <c r="N187" s="5"/>
      <c r="O187" s="5"/>
      <c r="P187" s="5"/>
    </row>
    <row r="188" spans="1:16" ht="15.9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5"/>
      <c r="K188" s="5"/>
      <c r="L188" s="5"/>
      <c r="M188" s="5"/>
      <c r="N188" s="5"/>
      <c r="O188" s="5"/>
      <c r="P188" s="5"/>
    </row>
    <row r="189" spans="1:16" ht="15.9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5"/>
      <c r="K189" s="5"/>
      <c r="L189" s="5"/>
      <c r="M189" s="5"/>
      <c r="N189" s="5"/>
      <c r="O189" s="5"/>
      <c r="P189" s="5"/>
    </row>
    <row r="190" spans="1:16" ht="15.9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5"/>
      <c r="K190" s="5"/>
      <c r="L190" s="5"/>
      <c r="M190" s="5"/>
      <c r="N190" s="5"/>
      <c r="O190" s="5"/>
      <c r="P190" s="5"/>
    </row>
    <row r="191" spans="1:16" ht="15.9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5"/>
      <c r="K191" s="5"/>
      <c r="L191" s="5"/>
      <c r="M191" s="5"/>
      <c r="N191" s="5"/>
      <c r="O191" s="5"/>
      <c r="P191" s="5"/>
    </row>
    <row r="192" spans="1:16" ht="15.9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5"/>
      <c r="K192" s="5"/>
      <c r="L192" s="5"/>
      <c r="M192" s="5"/>
      <c r="N192" s="5"/>
      <c r="O192" s="5"/>
      <c r="P192" s="5"/>
    </row>
    <row r="193" spans="1:16" ht="15.9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5"/>
      <c r="K193" s="5"/>
      <c r="L193" s="5"/>
      <c r="M193" s="5"/>
      <c r="N193" s="5"/>
      <c r="O193" s="5"/>
      <c r="P193" s="5"/>
    </row>
    <row r="194" spans="1:16" ht="15.9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5"/>
      <c r="K194" s="5"/>
      <c r="L194" s="5"/>
      <c r="M194" s="5"/>
      <c r="N194" s="5"/>
      <c r="O194" s="5"/>
      <c r="P194" s="5"/>
    </row>
    <row r="195" spans="1:16" ht="15.9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5"/>
      <c r="K195" s="5"/>
      <c r="L195" s="5"/>
      <c r="M195" s="5"/>
      <c r="N195" s="5"/>
      <c r="O195" s="5"/>
      <c r="P195" s="5"/>
    </row>
    <row r="196" spans="1:16" ht="15.9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5"/>
      <c r="K196" s="5"/>
      <c r="L196" s="5"/>
      <c r="M196" s="5"/>
      <c r="N196" s="5"/>
      <c r="O196" s="5"/>
      <c r="P196" s="5"/>
    </row>
    <row r="197" spans="1:16" ht="15.9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5"/>
      <c r="K197" s="5"/>
      <c r="L197" s="5"/>
      <c r="M197" s="5"/>
      <c r="N197" s="5"/>
      <c r="O197" s="5"/>
      <c r="P197" s="5"/>
    </row>
    <row r="198" spans="1:16" ht="15.9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5"/>
      <c r="K198" s="5"/>
      <c r="L198" s="5"/>
      <c r="M198" s="5"/>
      <c r="N198" s="5"/>
      <c r="O198" s="5"/>
      <c r="P198" s="5"/>
    </row>
    <row r="199" spans="1:16" ht="15.9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5"/>
      <c r="K199" s="5"/>
      <c r="L199" s="5"/>
      <c r="M199" s="5"/>
      <c r="N199" s="5"/>
      <c r="O199" s="5"/>
      <c r="P199" s="5"/>
    </row>
    <row r="200" spans="1:16" ht="15.9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5"/>
      <c r="K200" s="5"/>
      <c r="L200" s="5"/>
      <c r="M200" s="5"/>
      <c r="N200" s="5"/>
      <c r="O200" s="5"/>
      <c r="P200" s="5"/>
    </row>
    <row r="201" spans="1:16" ht="15.9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5"/>
      <c r="K201" s="5"/>
      <c r="L201" s="5"/>
      <c r="M201" s="5"/>
      <c r="N201" s="5"/>
      <c r="O201" s="5"/>
      <c r="P201" s="5"/>
    </row>
    <row r="202" spans="1:16" ht="15.9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5"/>
      <c r="K202" s="5"/>
      <c r="L202" s="5"/>
      <c r="M202" s="5"/>
      <c r="N202" s="5"/>
      <c r="O202" s="5"/>
      <c r="P202" s="5"/>
    </row>
    <row r="203" spans="1:16" ht="15.9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5"/>
      <c r="K203" s="5"/>
      <c r="L203" s="5"/>
      <c r="M203" s="5"/>
      <c r="N203" s="5"/>
      <c r="O203" s="5"/>
      <c r="P203" s="5"/>
    </row>
    <row r="204" spans="1:16" ht="15.9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5"/>
      <c r="K204" s="5"/>
      <c r="L204" s="5"/>
      <c r="M204" s="5"/>
      <c r="N204" s="5"/>
      <c r="O204" s="5"/>
      <c r="P204" s="5"/>
    </row>
    <row r="205" spans="1:16" ht="15.9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5"/>
      <c r="K205" s="5"/>
      <c r="L205" s="5"/>
      <c r="M205" s="5"/>
      <c r="N205" s="5"/>
      <c r="O205" s="5"/>
      <c r="P205" s="5"/>
    </row>
    <row r="206" spans="1:16" ht="15.9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5"/>
      <c r="K206" s="5"/>
      <c r="L206" s="5"/>
      <c r="M206" s="5"/>
      <c r="N206" s="5"/>
      <c r="O206" s="5"/>
      <c r="P206" s="5"/>
    </row>
    <row r="207" spans="1:16" ht="15.9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5"/>
      <c r="K207" s="5"/>
      <c r="L207" s="5"/>
      <c r="M207" s="5"/>
      <c r="N207" s="5"/>
      <c r="O207" s="5"/>
      <c r="P207" s="5"/>
    </row>
    <row r="208" spans="1:16" ht="15.9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5"/>
      <c r="K208" s="5"/>
      <c r="L208" s="5"/>
      <c r="M208" s="5"/>
      <c r="N208" s="5"/>
      <c r="O208" s="5"/>
      <c r="P208" s="5"/>
    </row>
    <row r="209" spans="1:16" ht="15.9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5"/>
      <c r="K209" s="5"/>
      <c r="L209" s="5"/>
      <c r="M209" s="5"/>
      <c r="N209" s="5"/>
      <c r="O209" s="5"/>
      <c r="P209" s="5"/>
    </row>
    <row r="210" spans="1:16" ht="15.9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5"/>
      <c r="K210" s="5"/>
      <c r="L210" s="5"/>
      <c r="M210" s="5"/>
      <c r="N210" s="5"/>
      <c r="O210" s="5"/>
      <c r="P210" s="5"/>
    </row>
    <row r="211" spans="1:16" ht="15.9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5"/>
      <c r="K211" s="5"/>
      <c r="L211" s="5"/>
      <c r="M211" s="5"/>
      <c r="N211" s="5"/>
      <c r="O211" s="5"/>
      <c r="P211" s="5"/>
    </row>
    <row r="212" spans="1:16" ht="15.9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5"/>
      <c r="K212" s="5"/>
      <c r="L212" s="5"/>
      <c r="M212" s="5"/>
      <c r="N212" s="5"/>
      <c r="O212" s="5"/>
      <c r="P212" s="5"/>
    </row>
    <row r="213" spans="1:16" ht="15.9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5"/>
      <c r="K213" s="5"/>
      <c r="L213" s="5"/>
      <c r="M213" s="5"/>
      <c r="N213" s="5"/>
      <c r="O213" s="5"/>
      <c r="P213" s="5"/>
    </row>
    <row r="214" spans="1:16" ht="15.9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5"/>
      <c r="K214" s="5"/>
      <c r="L214" s="5"/>
      <c r="M214" s="5"/>
      <c r="N214" s="5"/>
      <c r="O214" s="5"/>
      <c r="P214" s="5"/>
    </row>
    <row r="215" spans="1:16" ht="15.9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5"/>
      <c r="K215" s="5"/>
      <c r="L215" s="5"/>
      <c r="M215" s="5"/>
      <c r="N215" s="5"/>
      <c r="O215" s="5"/>
      <c r="P215" s="5"/>
    </row>
    <row r="216" spans="1:16" ht="15.9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5"/>
      <c r="K216" s="5"/>
      <c r="L216" s="5"/>
      <c r="M216" s="5"/>
      <c r="N216" s="5"/>
      <c r="O216" s="5"/>
      <c r="P216" s="5"/>
    </row>
    <row r="217" spans="1:16" ht="15.9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5"/>
      <c r="K217" s="5"/>
      <c r="L217" s="5"/>
      <c r="M217" s="5"/>
      <c r="N217" s="5"/>
      <c r="O217" s="5"/>
      <c r="P217" s="5"/>
    </row>
    <row r="218" spans="1:16" ht="15.9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5"/>
      <c r="K218" s="5"/>
      <c r="L218" s="5"/>
      <c r="M218" s="5"/>
      <c r="N218" s="5"/>
      <c r="O218" s="5"/>
      <c r="P218" s="5"/>
    </row>
    <row r="219" spans="1:16" ht="15.9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5"/>
      <c r="K219" s="5"/>
      <c r="L219" s="5"/>
      <c r="M219" s="5"/>
      <c r="N219" s="5"/>
      <c r="O219" s="5"/>
      <c r="P219" s="5"/>
    </row>
    <row r="220" spans="1:16" ht="15.9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5"/>
      <c r="K220" s="5"/>
      <c r="L220" s="5"/>
      <c r="M220" s="5"/>
      <c r="N220" s="5"/>
      <c r="O220" s="5"/>
      <c r="P220" s="5"/>
    </row>
    <row r="221" spans="1:16" ht="15.9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5"/>
      <c r="K221" s="5"/>
      <c r="L221" s="5"/>
      <c r="M221" s="5"/>
      <c r="N221" s="5"/>
      <c r="O221" s="5"/>
      <c r="P221" s="5"/>
    </row>
    <row r="222" spans="1:16" ht="15.9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5"/>
      <c r="K222" s="5"/>
      <c r="L222" s="5"/>
      <c r="M222" s="5"/>
      <c r="N222" s="5"/>
      <c r="O222" s="5"/>
      <c r="P222" s="5"/>
    </row>
    <row r="223" spans="1:16" ht="15.9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5"/>
      <c r="K223" s="5"/>
      <c r="L223" s="5"/>
      <c r="M223" s="5"/>
      <c r="N223" s="5"/>
      <c r="O223" s="5"/>
      <c r="P223" s="5"/>
    </row>
    <row r="224" spans="1:16" ht="15.9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5"/>
      <c r="K224" s="5"/>
      <c r="L224" s="5"/>
      <c r="M224" s="5"/>
      <c r="N224" s="5"/>
      <c r="O224" s="5"/>
      <c r="P224" s="5"/>
    </row>
    <row r="225" spans="1:16" ht="15.9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5"/>
      <c r="K225" s="5"/>
      <c r="L225" s="5"/>
      <c r="M225" s="5"/>
      <c r="N225" s="5"/>
      <c r="O225" s="5"/>
      <c r="P225" s="5"/>
    </row>
    <row r="226" spans="1:16" ht="15.9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5"/>
      <c r="K226" s="5"/>
      <c r="L226" s="5"/>
      <c r="M226" s="5"/>
      <c r="N226" s="5"/>
      <c r="O226" s="5"/>
      <c r="P226" s="5"/>
    </row>
    <row r="227" spans="1:16" ht="15.9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5"/>
      <c r="K227" s="5"/>
      <c r="L227" s="5"/>
      <c r="M227" s="5"/>
      <c r="N227" s="5"/>
      <c r="O227" s="5"/>
      <c r="P227" s="5"/>
    </row>
    <row r="228" spans="1:16" ht="15.9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5"/>
      <c r="K228" s="5"/>
      <c r="L228" s="5"/>
      <c r="M228" s="5"/>
      <c r="N228" s="5"/>
      <c r="O228" s="5"/>
      <c r="P228" s="5"/>
    </row>
    <row r="229" spans="1:16" ht="15.9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5"/>
      <c r="K229" s="5"/>
      <c r="L229" s="5"/>
      <c r="M229" s="5"/>
      <c r="N229" s="5"/>
      <c r="O229" s="5"/>
      <c r="P229" s="5"/>
    </row>
    <row r="230" spans="1:16" ht="15.9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5"/>
      <c r="K230" s="5"/>
      <c r="L230" s="5"/>
      <c r="M230" s="5"/>
      <c r="N230" s="5"/>
      <c r="O230" s="5"/>
      <c r="P230" s="5"/>
    </row>
    <row r="231" spans="1:16" ht="15.9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5"/>
      <c r="K231" s="5"/>
      <c r="L231" s="5"/>
      <c r="M231" s="5"/>
      <c r="N231" s="5"/>
      <c r="O231" s="5"/>
      <c r="P231" s="5"/>
    </row>
    <row r="232" spans="1:16" ht="15.9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5"/>
      <c r="K232" s="5"/>
      <c r="L232" s="5"/>
      <c r="M232" s="5"/>
      <c r="N232" s="5"/>
      <c r="O232" s="5"/>
      <c r="P232" s="5"/>
    </row>
    <row r="233" spans="1:16" ht="15.9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5"/>
      <c r="K233" s="5"/>
      <c r="L233" s="5"/>
      <c r="M233" s="5"/>
      <c r="N233" s="5"/>
      <c r="O233" s="5"/>
      <c r="P233" s="5"/>
    </row>
    <row r="234" spans="1:16" ht="15.9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5"/>
      <c r="K234" s="5"/>
      <c r="L234" s="5"/>
      <c r="M234" s="5"/>
      <c r="N234" s="5"/>
      <c r="O234" s="5"/>
      <c r="P234" s="5"/>
    </row>
    <row r="235" spans="1:16" ht="15.9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5"/>
      <c r="K235" s="5"/>
      <c r="L235" s="5"/>
      <c r="M235" s="5"/>
      <c r="N235" s="5"/>
      <c r="O235" s="5"/>
      <c r="P235" s="5"/>
    </row>
    <row r="236" spans="1:16" ht="15.9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5"/>
      <c r="K236" s="5"/>
      <c r="L236" s="5"/>
      <c r="M236" s="5"/>
      <c r="N236" s="5"/>
      <c r="O236" s="5"/>
      <c r="P236" s="5"/>
    </row>
    <row r="237" spans="1:16" ht="15.9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5"/>
      <c r="K237" s="5"/>
      <c r="L237" s="5"/>
      <c r="M237" s="5"/>
      <c r="N237" s="5"/>
      <c r="O237" s="5"/>
      <c r="P237" s="5"/>
    </row>
    <row r="238" spans="1:16" ht="15.9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5"/>
      <c r="K238" s="5"/>
      <c r="L238" s="5"/>
      <c r="M238" s="5"/>
      <c r="N238" s="5"/>
      <c r="O238" s="5"/>
      <c r="P238" s="5"/>
    </row>
    <row r="239" spans="1:16" ht="15.9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5"/>
      <c r="K239" s="5"/>
      <c r="L239" s="5"/>
      <c r="M239" s="5"/>
      <c r="N239" s="5"/>
      <c r="O239" s="5"/>
      <c r="P239" s="5"/>
    </row>
    <row r="240" spans="1:16" ht="15.9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5"/>
      <c r="K240" s="5"/>
      <c r="L240" s="5"/>
      <c r="M240" s="5"/>
      <c r="N240" s="5"/>
      <c r="O240" s="5"/>
      <c r="P240" s="5"/>
    </row>
    <row r="241" spans="1:16" ht="15.9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5"/>
      <c r="K241" s="5"/>
      <c r="L241" s="5"/>
      <c r="M241" s="5"/>
      <c r="N241" s="5"/>
      <c r="O241" s="5"/>
      <c r="P241" s="5"/>
    </row>
    <row r="242" spans="1:16" ht="15.9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5"/>
      <c r="K242" s="5"/>
      <c r="L242" s="5"/>
      <c r="M242" s="5"/>
      <c r="N242" s="5"/>
      <c r="O242" s="5"/>
      <c r="P242" s="5"/>
    </row>
    <row r="243" spans="1:16" ht="15.9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5"/>
      <c r="K243" s="5"/>
      <c r="L243" s="5"/>
      <c r="M243" s="5"/>
      <c r="N243" s="5"/>
      <c r="O243" s="5"/>
      <c r="P243" s="5"/>
    </row>
    <row r="244" spans="1:16" ht="15.9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5"/>
      <c r="K244" s="5"/>
      <c r="L244" s="5"/>
      <c r="M244" s="5"/>
      <c r="N244" s="5"/>
      <c r="O244" s="5"/>
      <c r="P244" s="5"/>
    </row>
    <row r="245" spans="1:16" ht="15.9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5"/>
      <c r="K245" s="5"/>
      <c r="L245" s="5"/>
      <c r="M245" s="5"/>
      <c r="N245" s="5"/>
      <c r="O245" s="5"/>
      <c r="P245" s="5"/>
    </row>
    <row r="246" spans="1:16" ht="15.9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5"/>
      <c r="K246" s="5"/>
      <c r="L246" s="5"/>
      <c r="M246" s="5"/>
      <c r="N246" s="5"/>
      <c r="O246" s="5"/>
      <c r="P246" s="5"/>
    </row>
    <row r="247" spans="1:16" ht="15.9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5"/>
      <c r="K247" s="5"/>
      <c r="L247" s="5"/>
      <c r="M247" s="5"/>
      <c r="N247" s="5"/>
      <c r="O247" s="5"/>
      <c r="P247" s="5"/>
    </row>
    <row r="248" spans="1:16" ht="15.9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5"/>
      <c r="K248" s="5"/>
      <c r="L248" s="5"/>
      <c r="M248" s="5"/>
      <c r="N248" s="5"/>
      <c r="O248" s="5"/>
      <c r="P248" s="5"/>
    </row>
    <row r="249" spans="1:16" ht="15.9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5"/>
      <c r="K249" s="5"/>
      <c r="L249" s="5"/>
      <c r="M249" s="5"/>
      <c r="N249" s="5"/>
      <c r="O249" s="5"/>
      <c r="P249" s="5"/>
    </row>
    <row r="250" spans="1:16" ht="15.9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5"/>
      <c r="K250" s="5"/>
      <c r="L250" s="5"/>
      <c r="M250" s="5"/>
      <c r="N250" s="5"/>
      <c r="O250" s="5"/>
      <c r="P250" s="5"/>
    </row>
    <row r="251" spans="1:16" ht="15.9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5"/>
      <c r="K251" s="5"/>
      <c r="L251" s="5"/>
      <c r="M251" s="5"/>
      <c r="N251" s="5"/>
      <c r="O251" s="5"/>
      <c r="P251" s="5"/>
    </row>
    <row r="252" spans="1:16" ht="15.9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5"/>
      <c r="K252" s="5"/>
      <c r="L252" s="5"/>
      <c r="M252" s="5"/>
      <c r="N252" s="5"/>
      <c r="O252" s="5"/>
      <c r="P252" s="5"/>
    </row>
    <row r="253" spans="1:16" ht="15.9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5"/>
      <c r="K253" s="5"/>
      <c r="L253" s="5"/>
      <c r="M253" s="5"/>
      <c r="N253" s="5"/>
      <c r="O253" s="5"/>
      <c r="P253" s="5"/>
    </row>
    <row r="254" spans="1:16" ht="15.9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5"/>
      <c r="K254" s="5"/>
      <c r="L254" s="5"/>
      <c r="M254" s="5"/>
      <c r="N254" s="5"/>
      <c r="O254" s="5"/>
      <c r="P254" s="5"/>
    </row>
    <row r="255" spans="1:16" ht="15.9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5"/>
      <c r="K255" s="5"/>
      <c r="L255" s="5"/>
      <c r="M255" s="5"/>
      <c r="N255" s="5"/>
      <c r="O255" s="5"/>
      <c r="P255" s="5"/>
    </row>
    <row r="256" spans="1:16" ht="15.9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5"/>
      <c r="K256" s="5"/>
      <c r="L256" s="5"/>
      <c r="M256" s="5"/>
      <c r="N256" s="5"/>
      <c r="O256" s="5"/>
      <c r="P256" s="5"/>
    </row>
    <row r="257" spans="1:16" ht="15.9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5"/>
      <c r="K257" s="5"/>
      <c r="L257" s="5"/>
      <c r="M257" s="5"/>
      <c r="N257" s="5"/>
      <c r="O257" s="5"/>
      <c r="P257" s="5"/>
    </row>
    <row r="258" spans="1:16" ht="15.9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5"/>
      <c r="K258" s="5"/>
      <c r="L258" s="5"/>
      <c r="M258" s="5"/>
      <c r="N258" s="5"/>
      <c r="O258" s="5"/>
      <c r="P258" s="5"/>
    </row>
    <row r="259" spans="1:16" ht="15.9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5"/>
      <c r="K259" s="5"/>
      <c r="L259" s="5"/>
      <c r="M259" s="5"/>
      <c r="N259" s="5"/>
      <c r="O259" s="5"/>
      <c r="P259" s="5"/>
    </row>
    <row r="260" spans="1:16" ht="15.9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5"/>
      <c r="K260" s="5"/>
      <c r="L260" s="5"/>
      <c r="M260" s="5"/>
      <c r="N260" s="5"/>
      <c r="O260" s="5"/>
      <c r="P260" s="5"/>
    </row>
    <row r="261" spans="1:16" ht="15.9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5"/>
      <c r="K261" s="5"/>
      <c r="L261" s="5"/>
      <c r="M261" s="5"/>
      <c r="N261" s="5"/>
      <c r="O261" s="5"/>
      <c r="P261" s="5"/>
    </row>
    <row r="262" spans="1:16" ht="15.9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5"/>
      <c r="K262" s="5"/>
      <c r="L262" s="5"/>
      <c r="M262" s="5"/>
      <c r="N262" s="5"/>
      <c r="O262" s="5"/>
      <c r="P262" s="5"/>
    </row>
    <row r="263" spans="1:16" ht="15.9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5"/>
      <c r="K263" s="5"/>
      <c r="L263" s="5"/>
      <c r="M263" s="5"/>
      <c r="N263" s="5"/>
      <c r="O263" s="5"/>
      <c r="P263" s="5"/>
    </row>
    <row r="264" spans="1:16" ht="15.9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5"/>
      <c r="K264" s="5"/>
      <c r="L264" s="5"/>
      <c r="M264" s="5"/>
      <c r="N264" s="5"/>
      <c r="O264" s="5"/>
      <c r="P264" s="5"/>
    </row>
    <row r="265" spans="1:16" ht="15.9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5"/>
      <c r="K265" s="5"/>
      <c r="L265" s="5"/>
      <c r="M265" s="5"/>
      <c r="N265" s="5"/>
      <c r="O265" s="5"/>
      <c r="P265" s="5"/>
    </row>
    <row r="266" spans="1:16" ht="15.9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5"/>
      <c r="K266" s="5"/>
      <c r="L266" s="5"/>
      <c r="M266" s="5"/>
      <c r="N266" s="5"/>
      <c r="O266" s="5"/>
      <c r="P266" s="5"/>
    </row>
    <row r="267" spans="1:16" ht="15.9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5"/>
      <c r="K267" s="5"/>
      <c r="L267" s="5"/>
      <c r="M267" s="5"/>
      <c r="N267" s="5"/>
      <c r="O267" s="5"/>
      <c r="P267" s="5"/>
    </row>
    <row r="268" spans="1:16" ht="15.9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5"/>
      <c r="K268" s="5"/>
      <c r="L268" s="5"/>
      <c r="M268" s="5"/>
      <c r="N268" s="5"/>
      <c r="O268" s="5"/>
      <c r="P268" s="5"/>
    </row>
    <row r="269" spans="1:16" ht="15.9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5"/>
      <c r="K269" s="5"/>
      <c r="L269" s="5"/>
      <c r="M269" s="5"/>
      <c r="N269" s="5"/>
      <c r="O269" s="5"/>
      <c r="P269" s="5"/>
    </row>
    <row r="270" spans="1:16" ht="15.9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5"/>
      <c r="K270" s="5"/>
      <c r="L270" s="5"/>
      <c r="M270" s="5"/>
      <c r="N270" s="5"/>
      <c r="O270" s="5"/>
      <c r="P270" s="5"/>
    </row>
    <row r="271" spans="1:16" ht="15.9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5"/>
      <c r="K271" s="5"/>
      <c r="L271" s="5"/>
      <c r="M271" s="5"/>
      <c r="N271" s="5"/>
      <c r="O271" s="5"/>
      <c r="P271" s="5"/>
    </row>
    <row r="272" spans="1:16" ht="15.9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5"/>
      <c r="K272" s="5"/>
      <c r="L272" s="5"/>
      <c r="M272" s="5"/>
      <c r="N272" s="5"/>
      <c r="O272" s="5"/>
      <c r="P272" s="5"/>
    </row>
    <row r="273" spans="1:16" ht="15.9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5"/>
      <c r="K273" s="5"/>
      <c r="L273" s="5"/>
      <c r="M273" s="5"/>
      <c r="N273" s="5"/>
      <c r="O273" s="5"/>
      <c r="P273" s="5"/>
    </row>
    <row r="274" spans="1:16" ht="15.9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5"/>
      <c r="K274" s="5"/>
      <c r="L274" s="5"/>
      <c r="M274" s="5"/>
      <c r="N274" s="5"/>
      <c r="O274" s="5"/>
      <c r="P274" s="5"/>
    </row>
    <row r="275" spans="1:16" ht="15.9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5"/>
      <c r="K275" s="5"/>
      <c r="L275" s="5"/>
      <c r="M275" s="5"/>
      <c r="N275" s="5"/>
      <c r="O275" s="5"/>
      <c r="P275" s="5"/>
    </row>
    <row r="276" spans="1:16" ht="15.9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5"/>
      <c r="K276" s="5"/>
      <c r="L276" s="5"/>
      <c r="M276" s="5"/>
      <c r="N276" s="5"/>
      <c r="O276" s="5"/>
      <c r="P276" s="5"/>
    </row>
    <row r="277" spans="1:16" ht="15.9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5"/>
      <c r="K277" s="5"/>
      <c r="L277" s="5"/>
      <c r="M277" s="5"/>
      <c r="N277" s="5"/>
      <c r="O277" s="5"/>
      <c r="P277" s="5"/>
    </row>
    <row r="278" spans="1:16" ht="15.9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5"/>
      <c r="K278" s="5"/>
      <c r="L278" s="5"/>
      <c r="M278" s="5"/>
      <c r="N278" s="5"/>
      <c r="O278" s="5"/>
      <c r="P278" s="5"/>
    </row>
    <row r="279" spans="1:16" ht="15.9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5"/>
      <c r="K279" s="5"/>
      <c r="L279" s="5"/>
      <c r="M279" s="5"/>
      <c r="N279" s="5"/>
      <c r="O279" s="5"/>
      <c r="P279" s="5"/>
    </row>
    <row r="280" spans="1:16" ht="15.9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5"/>
      <c r="K280" s="5"/>
      <c r="L280" s="5"/>
      <c r="M280" s="5"/>
      <c r="N280" s="5"/>
      <c r="O280" s="5"/>
      <c r="P280" s="5"/>
    </row>
    <row r="281" spans="1:16" ht="15.9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5"/>
      <c r="K281" s="5"/>
      <c r="L281" s="5"/>
      <c r="M281" s="5"/>
      <c r="N281" s="5"/>
      <c r="O281" s="5"/>
      <c r="P281" s="5"/>
    </row>
    <row r="282" spans="1:16" ht="15.9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5"/>
      <c r="K282" s="5"/>
      <c r="L282" s="5"/>
      <c r="M282" s="5"/>
      <c r="N282" s="5"/>
      <c r="O282" s="5"/>
      <c r="P282" s="5"/>
    </row>
    <row r="283" spans="1:16" ht="15.9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5"/>
      <c r="K283" s="5"/>
      <c r="L283" s="5"/>
      <c r="M283" s="5"/>
      <c r="N283" s="5"/>
      <c r="O283" s="5"/>
      <c r="P283" s="5"/>
    </row>
    <row r="284" spans="1:16" ht="15.9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5"/>
      <c r="K284" s="5"/>
      <c r="L284" s="5"/>
      <c r="M284" s="5"/>
      <c r="N284" s="5"/>
      <c r="O284" s="5"/>
      <c r="P284" s="5"/>
    </row>
    <row r="285" spans="1:16" ht="15.9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5"/>
      <c r="K285" s="5"/>
      <c r="L285" s="5"/>
      <c r="M285" s="5"/>
      <c r="N285" s="5"/>
      <c r="O285" s="5"/>
      <c r="P285" s="5"/>
    </row>
    <row r="286" spans="1:16" ht="15.9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5"/>
      <c r="K286" s="5"/>
      <c r="L286" s="5"/>
      <c r="M286" s="5"/>
      <c r="N286" s="5"/>
      <c r="O286" s="5"/>
      <c r="P286" s="5"/>
    </row>
    <row r="287" spans="1:16" ht="15.9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5"/>
      <c r="K287" s="5"/>
      <c r="L287" s="5"/>
      <c r="M287" s="5"/>
      <c r="N287" s="5"/>
      <c r="O287" s="5"/>
      <c r="P287" s="5"/>
    </row>
    <row r="288" spans="1:16" ht="15.9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5"/>
      <c r="K288" s="5"/>
      <c r="L288" s="5"/>
      <c r="M288" s="5"/>
      <c r="N288" s="5"/>
      <c r="O288" s="5"/>
      <c r="P288" s="5"/>
    </row>
    <row r="289" spans="1:16" ht="15.9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5"/>
      <c r="K289" s="5"/>
      <c r="L289" s="5"/>
      <c r="M289" s="5"/>
      <c r="N289" s="5"/>
      <c r="O289" s="5"/>
      <c r="P289" s="5"/>
    </row>
    <row r="290" spans="1:16" ht="15.9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5"/>
      <c r="K290" s="5"/>
      <c r="L290" s="5"/>
      <c r="M290" s="5"/>
      <c r="N290" s="5"/>
      <c r="O290" s="5"/>
      <c r="P290" s="5"/>
    </row>
    <row r="291" spans="1:16" ht="15.9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5"/>
      <c r="K291" s="5"/>
      <c r="L291" s="5"/>
      <c r="M291" s="5"/>
      <c r="N291" s="5"/>
      <c r="O291" s="5"/>
      <c r="P291" s="5"/>
    </row>
    <row r="292" spans="1:16" ht="15.9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5"/>
      <c r="K292" s="5"/>
      <c r="L292" s="5"/>
      <c r="M292" s="5"/>
      <c r="N292" s="5"/>
      <c r="O292" s="5"/>
      <c r="P292" s="5"/>
    </row>
    <row r="293" spans="1:16" ht="15.9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5"/>
      <c r="K293" s="5"/>
      <c r="L293" s="5"/>
      <c r="M293" s="5"/>
      <c r="N293" s="5"/>
      <c r="O293" s="5"/>
      <c r="P293" s="5"/>
    </row>
    <row r="294" spans="1:16" ht="15.9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5"/>
      <c r="K294" s="5"/>
      <c r="L294" s="5"/>
      <c r="M294" s="5"/>
      <c r="N294" s="5"/>
      <c r="O294" s="5"/>
      <c r="P294" s="5"/>
    </row>
    <row r="295" spans="1:16" ht="15.9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5"/>
      <c r="K295" s="5"/>
      <c r="L295" s="5"/>
      <c r="M295" s="5"/>
      <c r="N295" s="5"/>
      <c r="O295" s="5"/>
      <c r="P295" s="5"/>
    </row>
    <row r="296" spans="1:16" ht="15.9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5"/>
      <c r="K296" s="5"/>
      <c r="L296" s="5"/>
      <c r="M296" s="5"/>
      <c r="N296" s="5"/>
      <c r="O296" s="5"/>
      <c r="P296" s="5"/>
    </row>
    <row r="297" spans="1:16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5"/>
      <c r="K297" s="5"/>
      <c r="L297" s="5"/>
      <c r="M297" s="5"/>
      <c r="N297" s="5"/>
      <c r="O297" s="5"/>
      <c r="P297" s="5"/>
    </row>
    <row r="298" spans="1:16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5"/>
      <c r="K298" s="5"/>
      <c r="L298" s="5"/>
      <c r="M298" s="5"/>
      <c r="N298" s="5"/>
      <c r="O298" s="5"/>
      <c r="P298" s="5"/>
    </row>
    <row r="299" spans="1:16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5"/>
      <c r="K299" s="5"/>
      <c r="L299" s="5"/>
      <c r="M299" s="5"/>
      <c r="N299" s="5"/>
      <c r="O299" s="5"/>
      <c r="P299" s="5"/>
    </row>
    <row r="300" spans="1:16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5"/>
      <c r="K300" s="5"/>
      <c r="L300" s="5"/>
      <c r="M300" s="5"/>
      <c r="N300" s="5"/>
      <c r="O300" s="5"/>
      <c r="P300" s="5"/>
    </row>
    <row r="301" spans="1:16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5"/>
      <c r="K301" s="5"/>
      <c r="L301" s="5"/>
      <c r="M301" s="5"/>
      <c r="N301" s="5"/>
      <c r="O301" s="5"/>
      <c r="P301" s="5"/>
    </row>
    <row r="302" spans="1:16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5"/>
      <c r="K302" s="5"/>
      <c r="L302" s="5"/>
      <c r="M302" s="5"/>
      <c r="N302" s="5"/>
      <c r="O302" s="5"/>
      <c r="P302" s="5"/>
    </row>
    <row r="303" spans="1:16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5"/>
      <c r="K303" s="5"/>
      <c r="L303" s="5"/>
      <c r="M303" s="5"/>
      <c r="N303" s="5"/>
      <c r="O303" s="5"/>
      <c r="P303" s="5"/>
    </row>
    <row r="304" spans="1:16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5"/>
      <c r="K304" s="5"/>
      <c r="L304" s="5"/>
      <c r="M304" s="5"/>
      <c r="N304" s="5"/>
      <c r="O304" s="5"/>
      <c r="P304" s="5"/>
    </row>
    <row r="305" spans="1:16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5"/>
      <c r="K305" s="5"/>
      <c r="L305" s="5"/>
      <c r="M305" s="5"/>
      <c r="N305" s="5"/>
      <c r="O305" s="5"/>
      <c r="P305" s="5"/>
    </row>
    <row r="306" spans="1:16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5"/>
      <c r="K306" s="5"/>
      <c r="L306" s="5"/>
      <c r="M306" s="5"/>
      <c r="N306" s="5"/>
      <c r="O306" s="5"/>
      <c r="P306" s="5"/>
    </row>
    <row r="307" spans="1:16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5"/>
      <c r="K307" s="5"/>
      <c r="L307" s="5"/>
      <c r="M307" s="5"/>
      <c r="N307" s="5"/>
      <c r="O307" s="5"/>
      <c r="P307" s="5"/>
    </row>
    <row r="308" spans="1:16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5"/>
      <c r="K308" s="5"/>
      <c r="L308" s="5"/>
      <c r="M308" s="5"/>
      <c r="N308" s="5"/>
      <c r="O308" s="5"/>
      <c r="P308" s="5"/>
    </row>
    <row r="309" spans="1:16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5"/>
      <c r="K309" s="5"/>
      <c r="L309" s="5"/>
      <c r="M309" s="5"/>
      <c r="N309" s="5"/>
      <c r="O309" s="5"/>
      <c r="P309" s="5"/>
    </row>
    <row r="310" spans="1:16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5"/>
      <c r="K310" s="5"/>
      <c r="L310" s="5"/>
      <c r="M310" s="5"/>
      <c r="N310" s="5"/>
      <c r="O310" s="5"/>
      <c r="P310" s="5"/>
    </row>
    <row r="311" spans="1:16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5"/>
      <c r="K311" s="5"/>
      <c r="L311" s="5"/>
      <c r="M311" s="5"/>
      <c r="N311" s="5"/>
      <c r="O311" s="5"/>
      <c r="P311" s="5"/>
    </row>
    <row r="312" spans="1:16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5"/>
      <c r="K312" s="5"/>
      <c r="L312" s="5"/>
      <c r="M312" s="5"/>
      <c r="N312" s="5"/>
      <c r="O312" s="5"/>
      <c r="P312" s="5"/>
    </row>
    <row r="313" spans="1:1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5"/>
      <c r="K313" s="5"/>
      <c r="L313" s="5"/>
      <c r="M313" s="5"/>
      <c r="N313" s="5"/>
      <c r="O313" s="5"/>
      <c r="P313" s="5"/>
    </row>
    <row r="314" spans="1:1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5"/>
      <c r="K314" s="5"/>
      <c r="L314" s="5"/>
      <c r="M314" s="5"/>
      <c r="N314" s="5"/>
      <c r="O314" s="5"/>
      <c r="P314" s="5"/>
    </row>
    <row r="315" spans="1:1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5"/>
      <c r="K315" s="5"/>
      <c r="L315" s="5"/>
      <c r="M315" s="5"/>
      <c r="N315" s="5"/>
      <c r="O315" s="5"/>
      <c r="P315" s="5"/>
    </row>
    <row r="316" spans="1:1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5"/>
      <c r="K316" s="5"/>
      <c r="L316" s="5"/>
      <c r="M316" s="5"/>
      <c r="N316" s="5"/>
      <c r="O316" s="5"/>
      <c r="P316" s="5"/>
    </row>
    <row r="317" spans="1:16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5"/>
      <c r="K317" s="5"/>
      <c r="L317" s="5"/>
      <c r="M317" s="5"/>
      <c r="N317" s="5"/>
      <c r="O317" s="5"/>
      <c r="P317" s="5"/>
    </row>
    <row r="318" spans="1:16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5"/>
      <c r="K318" s="5"/>
      <c r="L318" s="5"/>
      <c r="M318" s="5"/>
      <c r="N318" s="5"/>
      <c r="O318" s="5"/>
      <c r="P318" s="5"/>
    </row>
    <row r="319" spans="1:16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5"/>
      <c r="K319" s="5"/>
      <c r="L319" s="5"/>
      <c r="M319" s="5"/>
      <c r="N319" s="5"/>
      <c r="O319" s="5"/>
      <c r="P319" s="5"/>
    </row>
    <row r="320" spans="1:16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5"/>
      <c r="K320" s="5"/>
      <c r="L320" s="5"/>
      <c r="M320" s="5"/>
      <c r="N320" s="5"/>
      <c r="O320" s="5"/>
      <c r="P320" s="5"/>
    </row>
    <row r="321" spans="1:16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5"/>
      <c r="K321" s="5"/>
      <c r="L321" s="5"/>
      <c r="M321" s="5"/>
      <c r="N321" s="5"/>
      <c r="O321" s="5"/>
      <c r="P321" s="5"/>
    </row>
    <row r="322" spans="1:16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5"/>
      <c r="K322" s="5"/>
      <c r="L322" s="5"/>
      <c r="M322" s="5"/>
      <c r="N322" s="5"/>
      <c r="O322" s="5"/>
      <c r="P322" s="5"/>
    </row>
    <row r="323" spans="1:16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5"/>
      <c r="K323" s="5"/>
      <c r="L323" s="5"/>
      <c r="M323" s="5"/>
      <c r="N323" s="5"/>
      <c r="O323" s="5"/>
      <c r="P323" s="5"/>
    </row>
    <row r="324" spans="1:16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5"/>
      <c r="K324" s="5"/>
      <c r="L324" s="5"/>
      <c r="M324" s="5"/>
      <c r="N324" s="5"/>
      <c r="O324" s="5"/>
      <c r="P324" s="5"/>
    </row>
    <row r="325" spans="1:16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5"/>
      <c r="K325" s="5"/>
      <c r="L325" s="5"/>
      <c r="M325" s="5"/>
      <c r="N325" s="5"/>
      <c r="O325" s="5"/>
      <c r="P325" s="5"/>
    </row>
    <row r="326" spans="1:16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5"/>
      <c r="K326" s="5"/>
      <c r="L326" s="5"/>
      <c r="M326" s="5"/>
      <c r="N326" s="5"/>
      <c r="O326" s="5"/>
      <c r="P326" s="5"/>
    </row>
    <row r="327" spans="1:16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5"/>
      <c r="K327" s="5"/>
      <c r="L327" s="5"/>
      <c r="M327" s="5"/>
      <c r="N327" s="5"/>
      <c r="O327" s="5"/>
      <c r="P327" s="5"/>
    </row>
    <row r="328" spans="1:16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5"/>
      <c r="K328" s="5"/>
      <c r="L328" s="5"/>
      <c r="M328" s="5"/>
      <c r="N328" s="5"/>
      <c r="O328" s="5"/>
      <c r="P328" s="5"/>
    </row>
    <row r="329" spans="1:16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5"/>
      <c r="K329" s="5"/>
      <c r="L329" s="5"/>
      <c r="M329" s="5"/>
      <c r="N329" s="5"/>
      <c r="O329" s="5"/>
      <c r="P329" s="5"/>
    </row>
    <row r="330" spans="1:16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5"/>
      <c r="K330" s="5"/>
      <c r="L330" s="5"/>
      <c r="M330" s="5"/>
      <c r="N330" s="5"/>
      <c r="O330" s="5"/>
      <c r="P330" s="5"/>
    </row>
    <row r="331" spans="1:16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5"/>
      <c r="K331" s="5"/>
      <c r="L331" s="5"/>
      <c r="M331" s="5"/>
      <c r="N331" s="5"/>
      <c r="O331" s="5"/>
      <c r="P331" s="5"/>
    </row>
    <row r="332" spans="1:16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5"/>
      <c r="K332" s="5"/>
      <c r="L332" s="5"/>
      <c r="M332" s="5"/>
      <c r="N332" s="5"/>
      <c r="O332" s="5"/>
      <c r="P332" s="5"/>
    </row>
    <row r="333" spans="1:16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5"/>
      <c r="K333" s="5"/>
      <c r="L333" s="5"/>
      <c r="M333" s="5"/>
      <c r="N333" s="5"/>
      <c r="O333" s="5"/>
      <c r="P333" s="5"/>
    </row>
    <row r="334" spans="1:16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5"/>
      <c r="K334" s="5"/>
      <c r="L334" s="5"/>
      <c r="M334" s="5"/>
      <c r="N334" s="5"/>
      <c r="O334" s="5"/>
      <c r="P334" s="5"/>
    </row>
    <row r="335" spans="1:16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5"/>
      <c r="K335" s="5"/>
      <c r="L335" s="5"/>
      <c r="M335" s="5"/>
      <c r="N335" s="5"/>
      <c r="O335" s="5"/>
      <c r="P335" s="5"/>
    </row>
    <row r="336" spans="1:16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5"/>
      <c r="K336" s="5"/>
      <c r="L336" s="5"/>
      <c r="M336" s="5"/>
      <c r="N336" s="5"/>
      <c r="O336" s="5"/>
      <c r="P336" s="5"/>
    </row>
    <row r="337" spans="1:16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5"/>
      <c r="K337" s="5"/>
      <c r="L337" s="5"/>
      <c r="M337" s="5"/>
      <c r="N337" s="5"/>
      <c r="O337" s="5"/>
      <c r="P337" s="5"/>
    </row>
    <row r="338" spans="1:16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5"/>
      <c r="K338" s="5"/>
      <c r="L338" s="5"/>
      <c r="M338" s="5"/>
      <c r="N338" s="5"/>
      <c r="O338" s="5"/>
      <c r="P338" s="5"/>
    </row>
    <row r="339" spans="1:16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5"/>
      <c r="K339" s="5"/>
      <c r="L339" s="5"/>
      <c r="M339" s="5"/>
      <c r="N339" s="5"/>
      <c r="O339" s="5"/>
      <c r="P339" s="5"/>
    </row>
    <row r="340" spans="1:16" x14ac:dyDescent="0.2">
      <c r="A340" s="1"/>
      <c r="B340" s="1"/>
      <c r="C340" s="1"/>
      <c r="D340" s="1"/>
      <c r="E340" s="1"/>
      <c r="F340" s="1"/>
      <c r="G340" s="1"/>
      <c r="H340" s="1"/>
      <c r="I340" s="1"/>
    </row>
    <row r="341" spans="1:16" x14ac:dyDescent="0.2">
      <c r="A341" s="1"/>
      <c r="B341" s="1"/>
      <c r="C341" s="1"/>
      <c r="D341" s="1"/>
      <c r="E341" s="1"/>
      <c r="F341" s="1"/>
      <c r="G341" s="1"/>
      <c r="H341" s="1"/>
      <c r="I341" s="1"/>
    </row>
    <row r="342" spans="1:16" x14ac:dyDescent="0.2">
      <c r="A342" s="1"/>
      <c r="B342" s="1"/>
      <c r="C342" s="1"/>
      <c r="D342" s="1"/>
      <c r="E342" s="1"/>
      <c r="F342" s="1"/>
      <c r="G342" s="1"/>
      <c r="H342" s="1"/>
      <c r="I342" s="1"/>
    </row>
    <row r="343" spans="1:16" x14ac:dyDescent="0.2">
      <c r="A343" s="1"/>
      <c r="B343" s="1"/>
      <c r="C343" s="1"/>
      <c r="D343" s="1"/>
      <c r="E343" s="1"/>
      <c r="F343" s="1"/>
      <c r="G343" s="1"/>
      <c r="H343" s="1"/>
      <c r="I343" s="1"/>
    </row>
    <row r="344" spans="1:16" x14ac:dyDescent="0.2">
      <c r="A344" s="1"/>
      <c r="B344" s="1"/>
      <c r="C344" s="1"/>
      <c r="D344" s="1"/>
      <c r="E344" s="1"/>
      <c r="F344" s="1"/>
      <c r="G344" s="1"/>
      <c r="H344" s="1"/>
      <c r="I344" s="1"/>
    </row>
    <row r="345" spans="1:16" x14ac:dyDescent="0.2">
      <c r="A345" s="1"/>
      <c r="B345" s="1"/>
      <c r="C345" s="1"/>
      <c r="D345" s="1"/>
      <c r="E345" s="1"/>
      <c r="F345" s="1"/>
      <c r="G345" s="1"/>
      <c r="H345" s="1"/>
      <c r="I345" s="1"/>
    </row>
    <row r="346" spans="1:16" x14ac:dyDescent="0.2">
      <c r="A346" s="1"/>
      <c r="B346" s="1"/>
      <c r="C346" s="1"/>
      <c r="D346" s="1"/>
      <c r="E346" s="1"/>
      <c r="F346" s="1"/>
      <c r="G346" s="1"/>
      <c r="H346" s="1"/>
      <c r="I346" s="1"/>
    </row>
    <row r="347" spans="1:16" x14ac:dyDescent="0.2">
      <c r="A347" s="1"/>
      <c r="B347" s="1"/>
      <c r="C347" s="1"/>
      <c r="D347" s="1"/>
      <c r="E347" s="1"/>
      <c r="F347" s="1"/>
      <c r="G347" s="1"/>
      <c r="H347" s="1"/>
      <c r="I347" s="1"/>
    </row>
    <row r="348" spans="1:16" x14ac:dyDescent="0.2">
      <c r="A348" s="1"/>
      <c r="B348" s="1"/>
      <c r="C348" s="1"/>
      <c r="D348" s="1"/>
      <c r="E348" s="1"/>
      <c r="F348" s="1"/>
      <c r="G348" s="1"/>
      <c r="H348" s="1"/>
      <c r="I348" s="1"/>
    </row>
    <row r="349" spans="1:16" x14ac:dyDescent="0.2">
      <c r="A349" s="1"/>
      <c r="B349" s="1"/>
      <c r="C349" s="1"/>
      <c r="D349" s="1"/>
      <c r="E349" s="1"/>
      <c r="F349" s="1"/>
      <c r="G349" s="1"/>
      <c r="H349" s="1"/>
      <c r="I349" s="1"/>
    </row>
    <row r="350" spans="1:16" x14ac:dyDescent="0.2">
      <c r="A350" s="1"/>
      <c r="B350" s="1"/>
      <c r="C350" s="1"/>
      <c r="D350" s="1"/>
      <c r="E350" s="1"/>
      <c r="F350" s="1"/>
      <c r="G350" s="1"/>
      <c r="H350" s="1"/>
      <c r="I350" s="1"/>
    </row>
    <row r="351" spans="1:16" x14ac:dyDescent="0.2">
      <c r="A351" s="1"/>
      <c r="B351" s="1"/>
      <c r="C351" s="1"/>
      <c r="D351" s="1"/>
      <c r="E351" s="1"/>
      <c r="F351" s="1"/>
      <c r="G351" s="1"/>
      <c r="H351" s="1"/>
      <c r="I351" s="1"/>
    </row>
    <row r="352" spans="1:16" x14ac:dyDescent="0.2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2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2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2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2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2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2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2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2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2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2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2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2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2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2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2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2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2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2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2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2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2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2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2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2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2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2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2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2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2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2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2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2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2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2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2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2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2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2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2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2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2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2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2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2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2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2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2">
      <c r="A399" s="1"/>
      <c r="B399" s="1"/>
      <c r="C399" s="1"/>
      <c r="D399" s="1"/>
      <c r="E399" s="1"/>
      <c r="F399" s="1"/>
      <c r="G399" s="1"/>
      <c r="H399" s="1"/>
      <c r="I399" s="1"/>
    </row>
  </sheetData>
  <mergeCells count="38">
    <mergeCell ref="A1:I1"/>
    <mergeCell ref="A9:A11"/>
    <mergeCell ref="B9:B11"/>
    <mergeCell ref="C9:C11"/>
    <mergeCell ref="D9:D11"/>
    <mergeCell ref="E9:E11"/>
    <mergeCell ref="F9:F11"/>
    <mergeCell ref="B3:D3"/>
    <mergeCell ref="B5:D5"/>
    <mergeCell ref="B51:C51"/>
    <mergeCell ref="B52:C52"/>
    <mergeCell ref="B53:C53"/>
    <mergeCell ref="B54:C54"/>
    <mergeCell ref="B55:C55"/>
    <mergeCell ref="B56:C56"/>
    <mergeCell ref="B57:C57"/>
    <mergeCell ref="B66:C66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7:C87"/>
    <mergeCell ref="B88:C88"/>
    <mergeCell ref="B89:C89"/>
    <mergeCell ref="B90:C90"/>
    <mergeCell ref="B82:C82"/>
    <mergeCell ref="B83:C83"/>
    <mergeCell ref="B84:C84"/>
    <mergeCell ref="B85:C85"/>
    <mergeCell ref="B86:C86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70" fitToWidth="2" orientation="landscape" r:id="rId1"/>
  <headerFooter>
    <oddHeader>&amp;L&amp;G&amp;R&amp;G</oddHeader>
    <oddFooter>&amp;CAv. Pres. Tancredo Neves, 3557 sala 306 – Bairro Castelo CEP 31.330-430 – Belo Horizonte / Minas Gerais.
Endereço Eletrônico: ottawaeng@terra.com.br – Telefax (31) 3418-2175 – CNPJ: 04.472.311/0001-04
&amp;R&amp;P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8"/>
  <sheetViews>
    <sheetView view="pageBreakPreview" topLeftCell="A61" zoomScaleNormal="100" zoomScaleSheetLayoutView="100" workbookViewId="0">
      <selection activeCell="F50" sqref="F50"/>
    </sheetView>
  </sheetViews>
  <sheetFormatPr defaultRowHeight="14.25" x14ac:dyDescent="0.2"/>
  <cols>
    <col min="1" max="1" width="16" style="111" customWidth="1"/>
    <col min="2" max="2" width="16" style="2" customWidth="1"/>
    <col min="3" max="3" width="15.140625" style="2" customWidth="1"/>
    <col min="4" max="4" width="78.85546875" style="46" customWidth="1"/>
    <col min="5" max="5" width="11" style="2" hidden="1" customWidth="1"/>
    <col min="6" max="6" width="13.5703125" style="111" customWidth="1"/>
    <col min="7" max="7" width="11.7109375" style="112" customWidth="1"/>
    <col min="8" max="8" width="11.7109375" style="68" customWidth="1"/>
    <col min="9" max="9" width="17.42578125" style="69" customWidth="1"/>
    <col min="10" max="10" width="9.7109375" style="1" customWidth="1"/>
    <col min="11" max="11" width="8.140625" style="1" customWidth="1"/>
    <col min="12" max="12" width="7.5703125" style="1" customWidth="1"/>
    <col min="13" max="16384" width="9.140625" style="1"/>
  </cols>
  <sheetData>
    <row r="1" spans="1:16" ht="32.25" customHeight="1" x14ac:dyDescent="0.2">
      <c r="A1" s="651" t="s">
        <v>1091</v>
      </c>
      <c r="B1" s="652"/>
      <c r="C1" s="652"/>
      <c r="D1" s="652"/>
      <c r="E1" s="652"/>
      <c r="F1" s="652"/>
      <c r="G1" s="652"/>
      <c r="H1" s="652"/>
      <c r="I1" s="653"/>
      <c r="J1" s="3"/>
      <c r="K1" s="4"/>
      <c r="L1" s="4"/>
      <c r="M1" s="4"/>
      <c r="N1" s="4"/>
      <c r="O1" s="4"/>
      <c r="P1" s="4"/>
    </row>
    <row r="2" spans="1:16" ht="4.5" customHeight="1" thickBot="1" x14ac:dyDescent="0.25">
      <c r="A2" s="497"/>
      <c r="B2" s="446"/>
      <c r="C2" s="446"/>
      <c r="D2" s="447"/>
      <c r="E2" s="446"/>
      <c r="F2" s="498"/>
      <c r="G2" s="499"/>
      <c r="H2" s="450"/>
      <c r="I2" s="451"/>
      <c r="J2" s="3"/>
      <c r="K2" s="4"/>
      <c r="L2" s="4"/>
      <c r="M2" s="4"/>
      <c r="N2" s="4"/>
      <c r="O2" s="4"/>
      <c r="P2" s="4"/>
    </row>
    <row r="3" spans="1:16" ht="17.25" customHeight="1" thickTop="1" thickBot="1" x14ac:dyDescent="0.3">
      <c r="A3" s="500" t="s">
        <v>1074</v>
      </c>
      <c r="B3" s="668" t="s">
        <v>1075</v>
      </c>
      <c r="C3" s="668"/>
      <c r="D3" s="668"/>
      <c r="E3" s="453"/>
      <c r="F3" s="501"/>
      <c r="G3" s="502"/>
      <c r="H3" s="456" t="s">
        <v>1076</v>
      </c>
      <c r="I3" s="503" t="s">
        <v>1077</v>
      </c>
      <c r="J3" s="3"/>
      <c r="K3" s="101" t="s">
        <v>292</v>
      </c>
      <c r="L3" s="102">
        <v>0</v>
      </c>
      <c r="M3" s="4"/>
      <c r="N3" s="4"/>
      <c r="O3" s="4"/>
      <c r="P3" s="4"/>
    </row>
    <row r="4" spans="1:16" ht="4.5" customHeight="1" thickBot="1" x14ac:dyDescent="0.25">
      <c r="A4" s="497"/>
      <c r="B4" s="446"/>
      <c r="C4" s="446"/>
      <c r="D4" s="447"/>
      <c r="E4" s="446"/>
      <c r="F4" s="498"/>
      <c r="G4" s="499"/>
      <c r="H4" s="450"/>
      <c r="I4" s="451"/>
      <c r="J4" s="3"/>
      <c r="K4" s="4"/>
      <c r="L4" s="4"/>
      <c r="M4" s="4"/>
      <c r="N4" s="4"/>
      <c r="O4" s="4"/>
      <c r="P4" s="4"/>
    </row>
    <row r="5" spans="1:16" ht="15.75" customHeight="1" thickBot="1" x14ac:dyDescent="0.3">
      <c r="A5" s="391" t="s">
        <v>1078</v>
      </c>
      <c r="B5" s="669" t="s">
        <v>1079</v>
      </c>
      <c r="C5" s="670"/>
      <c r="D5" s="670"/>
      <c r="E5" s="459"/>
      <c r="F5" s="392"/>
      <c r="G5" s="504"/>
      <c r="H5" s="461"/>
      <c r="I5" s="462"/>
      <c r="J5" s="3"/>
      <c r="K5" s="4"/>
      <c r="L5" s="4">
        <v>122.43</v>
      </c>
      <c r="M5" s="4"/>
      <c r="N5" s="4"/>
      <c r="O5" s="4"/>
      <c r="P5" s="4"/>
    </row>
    <row r="6" spans="1:16" ht="4.5" customHeight="1" thickBot="1" x14ac:dyDescent="0.25">
      <c r="A6" s="497"/>
      <c r="B6" s="446"/>
      <c r="C6" s="446"/>
      <c r="D6" s="447"/>
      <c r="E6" s="446"/>
      <c r="F6" s="498"/>
      <c r="G6" s="499"/>
      <c r="H6" s="450"/>
      <c r="I6" s="451"/>
      <c r="J6" s="3"/>
      <c r="K6" s="4"/>
      <c r="L6" s="4"/>
      <c r="M6" s="4"/>
      <c r="N6" s="4"/>
      <c r="O6" s="4"/>
      <c r="P6" s="4"/>
    </row>
    <row r="7" spans="1:16" ht="15" customHeight="1" thickBot="1" x14ac:dyDescent="0.3">
      <c r="A7" s="391" t="s">
        <v>1080</v>
      </c>
      <c r="B7" s="463" t="s">
        <v>1092</v>
      </c>
      <c r="C7" s="459"/>
      <c r="D7" s="464"/>
      <c r="E7" s="459"/>
      <c r="F7" s="505"/>
      <c r="G7" s="504"/>
      <c r="H7" s="461"/>
      <c r="I7" s="466"/>
      <c r="J7" s="3"/>
      <c r="K7" s="4"/>
      <c r="L7" s="103">
        <f>L5/100</f>
        <v>1.2243000000000002</v>
      </c>
      <c r="M7" s="4"/>
      <c r="N7" s="4"/>
      <c r="O7" s="4"/>
      <c r="P7" s="4"/>
    </row>
    <row r="8" spans="1:16" ht="4.5" customHeight="1" thickBot="1" x14ac:dyDescent="0.25">
      <c r="A8" s="506"/>
      <c r="B8" s="507"/>
      <c r="C8" s="507"/>
      <c r="D8" s="508"/>
      <c r="E8" s="507"/>
      <c r="F8" s="509"/>
      <c r="G8" s="510"/>
      <c r="H8" s="511"/>
      <c r="I8" s="512"/>
      <c r="J8" s="3"/>
      <c r="K8" s="4"/>
      <c r="L8" s="4"/>
      <c r="M8" s="4"/>
      <c r="N8" s="4"/>
      <c r="O8" s="4"/>
      <c r="P8" s="4"/>
    </row>
    <row r="9" spans="1:16" ht="15" x14ac:dyDescent="0.25">
      <c r="A9" s="672" t="s">
        <v>89</v>
      </c>
      <c r="B9" s="657" t="s">
        <v>90</v>
      </c>
      <c r="C9" s="657" t="s">
        <v>91</v>
      </c>
      <c r="D9" s="675" t="s">
        <v>92</v>
      </c>
      <c r="E9" s="678" t="s">
        <v>93</v>
      </c>
      <c r="F9" s="681" t="s">
        <v>94</v>
      </c>
      <c r="G9" s="513" t="s">
        <v>1082</v>
      </c>
      <c r="H9" s="468" t="s">
        <v>1082</v>
      </c>
      <c r="I9" s="469" t="s">
        <v>1082</v>
      </c>
      <c r="J9" s="3"/>
      <c r="K9" s="4"/>
      <c r="L9" s="4"/>
      <c r="M9" s="4"/>
      <c r="N9" s="4"/>
      <c r="O9" s="4"/>
      <c r="P9" s="4"/>
    </row>
    <row r="10" spans="1:16" ht="30.75" customHeight="1" x14ac:dyDescent="0.25">
      <c r="A10" s="673"/>
      <c r="B10" s="658"/>
      <c r="C10" s="658"/>
      <c r="D10" s="676"/>
      <c r="E10" s="679"/>
      <c r="F10" s="682"/>
      <c r="G10" s="514" t="s">
        <v>1083</v>
      </c>
      <c r="H10" s="471" t="s">
        <v>1083</v>
      </c>
      <c r="I10" s="472" t="s">
        <v>1084</v>
      </c>
      <c r="J10" s="3"/>
      <c r="K10" s="4"/>
      <c r="L10" s="4"/>
      <c r="M10" s="4"/>
      <c r="N10" s="4"/>
      <c r="O10" s="4"/>
      <c r="P10" s="4"/>
    </row>
    <row r="11" spans="1:16" ht="21" customHeight="1" x14ac:dyDescent="0.25">
      <c r="A11" s="674"/>
      <c r="B11" s="658"/>
      <c r="C11" s="658"/>
      <c r="D11" s="677"/>
      <c r="E11" s="680"/>
      <c r="F11" s="683"/>
      <c r="G11" s="514" t="s">
        <v>1085</v>
      </c>
      <c r="H11" s="176" t="s">
        <v>559</v>
      </c>
      <c r="I11" s="472"/>
      <c r="J11" s="3"/>
      <c r="K11" s="4"/>
      <c r="L11" s="4"/>
      <c r="M11" s="4"/>
      <c r="N11" s="4"/>
      <c r="O11" s="4"/>
      <c r="P11" s="4"/>
    </row>
    <row r="12" spans="1:16" ht="14.25" customHeight="1" x14ac:dyDescent="0.2">
      <c r="A12" s="515"/>
      <c r="B12" s="474"/>
      <c r="C12" s="474"/>
      <c r="D12" s="516" t="s">
        <v>95</v>
      </c>
      <c r="E12" s="517"/>
      <c r="F12" s="518"/>
      <c r="G12" s="519"/>
      <c r="H12" s="478"/>
      <c r="I12" s="479"/>
      <c r="J12" s="3"/>
      <c r="K12" s="4"/>
      <c r="L12" s="4"/>
      <c r="M12" s="4"/>
      <c r="N12" s="4"/>
      <c r="O12" s="4"/>
      <c r="P12" s="4"/>
    </row>
    <row r="13" spans="1:16" s="7" customFormat="1" ht="14.25" customHeight="1" x14ac:dyDescent="0.2">
      <c r="A13" s="104"/>
      <c r="B13" s="374"/>
      <c r="C13" s="374"/>
      <c r="D13" s="105"/>
      <c r="E13" s="374"/>
      <c r="F13" s="410"/>
      <c r="G13" s="417"/>
      <c r="H13" s="396"/>
      <c r="I13" s="397"/>
      <c r="J13" s="480"/>
      <c r="K13" s="6"/>
      <c r="L13" s="6"/>
      <c r="M13" s="6"/>
      <c r="N13" s="6"/>
      <c r="O13" s="6"/>
      <c r="P13" s="6"/>
    </row>
    <row r="14" spans="1:16" s="7" customFormat="1" ht="14.25" customHeight="1" x14ac:dyDescent="0.25">
      <c r="A14" s="104"/>
      <c r="B14" s="363"/>
      <c r="C14" s="363"/>
      <c r="D14" s="105"/>
      <c r="E14" s="363"/>
      <c r="F14" s="520"/>
      <c r="G14" s="521"/>
      <c r="H14" s="427"/>
      <c r="I14" s="397"/>
      <c r="J14" s="480"/>
      <c r="K14" s="6"/>
      <c r="L14" s="6"/>
      <c r="M14" s="6"/>
      <c r="N14" s="6"/>
      <c r="O14" s="6"/>
      <c r="P14" s="6"/>
    </row>
    <row r="15" spans="1:16" s="7" customFormat="1" ht="14.25" customHeight="1" x14ac:dyDescent="0.25">
      <c r="A15" s="104" t="str">
        <f>A48</f>
        <v>04.00.00</v>
      </c>
      <c r="B15" s="363"/>
      <c r="C15" s="363"/>
      <c r="D15" s="105" t="str">
        <f>D48</f>
        <v>ETE-BANCO DE DUTOS E ALIMENTAÇÃO DOS MOTORES (4 CV)</v>
      </c>
      <c r="E15" s="363"/>
      <c r="F15" s="520"/>
      <c r="G15" s="521"/>
      <c r="H15" s="427"/>
      <c r="I15" s="397">
        <f>I48</f>
        <v>11455.060000000001</v>
      </c>
      <c r="J15" s="480"/>
      <c r="K15" s="6"/>
      <c r="L15" s="6"/>
      <c r="M15" s="6"/>
      <c r="N15" s="6"/>
      <c r="O15" s="6"/>
      <c r="P15" s="6"/>
    </row>
    <row r="16" spans="1:16" s="7" customFormat="1" ht="14.25" customHeight="1" x14ac:dyDescent="0.25">
      <c r="A16" s="104"/>
      <c r="B16" s="363"/>
      <c r="C16" s="363"/>
      <c r="D16" s="105"/>
      <c r="E16" s="363"/>
      <c r="F16" s="520"/>
      <c r="G16" s="521"/>
      <c r="H16" s="427"/>
      <c r="I16" s="397"/>
      <c r="J16" s="480"/>
      <c r="K16" s="6"/>
      <c r="L16" s="6"/>
      <c r="M16" s="6"/>
      <c r="N16" s="6"/>
      <c r="O16" s="6"/>
      <c r="P16" s="6"/>
    </row>
    <row r="17" spans="1:16" s="7" customFormat="1" ht="14.25" customHeight="1" x14ac:dyDescent="0.25">
      <c r="A17" s="104" t="str">
        <f>A64</f>
        <v>05.00.00</v>
      </c>
      <c r="B17" s="363"/>
      <c r="C17" s="363"/>
      <c r="D17" s="105" t="str">
        <f>D64</f>
        <v>EQUIPAMENTOS - QCM</v>
      </c>
      <c r="E17" s="363"/>
      <c r="F17" s="520"/>
      <c r="G17" s="521"/>
      <c r="H17" s="427"/>
      <c r="I17" s="397">
        <f>I64</f>
        <v>3500</v>
      </c>
      <c r="J17" s="480"/>
      <c r="K17" s="6"/>
      <c r="L17" s="6"/>
      <c r="M17" s="6"/>
      <c r="N17" s="6"/>
      <c r="O17" s="6"/>
      <c r="P17" s="6"/>
    </row>
    <row r="18" spans="1:16" s="7" customFormat="1" ht="14.25" customHeight="1" x14ac:dyDescent="0.25">
      <c r="A18" s="104"/>
      <c r="B18" s="363"/>
      <c r="C18" s="363"/>
      <c r="D18" s="105"/>
      <c r="E18" s="363"/>
      <c r="F18" s="520"/>
      <c r="G18" s="521"/>
      <c r="H18" s="427"/>
      <c r="I18" s="397"/>
      <c r="J18" s="480"/>
      <c r="K18" s="6"/>
      <c r="L18" s="6"/>
      <c r="M18" s="6"/>
      <c r="N18" s="6"/>
      <c r="O18" s="6"/>
      <c r="P18" s="6"/>
    </row>
    <row r="19" spans="1:16" s="7" customFormat="1" ht="14.25" customHeight="1" x14ac:dyDescent="0.25">
      <c r="A19" s="104" t="str">
        <f>A67</f>
        <v>06.00.00</v>
      </c>
      <c r="B19" s="363"/>
      <c r="C19" s="363"/>
      <c r="D19" s="105" t="str">
        <f>D67</f>
        <v>PADRÃO DE ENTRADA TIPO C2</v>
      </c>
      <c r="E19" s="363"/>
      <c r="F19" s="520"/>
      <c r="G19" s="521"/>
      <c r="H19" s="427"/>
      <c r="I19" s="397">
        <f>I67</f>
        <v>1443.5100000000002</v>
      </c>
      <c r="J19" s="480"/>
      <c r="K19" s="6"/>
      <c r="L19" s="6"/>
      <c r="M19" s="6"/>
      <c r="N19" s="6"/>
      <c r="O19" s="6"/>
      <c r="P19" s="6"/>
    </row>
    <row r="20" spans="1:16" s="7" customFormat="1" ht="14.25" customHeight="1" x14ac:dyDescent="0.25">
      <c r="A20" s="104"/>
      <c r="B20" s="363"/>
      <c r="C20" s="363"/>
      <c r="D20" s="105"/>
      <c r="E20" s="363"/>
      <c r="F20" s="520"/>
      <c r="G20" s="521"/>
      <c r="H20" s="427"/>
      <c r="I20" s="397"/>
      <c r="J20" s="480"/>
      <c r="K20" s="6"/>
      <c r="L20" s="6"/>
      <c r="M20" s="6"/>
      <c r="N20" s="6"/>
      <c r="O20" s="6"/>
      <c r="P20" s="6"/>
    </row>
    <row r="21" spans="1:16" s="7" customFormat="1" ht="14.25" customHeight="1" x14ac:dyDescent="0.25">
      <c r="A21" s="104"/>
      <c r="B21" s="363"/>
      <c r="C21" s="363"/>
      <c r="D21" s="105"/>
      <c r="E21" s="363"/>
      <c r="F21" s="520"/>
      <c r="G21" s="521"/>
      <c r="H21" s="427"/>
      <c r="I21" s="397"/>
      <c r="J21" s="480"/>
      <c r="K21" s="6"/>
      <c r="L21" s="6"/>
      <c r="M21" s="6"/>
      <c r="N21" s="6"/>
      <c r="O21" s="6"/>
      <c r="P21" s="6"/>
    </row>
    <row r="22" spans="1:16" s="7" customFormat="1" ht="14.25" customHeight="1" x14ac:dyDescent="0.25">
      <c r="A22" s="104"/>
      <c r="B22" s="363"/>
      <c r="C22" s="363"/>
      <c r="D22" s="105"/>
      <c r="E22" s="363"/>
      <c r="F22" s="520"/>
      <c r="G22" s="521"/>
      <c r="H22" s="427"/>
      <c r="I22" s="397"/>
      <c r="J22" s="480"/>
      <c r="K22" s="6"/>
      <c r="L22" s="6"/>
      <c r="M22" s="6"/>
      <c r="N22" s="6"/>
      <c r="O22" s="6"/>
      <c r="P22" s="6"/>
    </row>
    <row r="23" spans="1:16" s="7" customFormat="1" ht="14.25" customHeight="1" x14ac:dyDescent="0.25">
      <c r="A23" s="104"/>
      <c r="B23" s="363"/>
      <c r="C23" s="363"/>
      <c r="D23" s="105"/>
      <c r="E23" s="363"/>
      <c r="F23" s="520"/>
      <c r="G23" s="521"/>
      <c r="H23" s="427"/>
      <c r="I23" s="397"/>
      <c r="J23" s="480"/>
      <c r="K23" s="6"/>
      <c r="L23" s="6"/>
      <c r="M23" s="6"/>
      <c r="N23" s="6"/>
      <c r="O23" s="6"/>
      <c r="P23" s="6"/>
    </row>
    <row r="24" spans="1:16" s="7" customFormat="1" ht="14.25" customHeight="1" x14ac:dyDescent="0.25">
      <c r="A24" s="104"/>
      <c r="B24" s="363"/>
      <c r="C24" s="363"/>
      <c r="D24" s="105"/>
      <c r="E24" s="363"/>
      <c r="F24" s="520"/>
      <c r="G24" s="521"/>
      <c r="H24" s="427"/>
      <c r="I24" s="397"/>
      <c r="J24" s="480"/>
      <c r="K24" s="6"/>
      <c r="L24" s="6"/>
      <c r="M24" s="6"/>
      <c r="N24" s="6"/>
      <c r="O24" s="6"/>
      <c r="P24" s="6"/>
    </row>
    <row r="25" spans="1:16" s="7" customFormat="1" ht="14.25" customHeight="1" x14ac:dyDescent="0.25">
      <c r="A25" s="104"/>
      <c r="B25" s="363"/>
      <c r="C25" s="363"/>
      <c r="D25" s="105"/>
      <c r="E25" s="363"/>
      <c r="F25" s="520"/>
      <c r="G25" s="521"/>
      <c r="H25" s="427"/>
      <c r="I25" s="397"/>
      <c r="J25" s="480"/>
      <c r="K25" s="6"/>
      <c r="L25" s="6"/>
      <c r="M25" s="6"/>
      <c r="N25" s="6"/>
      <c r="O25" s="6"/>
      <c r="P25" s="6"/>
    </row>
    <row r="26" spans="1:16" s="7" customFormat="1" ht="14.25" customHeight="1" x14ac:dyDescent="0.25">
      <c r="A26" s="104"/>
      <c r="B26" s="363"/>
      <c r="C26" s="363"/>
      <c r="D26" s="105"/>
      <c r="E26" s="363"/>
      <c r="F26" s="520"/>
      <c r="G26" s="521"/>
      <c r="H26" s="427"/>
      <c r="I26" s="397"/>
      <c r="J26" s="480"/>
      <c r="K26" s="6"/>
      <c r="L26" s="6"/>
      <c r="M26" s="6"/>
      <c r="N26" s="6"/>
      <c r="O26" s="6"/>
      <c r="P26" s="6"/>
    </row>
    <row r="27" spans="1:16" s="7" customFormat="1" ht="14.25" customHeight="1" x14ac:dyDescent="0.25">
      <c r="A27" s="104"/>
      <c r="B27" s="363"/>
      <c r="C27" s="363"/>
      <c r="D27" s="105"/>
      <c r="E27" s="363"/>
      <c r="F27" s="520"/>
      <c r="G27" s="521"/>
      <c r="H27" s="427"/>
      <c r="I27" s="397"/>
      <c r="J27" s="480"/>
      <c r="K27" s="6"/>
      <c r="L27" s="6"/>
      <c r="M27" s="6"/>
      <c r="N27" s="6"/>
      <c r="O27" s="6"/>
      <c r="P27" s="6"/>
    </row>
    <row r="28" spans="1:16" s="7" customFormat="1" ht="14.25" customHeight="1" x14ac:dyDescent="0.25">
      <c r="A28" s="104"/>
      <c r="B28" s="363"/>
      <c r="C28" s="363"/>
      <c r="D28" s="105" t="s">
        <v>1086</v>
      </c>
      <c r="E28" s="363"/>
      <c r="F28" s="520"/>
      <c r="G28" s="521"/>
      <c r="H28" s="427"/>
      <c r="I28" s="397">
        <f>SUM(I14:I19)</f>
        <v>16398.57</v>
      </c>
      <c r="J28" s="480"/>
      <c r="K28" s="6"/>
      <c r="L28" s="6"/>
      <c r="M28" s="6"/>
      <c r="N28" s="6"/>
      <c r="O28" s="6"/>
      <c r="P28" s="6"/>
    </row>
    <row r="29" spans="1:16" s="7" customFormat="1" ht="14.25" customHeight="1" x14ac:dyDescent="0.2">
      <c r="A29" s="104"/>
      <c r="B29" s="374"/>
      <c r="C29" s="374"/>
      <c r="D29" s="105"/>
      <c r="E29" s="374"/>
      <c r="F29" s="410"/>
      <c r="G29" s="417"/>
      <c r="H29" s="396"/>
      <c r="I29" s="397"/>
      <c r="J29" s="480"/>
      <c r="K29" s="6"/>
      <c r="L29" s="6"/>
      <c r="M29" s="6"/>
      <c r="N29" s="6"/>
      <c r="O29" s="6"/>
      <c r="P29" s="6"/>
    </row>
    <row r="30" spans="1:16" s="7" customFormat="1" ht="14.25" customHeight="1" x14ac:dyDescent="0.2">
      <c r="A30" s="104"/>
      <c r="B30" s="374"/>
      <c r="C30" s="374"/>
      <c r="D30" s="105"/>
      <c r="E30" s="374"/>
      <c r="F30" s="410"/>
      <c r="G30" s="417"/>
      <c r="H30" s="396"/>
      <c r="I30" s="397"/>
      <c r="J30" s="480"/>
      <c r="K30" s="6"/>
      <c r="L30" s="6"/>
      <c r="M30" s="6"/>
      <c r="N30" s="6"/>
      <c r="O30" s="6"/>
      <c r="P30" s="6"/>
    </row>
    <row r="31" spans="1:16" s="7" customFormat="1" ht="14.25" customHeight="1" x14ac:dyDescent="0.2">
      <c r="A31" s="104"/>
      <c r="B31" s="374"/>
      <c r="C31" s="374"/>
      <c r="D31" s="105"/>
      <c r="E31" s="374"/>
      <c r="F31" s="410"/>
      <c r="G31" s="417"/>
      <c r="H31" s="396"/>
      <c r="I31" s="397"/>
      <c r="J31" s="480"/>
      <c r="K31" s="6"/>
      <c r="L31" s="6"/>
      <c r="M31" s="6"/>
      <c r="N31" s="6"/>
      <c r="O31" s="6"/>
      <c r="P31" s="6"/>
    </row>
    <row r="32" spans="1:16" s="7" customFormat="1" ht="14.25" customHeight="1" x14ac:dyDescent="0.2">
      <c r="A32" s="104"/>
      <c r="B32" s="374"/>
      <c r="C32" s="374"/>
      <c r="D32" s="363" t="s">
        <v>1087</v>
      </c>
      <c r="E32" s="374"/>
      <c r="F32" s="410"/>
      <c r="G32" s="417"/>
      <c r="H32" s="396"/>
      <c r="I32" s="397"/>
      <c r="J32" s="480"/>
      <c r="K32" s="6"/>
      <c r="L32" s="6"/>
      <c r="M32" s="6"/>
      <c r="N32" s="6"/>
      <c r="O32" s="6"/>
      <c r="P32" s="6"/>
    </row>
    <row r="33" spans="1:16" s="7" customFormat="1" ht="14.25" customHeight="1" x14ac:dyDescent="0.2">
      <c r="A33" s="104"/>
      <c r="B33" s="374"/>
      <c r="C33" s="374"/>
      <c r="D33" s="363" t="s">
        <v>775</v>
      </c>
      <c r="E33" s="374"/>
      <c r="F33" s="410"/>
      <c r="G33" s="417"/>
      <c r="H33" s="396"/>
      <c r="I33" s="397"/>
      <c r="J33" s="480"/>
      <c r="K33" s="6"/>
      <c r="L33" s="6"/>
      <c r="M33" s="6"/>
      <c r="N33" s="6"/>
      <c r="O33" s="6"/>
      <c r="P33" s="6"/>
    </row>
    <row r="34" spans="1:16" s="7" customFormat="1" ht="14.25" customHeight="1" x14ac:dyDescent="0.2">
      <c r="A34" s="104"/>
      <c r="B34" s="374"/>
      <c r="C34" s="374"/>
      <c r="D34" s="106"/>
      <c r="E34" s="374"/>
      <c r="F34" s="410"/>
      <c r="G34" s="417"/>
      <c r="H34" s="396"/>
      <c r="I34" s="397"/>
      <c r="J34" s="480"/>
      <c r="K34" s="6"/>
      <c r="L34" s="6"/>
      <c r="M34" s="6"/>
      <c r="N34" s="6"/>
      <c r="O34" s="6"/>
      <c r="P34" s="6"/>
    </row>
    <row r="35" spans="1:16" s="7" customFormat="1" ht="14.25" customHeight="1" x14ac:dyDescent="0.2">
      <c r="A35" s="104"/>
      <c r="B35" s="374"/>
      <c r="C35" s="374"/>
      <c r="D35" s="105" t="s">
        <v>1088</v>
      </c>
      <c r="E35" s="374"/>
      <c r="F35" s="410"/>
      <c r="G35" s="417"/>
      <c r="H35" s="396"/>
      <c r="I35" s="397"/>
      <c r="J35" s="480"/>
      <c r="K35" s="6"/>
      <c r="L35" s="6"/>
      <c r="M35" s="6"/>
      <c r="N35" s="6"/>
      <c r="O35" s="6"/>
      <c r="P35" s="6"/>
    </row>
    <row r="36" spans="1:16" s="7" customFormat="1" ht="14.25" customHeight="1" x14ac:dyDescent="0.2">
      <c r="A36" s="104"/>
      <c r="B36" s="374"/>
      <c r="C36" s="374"/>
      <c r="D36" s="105" t="s">
        <v>1089</v>
      </c>
      <c r="E36" s="374"/>
      <c r="F36" s="410"/>
      <c r="G36" s="417"/>
      <c r="H36" s="396"/>
      <c r="I36" s="397"/>
      <c r="J36" s="480"/>
      <c r="K36" s="6"/>
      <c r="L36" s="6"/>
      <c r="M36" s="6"/>
      <c r="N36" s="6"/>
      <c r="O36" s="6"/>
      <c r="P36" s="6"/>
    </row>
    <row r="37" spans="1:16" s="7" customFormat="1" ht="14.25" customHeight="1" x14ac:dyDescent="0.2">
      <c r="A37" s="104"/>
      <c r="B37" s="374"/>
      <c r="C37" s="374"/>
      <c r="D37" s="105"/>
      <c r="E37" s="374"/>
      <c r="F37" s="410"/>
      <c r="G37" s="417"/>
      <c r="H37" s="396"/>
      <c r="I37" s="397"/>
      <c r="J37" s="480"/>
      <c r="K37" s="6"/>
      <c r="L37" s="6"/>
      <c r="M37" s="6"/>
      <c r="N37" s="6"/>
      <c r="O37" s="6"/>
      <c r="P37" s="6"/>
    </row>
    <row r="38" spans="1:16" s="7" customFormat="1" ht="14.25" customHeight="1" x14ac:dyDescent="0.2">
      <c r="A38" s="104"/>
      <c r="B38" s="374"/>
      <c r="C38" s="374"/>
      <c r="D38" s="105"/>
      <c r="E38" s="374"/>
      <c r="F38" s="410"/>
      <c r="G38" s="417"/>
      <c r="H38" s="396"/>
      <c r="I38" s="397"/>
      <c r="J38" s="480"/>
      <c r="K38" s="6"/>
      <c r="L38" s="6"/>
      <c r="M38" s="6"/>
      <c r="N38" s="6"/>
      <c r="O38" s="6"/>
      <c r="P38" s="6"/>
    </row>
    <row r="39" spans="1:16" s="7" customFormat="1" ht="14.25" customHeight="1" x14ac:dyDescent="0.2">
      <c r="A39" s="104"/>
      <c r="B39" s="374"/>
      <c r="C39" s="374"/>
      <c r="D39" s="105"/>
      <c r="E39" s="374"/>
      <c r="F39" s="410"/>
      <c r="G39" s="417"/>
      <c r="H39" s="396"/>
      <c r="I39" s="397"/>
      <c r="J39" s="480"/>
      <c r="K39" s="6"/>
      <c r="L39" s="6"/>
      <c r="M39" s="6"/>
      <c r="N39" s="6"/>
      <c r="O39" s="6"/>
      <c r="P39" s="6"/>
    </row>
    <row r="40" spans="1:16" s="7" customFormat="1" ht="14.25" customHeight="1" x14ac:dyDescent="0.2">
      <c r="A40" s="104"/>
      <c r="B40" s="374"/>
      <c r="C40" s="374"/>
      <c r="D40" s="105"/>
      <c r="E40" s="374"/>
      <c r="F40" s="410"/>
      <c r="G40" s="417"/>
      <c r="H40" s="396"/>
      <c r="I40" s="397"/>
      <c r="J40" s="480"/>
      <c r="K40" s="6"/>
      <c r="L40" s="6"/>
      <c r="M40" s="6"/>
      <c r="N40" s="6"/>
      <c r="O40" s="6"/>
      <c r="P40" s="6"/>
    </row>
    <row r="41" spans="1:16" s="7" customFormat="1" ht="14.25" customHeight="1" x14ac:dyDescent="0.2">
      <c r="A41" s="104"/>
      <c r="B41" s="374"/>
      <c r="C41" s="374"/>
      <c r="D41" s="105"/>
      <c r="E41" s="374"/>
      <c r="F41" s="410"/>
      <c r="G41" s="417"/>
      <c r="H41" s="396"/>
      <c r="I41" s="397"/>
      <c r="J41" s="480"/>
      <c r="K41" s="6"/>
      <c r="L41" s="6"/>
      <c r="M41" s="6"/>
      <c r="N41" s="6"/>
      <c r="O41" s="6"/>
      <c r="P41" s="6"/>
    </row>
    <row r="42" spans="1:16" s="7" customFormat="1" ht="14.25" customHeight="1" x14ac:dyDescent="0.2">
      <c r="A42" s="104"/>
      <c r="B42" s="374"/>
      <c r="C42" s="374"/>
      <c r="D42" s="105"/>
      <c r="E42" s="374"/>
      <c r="F42" s="410"/>
      <c r="G42" s="417"/>
      <c r="H42" s="396"/>
      <c r="I42" s="397"/>
      <c r="J42" s="480"/>
      <c r="K42" s="6"/>
      <c r="L42" s="6"/>
      <c r="M42" s="6"/>
      <c r="N42" s="6"/>
      <c r="O42" s="6"/>
      <c r="P42" s="6"/>
    </row>
    <row r="43" spans="1:16" s="7" customFormat="1" ht="14.25" customHeight="1" x14ac:dyDescent="0.2">
      <c r="A43" s="104"/>
      <c r="B43" s="374"/>
      <c r="C43" s="374"/>
      <c r="D43" s="105"/>
      <c r="E43" s="374"/>
      <c r="F43" s="410"/>
      <c r="G43" s="417"/>
      <c r="H43" s="396"/>
      <c r="I43" s="397"/>
      <c r="J43" s="480"/>
      <c r="K43" s="6"/>
      <c r="L43" s="6"/>
      <c r="M43" s="6"/>
      <c r="N43" s="6"/>
      <c r="O43" s="6"/>
      <c r="P43" s="6"/>
    </row>
    <row r="44" spans="1:16" s="7" customFormat="1" ht="14.25" customHeight="1" x14ac:dyDescent="0.2">
      <c r="A44" s="104"/>
      <c r="B44" s="374"/>
      <c r="C44" s="374"/>
      <c r="D44" s="105"/>
      <c r="E44" s="374"/>
      <c r="F44" s="410"/>
      <c r="G44" s="417"/>
      <c r="H44" s="396"/>
      <c r="I44" s="397"/>
      <c r="J44" s="480"/>
      <c r="K44" s="6"/>
      <c r="L44" s="6"/>
      <c r="M44" s="6"/>
      <c r="N44" s="6"/>
      <c r="O44" s="6"/>
      <c r="P44" s="6"/>
    </row>
    <row r="45" spans="1:16" s="7" customFormat="1" ht="14.25" customHeight="1" x14ac:dyDescent="0.2">
      <c r="A45" s="104"/>
      <c r="B45" s="374"/>
      <c r="C45" s="374"/>
      <c r="D45" s="105"/>
      <c r="E45" s="374"/>
      <c r="F45" s="410"/>
      <c r="G45" s="417"/>
      <c r="H45" s="396"/>
      <c r="I45" s="397"/>
      <c r="J45" s="480"/>
      <c r="K45" s="6"/>
      <c r="L45" s="6"/>
      <c r="M45" s="6"/>
      <c r="N45" s="6"/>
      <c r="O45" s="6"/>
      <c r="P45" s="6"/>
    </row>
    <row r="46" spans="1:16" s="7" customFormat="1" ht="14.25" customHeight="1" thickBot="1" x14ac:dyDescent="0.25">
      <c r="A46" s="522"/>
      <c r="B46" s="399"/>
      <c r="C46" s="399"/>
      <c r="D46" s="483"/>
      <c r="E46" s="399"/>
      <c r="F46" s="430"/>
      <c r="G46" s="419"/>
      <c r="H46" s="401"/>
      <c r="I46" s="485"/>
      <c r="J46" s="480"/>
      <c r="K46" s="6"/>
      <c r="L46" s="6"/>
      <c r="M46" s="6"/>
      <c r="N46" s="6"/>
      <c r="O46" s="6"/>
      <c r="P46" s="6"/>
    </row>
    <row r="47" spans="1:16" s="7" customFormat="1" x14ac:dyDescent="0.2">
      <c r="A47" s="532"/>
      <c r="B47" s="259"/>
      <c r="C47" s="259"/>
      <c r="D47" s="533"/>
      <c r="E47" s="259"/>
      <c r="F47" s="534"/>
      <c r="G47" s="535"/>
      <c r="H47" s="536"/>
      <c r="I47" s="537"/>
      <c r="J47" s="6"/>
      <c r="K47" s="6"/>
      <c r="L47" s="6"/>
      <c r="M47" s="6"/>
      <c r="N47" s="6"/>
      <c r="O47" s="6"/>
      <c r="P47" s="6"/>
    </row>
    <row r="48" spans="1:16" s="7" customFormat="1" ht="15" x14ac:dyDescent="0.2">
      <c r="A48" s="162" t="s">
        <v>1059</v>
      </c>
      <c r="B48" s="374"/>
      <c r="C48" s="374"/>
      <c r="D48" s="105" t="s">
        <v>1177</v>
      </c>
      <c r="E48" s="374"/>
      <c r="F48" s="410"/>
      <c r="G48" s="395"/>
      <c r="H48" s="523"/>
      <c r="I48" s="526">
        <f>I49+I60</f>
        <v>11455.060000000001</v>
      </c>
      <c r="J48" s="6"/>
      <c r="K48" s="6"/>
      <c r="L48" s="6"/>
      <c r="M48" s="6"/>
      <c r="N48" s="6"/>
      <c r="O48" s="6"/>
      <c r="P48" s="6"/>
    </row>
    <row r="49" spans="1:16" s="7" customFormat="1" ht="15" x14ac:dyDescent="0.2">
      <c r="A49" s="162" t="s">
        <v>1060</v>
      </c>
      <c r="B49" s="374"/>
      <c r="C49" s="374"/>
      <c r="D49" s="105" t="s">
        <v>132</v>
      </c>
      <c r="E49" s="374"/>
      <c r="F49" s="410"/>
      <c r="G49" s="395"/>
      <c r="H49" s="523"/>
      <c r="I49" s="526">
        <f>SUM(I50:I58)</f>
        <v>4676.26</v>
      </c>
      <c r="J49" s="6"/>
      <c r="K49" s="6"/>
      <c r="L49" s="6"/>
      <c r="M49" s="6"/>
      <c r="N49" s="6"/>
      <c r="O49" s="6"/>
      <c r="P49" s="6"/>
    </row>
    <row r="50" spans="1:16" s="7" customFormat="1" x14ac:dyDescent="0.2">
      <c r="A50" s="375" t="s">
        <v>975</v>
      </c>
      <c r="B50" s="671" t="s">
        <v>9</v>
      </c>
      <c r="C50" s="671"/>
      <c r="D50" s="227" t="s">
        <v>999</v>
      </c>
      <c r="E50" s="374" t="s">
        <v>107</v>
      </c>
      <c r="F50" s="410">
        <v>60</v>
      </c>
      <c r="G50" s="395">
        <v>16.02</v>
      </c>
      <c r="H50" s="523">
        <f t="shared" ref="H50:H65" si="0">ROUND(G50*(1+L$3),2)</f>
        <v>16.02</v>
      </c>
      <c r="I50" s="524">
        <f t="shared" ref="I50:I65" si="1">ROUND(F50*H50,2)</f>
        <v>961.2</v>
      </c>
      <c r="J50" s="6"/>
      <c r="K50" s="6"/>
      <c r="L50" s="6"/>
      <c r="M50" s="6"/>
      <c r="N50" s="6"/>
      <c r="O50" s="6"/>
      <c r="P50" s="6"/>
    </row>
    <row r="51" spans="1:16" s="7" customFormat="1" x14ac:dyDescent="0.2">
      <c r="A51" s="375" t="s">
        <v>976</v>
      </c>
      <c r="B51" s="671" t="s">
        <v>9</v>
      </c>
      <c r="C51" s="671"/>
      <c r="D51" s="227" t="s">
        <v>1000</v>
      </c>
      <c r="E51" s="374" t="s">
        <v>107</v>
      </c>
      <c r="F51" s="410">
        <v>50</v>
      </c>
      <c r="G51" s="395">
        <v>8.6199999999999992</v>
      </c>
      <c r="H51" s="523">
        <f t="shared" si="0"/>
        <v>8.6199999999999992</v>
      </c>
      <c r="I51" s="524">
        <f t="shared" si="1"/>
        <v>431</v>
      </c>
      <c r="J51" s="6"/>
      <c r="K51" s="6"/>
      <c r="L51" s="6"/>
      <c r="M51" s="6"/>
      <c r="N51" s="6"/>
      <c r="O51" s="6"/>
      <c r="P51" s="6"/>
    </row>
    <row r="52" spans="1:16" s="7" customFormat="1" x14ac:dyDescent="0.2">
      <c r="A52" s="375" t="s">
        <v>977</v>
      </c>
      <c r="B52" s="671" t="s">
        <v>9</v>
      </c>
      <c r="C52" s="671"/>
      <c r="D52" s="227" t="s">
        <v>1061</v>
      </c>
      <c r="E52" s="374" t="s">
        <v>107</v>
      </c>
      <c r="F52" s="410">
        <v>250</v>
      </c>
      <c r="G52" s="395">
        <v>6.81</v>
      </c>
      <c r="H52" s="523">
        <f t="shared" si="0"/>
        <v>6.81</v>
      </c>
      <c r="I52" s="524">
        <f t="shared" si="1"/>
        <v>1702.5</v>
      </c>
      <c r="J52" s="6"/>
      <c r="K52" s="6"/>
      <c r="L52" s="6"/>
      <c r="M52" s="6"/>
      <c r="N52" s="6"/>
      <c r="O52" s="6"/>
      <c r="P52" s="6"/>
    </row>
    <row r="53" spans="1:16" s="7" customFormat="1" x14ac:dyDescent="0.2">
      <c r="A53" s="375" t="s">
        <v>978</v>
      </c>
      <c r="B53" s="671" t="s">
        <v>9</v>
      </c>
      <c r="C53" s="671"/>
      <c r="D53" s="227" t="s">
        <v>1002</v>
      </c>
      <c r="E53" s="374" t="s">
        <v>107</v>
      </c>
      <c r="F53" s="410">
        <v>150</v>
      </c>
      <c r="G53" s="395">
        <v>2.92</v>
      </c>
      <c r="H53" s="523">
        <f t="shared" si="0"/>
        <v>2.92</v>
      </c>
      <c r="I53" s="524">
        <f t="shared" si="1"/>
        <v>438</v>
      </c>
      <c r="J53" s="6"/>
      <c r="K53" s="6"/>
      <c r="L53" s="6"/>
      <c r="M53" s="6"/>
      <c r="N53" s="6"/>
      <c r="O53" s="6"/>
      <c r="P53" s="6"/>
    </row>
    <row r="54" spans="1:16" s="7" customFormat="1" x14ac:dyDescent="0.2">
      <c r="A54" s="375" t="s">
        <v>979</v>
      </c>
      <c r="B54" s="671" t="s">
        <v>9</v>
      </c>
      <c r="C54" s="671"/>
      <c r="D54" s="227" t="s">
        <v>1003</v>
      </c>
      <c r="E54" s="374" t="s">
        <v>107</v>
      </c>
      <c r="F54" s="410">
        <v>30</v>
      </c>
      <c r="G54" s="395">
        <v>2.0299999999999998</v>
      </c>
      <c r="H54" s="523">
        <f t="shared" si="0"/>
        <v>2.0299999999999998</v>
      </c>
      <c r="I54" s="524">
        <f t="shared" si="1"/>
        <v>60.9</v>
      </c>
      <c r="J54" s="6"/>
      <c r="K54" s="6"/>
      <c r="L54" s="6"/>
      <c r="M54" s="6"/>
      <c r="N54" s="6"/>
      <c r="O54" s="6"/>
      <c r="P54" s="6"/>
    </row>
    <row r="55" spans="1:16" s="7" customFormat="1" x14ac:dyDescent="0.2">
      <c r="A55" s="375" t="s">
        <v>1062</v>
      </c>
      <c r="B55" s="671" t="s">
        <v>9</v>
      </c>
      <c r="C55" s="671"/>
      <c r="D55" s="227" t="s">
        <v>1004</v>
      </c>
      <c r="E55" s="374" t="s">
        <v>107</v>
      </c>
      <c r="F55" s="410">
        <v>60</v>
      </c>
      <c r="G55" s="395">
        <v>3.28</v>
      </c>
      <c r="H55" s="523">
        <f t="shared" si="0"/>
        <v>3.28</v>
      </c>
      <c r="I55" s="524">
        <f t="shared" si="1"/>
        <v>196.8</v>
      </c>
      <c r="J55" s="6"/>
      <c r="K55" s="6"/>
      <c r="L55" s="6"/>
      <c r="M55" s="6"/>
      <c r="N55" s="6"/>
      <c r="O55" s="6"/>
      <c r="P55" s="6"/>
    </row>
    <row r="56" spans="1:16" s="373" customFormat="1" x14ac:dyDescent="0.2">
      <c r="A56" s="375" t="s">
        <v>1063</v>
      </c>
      <c r="B56" s="671" t="s">
        <v>9</v>
      </c>
      <c r="C56" s="671"/>
      <c r="D56" s="107" t="s">
        <v>1005</v>
      </c>
      <c r="E56" s="375" t="s">
        <v>71</v>
      </c>
      <c r="F56" s="410">
        <v>2</v>
      </c>
      <c r="G56" s="409">
        <v>26.8</v>
      </c>
      <c r="H56" s="528">
        <f t="shared" si="0"/>
        <v>26.8</v>
      </c>
      <c r="I56" s="529">
        <f t="shared" si="1"/>
        <v>53.6</v>
      </c>
      <c r="J56" s="372"/>
      <c r="K56" s="372"/>
      <c r="L56" s="372"/>
      <c r="M56" s="372"/>
      <c r="N56" s="372"/>
      <c r="O56" s="372"/>
      <c r="P56" s="372"/>
    </row>
    <row r="57" spans="1:16" s="109" customFormat="1" x14ac:dyDescent="0.2">
      <c r="A57" s="375" t="s">
        <v>1064</v>
      </c>
      <c r="B57" s="671" t="s">
        <v>9</v>
      </c>
      <c r="C57" s="671"/>
      <c r="D57" s="422" t="s">
        <v>1065</v>
      </c>
      <c r="E57" s="380" t="s">
        <v>71</v>
      </c>
      <c r="F57" s="423">
        <v>9</v>
      </c>
      <c r="G57" s="424">
        <v>46.78</v>
      </c>
      <c r="H57" s="530">
        <f t="shared" si="0"/>
        <v>46.78</v>
      </c>
      <c r="I57" s="531">
        <f t="shared" si="1"/>
        <v>421.02</v>
      </c>
      <c r="J57" s="108"/>
      <c r="K57" s="108"/>
      <c r="L57" s="108"/>
      <c r="M57" s="108"/>
      <c r="N57" s="108"/>
      <c r="O57" s="108"/>
      <c r="P57" s="108"/>
    </row>
    <row r="58" spans="1:16" s="109" customFormat="1" x14ac:dyDescent="0.2">
      <c r="A58" s="375" t="s">
        <v>1066</v>
      </c>
      <c r="B58" s="671" t="s">
        <v>9</v>
      </c>
      <c r="C58" s="671"/>
      <c r="D58" s="422" t="s">
        <v>1067</v>
      </c>
      <c r="E58" s="380" t="s">
        <v>71</v>
      </c>
      <c r="F58" s="423">
        <v>12</v>
      </c>
      <c r="G58" s="424">
        <v>34.270000000000003</v>
      </c>
      <c r="H58" s="530">
        <f t="shared" si="0"/>
        <v>34.270000000000003</v>
      </c>
      <c r="I58" s="531">
        <f t="shared" si="1"/>
        <v>411.24</v>
      </c>
      <c r="J58" s="108"/>
      <c r="K58" s="108"/>
      <c r="L58" s="108"/>
      <c r="M58" s="108"/>
      <c r="N58" s="108"/>
      <c r="O58" s="108"/>
      <c r="P58" s="108"/>
    </row>
    <row r="59" spans="1:16" s="109" customFormat="1" x14ac:dyDescent="0.2">
      <c r="A59" s="375"/>
      <c r="B59" s="380"/>
      <c r="C59" s="380"/>
      <c r="D59" s="107"/>
      <c r="E59" s="375"/>
      <c r="F59" s="410"/>
      <c r="G59" s="409"/>
      <c r="H59" s="528"/>
      <c r="I59" s="529"/>
      <c r="J59" s="108"/>
      <c r="K59" s="108"/>
      <c r="L59" s="108"/>
      <c r="M59" s="108"/>
      <c r="N59" s="108"/>
      <c r="O59" s="108"/>
      <c r="P59" s="108"/>
    </row>
    <row r="60" spans="1:16" s="7" customFormat="1" ht="15" x14ac:dyDescent="0.2">
      <c r="A60" s="162" t="s">
        <v>1068</v>
      </c>
      <c r="B60" s="380"/>
      <c r="C60" s="380"/>
      <c r="D60" s="105" t="s">
        <v>294</v>
      </c>
      <c r="E60" s="374"/>
      <c r="F60" s="410"/>
      <c r="G60" s="395"/>
      <c r="H60" s="523"/>
      <c r="I60" s="526">
        <f>SUM(I61:I62)</f>
        <v>6778.8</v>
      </c>
      <c r="J60" s="6"/>
      <c r="K60" s="6"/>
      <c r="L60" s="6"/>
      <c r="M60" s="6"/>
      <c r="N60" s="6"/>
      <c r="O60" s="6"/>
      <c r="P60" s="6"/>
    </row>
    <row r="61" spans="1:16" s="7" customFormat="1" x14ac:dyDescent="0.2">
      <c r="A61" s="375" t="s">
        <v>983</v>
      </c>
      <c r="B61" s="380" t="s">
        <v>98</v>
      </c>
      <c r="C61" s="380">
        <v>2436</v>
      </c>
      <c r="D61" s="227" t="s">
        <v>295</v>
      </c>
      <c r="E61" s="374" t="s">
        <v>1069</v>
      </c>
      <c r="F61" s="410">
        <v>180</v>
      </c>
      <c r="G61" s="417">
        <v>9.86</v>
      </c>
      <c r="H61" s="523">
        <f>ROUND(G61*(1+L$7),2)</f>
        <v>21.93</v>
      </c>
      <c r="I61" s="524">
        <f t="shared" si="1"/>
        <v>3947.4</v>
      </c>
      <c r="J61" s="6"/>
      <c r="K61" s="6"/>
      <c r="L61" s="6"/>
      <c r="M61" s="6"/>
      <c r="N61" s="6"/>
      <c r="O61" s="6"/>
      <c r="P61" s="6"/>
    </row>
    <row r="62" spans="1:16" s="7" customFormat="1" x14ac:dyDescent="0.2">
      <c r="A62" s="375" t="s">
        <v>984</v>
      </c>
      <c r="B62" s="380" t="s">
        <v>98</v>
      </c>
      <c r="C62" s="380">
        <v>6113</v>
      </c>
      <c r="D62" s="227" t="s">
        <v>297</v>
      </c>
      <c r="E62" s="374" t="s">
        <v>1069</v>
      </c>
      <c r="F62" s="410">
        <v>180</v>
      </c>
      <c r="G62" s="417">
        <v>7.07</v>
      </c>
      <c r="H62" s="523">
        <f>ROUND(G62*(1+L$7),2)</f>
        <v>15.73</v>
      </c>
      <c r="I62" s="524">
        <f t="shared" si="1"/>
        <v>2831.4</v>
      </c>
      <c r="J62" s="6"/>
      <c r="K62" s="6"/>
      <c r="L62" s="6"/>
      <c r="M62" s="6"/>
      <c r="N62" s="6"/>
      <c r="O62" s="6"/>
      <c r="P62" s="6"/>
    </row>
    <row r="63" spans="1:16" s="7" customFormat="1" x14ac:dyDescent="0.2">
      <c r="A63" s="375"/>
      <c r="B63" s="380"/>
      <c r="C63" s="380"/>
      <c r="D63" s="227"/>
      <c r="E63" s="374"/>
      <c r="F63" s="410"/>
      <c r="G63" s="395"/>
      <c r="H63" s="523"/>
      <c r="I63" s="524"/>
      <c r="J63" s="6"/>
      <c r="K63" s="6"/>
      <c r="L63" s="6"/>
      <c r="M63" s="6"/>
      <c r="N63" s="6"/>
      <c r="O63" s="6"/>
      <c r="P63" s="6"/>
    </row>
    <row r="64" spans="1:16" s="7" customFormat="1" ht="15" x14ac:dyDescent="0.2">
      <c r="A64" s="162" t="s">
        <v>1006</v>
      </c>
      <c r="B64" s="380"/>
      <c r="C64" s="380"/>
      <c r="D64" s="105" t="s">
        <v>304</v>
      </c>
      <c r="E64" s="374"/>
      <c r="F64" s="410"/>
      <c r="G64" s="395"/>
      <c r="H64" s="523"/>
      <c r="I64" s="526">
        <f>SUM(I65:I66)</f>
        <v>3500</v>
      </c>
      <c r="J64" s="6"/>
      <c r="K64" s="6"/>
      <c r="L64" s="6"/>
      <c r="M64" s="6"/>
      <c r="N64" s="6"/>
      <c r="O64" s="6"/>
      <c r="P64" s="6"/>
    </row>
    <row r="65" spans="1:16" s="109" customFormat="1" ht="28.5" x14ac:dyDescent="0.2">
      <c r="A65" s="375" t="s">
        <v>1007</v>
      </c>
      <c r="B65" s="671" t="s">
        <v>9</v>
      </c>
      <c r="C65" s="671"/>
      <c r="D65" s="107" t="s">
        <v>1070</v>
      </c>
      <c r="E65" s="375" t="s">
        <v>71</v>
      </c>
      <c r="F65" s="410">
        <v>1</v>
      </c>
      <c r="G65" s="413">
        <v>3500</v>
      </c>
      <c r="H65" s="528">
        <f t="shared" si="0"/>
        <v>3500</v>
      </c>
      <c r="I65" s="529">
        <f t="shared" si="1"/>
        <v>3500</v>
      </c>
      <c r="J65" s="108"/>
      <c r="K65" s="108"/>
      <c r="L65" s="108"/>
      <c r="M65" s="108"/>
      <c r="N65" s="108"/>
      <c r="O65" s="108"/>
      <c r="P65" s="108"/>
    </row>
    <row r="66" spans="1:16" s="7" customFormat="1" x14ac:dyDescent="0.2">
      <c r="A66" s="375"/>
      <c r="B66" s="380"/>
      <c r="C66" s="380"/>
      <c r="D66" s="227"/>
      <c r="E66" s="374"/>
      <c r="F66" s="410"/>
      <c r="G66" s="395"/>
      <c r="H66" s="523"/>
      <c r="I66" s="524"/>
      <c r="J66" s="6"/>
      <c r="K66" s="6"/>
      <c r="L66" s="6"/>
      <c r="M66" s="6"/>
      <c r="N66" s="6"/>
      <c r="O66" s="6"/>
      <c r="P66" s="6"/>
    </row>
    <row r="67" spans="1:16" ht="15.95" customHeight="1" x14ac:dyDescent="0.2">
      <c r="A67" s="162" t="s">
        <v>1009</v>
      </c>
      <c r="B67" s="292"/>
      <c r="C67" s="292"/>
      <c r="D67" s="105" t="s">
        <v>1071</v>
      </c>
      <c r="E67" s="374"/>
      <c r="F67" s="410"/>
      <c r="G67" s="417"/>
      <c r="H67" s="525"/>
      <c r="I67" s="526">
        <f>I68+I91</f>
        <v>1443.5100000000002</v>
      </c>
      <c r="J67" s="4"/>
      <c r="K67" s="4"/>
      <c r="L67" s="4"/>
      <c r="M67" s="4"/>
      <c r="N67" s="4"/>
      <c r="O67" s="4"/>
      <c r="P67" s="4"/>
    </row>
    <row r="68" spans="1:16" ht="15.95" customHeight="1" x14ac:dyDescent="0.2">
      <c r="A68" s="162" t="s">
        <v>1011</v>
      </c>
      <c r="B68" s="292"/>
      <c r="C68" s="292"/>
      <c r="D68" s="105" t="s">
        <v>132</v>
      </c>
      <c r="E68" s="374"/>
      <c r="F68" s="410"/>
      <c r="G68" s="417"/>
      <c r="H68" s="525"/>
      <c r="I68" s="526">
        <f>SUM(I69:I89)</f>
        <v>879.07</v>
      </c>
      <c r="J68" s="4"/>
      <c r="K68" s="4"/>
      <c r="L68" s="4"/>
      <c r="M68" s="4"/>
      <c r="N68" s="4"/>
      <c r="O68" s="4"/>
      <c r="P68" s="4"/>
    </row>
    <row r="69" spans="1:16" s="7" customFormat="1" x14ac:dyDescent="0.2">
      <c r="A69" s="375" t="s">
        <v>1012</v>
      </c>
      <c r="B69" s="671" t="s">
        <v>9</v>
      </c>
      <c r="C69" s="671"/>
      <c r="D69" s="227" t="s">
        <v>1072</v>
      </c>
      <c r="E69" s="374" t="s">
        <v>107</v>
      </c>
      <c r="F69" s="410">
        <v>30</v>
      </c>
      <c r="G69" s="417">
        <v>5.79</v>
      </c>
      <c r="H69" s="523">
        <f>ROUND(G69*(1+L$3),2)</f>
        <v>5.79</v>
      </c>
      <c r="I69" s="524">
        <f>ROUND(F69*H69,2)</f>
        <v>173.7</v>
      </c>
      <c r="J69" s="6"/>
      <c r="K69" s="6"/>
      <c r="L69" s="6"/>
      <c r="M69" s="6"/>
      <c r="N69" s="6"/>
      <c r="O69" s="6"/>
      <c r="P69" s="6"/>
    </row>
    <row r="70" spans="1:16" s="7" customFormat="1" ht="15.95" customHeight="1" x14ac:dyDescent="0.2">
      <c r="A70" s="375" t="s">
        <v>1014</v>
      </c>
      <c r="B70" s="671" t="s">
        <v>9</v>
      </c>
      <c r="C70" s="671"/>
      <c r="D70" s="227" t="s">
        <v>1015</v>
      </c>
      <c r="E70" s="374" t="s">
        <v>1016</v>
      </c>
      <c r="F70" s="410">
        <v>6</v>
      </c>
      <c r="G70" s="417">
        <v>3.17</v>
      </c>
      <c r="H70" s="523">
        <f t="shared" ref="H70:H89" si="2">ROUND(G70*(1+L$3),2)</f>
        <v>3.17</v>
      </c>
      <c r="I70" s="524">
        <f t="shared" ref="I70:I94" si="3">ROUND(F70*H70,2)</f>
        <v>19.02</v>
      </c>
      <c r="J70" s="6"/>
      <c r="K70" s="6"/>
      <c r="L70" s="6"/>
      <c r="M70" s="6"/>
      <c r="N70" s="6"/>
      <c r="O70" s="6"/>
      <c r="P70" s="6"/>
    </row>
    <row r="71" spans="1:16" s="373" customFormat="1" x14ac:dyDescent="0.2">
      <c r="A71" s="375" t="s">
        <v>1017</v>
      </c>
      <c r="B71" s="671" t="s">
        <v>9</v>
      </c>
      <c r="C71" s="671"/>
      <c r="D71" s="107" t="s">
        <v>1018</v>
      </c>
      <c r="E71" s="375" t="s">
        <v>71</v>
      </c>
      <c r="F71" s="410">
        <v>1</v>
      </c>
      <c r="G71" s="417">
        <v>1.9</v>
      </c>
      <c r="H71" s="528">
        <f t="shared" si="2"/>
        <v>1.9</v>
      </c>
      <c r="I71" s="529">
        <f t="shared" si="3"/>
        <v>1.9</v>
      </c>
      <c r="J71" s="372"/>
      <c r="K71" s="372"/>
      <c r="L71" s="372"/>
      <c r="M71" s="372"/>
      <c r="N71" s="372"/>
      <c r="O71" s="372"/>
      <c r="P71" s="372"/>
    </row>
    <row r="72" spans="1:16" s="373" customFormat="1" ht="15.95" customHeight="1" x14ac:dyDescent="0.2">
      <c r="A72" s="375" t="s">
        <v>1019</v>
      </c>
      <c r="B72" s="671" t="s">
        <v>9</v>
      </c>
      <c r="C72" s="671"/>
      <c r="D72" s="107" t="s">
        <v>1020</v>
      </c>
      <c r="E72" s="375" t="s">
        <v>71</v>
      </c>
      <c r="F72" s="410">
        <v>1</v>
      </c>
      <c r="G72" s="409">
        <v>8.56</v>
      </c>
      <c r="H72" s="528">
        <f t="shared" si="2"/>
        <v>8.56</v>
      </c>
      <c r="I72" s="529">
        <f t="shared" si="3"/>
        <v>8.56</v>
      </c>
      <c r="J72" s="372"/>
      <c r="K72" s="372"/>
      <c r="L72" s="372"/>
      <c r="M72" s="372"/>
      <c r="N72" s="372"/>
      <c r="O72" s="372"/>
      <c r="P72" s="372"/>
    </row>
    <row r="73" spans="1:16" s="373" customFormat="1" x14ac:dyDescent="0.2">
      <c r="A73" s="375" t="s">
        <v>1021</v>
      </c>
      <c r="B73" s="671" t="s">
        <v>9</v>
      </c>
      <c r="C73" s="671"/>
      <c r="D73" s="107" t="s">
        <v>1022</v>
      </c>
      <c r="E73" s="375" t="s">
        <v>2</v>
      </c>
      <c r="F73" s="410">
        <v>1</v>
      </c>
      <c r="G73" s="417">
        <v>10.039999999999999</v>
      </c>
      <c r="H73" s="528">
        <f t="shared" si="2"/>
        <v>10.039999999999999</v>
      </c>
      <c r="I73" s="529">
        <f t="shared" si="3"/>
        <v>10.039999999999999</v>
      </c>
      <c r="J73" s="372"/>
      <c r="K73" s="372"/>
      <c r="L73" s="372"/>
      <c r="M73" s="372"/>
      <c r="N73" s="372"/>
      <c r="O73" s="372"/>
      <c r="P73" s="372"/>
    </row>
    <row r="74" spans="1:16" s="373" customFormat="1" ht="15.95" customHeight="1" x14ac:dyDescent="0.2">
      <c r="A74" s="375" t="s">
        <v>1023</v>
      </c>
      <c r="B74" s="671" t="s">
        <v>9</v>
      </c>
      <c r="C74" s="671"/>
      <c r="D74" s="107" t="s">
        <v>1024</v>
      </c>
      <c r="E74" s="375" t="s">
        <v>71</v>
      </c>
      <c r="F74" s="410">
        <v>1</v>
      </c>
      <c r="G74" s="409">
        <v>5.5</v>
      </c>
      <c r="H74" s="528">
        <f t="shared" si="2"/>
        <v>5.5</v>
      </c>
      <c r="I74" s="529">
        <f t="shared" si="3"/>
        <v>5.5</v>
      </c>
      <c r="J74" s="372"/>
      <c r="K74" s="372"/>
      <c r="L74" s="372"/>
      <c r="M74" s="372"/>
      <c r="N74" s="372"/>
      <c r="O74" s="372"/>
      <c r="P74" s="372"/>
    </row>
    <row r="75" spans="1:16" s="373" customFormat="1" ht="15.95" customHeight="1" x14ac:dyDescent="0.2">
      <c r="A75" s="375" t="s">
        <v>1025</v>
      </c>
      <c r="B75" s="671" t="s">
        <v>9</v>
      </c>
      <c r="C75" s="671"/>
      <c r="D75" s="107" t="s">
        <v>1026</v>
      </c>
      <c r="E75" s="375" t="s">
        <v>71</v>
      </c>
      <c r="F75" s="410">
        <v>1</v>
      </c>
      <c r="G75" s="409">
        <v>1.99</v>
      </c>
      <c r="H75" s="528">
        <f t="shared" si="2"/>
        <v>1.99</v>
      </c>
      <c r="I75" s="529">
        <f t="shared" si="3"/>
        <v>1.99</v>
      </c>
      <c r="J75" s="372"/>
      <c r="K75" s="372"/>
      <c r="L75" s="372"/>
      <c r="M75" s="372"/>
      <c r="N75" s="372"/>
      <c r="O75" s="372"/>
      <c r="P75" s="372"/>
    </row>
    <row r="76" spans="1:16" s="373" customFormat="1" ht="15.95" customHeight="1" x14ac:dyDescent="0.2">
      <c r="A76" s="375" t="s">
        <v>1027</v>
      </c>
      <c r="B76" s="671" t="s">
        <v>9</v>
      </c>
      <c r="C76" s="671"/>
      <c r="D76" s="107" t="s">
        <v>1028</v>
      </c>
      <c r="E76" s="375" t="s">
        <v>71</v>
      </c>
      <c r="F76" s="410">
        <v>1</v>
      </c>
      <c r="G76" s="409">
        <v>204.96</v>
      </c>
      <c r="H76" s="528">
        <f t="shared" si="2"/>
        <v>204.96</v>
      </c>
      <c r="I76" s="529">
        <f t="shared" si="3"/>
        <v>204.96</v>
      </c>
      <c r="J76" s="372"/>
      <c r="K76" s="372"/>
      <c r="L76" s="372"/>
      <c r="M76" s="372"/>
      <c r="N76" s="372"/>
      <c r="O76" s="372"/>
      <c r="P76" s="372"/>
    </row>
    <row r="77" spans="1:16" s="373" customFormat="1" x14ac:dyDescent="0.2">
      <c r="A77" s="375" t="s">
        <v>1029</v>
      </c>
      <c r="B77" s="671" t="s">
        <v>9</v>
      </c>
      <c r="C77" s="671"/>
      <c r="D77" s="107" t="s">
        <v>1030</v>
      </c>
      <c r="E77" s="375" t="s">
        <v>71</v>
      </c>
      <c r="F77" s="410">
        <v>1</v>
      </c>
      <c r="G77" s="417">
        <v>1.1100000000000001</v>
      </c>
      <c r="H77" s="528">
        <f t="shared" si="2"/>
        <v>1.1100000000000001</v>
      </c>
      <c r="I77" s="529">
        <f t="shared" si="3"/>
        <v>1.1100000000000001</v>
      </c>
      <c r="J77" s="372"/>
      <c r="K77" s="372"/>
      <c r="L77" s="372"/>
      <c r="M77" s="372"/>
      <c r="N77" s="372"/>
      <c r="O77" s="372"/>
      <c r="P77" s="372"/>
    </row>
    <row r="78" spans="1:16" s="373" customFormat="1" ht="15.95" customHeight="1" x14ac:dyDescent="0.2">
      <c r="A78" s="375" t="s">
        <v>1031</v>
      </c>
      <c r="B78" s="671" t="s">
        <v>9</v>
      </c>
      <c r="C78" s="671"/>
      <c r="D78" s="107" t="s">
        <v>1032</v>
      </c>
      <c r="E78" s="375" t="s">
        <v>71</v>
      </c>
      <c r="F78" s="410">
        <v>1</v>
      </c>
      <c r="G78" s="409">
        <v>159.54</v>
      </c>
      <c r="H78" s="528">
        <f t="shared" si="2"/>
        <v>159.54</v>
      </c>
      <c r="I78" s="529">
        <f t="shared" si="3"/>
        <v>159.54</v>
      </c>
      <c r="J78" s="372"/>
      <c r="K78" s="372"/>
      <c r="L78" s="372"/>
      <c r="M78" s="372"/>
      <c r="N78" s="372"/>
      <c r="O78" s="372"/>
      <c r="P78" s="372"/>
    </row>
    <row r="79" spans="1:16" s="373" customFormat="1" ht="15.95" customHeight="1" x14ac:dyDescent="0.2">
      <c r="A79" s="375" t="s">
        <v>1033</v>
      </c>
      <c r="B79" s="671" t="s">
        <v>9</v>
      </c>
      <c r="C79" s="671"/>
      <c r="D79" s="107" t="s">
        <v>1034</v>
      </c>
      <c r="E79" s="375" t="s">
        <v>71</v>
      </c>
      <c r="F79" s="410">
        <v>1</v>
      </c>
      <c r="G79" s="417">
        <v>1.5</v>
      </c>
      <c r="H79" s="528">
        <f t="shared" si="2"/>
        <v>1.5</v>
      </c>
      <c r="I79" s="529">
        <f t="shared" si="3"/>
        <v>1.5</v>
      </c>
      <c r="J79" s="372"/>
      <c r="K79" s="372"/>
      <c r="L79" s="372"/>
      <c r="M79" s="372"/>
      <c r="N79" s="372"/>
      <c r="O79" s="372"/>
      <c r="P79" s="372"/>
    </row>
    <row r="80" spans="1:16" s="373" customFormat="1" x14ac:dyDescent="0.2">
      <c r="A80" s="375" t="s">
        <v>1035</v>
      </c>
      <c r="B80" s="671" t="s">
        <v>9</v>
      </c>
      <c r="C80" s="671"/>
      <c r="D80" s="107" t="s">
        <v>1036</v>
      </c>
      <c r="E80" s="375" t="s">
        <v>1016</v>
      </c>
      <c r="F80" s="410">
        <v>6</v>
      </c>
      <c r="G80" s="409">
        <v>1.52</v>
      </c>
      <c r="H80" s="528">
        <f t="shared" si="2"/>
        <v>1.52</v>
      </c>
      <c r="I80" s="529">
        <f t="shared" si="3"/>
        <v>9.1199999999999992</v>
      </c>
      <c r="J80" s="372"/>
      <c r="K80" s="372"/>
      <c r="L80" s="372"/>
      <c r="M80" s="372"/>
      <c r="N80" s="372"/>
      <c r="O80" s="372"/>
      <c r="P80" s="372"/>
    </row>
    <row r="81" spans="1:16" s="7" customFormat="1" x14ac:dyDescent="0.2">
      <c r="A81" s="375" t="s">
        <v>1037</v>
      </c>
      <c r="B81" s="671" t="s">
        <v>9</v>
      </c>
      <c r="C81" s="671"/>
      <c r="D81" s="227" t="s">
        <v>1038</v>
      </c>
      <c r="E81" s="374" t="s">
        <v>71</v>
      </c>
      <c r="F81" s="410">
        <v>3</v>
      </c>
      <c r="G81" s="417">
        <v>1.49</v>
      </c>
      <c r="H81" s="523">
        <f t="shared" si="2"/>
        <v>1.49</v>
      </c>
      <c r="I81" s="524">
        <f t="shared" si="3"/>
        <v>4.47</v>
      </c>
      <c r="J81" s="6"/>
      <c r="K81" s="6"/>
      <c r="L81" s="6"/>
      <c r="M81" s="6"/>
      <c r="N81" s="6"/>
      <c r="O81" s="6"/>
      <c r="P81" s="6"/>
    </row>
    <row r="82" spans="1:16" s="373" customFormat="1" x14ac:dyDescent="0.2">
      <c r="A82" s="375" t="s">
        <v>1039</v>
      </c>
      <c r="B82" s="671" t="s">
        <v>9</v>
      </c>
      <c r="C82" s="671"/>
      <c r="D82" s="107" t="s">
        <v>1040</v>
      </c>
      <c r="E82" s="375" t="s">
        <v>71</v>
      </c>
      <c r="F82" s="410">
        <v>3</v>
      </c>
      <c r="G82" s="417">
        <v>30.94</v>
      </c>
      <c r="H82" s="528">
        <f t="shared" si="2"/>
        <v>30.94</v>
      </c>
      <c r="I82" s="529">
        <f t="shared" si="3"/>
        <v>92.82</v>
      </c>
      <c r="J82" s="372"/>
      <c r="K82" s="372"/>
      <c r="L82" s="372"/>
      <c r="M82" s="372"/>
      <c r="N82" s="372"/>
      <c r="O82" s="372"/>
      <c r="P82" s="372"/>
    </row>
    <row r="83" spans="1:16" s="373" customFormat="1" x14ac:dyDescent="0.2">
      <c r="A83" s="375" t="s">
        <v>1041</v>
      </c>
      <c r="B83" s="671" t="s">
        <v>9</v>
      </c>
      <c r="C83" s="671"/>
      <c r="D83" s="107" t="s">
        <v>1042</v>
      </c>
      <c r="E83" s="375" t="s">
        <v>71</v>
      </c>
      <c r="F83" s="410">
        <v>1</v>
      </c>
      <c r="G83" s="417">
        <v>43.85</v>
      </c>
      <c r="H83" s="528">
        <f t="shared" si="2"/>
        <v>43.85</v>
      </c>
      <c r="I83" s="529">
        <f t="shared" si="3"/>
        <v>43.85</v>
      </c>
      <c r="J83" s="372"/>
      <c r="K83" s="372"/>
      <c r="L83" s="372"/>
      <c r="M83" s="372"/>
      <c r="N83" s="372"/>
      <c r="O83" s="372"/>
      <c r="P83" s="372"/>
    </row>
    <row r="84" spans="1:16" s="373" customFormat="1" x14ac:dyDescent="0.2">
      <c r="A84" s="375" t="s">
        <v>1043</v>
      </c>
      <c r="B84" s="671" t="s">
        <v>9</v>
      </c>
      <c r="C84" s="671"/>
      <c r="D84" s="107" t="s">
        <v>1044</v>
      </c>
      <c r="E84" s="375" t="s">
        <v>71</v>
      </c>
      <c r="F84" s="410">
        <v>1</v>
      </c>
      <c r="G84" s="417">
        <v>6.03</v>
      </c>
      <c r="H84" s="528">
        <f t="shared" si="2"/>
        <v>6.03</v>
      </c>
      <c r="I84" s="529">
        <f t="shared" si="3"/>
        <v>6.03</v>
      </c>
      <c r="J84" s="372"/>
      <c r="K84" s="372"/>
      <c r="L84" s="372"/>
      <c r="M84" s="372"/>
      <c r="N84" s="372"/>
      <c r="O84" s="372"/>
      <c r="P84" s="372"/>
    </row>
    <row r="85" spans="1:16" s="373" customFormat="1" x14ac:dyDescent="0.2">
      <c r="A85" s="375" t="s">
        <v>1045</v>
      </c>
      <c r="B85" s="671" t="s">
        <v>9</v>
      </c>
      <c r="C85" s="671"/>
      <c r="D85" s="107" t="s">
        <v>1046</v>
      </c>
      <c r="E85" s="375" t="s">
        <v>71</v>
      </c>
      <c r="F85" s="410">
        <v>1</v>
      </c>
      <c r="G85" s="417">
        <v>2.96</v>
      </c>
      <c r="H85" s="528">
        <f t="shared" si="2"/>
        <v>2.96</v>
      </c>
      <c r="I85" s="529">
        <f t="shared" si="3"/>
        <v>2.96</v>
      </c>
      <c r="J85" s="372"/>
      <c r="K85" s="372"/>
      <c r="L85" s="372"/>
      <c r="M85" s="372"/>
      <c r="N85" s="372"/>
      <c r="O85" s="372"/>
      <c r="P85" s="372"/>
    </row>
    <row r="86" spans="1:16" s="373" customFormat="1" ht="15.95" customHeight="1" x14ac:dyDescent="0.2">
      <c r="A86" s="375" t="s">
        <v>1047</v>
      </c>
      <c r="B86" s="671" t="s">
        <v>9</v>
      </c>
      <c r="C86" s="671"/>
      <c r="D86" s="107" t="s">
        <v>1048</v>
      </c>
      <c r="E86" s="375" t="s">
        <v>71</v>
      </c>
      <c r="F86" s="410">
        <v>200</v>
      </c>
      <c r="G86" s="417">
        <v>0.32</v>
      </c>
      <c r="H86" s="528">
        <f t="shared" si="2"/>
        <v>0.32</v>
      </c>
      <c r="I86" s="529">
        <f t="shared" si="3"/>
        <v>64</v>
      </c>
      <c r="J86" s="372"/>
      <c r="K86" s="372"/>
      <c r="L86" s="372"/>
      <c r="M86" s="372"/>
      <c r="N86" s="372"/>
      <c r="O86" s="372"/>
      <c r="P86" s="372"/>
    </row>
    <row r="87" spans="1:16" s="373" customFormat="1" ht="15.95" customHeight="1" x14ac:dyDescent="0.2">
      <c r="A87" s="375" t="s">
        <v>1049</v>
      </c>
      <c r="B87" s="671" t="s">
        <v>9</v>
      </c>
      <c r="C87" s="671"/>
      <c r="D87" s="107" t="s">
        <v>1050</v>
      </c>
      <c r="E87" s="375" t="s">
        <v>71</v>
      </c>
      <c r="F87" s="410">
        <v>200</v>
      </c>
      <c r="G87" s="417">
        <v>0.15</v>
      </c>
      <c r="H87" s="528">
        <f t="shared" si="2"/>
        <v>0.15</v>
      </c>
      <c r="I87" s="529">
        <f t="shared" si="3"/>
        <v>30</v>
      </c>
      <c r="J87" s="372"/>
      <c r="K87" s="372"/>
      <c r="L87" s="372"/>
      <c r="M87" s="372"/>
      <c r="N87" s="372"/>
      <c r="O87" s="372"/>
      <c r="P87" s="372"/>
    </row>
    <row r="88" spans="1:16" s="373" customFormat="1" ht="15.95" customHeight="1" x14ac:dyDescent="0.2">
      <c r="A88" s="375" t="s">
        <v>1051</v>
      </c>
      <c r="B88" s="671" t="s">
        <v>9</v>
      </c>
      <c r="C88" s="671"/>
      <c r="D88" s="107" t="s">
        <v>1052</v>
      </c>
      <c r="E88" s="375" t="s">
        <v>71</v>
      </c>
      <c r="F88" s="410">
        <v>200</v>
      </c>
      <c r="G88" s="417">
        <v>0.08</v>
      </c>
      <c r="H88" s="528">
        <f t="shared" si="2"/>
        <v>0.08</v>
      </c>
      <c r="I88" s="529">
        <f t="shared" si="3"/>
        <v>16</v>
      </c>
      <c r="J88" s="372"/>
      <c r="K88" s="372"/>
      <c r="L88" s="372"/>
      <c r="M88" s="372"/>
      <c r="N88" s="372"/>
      <c r="O88" s="372"/>
      <c r="P88" s="372"/>
    </row>
    <row r="89" spans="1:16" s="373" customFormat="1" ht="15.95" customHeight="1" x14ac:dyDescent="0.2">
      <c r="A89" s="375" t="s">
        <v>1053</v>
      </c>
      <c r="B89" s="671" t="s">
        <v>9</v>
      </c>
      <c r="C89" s="671"/>
      <c r="D89" s="107" t="s">
        <v>1054</v>
      </c>
      <c r="E89" s="375" t="s">
        <v>71</v>
      </c>
      <c r="F89" s="410">
        <v>200</v>
      </c>
      <c r="G89" s="409">
        <v>0.11</v>
      </c>
      <c r="H89" s="528">
        <f t="shared" si="2"/>
        <v>0.11</v>
      </c>
      <c r="I89" s="529">
        <f t="shared" si="3"/>
        <v>22</v>
      </c>
      <c r="J89" s="372"/>
      <c r="K89" s="372"/>
      <c r="L89" s="372"/>
      <c r="M89" s="372"/>
      <c r="N89" s="372"/>
      <c r="O89" s="372"/>
      <c r="P89" s="372"/>
    </row>
    <row r="90" spans="1:16" s="373" customFormat="1" ht="15.95" customHeight="1" x14ac:dyDescent="0.2">
      <c r="A90" s="375"/>
      <c r="B90" s="375"/>
      <c r="C90" s="375"/>
      <c r="D90" s="107"/>
      <c r="E90" s="375"/>
      <c r="F90" s="410"/>
      <c r="G90" s="409"/>
      <c r="H90" s="528"/>
      <c r="I90" s="529"/>
      <c r="J90" s="372"/>
      <c r="K90" s="372"/>
      <c r="L90" s="372"/>
      <c r="M90" s="372"/>
      <c r="N90" s="372"/>
      <c r="O90" s="372"/>
      <c r="P90" s="372"/>
    </row>
    <row r="91" spans="1:16" s="7" customFormat="1" ht="15" x14ac:dyDescent="0.2">
      <c r="A91" s="162" t="s">
        <v>1055</v>
      </c>
      <c r="B91" s="374"/>
      <c r="C91" s="374"/>
      <c r="D91" s="105" t="s">
        <v>294</v>
      </c>
      <c r="E91" s="374"/>
      <c r="F91" s="410"/>
      <c r="G91" s="417"/>
      <c r="H91" s="523"/>
      <c r="I91" s="526">
        <f>SUM(I92:I94)</f>
        <v>564.44000000000005</v>
      </c>
      <c r="J91" s="6"/>
      <c r="K91" s="6"/>
      <c r="L91" s="6"/>
      <c r="M91" s="6"/>
      <c r="N91" s="6"/>
      <c r="O91" s="6"/>
      <c r="P91" s="6"/>
    </row>
    <row r="92" spans="1:16" s="7" customFormat="1" x14ac:dyDescent="0.2">
      <c r="A92" s="375" t="s">
        <v>1056</v>
      </c>
      <c r="B92" s="374" t="s">
        <v>98</v>
      </c>
      <c r="C92" s="374">
        <v>2436</v>
      </c>
      <c r="D92" s="227" t="s">
        <v>295</v>
      </c>
      <c r="E92" s="374" t="s">
        <v>296</v>
      </c>
      <c r="F92" s="410">
        <v>8</v>
      </c>
      <c r="G92" s="417">
        <v>9.86</v>
      </c>
      <c r="H92" s="523">
        <f>ROUND(G92*(1+L$7),2)</f>
        <v>21.93</v>
      </c>
      <c r="I92" s="524">
        <f t="shared" si="3"/>
        <v>175.44</v>
      </c>
      <c r="J92" s="6"/>
      <c r="K92" s="6"/>
      <c r="L92" s="6"/>
      <c r="M92" s="6"/>
      <c r="N92" s="6"/>
      <c r="O92" s="6"/>
      <c r="P92" s="6"/>
    </row>
    <row r="93" spans="1:16" s="7" customFormat="1" x14ac:dyDescent="0.2">
      <c r="A93" s="375" t="s">
        <v>1057</v>
      </c>
      <c r="B93" s="374" t="s">
        <v>98</v>
      </c>
      <c r="C93" s="374">
        <v>6113</v>
      </c>
      <c r="D93" s="227" t="s">
        <v>297</v>
      </c>
      <c r="E93" s="374" t="s">
        <v>97</v>
      </c>
      <c r="F93" s="410">
        <v>8</v>
      </c>
      <c r="G93" s="417">
        <v>7.07</v>
      </c>
      <c r="H93" s="523">
        <f t="shared" ref="H93:H94" si="4">ROUND(G93*(1+L$7),2)</f>
        <v>15.73</v>
      </c>
      <c r="I93" s="524">
        <f t="shared" si="3"/>
        <v>125.84</v>
      </c>
      <c r="J93" s="6"/>
      <c r="K93" s="6"/>
      <c r="L93" s="6"/>
      <c r="M93" s="6"/>
      <c r="N93" s="6"/>
      <c r="O93" s="6"/>
      <c r="P93" s="6"/>
    </row>
    <row r="94" spans="1:16" s="7" customFormat="1" x14ac:dyDescent="0.2">
      <c r="A94" s="375" t="s">
        <v>1058</v>
      </c>
      <c r="B94" s="374" t="s">
        <v>98</v>
      </c>
      <c r="C94" s="374">
        <v>4750</v>
      </c>
      <c r="D94" s="227" t="s">
        <v>305</v>
      </c>
      <c r="E94" s="374" t="s">
        <v>97</v>
      </c>
      <c r="F94" s="410">
        <v>12</v>
      </c>
      <c r="G94" s="417">
        <v>9.86</v>
      </c>
      <c r="H94" s="523">
        <f t="shared" si="4"/>
        <v>21.93</v>
      </c>
      <c r="I94" s="524">
        <f t="shared" si="3"/>
        <v>263.16000000000003</v>
      </c>
      <c r="J94" s="6"/>
      <c r="K94" s="6"/>
      <c r="L94" s="6"/>
      <c r="M94" s="6"/>
      <c r="N94" s="6"/>
      <c r="O94" s="6"/>
      <c r="P94" s="6"/>
    </row>
    <row r="95" spans="1:16" s="7" customFormat="1" x14ac:dyDescent="0.2">
      <c r="A95" s="375"/>
      <c r="B95" s="374"/>
      <c r="C95" s="374"/>
      <c r="D95" s="227"/>
      <c r="E95" s="374"/>
      <c r="F95" s="410"/>
      <c r="G95" s="417"/>
      <c r="H95" s="523"/>
      <c r="I95" s="524"/>
      <c r="J95" s="6"/>
      <c r="K95" s="6"/>
      <c r="L95" s="6"/>
      <c r="M95" s="6"/>
      <c r="N95" s="6"/>
      <c r="O95" s="6"/>
      <c r="P95" s="6"/>
    </row>
    <row r="96" spans="1:16" s="7" customFormat="1" x14ac:dyDescent="0.2">
      <c r="A96" s="375"/>
      <c r="B96" s="374"/>
      <c r="C96" s="374"/>
      <c r="D96" s="227"/>
      <c r="E96" s="374"/>
      <c r="F96" s="410"/>
      <c r="G96" s="417"/>
      <c r="H96" s="523"/>
      <c r="I96" s="524"/>
      <c r="J96" s="6"/>
      <c r="K96" s="6"/>
      <c r="L96" s="6"/>
      <c r="M96" s="6"/>
      <c r="N96" s="6"/>
      <c r="O96" s="6"/>
      <c r="P96" s="6"/>
    </row>
    <row r="97" spans="1:16" s="7" customFormat="1" x14ac:dyDescent="0.2">
      <c r="A97" s="375"/>
      <c r="B97" s="374"/>
      <c r="C97" s="374"/>
      <c r="D97" s="227"/>
      <c r="E97" s="374"/>
      <c r="F97" s="410"/>
      <c r="G97" s="417"/>
      <c r="H97" s="523"/>
      <c r="I97" s="524"/>
      <c r="J97" s="6"/>
      <c r="K97" s="6"/>
      <c r="L97" s="6"/>
      <c r="M97" s="6"/>
      <c r="N97" s="6"/>
      <c r="O97" s="6"/>
      <c r="P97" s="6"/>
    </row>
    <row r="98" spans="1:16" s="7" customFormat="1" x14ac:dyDescent="0.2">
      <c r="A98" s="375"/>
      <c r="B98" s="374"/>
      <c r="C98" s="374"/>
      <c r="D98" s="227"/>
      <c r="E98" s="374"/>
      <c r="F98" s="410"/>
      <c r="G98" s="417"/>
      <c r="H98" s="523"/>
      <c r="I98" s="524"/>
      <c r="J98" s="6"/>
      <c r="K98" s="6"/>
      <c r="L98" s="6"/>
      <c r="M98" s="6"/>
      <c r="N98" s="6"/>
      <c r="O98" s="6"/>
      <c r="P98" s="6"/>
    </row>
    <row r="99" spans="1:16" s="7" customFormat="1" x14ac:dyDescent="0.2">
      <c r="A99" s="375"/>
      <c r="B99" s="374"/>
      <c r="C99" s="374"/>
      <c r="D99" s="227"/>
      <c r="E99" s="374"/>
      <c r="F99" s="410"/>
      <c r="G99" s="417"/>
      <c r="H99" s="523"/>
      <c r="I99" s="524"/>
      <c r="J99" s="6"/>
      <c r="K99" s="6"/>
      <c r="L99" s="6"/>
      <c r="M99" s="6"/>
      <c r="N99" s="6"/>
      <c r="O99" s="6"/>
      <c r="P99" s="6"/>
    </row>
    <row r="100" spans="1:16" s="7" customFormat="1" x14ac:dyDescent="0.2">
      <c r="A100" s="375"/>
      <c r="B100" s="374"/>
      <c r="C100" s="374"/>
      <c r="D100" s="227"/>
      <c r="E100" s="374"/>
      <c r="F100" s="410"/>
      <c r="G100" s="417"/>
      <c r="H100" s="523"/>
      <c r="I100" s="524"/>
      <c r="J100" s="6"/>
      <c r="K100" s="6"/>
      <c r="L100" s="6"/>
      <c r="M100" s="6"/>
      <c r="N100" s="6"/>
      <c r="O100" s="6"/>
      <c r="P100" s="6"/>
    </row>
    <row r="101" spans="1:16" s="7" customFormat="1" x14ac:dyDescent="0.2">
      <c r="A101" s="375"/>
      <c r="B101" s="374"/>
      <c r="C101" s="374"/>
      <c r="D101" s="227"/>
      <c r="E101" s="374"/>
      <c r="F101" s="410"/>
      <c r="G101" s="417"/>
      <c r="H101" s="523"/>
      <c r="I101" s="524"/>
      <c r="J101" s="6"/>
      <c r="K101" s="6"/>
      <c r="L101" s="6"/>
      <c r="M101" s="6"/>
      <c r="N101" s="6"/>
      <c r="O101" s="6"/>
      <c r="P101" s="6"/>
    </row>
    <row r="102" spans="1:16" s="7" customFormat="1" x14ac:dyDescent="0.2">
      <c r="A102" s="375"/>
      <c r="B102" s="374"/>
      <c r="C102" s="374"/>
      <c r="D102" s="227"/>
      <c r="E102" s="374"/>
      <c r="F102" s="410"/>
      <c r="G102" s="417"/>
      <c r="H102" s="523"/>
      <c r="I102" s="524"/>
      <c r="J102" s="6"/>
      <c r="K102" s="6"/>
      <c r="L102" s="6"/>
      <c r="M102" s="6"/>
      <c r="N102" s="6"/>
      <c r="O102" s="6"/>
      <c r="P102" s="6"/>
    </row>
    <row r="103" spans="1:16" s="7" customFormat="1" x14ac:dyDescent="0.2">
      <c r="A103" s="375"/>
      <c r="B103" s="374"/>
      <c r="C103" s="374"/>
      <c r="D103" s="227"/>
      <c r="E103" s="374"/>
      <c r="F103" s="410"/>
      <c r="G103" s="417"/>
      <c r="H103" s="523"/>
      <c r="I103" s="524"/>
      <c r="J103" s="6"/>
      <c r="K103" s="6"/>
      <c r="L103" s="6"/>
      <c r="M103" s="6"/>
      <c r="N103" s="6"/>
      <c r="O103" s="6"/>
      <c r="P103" s="6"/>
    </row>
    <row r="104" spans="1:16" s="7" customFormat="1" x14ac:dyDescent="0.2">
      <c r="A104" s="375"/>
      <c r="B104" s="374"/>
      <c r="C104" s="374"/>
      <c r="D104" s="227"/>
      <c r="E104" s="374"/>
      <c r="F104" s="410"/>
      <c r="G104" s="417"/>
      <c r="H104" s="523"/>
      <c r="I104" s="524"/>
      <c r="J104" s="6"/>
      <c r="K104" s="6"/>
      <c r="L104" s="6"/>
      <c r="M104" s="6"/>
      <c r="N104" s="6"/>
      <c r="O104" s="6"/>
      <c r="P104" s="6"/>
    </row>
    <row r="105" spans="1:16" s="7" customFormat="1" x14ac:dyDescent="0.2">
      <c r="A105" s="375"/>
      <c r="B105" s="374"/>
      <c r="C105" s="374"/>
      <c r="D105" s="227"/>
      <c r="E105" s="374"/>
      <c r="F105" s="410"/>
      <c r="G105" s="417"/>
      <c r="H105" s="523"/>
      <c r="I105" s="524"/>
      <c r="J105" s="6"/>
      <c r="K105" s="6"/>
      <c r="L105" s="6"/>
      <c r="M105" s="6"/>
      <c r="N105" s="6"/>
      <c r="O105" s="6"/>
      <c r="P105" s="6"/>
    </row>
    <row r="106" spans="1:16" s="7" customFormat="1" x14ac:dyDescent="0.2">
      <c r="A106" s="375"/>
      <c r="B106" s="374"/>
      <c r="C106" s="374"/>
      <c r="D106" s="227"/>
      <c r="E106" s="374"/>
      <c r="F106" s="410"/>
      <c r="G106" s="417"/>
      <c r="H106" s="523"/>
      <c r="I106" s="524"/>
      <c r="J106" s="6"/>
      <c r="K106" s="6"/>
      <c r="L106" s="6"/>
      <c r="M106" s="6"/>
      <c r="N106" s="6"/>
      <c r="O106" s="6"/>
      <c r="P106" s="6"/>
    </row>
    <row r="107" spans="1:16" s="7" customFormat="1" x14ac:dyDescent="0.2">
      <c r="A107" s="375"/>
      <c r="B107" s="374"/>
      <c r="C107" s="374"/>
      <c r="D107" s="227"/>
      <c r="E107" s="374"/>
      <c r="F107" s="410"/>
      <c r="G107" s="417"/>
      <c r="H107" s="523"/>
      <c r="I107" s="524"/>
      <c r="J107" s="6"/>
      <c r="K107" s="6"/>
      <c r="L107" s="6"/>
      <c r="M107" s="6"/>
      <c r="N107" s="6"/>
      <c r="O107" s="6"/>
      <c r="P107" s="6"/>
    </row>
    <row r="108" spans="1:16" s="7" customFormat="1" x14ac:dyDescent="0.2">
      <c r="A108" s="375"/>
      <c r="B108" s="374"/>
      <c r="C108" s="374"/>
      <c r="D108" s="227"/>
      <c r="E108" s="374"/>
      <c r="F108" s="410"/>
      <c r="G108" s="417"/>
      <c r="H108" s="523"/>
      <c r="I108" s="524"/>
      <c r="J108" s="6"/>
      <c r="K108" s="6"/>
      <c r="L108" s="6"/>
      <c r="M108" s="6"/>
      <c r="N108" s="6"/>
      <c r="O108" s="6"/>
      <c r="P108" s="6"/>
    </row>
    <row r="109" spans="1:16" s="7" customFormat="1" x14ac:dyDescent="0.2">
      <c r="A109" s="375"/>
      <c r="B109" s="374"/>
      <c r="C109" s="374"/>
      <c r="D109" s="227"/>
      <c r="E109" s="374"/>
      <c r="F109" s="410"/>
      <c r="G109" s="417"/>
      <c r="H109" s="523"/>
      <c r="I109" s="524"/>
      <c r="J109" s="6"/>
      <c r="K109" s="6"/>
      <c r="L109" s="6"/>
      <c r="M109" s="6"/>
      <c r="N109" s="6"/>
      <c r="O109" s="6"/>
      <c r="P109" s="6"/>
    </row>
    <row r="110" spans="1:16" s="7" customFormat="1" x14ac:dyDescent="0.2">
      <c r="A110" s="375"/>
      <c r="B110" s="374"/>
      <c r="C110" s="374"/>
      <c r="D110" s="227"/>
      <c r="E110" s="374"/>
      <c r="F110" s="410"/>
      <c r="G110" s="417"/>
      <c r="H110" s="523"/>
      <c r="I110" s="524"/>
      <c r="J110" s="6"/>
      <c r="K110" s="6"/>
      <c r="L110" s="6"/>
      <c r="M110" s="6"/>
      <c r="N110" s="6"/>
      <c r="O110" s="6"/>
      <c r="P110" s="6"/>
    </row>
    <row r="111" spans="1:16" s="7" customFormat="1" x14ac:dyDescent="0.2">
      <c r="A111" s="375"/>
      <c r="B111" s="374"/>
      <c r="C111" s="374"/>
      <c r="D111" s="227"/>
      <c r="E111" s="374"/>
      <c r="F111" s="410"/>
      <c r="G111" s="417"/>
      <c r="H111" s="523"/>
      <c r="I111" s="524"/>
      <c r="J111" s="6"/>
      <c r="K111" s="6"/>
      <c r="L111" s="6"/>
      <c r="M111" s="6"/>
      <c r="N111" s="6"/>
      <c r="O111" s="6"/>
      <c r="P111" s="6"/>
    </row>
    <row r="112" spans="1:16" s="7" customFormat="1" x14ac:dyDescent="0.2">
      <c r="A112" s="375"/>
      <c r="B112" s="374"/>
      <c r="C112" s="374"/>
      <c r="D112" s="227"/>
      <c r="E112" s="374"/>
      <c r="F112" s="410"/>
      <c r="G112" s="417"/>
      <c r="H112" s="523"/>
      <c r="I112" s="524"/>
      <c r="J112" s="6"/>
      <c r="K112" s="6"/>
      <c r="L112" s="6"/>
      <c r="M112" s="6"/>
      <c r="N112" s="6"/>
      <c r="O112" s="6"/>
      <c r="P112" s="6"/>
    </row>
    <row r="113" spans="1:16" s="7" customFormat="1" x14ac:dyDescent="0.2">
      <c r="A113" s="375"/>
      <c r="B113" s="374"/>
      <c r="C113" s="374"/>
      <c r="D113" s="227"/>
      <c r="E113" s="374"/>
      <c r="F113" s="410"/>
      <c r="G113" s="417"/>
      <c r="H113" s="523"/>
      <c r="I113" s="524"/>
      <c r="J113" s="6"/>
      <c r="K113" s="6"/>
      <c r="L113" s="6"/>
      <c r="M113" s="6"/>
      <c r="N113" s="6"/>
      <c r="O113" s="6"/>
      <c r="P113" s="6"/>
    </row>
    <row r="114" spans="1:16" s="7" customFormat="1" x14ac:dyDescent="0.2">
      <c r="A114" s="375"/>
      <c r="B114" s="374"/>
      <c r="C114" s="374"/>
      <c r="D114" s="227"/>
      <c r="E114" s="374"/>
      <c r="F114" s="410"/>
      <c r="G114" s="417"/>
      <c r="H114" s="523"/>
      <c r="I114" s="524"/>
      <c r="J114" s="6"/>
      <c r="K114" s="6"/>
      <c r="L114" s="6"/>
      <c r="M114" s="6"/>
      <c r="N114" s="6"/>
      <c r="O114" s="6"/>
      <c r="P114" s="6"/>
    </row>
    <row r="115" spans="1:16" s="7" customFormat="1" x14ac:dyDescent="0.2">
      <c r="A115" s="375"/>
      <c r="B115" s="374"/>
      <c r="C115" s="374"/>
      <c r="D115" s="227"/>
      <c r="E115" s="374"/>
      <c r="F115" s="410"/>
      <c r="G115" s="417"/>
      <c r="H115" s="523"/>
      <c r="I115" s="524"/>
      <c r="J115" s="6"/>
      <c r="K115" s="6"/>
      <c r="L115" s="6"/>
      <c r="M115" s="6"/>
      <c r="N115" s="6"/>
      <c r="O115" s="6"/>
      <c r="P115" s="6"/>
    </row>
    <row r="116" spans="1:16" s="7" customFormat="1" x14ac:dyDescent="0.2">
      <c r="A116" s="375"/>
      <c r="B116" s="374"/>
      <c r="C116" s="374"/>
      <c r="D116" s="227"/>
      <c r="E116" s="374"/>
      <c r="F116" s="410"/>
      <c r="G116" s="417"/>
      <c r="H116" s="523"/>
      <c r="I116" s="524"/>
      <c r="J116" s="6"/>
      <c r="K116" s="6"/>
      <c r="L116" s="6"/>
      <c r="M116" s="6"/>
      <c r="N116" s="6"/>
      <c r="O116" s="6"/>
      <c r="P116" s="6"/>
    </row>
    <row r="117" spans="1:16" s="7" customFormat="1" x14ac:dyDescent="0.2">
      <c r="A117" s="375"/>
      <c r="B117" s="374"/>
      <c r="C117" s="374"/>
      <c r="D117" s="227"/>
      <c r="E117" s="374"/>
      <c r="F117" s="410"/>
      <c r="G117" s="417"/>
      <c r="H117" s="523"/>
      <c r="I117" s="524"/>
      <c r="J117" s="6"/>
      <c r="K117" s="6"/>
      <c r="L117" s="6"/>
      <c r="M117" s="6"/>
      <c r="N117" s="6"/>
      <c r="O117" s="6"/>
      <c r="P117" s="6"/>
    </row>
    <row r="118" spans="1:16" s="7" customFormat="1" x14ac:dyDescent="0.2">
      <c r="A118" s="375"/>
      <c r="B118" s="374"/>
      <c r="C118" s="374"/>
      <c r="D118" s="227"/>
      <c r="E118" s="374"/>
      <c r="F118" s="410"/>
      <c r="G118" s="417"/>
      <c r="H118" s="523"/>
      <c r="I118" s="524"/>
      <c r="J118" s="6"/>
      <c r="K118" s="6"/>
      <c r="L118" s="6"/>
      <c r="M118" s="6"/>
      <c r="N118" s="6"/>
      <c r="O118" s="6"/>
      <c r="P118" s="6"/>
    </row>
    <row r="119" spans="1:16" s="7" customFormat="1" x14ac:dyDescent="0.2">
      <c r="A119" s="375"/>
      <c r="B119" s="374"/>
      <c r="C119" s="374"/>
      <c r="D119" s="227"/>
      <c r="E119" s="374"/>
      <c r="F119" s="410"/>
      <c r="G119" s="417"/>
      <c r="H119" s="523"/>
      <c r="I119" s="524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375"/>
      <c r="B120" s="374"/>
      <c r="C120" s="374"/>
      <c r="D120" s="227"/>
      <c r="E120" s="374"/>
      <c r="F120" s="410"/>
      <c r="G120" s="417"/>
      <c r="H120" s="523"/>
      <c r="I120" s="524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375"/>
      <c r="B121" s="374"/>
      <c r="C121" s="374"/>
      <c r="D121" s="227"/>
      <c r="E121" s="374"/>
      <c r="F121" s="410"/>
      <c r="G121" s="417"/>
      <c r="H121" s="523"/>
      <c r="I121" s="524"/>
      <c r="J121" s="6"/>
      <c r="K121" s="6"/>
      <c r="L121" s="6"/>
      <c r="M121" s="6"/>
      <c r="N121" s="6"/>
      <c r="O121" s="6"/>
      <c r="P121" s="6"/>
    </row>
    <row r="122" spans="1:16" s="7" customFormat="1" x14ac:dyDescent="0.2">
      <c r="A122" s="375"/>
      <c r="B122" s="374"/>
      <c r="C122" s="374"/>
      <c r="D122" s="227"/>
      <c r="E122" s="374"/>
      <c r="F122" s="410"/>
      <c r="G122" s="417"/>
      <c r="H122" s="523"/>
      <c r="I122" s="524"/>
      <c r="J122" s="6"/>
      <c r="K122" s="6"/>
      <c r="L122" s="6"/>
      <c r="M122" s="6"/>
      <c r="N122" s="6"/>
      <c r="O122" s="6"/>
      <c r="P122" s="6"/>
    </row>
    <row r="123" spans="1:16" s="7" customFormat="1" x14ac:dyDescent="0.2">
      <c r="A123" s="375"/>
      <c r="B123" s="374"/>
      <c r="C123" s="374"/>
      <c r="D123" s="227"/>
      <c r="E123" s="374"/>
      <c r="F123" s="410"/>
      <c r="G123" s="417"/>
      <c r="H123" s="523"/>
      <c r="I123" s="524"/>
      <c r="J123" s="6"/>
      <c r="K123" s="6"/>
      <c r="L123" s="6"/>
      <c r="M123" s="6"/>
      <c r="N123" s="6"/>
      <c r="O123" s="6"/>
      <c r="P123" s="6"/>
    </row>
    <row r="124" spans="1:16" s="7" customFormat="1" x14ac:dyDescent="0.2">
      <c r="A124" s="375"/>
      <c r="B124" s="374"/>
      <c r="C124" s="374"/>
      <c r="D124" s="227"/>
      <c r="E124" s="374"/>
      <c r="F124" s="410"/>
      <c r="G124" s="417"/>
      <c r="H124" s="523"/>
      <c r="I124" s="524"/>
      <c r="J124" s="6"/>
      <c r="K124" s="6"/>
      <c r="L124" s="6"/>
      <c r="M124" s="6"/>
      <c r="N124" s="6"/>
      <c r="O124" s="6"/>
      <c r="P124" s="6"/>
    </row>
    <row r="125" spans="1:16" s="7" customFormat="1" x14ac:dyDescent="0.2">
      <c r="A125" s="375"/>
      <c r="B125" s="374"/>
      <c r="C125" s="374"/>
      <c r="D125" s="227"/>
      <c r="E125" s="374"/>
      <c r="F125" s="410"/>
      <c r="G125" s="417"/>
      <c r="H125" s="523"/>
      <c r="I125" s="524"/>
      <c r="J125" s="6"/>
      <c r="K125" s="6"/>
      <c r="L125" s="6"/>
      <c r="M125" s="6"/>
      <c r="N125" s="6"/>
      <c r="O125" s="6"/>
      <c r="P125" s="6"/>
    </row>
    <row r="126" spans="1:16" s="7" customFormat="1" x14ac:dyDescent="0.2">
      <c r="A126" s="375"/>
      <c r="B126" s="374"/>
      <c r="C126" s="374"/>
      <c r="D126" s="227"/>
      <c r="E126" s="374"/>
      <c r="F126" s="410"/>
      <c r="G126" s="417"/>
      <c r="H126" s="523"/>
      <c r="I126" s="524"/>
      <c r="J126" s="6"/>
      <c r="K126" s="6"/>
      <c r="L126" s="6"/>
      <c r="M126" s="6"/>
      <c r="N126" s="6"/>
      <c r="O126" s="6"/>
      <c r="P126" s="6"/>
    </row>
    <row r="127" spans="1:16" s="7" customFormat="1" x14ac:dyDescent="0.2">
      <c r="A127" s="375"/>
      <c r="B127" s="374"/>
      <c r="C127" s="374"/>
      <c r="D127" s="227"/>
      <c r="E127" s="374"/>
      <c r="F127" s="410"/>
      <c r="G127" s="417"/>
      <c r="H127" s="523"/>
      <c r="I127" s="524"/>
      <c r="J127" s="6"/>
      <c r="K127" s="6"/>
      <c r="L127" s="6"/>
      <c r="M127" s="6"/>
      <c r="N127" s="6"/>
      <c r="O127" s="6"/>
      <c r="P127" s="6"/>
    </row>
    <row r="128" spans="1:16" s="7" customFormat="1" x14ac:dyDescent="0.2">
      <c r="A128" s="375"/>
      <c r="B128" s="374"/>
      <c r="C128" s="374"/>
      <c r="D128" s="227"/>
      <c r="E128" s="374"/>
      <c r="F128" s="410"/>
      <c r="G128" s="417"/>
      <c r="H128" s="523"/>
      <c r="I128" s="524"/>
      <c r="J128" s="6"/>
      <c r="K128" s="6"/>
      <c r="L128" s="6"/>
      <c r="M128" s="6"/>
      <c r="N128" s="6"/>
      <c r="O128" s="6"/>
      <c r="P128" s="6"/>
    </row>
    <row r="129" spans="1:16" s="7" customFormat="1" x14ac:dyDescent="0.2">
      <c r="A129" s="375"/>
      <c r="B129" s="374"/>
      <c r="C129" s="374"/>
      <c r="D129" s="227"/>
      <c r="E129" s="374"/>
      <c r="F129" s="410"/>
      <c r="G129" s="417"/>
      <c r="H129" s="523"/>
      <c r="I129" s="524"/>
      <c r="J129" s="6"/>
      <c r="K129" s="6"/>
      <c r="L129" s="6"/>
      <c r="M129" s="6"/>
      <c r="N129" s="6"/>
      <c r="O129" s="6"/>
      <c r="P129" s="6"/>
    </row>
    <row r="130" spans="1:16" s="7" customFormat="1" x14ac:dyDescent="0.2">
      <c r="A130" s="375"/>
      <c r="B130" s="374"/>
      <c r="C130" s="374"/>
      <c r="D130" s="227"/>
      <c r="E130" s="374"/>
      <c r="F130" s="410"/>
      <c r="G130" s="417"/>
      <c r="H130" s="523"/>
      <c r="I130" s="524"/>
      <c r="J130" s="6"/>
      <c r="K130" s="6"/>
      <c r="L130" s="6"/>
      <c r="M130" s="6"/>
      <c r="N130" s="6"/>
      <c r="O130" s="6"/>
      <c r="P130" s="6"/>
    </row>
    <row r="131" spans="1:16" s="7" customFormat="1" x14ac:dyDescent="0.2">
      <c r="A131" s="375"/>
      <c r="B131" s="374"/>
      <c r="C131" s="374"/>
      <c r="D131" s="227"/>
      <c r="E131" s="374"/>
      <c r="F131" s="410"/>
      <c r="G131" s="417"/>
      <c r="H131" s="523"/>
      <c r="I131" s="524"/>
      <c r="J131" s="6"/>
      <c r="K131" s="6"/>
      <c r="L131" s="6"/>
      <c r="M131" s="6"/>
      <c r="N131" s="6"/>
      <c r="O131" s="6"/>
      <c r="P131" s="6"/>
    </row>
    <row r="132" spans="1:16" s="7" customFormat="1" ht="15" x14ac:dyDescent="0.2">
      <c r="A132" s="162"/>
      <c r="B132" s="374"/>
      <c r="C132" s="374"/>
      <c r="D132" s="105"/>
      <c r="E132" s="374"/>
      <c r="F132" s="410"/>
      <c r="G132" s="417"/>
      <c r="H132" s="523"/>
      <c r="I132" s="526"/>
      <c r="J132" s="6"/>
      <c r="K132" s="6"/>
      <c r="L132" s="6"/>
      <c r="M132" s="6"/>
      <c r="N132" s="6"/>
      <c r="O132" s="6"/>
      <c r="P132" s="6"/>
    </row>
    <row r="133" spans="1:16" s="7" customFormat="1" ht="15" x14ac:dyDescent="0.2">
      <c r="A133" s="162"/>
      <c r="B133" s="374"/>
      <c r="C133" s="374"/>
      <c r="D133" s="105"/>
      <c r="E133" s="374"/>
      <c r="F133" s="410"/>
      <c r="G133" s="417"/>
      <c r="H133" s="523"/>
      <c r="I133" s="526"/>
      <c r="J133" s="6"/>
      <c r="K133" s="6"/>
      <c r="L133" s="6"/>
      <c r="M133" s="6"/>
      <c r="N133" s="6"/>
      <c r="O133" s="6"/>
      <c r="P133" s="6"/>
    </row>
    <row r="134" spans="1:16" s="7" customFormat="1" ht="15" x14ac:dyDescent="0.2">
      <c r="A134" s="162"/>
      <c r="B134" s="374"/>
      <c r="C134" s="374"/>
      <c r="D134" s="105"/>
      <c r="E134" s="374"/>
      <c r="F134" s="410"/>
      <c r="G134" s="417"/>
      <c r="H134" s="523"/>
      <c r="I134" s="526"/>
      <c r="J134" s="6"/>
      <c r="K134" s="6"/>
      <c r="L134" s="6"/>
      <c r="M134" s="6"/>
      <c r="N134" s="6"/>
      <c r="O134" s="6"/>
      <c r="P134" s="6"/>
    </row>
    <row r="135" spans="1:16" s="7" customFormat="1" ht="15" x14ac:dyDescent="0.2">
      <c r="A135" s="162"/>
      <c r="B135" s="374"/>
      <c r="C135" s="374"/>
      <c r="D135" s="105"/>
      <c r="E135" s="374"/>
      <c r="F135" s="410"/>
      <c r="G135" s="417"/>
      <c r="H135" s="523"/>
      <c r="I135" s="526"/>
      <c r="J135" s="6"/>
      <c r="K135" s="6"/>
      <c r="L135" s="6"/>
      <c r="M135" s="6"/>
      <c r="N135" s="6"/>
      <c r="O135" s="6"/>
      <c r="P135" s="6"/>
    </row>
    <row r="136" spans="1:16" ht="15.95" customHeight="1" x14ac:dyDescent="0.2">
      <c r="J136" s="5"/>
      <c r="K136" s="5"/>
      <c r="L136" s="5"/>
      <c r="M136" s="5"/>
      <c r="N136" s="5"/>
      <c r="O136" s="5"/>
      <c r="P136" s="5"/>
    </row>
    <row r="137" spans="1:16" ht="15.95" customHeight="1" x14ac:dyDescent="0.2">
      <c r="J137" s="5"/>
      <c r="K137" s="5"/>
      <c r="L137" s="5"/>
      <c r="M137" s="5"/>
      <c r="N137" s="5"/>
      <c r="O137" s="5"/>
      <c r="P137" s="5"/>
    </row>
    <row r="138" spans="1:16" ht="15.95" customHeight="1" x14ac:dyDescent="0.2">
      <c r="J138" s="5"/>
      <c r="K138" s="5"/>
      <c r="L138" s="5"/>
      <c r="M138" s="5"/>
      <c r="N138" s="5"/>
      <c r="O138" s="5"/>
      <c r="P138" s="5"/>
    </row>
    <row r="139" spans="1:16" ht="15.95" customHeight="1" x14ac:dyDescent="0.2">
      <c r="J139" s="5"/>
      <c r="K139" s="5"/>
      <c r="L139" s="5"/>
      <c r="M139" s="5"/>
      <c r="N139" s="5"/>
      <c r="O139" s="5"/>
      <c r="P139" s="5"/>
    </row>
    <row r="140" spans="1:16" ht="15.95" customHeight="1" x14ac:dyDescent="0.2">
      <c r="J140" s="5"/>
      <c r="K140" s="5"/>
      <c r="L140" s="5"/>
      <c r="M140" s="5"/>
      <c r="N140" s="5"/>
      <c r="O140" s="5"/>
      <c r="P140" s="5"/>
    </row>
    <row r="141" spans="1:16" ht="15.95" customHeight="1" x14ac:dyDescent="0.2">
      <c r="J141" s="5"/>
      <c r="K141" s="5"/>
      <c r="L141" s="5"/>
      <c r="M141" s="5"/>
      <c r="N141" s="5"/>
      <c r="O141" s="5"/>
      <c r="P141" s="5"/>
    </row>
    <row r="142" spans="1:16" ht="15.95" customHeight="1" x14ac:dyDescent="0.2">
      <c r="J142" s="5"/>
      <c r="K142" s="5"/>
      <c r="L142" s="5"/>
      <c r="M142" s="5"/>
      <c r="N142" s="5"/>
      <c r="O142" s="5"/>
      <c r="P142" s="5"/>
    </row>
    <row r="143" spans="1:16" ht="15.95" customHeight="1" x14ac:dyDescent="0.2">
      <c r="J143" s="5"/>
      <c r="K143" s="5"/>
      <c r="L143" s="5"/>
      <c r="M143" s="5"/>
      <c r="N143" s="5"/>
      <c r="O143" s="5"/>
      <c r="P143" s="5"/>
    </row>
    <row r="144" spans="1:16" ht="15.95" customHeight="1" x14ac:dyDescent="0.2">
      <c r="J144" s="5"/>
      <c r="K144" s="5"/>
      <c r="L144" s="5"/>
      <c r="M144" s="5"/>
      <c r="N144" s="5"/>
      <c r="O144" s="5"/>
      <c r="P144" s="5"/>
    </row>
    <row r="145" spans="10:16" ht="15.95" customHeight="1" x14ac:dyDescent="0.2">
      <c r="J145" s="5"/>
      <c r="K145" s="5"/>
      <c r="L145" s="5"/>
      <c r="M145" s="5"/>
      <c r="N145" s="5"/>
      <c r="O145" s="5"/>
      <c r="P145" s="5"/>
    </row>
    <row r="146" spans="10:16" ht="15.95" customHeight="1" x14ac:dyDescent="0.2">
      <c r="J146" s="5"/>
      <c r="K146" s="5"/>
      <c r="L146" s="5"/>
      <c r="M146" s="5"/>
      <c r="N146" s="5"/>
      <c r="O146" s="5"/>
      <c r="P146" s="5"/>
    </row>
    <row r="147" spans="10:16" ht="15.95" customHeight="1" x14ac:dyDescent="0.2">
      <c r="J147" s="5"/>
      <c r="K147" s="5"/>
      <c r="L147" s="5"/>
      <c r="M147" s="5"/>
      <c r="N147" s="5"/>
      <c r="O147" s="5"/>
      <c r="P147" s="5"/>
    </row>
    <row r="148" spans="10:16" ht="15.95" customHeight="1" x14ac:dyDescent="0.2">
      <c r="J148" s="5"/>
      <c r="K148" s="5"/>
      <c r="L148" s="5"/>
      <c r="M148" s="5"/>
      <c r="N148" s="5"/>
      <c r="O148" s="5"/>
      <c r="P148" s="5"/>
    </row>
    <row r="149" spans="10:16" ht="15.95" customHeight="1" x14ac:dyDescent="0.2">
      <c r="J149" s="5"/>
      <c r="K149" s="5"/>
      <c r="L149" s="5"/>
      <c r="M149" s="5"/>
      <c r="N149" s="5"/>
      <c r="O149" s="5"/>
      <c r="P149" s="5"/>
    </row>
    <row r="150" spans="10:16" ht="15.95" customHeight="1" x14ac:dyDescent="0.2">
      <c r="J150" s="5"/>
      <c r="K150" s="5"/>
      <c r="L150" s="5"/>
      <c r="M150" s="5"/>
      <c r="N150" s="5"/>
      <c r="O150" s="5"/>
      <c r="P150" s="5"/>
    </row>
    <row r="151" spans="10:16" ht="15.95" customHeight="1" x14ac:dyDescent="0.2">
      <c r="J151" s="5"/>
      <c r="K151" s="5"/>
      <c r="L151" s="5"/>
      <c r="M151" s="5"/>
      <c r="N151" s="5"/>
      <c r="O151" s="5"/>
      <c r="P151" s="5"/>
    </row>
    <row r="152" spans="10:16" ht="15.95" customHeight="1" x14ac:dyDescent="0.2">
      <c r="J152" s="5"/>
      <c r="K152" s="5"/>
      <c r="L152" s="5"/>
      <c r="M152" s="5"/>
      <c r="N152" s="5"/>
      <c r="O152" s="5"/>
      <c r="P152" s="5"/>
    </row>
    <row r="153" spans="10:16" ht="15.95" customHeight="1" x14ac:dyDescent="0.2">
      <c r="J153" s="5"/>
      <c r="K153" s="5"/>
      <c r="L153" s="5"/>
      <c r="M153" s="5"/>
      <c r="N153" s="5"/>
      <c r="O153" s="5"/>
      <c r="P153" s="5"/>
    </row>
    <row r="154" spans="10:16" ht="15.95" customHeight="1" x14ac:dyDescent="0.2">
      <c r="J154" s="5"/>
      <c r="K154" s="5"/>
      <c r="L154" s="5"/>
      <c r="M154" s="5"/>
      <c r="N154" s="5"/>
      <c r="O154" s="5"/>
      <c r="P154" s="5"/>
    </row>
    <row r="155" spans="10:16" ht="15.95" customHeight="1" x14ac:dyDescent="0.2">
      <c r="J155" s="5"/>
      <c r="K155" s="5"/>
      <c r="L155" s="5"/>
      <c r="M155" s="5"/>
      <c r="N155" s="5"/>
      <c r="O155" s="5"/>
      <c r="P155" s="5"/>
    </row>
    <row r="156" spans="10:16" ht="15.95" customHeight="1" x14ac:dyDescent="0.2">
      <c r="J156" s="5"/>
      <c r="K156" s="5"/>
      <c r="L156" s="5"/>
      <c r="M156" s="5"/>
      <c r="N156" s="5"/>
      <c r="O156" s="5"/>
      <c r="P156" s="5"/>
    </row>
    <row r="157" spans="10:16" ht="15.95" customHeight="1" x14ac:dyDescent="0.2">
      <c r="J157" s="5"/>
      <c r="K157" s="5"/>
      <c r="L157" s="5"/>
      <c r="M157" s="5"/>
      <c r="N157" s="5"/>
      <c r="O157" s="5"/>
      <c r="P157" s="5"/>
    </row>
    <row r="158" spans="10:16" ht="15.95" customHeight="1" x14ac:dyDescent="0.2">
      <c r="J158" s="5"/>
      <c r="K158" s="5"/>
      <c r="L158" s="5"/>
      <c r="M158" s="5"/>
      <c r="N158" s="5"/>
      <c r="O158" s="5"/>
      <c r="P158" s="5"/>
    </row>
    <row r="159" spans="10:16" ht="15.95" customHeight="1" x14ac:dyDescent="0.2">
      <c r="J159" s="5"/>
      <c r="K159" s="5"/>
      <c r="L159" s="5"/>
      <c r="M159" s="5"/>
      <c r="N159" s="5"/>
      <c r="O159" s="5"/>
      <c r="P159" s="5"/>
    </row>
    <row r="160" spans="10:16" ht="15.95" customHeight="1" x14ac:dyDescent="0.2">
      <c r="J160" s="5"/>
      <c r="K160" s="5"/>
      <c r="L160" s="5"/>
      <c r="M160" s="5"/>
      <c r="N160" s="5"/>
      <c r="O160" s="5"/>
      <c r="P160" s="5"/>
    </row>
    <row r="161" spans="10:16" ht="15.95" customHeight="1" x14ac:dyDescent="0.2">
      <c r="J161" s="5"/>
      <c r="K161" s="5"/>
      <c r="L161" s="5"/>
      <c r="M161" s="5"/>
      <c r="N161" s="5"/>
      <c r="O161" s="5"/>
      <c r="P161" s="5"/>
    </row>
    <row r="162" spans="10:16" ht="15.95" customHeight="1" x14ac:dyDescent="0.2">
      <c r="J162" s="5"/>
      <c r="K162" s="5"/>
      <c r="L162" s="5"/>
      <c r="M162" s="5"/>
      <c r="N162" s="5"/>
      <c r="O162" s="5"/>
      <c r="P162" s="5"/>
    </row>
    <row r="163" spans="10:16" ht="15.95" customHeight="1" x14ac:dyDescent="0.2">
      <c r="J163" s="5"/>
      <c r="K163" s="5"/>
      <c r="L163" s="5"/>
      <c r="M163" s="5"/>
      <c r="N163" s="5"/>
      <c r="O163" s="5"/>
      <c r="P163" s="5"/>
    </row>
    <row r="164" spans="10:16" ht="15.95" customHeight="1" x14ac:dyDescent="0.2">
      <c r="J164" s="5"/>
      <c r="K164" s="5"/>
      <c r="L164" s="5"/>
      <c r="M164" s="5"/>
      <c r="N164" s="5"/>
      <c r="O164" s="5"/>
      <c r="P164" s="5"/>
    </row>
    <row r="165" spans="10:16" ht="15.95" customHeight="1" x14ac:dyDescent="0.2">
      <c r="J165" s="5"/>
      <c r="K165" s="5"/>
      <c r="L165" s="5"/>
      <c r="M165" s="5"/>
      <c r="N165" s="5"/>
      <c r="O165" s="5"/>
      <c r="P165" s="5"/>
    </row>
    <row r="166" spans="10:16" ht="15.95" customHeight="1" x14ac:dyDescent="0.2">
      <c r="J166" s="5"/>
      <c r="K166" s="5"/>
      <c r="L166" s="5"/>
      <c r="M166" s="5"/>
      <c r="N166" s="5"/>
      <c r="O166" s="5"/>
      <c r="P166" s="5"/>
    </row>
    <row r="167" spans="10:16" ht="15.95" customHeight="1" x14ac:dyDescent="0.2">
      <c r="J167" s="5"/>
      <c r="K167" s="5"/>
      <c r="L167" s="5"/>
      <c r="M167" s="5"/>
      <c r="N167" s="5"/>
      <c r="O167" s="5"/>
      <c r="P167" s="5"/>
    </row>
    <row r="168" spans="10:16" ht="15.95" customHeight="1" x14ac:dyDescent="0.2">
      <c r="J168" s="5"/>
      <c r="K168" s="5"/>
      <c r="L168" s="5"/>
      <c r="M168" s="5"/>
      <c r="N168" s="5"/>
      <c r="O168" s="5"/>
      <c r="P168" s="5"/>
    </row>
    <row r="169" spans="10:16" ht="15.95" customHeight="1" x14ac:dyDescent="0.2">
      <c r="J169" s="5"/>
      <c r="K169" s="5"/>
      <c r="L169" s="5"/>
      <c r="M169" s="5"/>
      <c r="N169" s="5"/>
      <c r="O169" s="5"/>
      <c r="P169" s="5"/>
    </row>
    <row r="170" spans="10:16" ht="15.95" customHeight="1" x14ac:dyDescent="0.2">
      <c r="J170" s="5"/>
      <c r="K170" s="5"/>
      <c r="L170" s="5"/>
      <c r="M170" s="5"/>
      <c r="N170" s="5"/>
      <c r="O170" s="5"/>
      <c r="P170" s="5"/>
    </row>
    <row r="171" spans="10:16" ht="15.95" customHeight="1" x14ac:dyDescent="0.2">
      <c r="J171" s="5"/>
      <c r="K171" s="5"/>
      <c r="L171" s="5"/>
      <c r="M171" s="5"/>
      <c r="N171" s="5"/>
      <c r="O171" s="5"/>
      <c r="P171" s="5"/>
    </row>
    <row r="172" spans="10:16" ht="15.95" customHeight="1" x14ac:dyDescent="0.2">
      <c r="J172" s="5"/>
      <c r="K172" s="5"/>
      <c r="L172" s="5"/>
      <c r="M172" s="5"/>
      <c r="N172" s="5"/>
      <c r="O172" s="5"/>
      <c r="P172" s="5"/>
    </row>
    <row r="173" spans="10:16" ht="15.95" customHeight="1" x14ac:dyDescent="0.2">
      <c r="J173" s="5"/>
      <c r="K173" s="5"/>
      <c r="L173" s="5"/>
      <c r="M173" s="5"/>
      <c r="N173" s="5"/>
      <c r="O173" s="5"/>
      <c r="P173" s="5"/>
    </row>
    <row r="174" spans="10:16" ht="15.95" customHeight="1" x14ac:dyDescent="0.2">
      <c r="J174" s="5"/>
      <c r="K174" s="5"/>
      <c r="L174" s="5"/>
      <c r="M174" s="5"/>
      <c r="N174" s="5"/>
      <c r="O174" s="5"/>
      <c r="P174" s="5"/>
    </row>
    <row r="175" spans="10:16" ht="15.95" customHeight="1" x14ac:dyDescent="0.2">
      <c r="J175" s="5"/>
      <c r="K175" s="5"/>
      <c r="L175" s="5"/>
      <c r="M175" s="5"/>
      <c r="N175" s="5"/>
      <c r="O175" s="5"/>
      <c r="P175" s="5"/>
    </row>
    <row r="176" spans="10:16" ht="15.95" customHeight="1" x14ac:dyDescent="0.2">
      <c r="J176" s="5"/>
      <c r="K176" s="5"/>
      <c r="L176" s="5"/>
      <c r="M176" s="5"/>
      <c r="N176" s="5"/>
      <c r="O176" s="5"/>
      <c r="P176" s="5"/>
    </row>
    <row r="177" spans="10:16" ht="15.95" customHeight="1" x14ac:dyDescent="0.2">
      <c r="J177" s="5"/>
      <c r="K177" s="5"/>
      <c r="L177" s="5"/>
      <c r="M177" s="5"/>
      <c r="N177" s="5"/>
      <c r="O177" s="5"/>
      <c r="P177" s="5"/>
    </row>
    <row r="178" spans="10:16" ht="15.95" customHeight="1" x14ac:dyDescent="0.2">
      <c r="J178" s="5"/>
      <c r="K178" s="5"/>
      <c r="L178" s="5"/>
      <c r="M178" s="5"/>
      <c r="N178" s="5"/>
      <c r="O178" s="5"/>
      <c r="P178" s="5"/>
    </row>
    <row r="179" spans="10:16" ht="15.95" customHeight="1" x14ac:dyDescent="0.2">
      <c r="J179" s="5"/>
      <c r="K179" s="5"/>
      <c r="L179" s="5"/>
      <c r="M179" s="5"/>
      <c r="N179" s="5"/>
      <c r="O179" s="5"/>
      <c r="P179" s="5"/>
    </row>
    <row r="180" spans="10:16" ht="15.95" customHeight="1" x14ac:dyDescent="0.2">
      <c r="J180" s="5"/>
      <c r="K180" s="5"/>
      <c r="L180" s="5"/>
      <c r="M180" s="5"/>
      <c r="N180" s="5"/>
      <c r="O180" s="5"/>
      <c r="P180" s="5"/>
    </row>
    <row r="181" spans="10:16" ht="15.95" customHeight="1" x14ac:dyDescent="0.2">
      <c r="J181" s="5"/>
      <c r="K181" s="5"/>
      <c r="L181" s="5"/>
      <c r="M181" s="5"/>
      <c r="N181" s="5"/>
      <c r="O181" s="5"/>
      <c r="P181" s="5"/>
    </row>
    <row r="182" spans="10:16" ht="15.95" customHeight="1" x14ac:dyDescent="0.2">
      <c r="J182" s="5"/>
      <c r="K182" s="5"/>
      <c r="L182" s="5"/>
      <c r="M182" s="5"/>
      <c r="N182" s="5"/>
      <c r="O182" s="5"/>
      <c r="P182" s="5"/>
    </row>
    <row r="183" spans="10:16" ht="15.95" customHeight="1" x14ac:dyDescent="0.2">
      <c r="J183" s="5"/>
      <c r="K183" s="5"/>
      <c r="L183" s="5"/>
      <c r="M183" s="5"/>
      <c r="N183" s="5"/>
      <c r="O183" s="5"/>
      <c r="P183" s="5"/>
    </row>
    <row r="184" spans="10:16" ht="15.95" customHeight="1" x14ac:dyDescent="0.2">
      <c r="J184" s="5"/>
      <c r="K184" s="5"/>
      <c r="L184" s="5"/>
      <c r="M184" s="5"/>
      <c r="N184" s="5"/>
      <c r="O184" s="5"/>
      <c r="P184" s="5"/>
    </row>
    <row r="185" spans="10:16" ht="15.95" customHeight="1" x14ac:dyDescent="0.2">
      <c r="J185" s="5"/>
      <c r="K185" s="5"/>
      <c r="L185" s="5"/>
      <c r="M185" s="5"/>
      <c r="N185" s="5"/>
      <c r="O185" s="5"/>
      <c r="P185" s="5"/>
    </row>
    <row r="186" spans="10:16" ht="15.95" customHeight="1" x14ac:dyDescent="0.2">
      <c r="J186" s="5"/>
      <c r="K186" s="5"/>
      <c r="L186" s="5"/>
      <c r="M186" s="5"/>
      <c r="N186" s="5"/>
      <c r="O186" s="5"/>
      <c r="P186" s="5"/>
    </row>
    <row r="187" spans="10:16" ht="15.95" customHeight="1" x14ac:dyDescent="0.2">
      <c r="J187" s="5"/>
      <c r="K187" s="5"/>
      <c r="L187" s="5"/>
      <c r="M187" s="5"/>
      <c r="N187" s="5"/>
      <c r="O187" s="5"/>
      <c r="P187" s="5"/>
    </row>
    <row r="188" spans="10:16" ht="15.95" customHeight="1" x14ac:dyDescent="0.2">
      <c r="J188" s="5"/>
      <c r="K188" s="5"/>
      <c r="L188" s="5"/>
      <c r="M188" s="5"/>
      <c r="N188" s="5"/>
      <c r="O188" s="5"/>
      <c r="P188" s="5"/>
    </row>
    <row r="189" spans="10:16" ht="15.95" customHeight="1" x14ac:dyDescent="0.2">
      <c r="J189" s="5"/>
      <c r="K189" s="5"/>
      <c r="L189" s="5"/>
      <c r="M189" s="5"/>
      <c r="N189" s="5"/>
      <c r="O189" s="5"/>
      <c r="P189" s="5"/>
    </row>
    <row r="190" spans="10:16" ht="15.95" customHeight="1" x14ac:dyDescent="0.2">
      <c r="J190" s="5"/>
      <c r="K190" s="5"/>
      <c r="L190" s="5"/>
      <c r="M190" s="5"/>
      <c r="N190" s="5"/>
      <c r="O190" s="5"/>
      <c r="P190" s="5"/>
    </row>
    <row r="191" spans="10:16" ht="15.95" customHeight="1" x14ac:dyDescent="0.2">
      <c r="J191" s="5"/>
      <c r="K191" s="5"/>
      <c r="L191" s="5"/>
      <c r="M191" s="5"/>
      <c r="N191" s="5"/>
      <c r="O191" s="5"/>
      <c r="P191" s="5"/>
    </row>
    <row r="192" spans="10:16" ht="15.95" customHeight="1" x14ac:dyDescent="0.2">
      <c r="J192" s="5"/>
      <c r="K192" s="5"/>
      <c r="L192" s="5"/>
      <c r="M192" s="5"/>
      <c r="N192" s="5"/>
      <c r="O192" s="5"/>
      <c r="P192" s="5"/>
    </row>
    <row r="193" spans="10:16" ht="15.95" customHeight="1" x14ac:dyDescent="0.2">
      <c r="J193" s="5"/>
      <c r="K193" s="5"/>
      <c r="L193" s="5"/>
      <c r="M193" s="5"/>
      <c r="N193" s="5"/>
      <c r="O193" s="5"/>
      <c r="P193" s="5"/>
    </row>
    <row r="194" spans="10:16" ht="15.95" customHeight="1" x14ac:dyDescent="0.2">
      <c r="J194" s="5"/>
      <c r="K194" s="5"/>
      <c r="L194" s="5"/>
      <c r="M194" s="5"/>
      <c r="N194" s="5"/>
      <c r="O194" s="5"/>
      <c r="P194" s="5"/>
    </row>
    <row r="195" spans="10:16" ht="15.95" customHeight="1" x14ac:dyDescent="0.2">
      <c r="J195" s="5"/>
      <c r="K195" s="5"/>
      <c r="L195" s="5"/>
      <c r="M195" s="5"/>
      <c r="N195" s="5"/>
      <c r="O195" s="5"/>
      <c r="P195" s="5"/>
    </row>
    <row r="196" spans="10:16" ht="15.95" customHeight="1" x14ac:dyDescent="0.2">
      <c r="J196" s="5"/>
      <c r="K196" s="5"/>
      <c r="L196" s="5"/>
      <c r="M196" s="5"/>
      <c r="N196" s="5"/>
      <c r="O196" s="5"/>
      <c r="P196" s="5"/>
    </row>
    <row r="197" spans="10:16" ht="15.95" customHeight="1" x14ac:dyDescent="0.2">
      <c r="J197" s="5"/>
      <c r="K197" s="5"/>
      <c r="L197" s="5"/>
      <c r="M197" s="5"/>
      <c r="N197" s="5"/>
      <c r="O197" s="5"/>
      <c r="P197" s="5"/>
    </row>
    <row r="198" spans="10:16" ht="15.95" customHeight="1" x14ac:dyDescent="0.2">
      <c r="J198" s="5"/>
      <c r="K198" s="5"/>
      <c r="L198" s="5"/>
      <c r="M198" s="5"/>
      <c r="N198" s="5"/>
      <c r="O198" s="5"/>
      <c r="P198" s="5"/>
    </row>
    <row r="199" spans="10:16" ht="15.95" customHeight="1" x14ac:dyDescent="0.2">
      <c r="J199" s="5"/>
      <c r="K199" s="5"/>
      <c r="L199" s="5"/>
      <c r="M199" s="5"/>
      <c r="N199" s="5"/>
      <c r="O199" s="5"/>
      <c r="P199" s="5"/>
    </row>
    <row r="200" spans="10:16" ht="15.95" customHeight="1" x14ac:dyDescent="0.2">
      <c r="J200" s="5"/>
      <c r="K200" s="5"/>
      <c r="L200" s="5"/>
      <c r="M200" s="5"/>
      <c r="N200" s="5"/>
      <c r="O200" s="5"/>
      <c r="P200" s="5"/>
    </row>
    <row r="201" spans="10:16" ht="15.95" customHeight="1" x14ac:dyDescent="0.2">
      <c r="J201" s="5"/>
      <c r="K201" s="5"/>
      <c r="L201" s="5"/>
      <c r="M201" s="5"/>
      <c r="N201" s="5"/>
      <c r="O201" s="5"/>
      <c r="P201" s="5"/>
    </row>
    <row r="202" spans="10:16" ht="15.95" customHeight="1" x14ac:dyDescent="0.2">
      <c r="J202" s="5"/>
      <c r="K202" s="5"/>
      <c r="L202" s="5"/>
      <c r="M202" s="5"/>
      <c r="N202" s="5"/>
      <c r="O202" s="5"/>
      <c r="P202" s="5"/>
    </row>
    <row r="203" spans="10:16" ht="15.95" customHeight="1" x14ac:dyDescent="0.2">
      <c r="J203" s="5"/>
      <c r="K203" s="5"/>
      <c r="L203" s="5"/>
      <c r="M203" s="5"/>
      <c r="N203" s="5"/>
      <c r="O203" s="5"/>
      <c r="P203" s="5"/>
    </row>
    <row r="204" spans="10:16" ht="15.95" customHeight="1" x14ac:dyDescent="0.2">
      <c r="J204" s="5"/>
      <c r="K204" s="5"/>
      <c r="L204" s="5"/>
      <c r="M204" s="5"/>
      <c r="N204" s="5"/>
      <c r="O204" s="5"/>
      <c r="P204" s="5"/>
    </row>
    <row r="205" spans="10:16" ht="15.95" customHeight="1" x14ac:dyDescent="0.2">
      <c r="J205" s="5"/>
      <c r="K205" s="5"/>
      <c r="L205" s="5"/>
      <c r="M205" s="5"/>
      <c r="N205" s="5"/>
      <c r="O205" s="5"/>
      <c r="P205" s="5"/>
    </row>
    <row r="206" spans="10:16" ht="15.95" customHeight="1" x14ac:dyDescent="0.2">
      <c r="J206" s="5"/>
      <c r="K206" s="5"/>
      <c r="L206" s="5"/>
      <c r="M206" s="5"/>
      <c r="N206" s="5"/>
      <c r="O206" s="5"/>
      <c r="P206" s="5"/>
    </row>
    <row r="207" spans="10:16" ht="15.95" customHeight="1" x14ac:dyDescent="0.2">
      <c r="J207" s="5"/>
      <c r="K207" s="5"/>
      <c r="L207" s="5"/>
      <c r="M207" s="5"/>
      <c r="N207" s="5"/>
      <c r="O207" s="5"/>
      <c r="P207" s="5"/>
    </row>
    <row r="208" spans="10:16" ht="15.95" customHeight="1" x14ac:dyDescent="0.2">
      <c r="J208" s="5"/>
      <c r="K208" s="5"/>
      <c r="L208" s="5"/>
      <c r="M208" s="5"/>
      <c r="N208" s="5"/>
      <c r="O208" s="5"/>
      <c r="P208" s="5"/>
    </row>
    <row r="209" spans="10:16" ht="15.95" customHeight="1" x14ac:dyDescent="0.2">
      <c r="J209" s="5"/>
      <c r="K209" s="5"/>
      <c r="L209" s="5"/>
      <c r="M209" s="5"/>
      <c r="N209" s="5"/>
      <c r="O209" s="5"/>
      <c r="P209" s="5"/>
    </row>
    <row r="210" spans="10:16" ht="15.95" customHeight="1" x14ac:dyDescent="0.2">
      <c r="J210" s="5"/>
      <c r="K210" s="5"/>
      <c r="L210" s="5"/>
      <c r="M210" s="5"/>
      <c r="N210" s="5"/>
      <c r="O210" s="5"/>
      <c r="P210" s="5"/>
    </row>
    <row r="211" spans="10:16" ht="15.95" customHeight="1" x14ac:dyDescent="0.2">
      <c r="J211" s="5"/>
      <c r="K211" s="5"/>
      <c r="L211" s="5"/>
      <c r="M211" s="5"/>
      <c r="N211" s="5"/>
      <c r="O211" s="5"/>
      <c r="P211" s="5"/>
    </row>
    <row r="212" spans="10:16" ht="15.95" customHeight="1" x14ac:dyDescent="0.2">
      <c r="J212" s="5"/>
      <c r="K212" s="5"/>
      <c r="L212" s="5"/>
      <c r="M212" s="5"/>
      <c r="N212" s="5"/>
      <c r="O212" s="5"/>
      <c r="P212" s="5"/>
    </row>
    <row r="213" spans="10:16" ht="15.95" customHeight="1" x14ac:dyDescent="0.2">
      <c r="J213" s="5"/>
      <c r="K213" s="5"/>
      <c r="L213" s="5"/>
      <c r="M213" s="5"/>
      <c r="N213" s="5"/>
      <c r="O213" s="5"/>
      <c r="P213" s="5"/>
    </row>
    <row r="214" spans="10:16" ht="15.95" customHeight="1" x14ac:dyDescent="0.2">
      <c r="J214" s="5"/>
      <c r="K214" s="5"/>
      <c r="L214" s="5"/>
      <c r="M214" s="5"/>
      <c r="N214" s="5"/>
      <c r="O214" s="5"/>
      <c r="P214" s="5"/>
    </row>
    <row r="215" spans="10:16" ht="15.95" customHeight="1" x14ac:dyDescent="0.2">
      <c r="J215" s="5"/>
      <c r="K215" s="5"/>
      <c r="L215" s="5"/>
      <c r="M215" s="5"/>
      <c r="N215" s="5"/>
      <c r="O215" s="5"/>
      <c r="P215" s="5"/>
    </row>
    <row r="216" spans="10:16" ht="15.95" customHeight="1" x14ac:dyDescent="0.2">
      <c r="J216" s="5"/>
      <c r="K216" s="5"/>
      <c r="L216" s="5"/>
      <c r="M216" s="5"/>
      <c r="N216" s="5"/>
      <c r="O216" s="5"/>
      <c r="P216" s="5"/>
    </row>
    <row r="217" spans="10:16" ht="15.95" customHeight="1" x14ac:dyDescent="0.2">
      <c r="J217" s="5"/>
      <c r="K217" s="5"/>
      <c r="L217" s="5"/>
      <c r="M217" s="5"/>
      <c r="N217" s="5"/>
      <c r="O217" s="5"/>
      <c r="P217" s="5"/>
    </row>
    <row r="218" spans="10:16" ht="15.95" customHeight="1" x14ac:dyDescent="0.2">
      <c r="J218" s="5"/>
      <c r="K218" s="5"/>
      <c r="L218" s="5"/>
      <c r="M218" s="5"/>
      <c r="N218" s="5"/>
      <c r="O218" s="5"/>
      <c r="P218" s="5"/>
    </row>
    <row r="219" spans="10:16" ht="15.95" customHeight="1" x14ac:dyDescent="0.2">
      <c r="J219" s="5"/>
      <c r="K219" s="5"/>
      <c r="L219" s="5"/>
      <c r="M219" s="5"/>
      <c r="N219" s="5"/>
      <c r="O219" s="5"/>
      <c r="P219" s="5"/>
    </row>
    <row r="220" spans="10:16" ht="15.95" customHeight="1" x14ac:dyDescent="0.2">
      <c r="J220" s="5"/>
      <c r="K220" s="5"/>
      <c r="L220" s="5"/>
      <c r="M220" s="5"/>
      <c r="N220" s="5"/>
      <c r="O220" s="5"/>
      <c r="P220" s="5"/>
    </row>
    <row r="221" spans="10:16" ht="15.95" customHeight="1" x14ac:dyDescent="0.2">
      <c r="J221" s="5"/>
      <c r="K221" s="5"/>
      <c r="L221" s="5"/>
      <c r="M221" s="5"/>
      <c r="N221" s="5"/>
      <c r="O221" s="5"/>
      <c r="P221" s="5"/>
    </row>
    <row r="222" spans="10:16" ht="15.95" customHeight="1" x14ac:dyDescent="0.2">
      <c r="J222" s="5"/>
      <c r="K222" s="5"/>
      <c r="L222" s="5"/>
      <c r="M222" s="5"/>
      <c r="N222" s="5"/>
      <c r="O222" s="5"/>
      <c r="P222" s="5"/>
    </row>
    <row r="223" spans="10:16" ht="15.95" customHeight="1" x14ac:dyDescent="0.2">
      <c r="J223" s="5"/>
      <c r="K223" s="5"/>
      <c r="L223" s="5"/>
      <c r="M223" s="5"/>
      <c r="N223" s="5"/>
      <c r="O223" s="5"/>
      <c r="P223" s="5"/>
    </row>
    <row r="224" spans="10:16" ht="15.95" customHeight="1" x14ac:dyDescent="0.2">
      <c r="J224" s="5"/>
      <c r="K224" s="5"/>
      <c r="L224" s="5"/>
      <c r="M224" s="5"/>
      <c r="N224" s="5"/>
      <c r="O224" s="5"/>
      <c r="P224" s="5"/>
    </row>
    <row r="225" spans="10:16" ht="15.95" customHeight="1" x14ac:dyDescent="0.2">
      <c r="J225" s="5"/>
      <c r="K225" s="5"/>
      <c r="L225" s="5"/>
      <c r="M225" s="5"/>
      <c r="N225" s="5"/>
      <c r="O225" s="5"/>
      <c r="P225" s="5"/>
    </row>
    <row r="226" spans="10:16" ht="15.95" customHeight="1" x14ac:dyDescent="0.2">
      <c r="J226" s="5"/>
      <c r="K226" s="5"/>
      <c r="L226" s="5"/>
      <c r="M226" s="5"/>
      <c r="N226" s="5"/>
      <c r="O226" s="5"/>
      <c r="P226" s="5"/>
    </row>
    <row r="227" spans="10:16" ht="15.95" customHeight="1" x14ac:dyDescent="0.2">
      <c r="J227" s="5"/>
      <c r="K227" s="5"/>
      <c r="L227" s="5"/>
      <c r="M227" s="5"/>
      <c r="N227" s="5"/>
      <c r="O227" s="5"/>
      <c r="P227" s="5"/>
    </row>
    <row r="228" spans="10:16" ht="15.95" customHeight="1" x14ac:dyDescent="0.2">
      <c r="J228" s="5"/>
      <c r="K228" s="5"/>
      <c r="L228" s="5"/>
      <c r="M228" s="5"/>
      <c r="N228" s="5"/>
      <c r="O228" s="5"/>
      <c r="P228" s="5"/>
    </row>
    <row r="229" spans="10:16" ht="15.95" customHeight="1" x14ac:dyDescent="0.2">
      <c r="J229" s="5"/>
      <c r="K229" s="5"/>
      <c r="L229" s="5"/>
      <c r="M229" s="5"/>
      <c r="N229" s="5"/>
      <c r="O229" s="5"/>
      <c r="P229" s="5"/>
    </row>
    <row r="230" spans="10:16" ht="15.95" customHeight="1" x14ac:dyDescent="0.2">
      <c r="J230" s="5"/>
      <c r="K230" s="5"/>
      <c r="L230" s="5"/>
      <c r="M230" s="5"/>
      <c r="N230" s="5"/>
      <c r="O230" s="5"/>
      <c r="P230" s="5"/>
    </row>
    <row r="231" spans="10:16" ht="15.95" customHeight="1" x14ac:dyDescent="0.2">
      <c r="J231" s="5"/>
      <c r="K231" s="5"/>
      <c r="L231" s="5"/>
      <c r="M231" s="5"/>
      <c r="N231" s="5"/>
      <c r="O231" s="5"/>
      <c r="P231" s="5"/>
    </row>
    <row r="232" spans="10:16" ht="15.95" customHeight="1" x14ac:dyDescent="0.2">
      <c r="J232" s="5"/>
      <c r="K232" s="5"/>
      <c r="L232" s="5"/>
      <c r="M232" s="5"/>
      <c r="N232" s="5"/>
      <c r="O232" s="5"/>
      <c r="P232" s="5"/>
    </row>
    <row r="233" spans="10:16" ht="15.95" customHeight="1" x14ac:dyDescent="0.2">
      <c r="J233" s="5"/>
      <c r="K233" s="5"/>
      <c r="L233" s="5"/>
      <c r="M233" s="5"/>
      <c r="N233" s="5"/>
      <c r="O233" s="5"/>
      <c r="P233" s="5"/>
    </row>
    <row r="234" spans="10:16" ht="15.95" customHeight="1" x14ac:dyDescent="0.2">
      <c r="J234" s="5"/>
      <c r="K234" s="5"/>
      <c r="L234" s="5"/>
      <c r="M234" s="5"/>
      <c r="N234" s="5"/>
      <c r="O234" s="5"/>
      <c r="P234" s="5"/>
    </row>
    <row r="235" spans="10:16" ht="15.95" customHeight="1" x14ac:dyDescent="0.2">
      <c r="J235" s="5"/>
      <c r="K235" s="5"/>
      <c r="L235" s="5"/>
      <c r="M235" s="5"/>
      <c r="N235" s="5"/>
      <c r="O235" s="5"/>
      <c r="P235" s="5"/>
    </row>
    <row r="236" spans="10:16" ht="15.95" customHeight="1" x14ac:dyDescent="0.2">
      <c r="J236" s="5"/>
      <c r="K236" s="5"/>
      <c r="L236" s="5"/>
      <c r="M236" s="5"/>
      <c r="N236" s="5"/>
      <c r="O236" s="5"/>
      <c r="P236" s="5"/>
    </row>
    <row r="237" spans="10:16" ht="15.95" customHeight="1" x14ac:dyDescent="0.2">
      <c r="J237" s="5"/>
      <c r="K237" s="5"/>
      <c r="L237" s="5"/>
      <c r="M237" s="5"/>
      <c r="N237" s="5"/>
      <c r="O237" s="5"/>
      <c r="P237" s="5"/>
    </row>
    <row r="238" spans="10:16" ht="15.95" customHeight="1" x14ac:dyDescent="0.2">
      <c r="J238" s="5"/>
      <c r="K238" s="5"/>
      <c r="L238" s="5"/>
      <c r="M238" s="5"/>
      <c r="N238" s="5"/>
      <c r="O238" s="5"/>
      <c r="P238" s="5"/>
    </row>
    <row r="239" spans="10:16" ht="15.95" customHeight="1" x14ac:dyDescent="0.2">
      <c r="J239" s="5"/>
      <c r="K239" s="5"/>
      <c r="L239" s="5"/>
      <c r="M239" s="5"/>
      <c r="N239" s="5"/>
      <c r="O239" s="5"/>
      <c r="P239" s="5"/>
    </row>
    <row r="240" spans="10:16" ht="15.95" customHeight="1" x14ac:dyDescent="0.2">
      <c r="J240" s="5"/>
      <c r="K240" s="5"/>
      <c r="L240" s="5"/>
      <c r="M240" s="5"/>
      <c r="N240" s="5"/>
      <c r="O240" s="5"/>
      <c r="P240" s="5"/>
    </row>
    <row r="241" spans="10:16" ht="15.95" customHeight="1" x14ac:dyDescent="0.2">
      <c r="J241" s="5"/>
      <c r="K241" s="5"/>
      <c r="L241" s="5"/>
      <c r="M241" s="5"/>
      <c r="N241" s="5"/>
      <c r="O241" s="5"/>
      <c r="P241" s="5"/>
    </row>
    <row r="242" spans="10:16" ht="15.95" customHeight="1" x14ac:dyDescent="0.2">
      <c r="J242" s="5"/>
      <c r="K242" s="5"/>
      <c r="L242" s="5"/>
      <c r="M242" s="5"/>
      <c r="N242" s="5"/>
      <c r="O242" s="5"/>
      <c r="P242" s="5"/>
    </row>
    <row r="243" spans="10:16" ht="15.95" customHeight="1" x14ac:dyDescent="0.2">
      <c r="J243" s="5"/>
      <c r="K243" s="5"/>
      <c r="L243" s="5"/>
      <c r="M243" s="5"/>
      <c r="N243" s="5"/>
      <c r="O243" s="5"/>
      <c r="P243" s="5"/>
    </row>
    <row r="244" spans="10:16" ht="15.95" customHeight="1" x14ac:dyDescent="0.2">
      <c r="J244" s="5"/>
      <c r="K244" s="5"/>
      <c r="L244" s="5"/>
      <c r="M244" s="5"/>
      <c r="N244" s="5"/>
      <c r="O244" s="5"/>
      <c r="P244" s="5"/>
    </row>
    <row r="245" spans="10:16" ht="15.95" customHeight="1" x14ac:dyDescent="0.2">
      <c r="J245" s="5"/>
      <c r="K245" s="5"/>
      <c r="L245" s="5"/>
      <c r="M245" s="5"/>
      <c r="N245" s="5"/>
      <c r="O245" s="5"/>
      <c r="P245" s="5"/>
    </row>
    <row r="246" spans="10:16" ht="15.95" customHeight="1" x14ac:dyDescent="0.2">
      <c r="J246" s="5"/>
      <c r="K246" s="5"/>
      <c r="L246" s="5"/>
      <c r="M246" s="5"/>
      <c r="N246" s="5"/>
      <c r="O246" s="5"/>
      <c r="P246" s="5"/>
    </row>
    <row r="247" spans="10:16" ht="15.95" customHeight="1" x14ac:dyDescent="0.2">
      <c r="J247" s="5"/>
      <c r="K247" s="5"/>
      <c r="L247" s="5"/>
      <c r="M247" s="5"/>
      <c r="N247" s="5"/>
      <c r="O247" s="5"/>
      <c r="P247" s="5"/>
    </row>
    <row r="248" spans="10:16" ht="15.95" customHeight="1" x14ac:dyDescent="0.2">
      <c r="J248" s="5"/>
      <c r="K248" s="5"/>
      <c r="L248" s="5"/>
      <c r="M248" s="5"/>
      <c r="N248" s="5"/>
      <c r="O248" s="5"/>
      <c r="P248" s="5"/>
    </row>
    <row r="249" spans="10:16" ht="15.95" customHeight="1" x14ac:dyDescent="0.2">
      <c r="J249" s="5"/>
      <c r="K249" s="5"/>
      <c r="L249" s="5"/>
      <c r="M249" s="5"/>
      <c r="N249" s="5"/>
      <c r="O249" s="5"/>
      <c r="P249" s="5"/>
    </row>
    <row r="250" spans="10:16" ht="15.95" customHeight="1" x14ac:dyDescent="0.2">
      <c r="J250" s="5"/>
      <c r="K250" s="5"/>
      <c r="L250" s="5"/>
      <c r="M250" s="5"/>
      <c r="N250" s="5"/>
      <c r="O250" s="5"/>
      <c r="P250" s="5"/>
    </row>
    <row r="251" spans="10:16" ht="15.95" customHeight="1" x14ac:dyDescent="0.2">
      <c r="J251" s="5"/>
      <c r="K251" s="5"/>
      <c r="L251" s="5"/>
      <c r="M251" s="5"/>
      <c r="N251" s="5"/>
      <c r="O251" s="5"/>
      <c r="P251" s="5"/>
    </row>
    <row r="252" spans="10:16" ht="15.95" customHeight="1" x14ac:dyDescent="0.2">
      <c r="J252" s="5"/>
      <c r="K252" s="5"/>
      <c r="L252" s="5"/>
      <c r="M252" s="5"/>
      <c r="N252" s="5"/>
      <c r="O252" s="5"/>
      <c r="P252" s="5"/>
    </row>
    <row r="253" spans="10:16" ht="15.95" customHeight="1" x14ac:dyDescent="0.2">
      <c r="J253" s="5"/>
      <c r="K253" s="5"/>
      <c r="L253" s="5"/>
      <c r="M253" s="5"/>
      <c r="N253" s="5"/>
      <c r="O253" s="5"/>
      <c r="P253" s="5"/>
    </row>
    <row r="254" spans="10:16" ht="15.95" customHeight="1" x14ac:dyDescent="0.2">
      <c r="J254" s="5"/>
      <c r="K254" s="5"/>
      <c r="L254" s="5"/>
      <c r="M254" s="5"/>
      <c r="N254" s="5"/>
      <c r="O254" s="5"/>
      <c r="P254" s="5"/>
    </row>
    <row r="255" spans="10:16" ht="15.95" customHeight="1" x14ac:dyDescent="0.2">
      <c r="J255" s="5"/>
      <c r="K255" s="5"/>
      <c r="L255" s="5"/>
      <c r="M255" s="5"/>
      <c r="N255" s="5"/>
      <c r="O255" s="5"/>
      <c r="P255" s="5"/>
    </row>
    <row r="256" spans="10:16" ht="15.95" customHeight="1" x14ac:dyDescent="0.2">
      <c r="J256" s="5"/>
      <c r="K256" s="5"/>
      <c r="L256" s="5"/>
      <c r="M256" s="5"/>
      <c r="N256" s="5"/>
      <c r="O256" s="5"/>
      <c r="P256" s="5"/>
    </row>
    <row r="257" spans="10:16" ht="15.95" customHeight="1" x14ac:dyDescent="0.2">
      <c r="J257" s="5"/>
      <c r="K257" s="5"/>
      <c r="L257" s="5"/>
      <c r="M257" s="5"/>
      <c r="N257" s="5"/>
      <c r="O257" s="5"/>
      <c r="P257" s="5"/>
    </row>
    <row r="258" spans="10:16" ht="15.95" customHeight="1" x14ac:dyDescent="0.2">
      <c r="J258" s="5"/>
      <c r="K258" s="5"/>
      <c r="L258" s="5"/>
      <c r="M258" s="5"/>
      <c r="N258" s="5"/>
      <c r="O258" s="5"/>
      <c r="P258" s="5"/>
    </row>
    <row r="259" spans="10:16" ht="15.95" customHeight="1" x14ac:dyDescent="0.2">
      <c r="J259" s="5"/>
      <c r="K259" s="5"/>
      <c r="L259" s="5"/>
      <c r="M259" s="5"/>
      <c r="N259" s="5"/>
      <c r="O259" s="5"/>
      <c r="P259" s="5"/>
    </row>
    <row r="260" spans="10:16" ht="15.95" customHeight="1" x14ac:dyDescent="0.2">
      <c r="J260" s="5"/>
      <c r="K260" s="5"/>
      <c r="L260" s="5"/>
      <c r="M260" s="5"/>
      <c r="N260" s="5"/>
      <c r="O260" s="5"/>
      <c r="P260" s="5"/>
    </row>
    <row r="261" spans="10:16" ht="15.95" customHeight="1" x14ac:dyDescent="0.2">
      <c r="J261" s="5"/>
      <c r="K261" s="5"/>
      <c r="L261" s="5"/>
      <c r="M261" s="5"/>
      <c r="N261" s="5"/>
      <c r="O261" s="5"/>
      <c r="P261" s="5"/>
    </row>
    <row r="262" spans="10:16" ht="15.95" customHeight="1" x14ac:dyDescent="0.2">
      <c r="J262" s="5"/>
      <c r="K262" s="5"/>
      <c r="L262" s="5"/>
      <c r="M262" s="5"/>
      <c r="N262" s="5"/>
      <c r="O262" s="5"/>
      <c r="P262" s="5"/>
    </row>
    <row r="263" spans="10:16" ht="15.95" customHeight="1" x14ac:dyDescent="0.2">
      <c r="J263" s="5"/>
      <c r="K263" s="5"/>
      <c r="L263" s="5"/>
      <c r="M263" s="5"/>
      <c r="N263" s="5"/>
      <c r="O263" s="5"/>
      <c r="P263" s="5"/>
    </row>
    <row r="264" spans="10:16" ht="15.95" customHeight="1" x14ac:dyDescent="0.2">
      <c r="J264" s="5"/>
      <c r="K264" s="5"/>
      <c r="L264" s="5"/>
      <c r="M264" s="5"/>
      <c r="N264" s="5"/>
      <c r="O264" s="5"/>
      <c r="P264" s="5"/>
    </row>
    <row r="265" spans="10:16" ht="15.95" customHeight="1" x14ac:dyDescent="0.2">
      <c r="J265" s="5"/>
      <c r="K265" s="5"/>
      <c r="L265" s="5"/>
      <c r="M265" s="5"/>
      <c r="N265" s="5"/>
      <c r="O265" s="5"/>
      <c r="P265" s="5"/>
    </row>
    <row r="266" spans="10:16" ht="15.95" customHeight="1" x14ac:dyDescent="0.2">
      <c r="J266" s="5"/>
      <c r="K266" s="5"/>
      <c r="L266" s="5"/>
      <c r="M266" s="5"/>
      <c r="N266" s="5"/>
      <c r="O266" s="5"/>
      <c r="P266" s="5"/>
    </row>
    <row r="267" spans="10:16" x14ac:dyDescent="0.2">
      <c r="J267" s="5"/>
      <c r="K267" s="5"/>
      <c r="L267" s="5"/>
      <c r="M267" s="5"/>
      <c r="N267" s="5"/>
      <c r="O267" s="5"/>
      <c r="P267" s="5"/>
    </row>
    <row r="268" spans="10:16" x14ac:dyDescent="0.2">
      <c r="J268" s="5"/>
      <c r="K268" s="5"/>
      <c r="L268" s="5"/>
      <c r="M268" s="5"/>
      <c r="N268" s="5"/>
      <c r="O268" s="5"/>
      <c r="P268" s="5"/>
    </row>
    <row r="269" spans="10:16" x14ac:dyDescent="0.2">
      <c r="J269" s="5"/>
      <c r="K269" s="5"/>
      <c r="L269" s="5"/>
      <c r="M269" s="5"/>
      <c r="N269" s="5"/>
      <c r="O269" s="5"/>
      <c r="P269" s="5"/>
    </row>
    <row r="270" spans="10:16" x14ac:dyDescent="0.2">
      <c r="J270" s="5"/>
      <c r="K270" s="5"/>
      <c r="L270" s="5"/>
      <c r="M270" s="5"/>
      <c r="N270" s="5"/>
      <c r="O270" s="5"/>
      <c r="P270" s="5"/>
    </row>
    <row r="271" spans="10:16" x14ac:dyDescent="0.2">
      <c r="J271" s="5"/>
      <c r="K271" s="5"/>
      <c r="L271" s="5"/>
      <c r="M271" s="5"/>
      <c r="N271" s="5"/>
      <c r="O271" s="5"/>
      <c r="P271" s="5"/>
    </row>
    <row r="272" spans="10:16" x14ac:dyDescent="0.2">
      <c r="J272" s="5"/>
      <c r="K272" s="5"/>
      <c r="L272" s="5"/>
      <c r="M272" s="5"/>
      <c r="N272" s="5"/>
      <c r="O272" s="5"/>
      <c r="P272" s="5"/>
    </row>
    <row r="273" spans="10:16" x14ac:dyDescent="0.2">
      <c r="J273" s="5"/>
      <c r="K273" s="5"/>
      <c r="L273" s="5"/>
      <c r="M273" s="5"/>
      <c r="N273" s="5"/>
      <c r="O273" s="5"/>
      <c r="P273" s="5"/>
    </row>
    <row r="274" spans="10:16" x14ac:dyDescent="0.2">
      <c r="J274" s="5"/>
      <c r="K274" s="5"/>
      <c r="L274" s="5"/>
      <c r="M274" s="5"/>
      <c r="N274" s="5"/>
      <c r="O274" s="5"/>
      <c r="P274" s="5"/>
    </row>
    <row r="275" spans="10:16" x14ac:dyDescent="0.2">
      <c r="J275" s="5"/>
      <c r="K275" s="5"/>
      <c r="L275" s="5"/>
      <c r="M275" s="5"/>
      <c r="N275" s="5"/>
      <c r="O275" s="5"/>
      <c r="P275" s="5"/>
    </row>
    <row r="276" spans="10:16" x14ac:dyDescent="0.2">
      <c r="J276" s="5"/>
      <c r="K276" s="5"/>
      <c r="L276" s="5"/>
      <c r="M276" s="5"/>
      <c r="N276" s="5"/>
      <c r="O276" s="5"/>
      <c r="P276" s="5"/>
    </row>
    <row r="277" spans="10:16" x14ac:dyDescent="0.2">
      <c r="J277" s="5"/>
      <c r="K277" s="5"/>
      <c r="L277" s="5"/>
      <c r="M277" s="5"/>
      <c r="N277" s="5"/>
      <c r="O277" s="5"/>
      <c r="P277" s="5"/>
    </row>
    <row r="278" spans="10:16" x14ac:dyDescent="0.2">
      <c r="J278" s="5"/>
      <c r="K278" s="5"/>
      <c r="L278" s="5"/>
      <c r="M278" s="5"/>
      <c r="N278" s="5"/>
      <c r="O278" s="5"/>
      <c r="P278" s="5"/>
    </row>
    <row r="279" spans="10:16" x14ac:dyDescent="0.2">
      <c r="J279" s="5"/>
      <c r="K279" s="5"/>
      <c r="L279" s="5"/>
      <c r="M279" s="5"/>
      <c r="N279" s="5"/>
      <c r="O279" s="5"/>
      <c r="P279" s="5"/>
    </row>
    <row r="280" spans="10:16" x14ac:dyDescent="0.2">
      <c r="J280" s="5"/>
      <c r="K280" s="5"/>
      <c r="L280" s="5"/>
      <c r="M280" s="5"/>
      <c r="N280" s="5"/>
      <c r="O280" s="5"/>
      <c r="P280" s="5"/>
    </row>
    <row r="281" spans="10:16" x14ac:dyDescent="0.2">
      <c r="J281" s="5"/>
      <c r="K281" s="5"/>
      <c r="L281" s="5"/>
      <c r="M281" s="5"/>
      <c r="N281" s="5"/>
      <c r="O281" s="5"/>
      <c r="P281" s="5"/>
    </row>
    <row r="282" spans="10:16" x14ac:dyDescent="0.2">
      <c r="J282" s="5"/>
      <c r="K282" s="5"/>
      <c r="L282" s="5"/>
      <c r="M282" s="5"/>
      <c r="N282" s="5"/>
      <c r="O282" s="5"/>
      <c r="P282" s="5"/>
    </row>
    <row r="283" spans="10:16" x14ac:dyDescent="0.2">
      <c r="J283" s="5"/>
      <c r="K283" s="5"/>
      <c r="L283" s="5"/>
      <c r="M283" s="5"/>
      <c r="N283" s="5"/>
      <c r="O283" s="5"/>
      <c r="P283" s="5"/>
    </row>
    <row r="284" spans="10:16" x14ac:dyDescent="0.2">
      <c r="J284" s="5"/>
      <c r="K284" s="5"/>
      <c r="L284" s="5"/>
      <c r="M284" s="5"/>
      <c r="N284" s="5"/>
      <c r="O284" s="5"/>
      <c r="P284" s="5"/>
    </row>
    <row r="285" spans="10:16" x14ac:dyDescent="0.2">
      <c r="J285" s="5"/>
      <c r="K285" s="5"/>
      <c r="L285" s="5"/>
      <c r="M285" s="5"/>
      <c r="N285" s="5"/>
      <c r="O285" s="5"/>
      <c r="P285" s="5"/>
    </row>
    <row r="286" spans="10:16" x14ac:dyDescent="0.2">
      <c r="J286" s="5"/>
      <c r="K286" s="5"/>
      <c r="L286" s="5"/>
      <c r="M286" s="5"/>
      <c r="N286" s="5"/>
      <c r="O286" s="5"/>
      <c r="P286" s="5"/>
    </row>
    <row r="287" spans="10:16" x14ac:dyDescent="0.2">
      <c r="J287" s="5"/>
      <c r="K287" s="5"/>
      <c r="L287" s="5"/>
      <c r="M287" s="5"/>
      <c r="N287" s="5"/>
      <c r="O287" s="5"/>
      <c r="P287" s="5"/>
    </row>
    <row r="288" spans="10:16" x14ac:dyDescent="0.2">
      <c r="J288" s="5"/>
      <c r="K288" s="5"/>
      <c r="L288" s="5"/>
      <c r="M288" s="5"/>
      <c r="N288" s="5"/>
      <c r="O288" s="5"/>
      <c r="P288" s="5"/>
    </row>
    <row r="289" spans="10:16" x14ac:dyDescent="0.2">
      <c r="J289" s="5"/>
      <c r="K289" s="5"/>
      <c r="L289" s="5"/>
      <c r="M289" s="5"/>
      <c r="N289" s="5"/>
      <c r="O289" s="5"/>
      <c r="P289" s="5"/>
    </row>
    <row r="290" spans="10:16" x14ac:dyDescent="0.2">
      <c r="J290" s="5"/>
      <c r="K290" s="5"/>
      <c r="L290" s="5"/>
      <c r="M290" s="5"/>
      <c r="N290" s="5"/>
      <c r="O290" s="5"/>
      <c r="P290" s="5"/>
    </row>
    <row r="291" spans="10:16" x14ac:dyDescent="0.2">
      <c r="J291" s="5"/>
      <c r="K291" s="5"/>
      <c r="L291" s="5"/>
      <c r="M291" s="5"/>
      <c r="N291" s="5"/>
      <c r="O291" s="5"/>
      <c r="P291" s="5"/>
    </row>
    <row r="292" spans="10:16" x14ac:dyDescent="0.2">
      <c r="J292" s="5"/>
      <c r="K292" s="5"/>
      <c r="L292" s="5"/>
      <c r="M292" s="5"/>
      <c r="N292" s="5"/>
      <c r="O292" s="5"/>
      <c r="P292" s="5"/>
    </row>
    <row r="293" spans="10:16" x14ac:dyDescent="0.2">
      <c r="J293" s="5"/>
      <c r="K293" s="5"/>
      <c r="L293" s="5"/>
      <c r="M293" s="5"/>
      <c r="N293" s="5"/>
      <c r="O293" s="5"/>
      <c r="P293" s="5"/>
    </row>
    <row r="294" spans="10:16" x14ac:dyDescent="0.2">
      <c r="J294" s="5"/>
      <c r="K294" s="5"/>
      <c r="L294" s="5"/>
      <c r="M294" s="5"/>
      <c r="N294" s="5"/>
      <c r="O294" s="5"/>
      <c r="P294" s="5"/>
    </row>
    <row r="295" spans="10:16" x14ac:dyDescent="0.2">
      <c r="J295" s="5"/>
      <c r="K295" s="5"/>
      <c r="L295" s="5"/>
      <c r="M295" s="5"/>
      <c r="N295" s="5"/>
      <c r="O295" s="5"/>
      <c r="P295" s="5"/>
    </row>
    <row r="296" spans="10:16" x14ac:dyDescent="0.2">
      <c r="J296" s="5"/>
      <c r="K296" s="5"/>
      <c r="L296" s="5"/>
      <c r="M296" s="5"/>
      <c r="N296" s="5"/>
      <c r="O296" s="5"/>
      <c r="P296" s="5"/>
    </row>
    <row r="297" spans="10:16" x14ac:dyDescent="0.2">
      <c r="J297" s="5"/>
      <c r="K297" s="5"/>
      <c r="L297" s="5"/>
      <c r="M297" s="5"/>
      <c r="N297" s="5"/>
      <c r="O297" s="5"/>
      <c r="P297" s="5"/>
    </row>
    <row r="298" spans="10:16" x14ac:dyDescent="0.2">
      <c r="J298" s="5"/>
      <c r="K298" s="5"/>
      <c r="L298" s="5"/>
      <c r="M298" s="5"/>
      <c r="N298" s="5"/>
      <c r="O298" s="5"/>
      <c r="P298" s="5"/>
    </row>
    <row r="299" spans="10:16" x14ac:dyDescent="0.2">
      <c r="J299" s="5"/>
      <c r="K299" s="5"/>
      <c r="L299" s="5"/>
      <c r="M299" s="5"/>
      <c r="N299" s="5"/>
      <c r="O299" s="5"/>
      <c r="P299" s="5"/>
    </row>
    <row r="300" spans="10:16" x14ac:dyDescent="0.2">
      <c r="J300" s="5"/>
      <c r="K300" s="5"/>
      <c r="L300" s="5"/>
      <c r="M300" s="5"/>
      <c r="N300" s="5"/>
      <c r="O300" s="5"/>
      <c r="P300" s="5"/>
    </row>
    <row r="301" spans="10:16" x14ac:dyDescent="0.2">
      <c r="J301" s="5"/>
      <c r="K301" s="5"/>
      <c r="L301" s="5"/>
      <c r="M301" s="5"/>
      <c r="N301" s="5"/>
      <c r="O301" s="5"/>
      <c r="P301" s="5"/>
    </row>
    <row r="302" spans="10:16" x14ac:dyDescent="0.2">
      <c r="J302" s="5"/>
      <c r="K302" s="5"/>
      <c r="L302" s="5"/>
      <c r="M302" s="5"/>
      <c r="N302" s="5"/>
      <c r="O302" s="5"/>
      <c r="P302" s="5"/>
    </row>
    <row r="303" spans="10:16" x14ac:dyDescent="0.2">
      <c r="J303" s="5"/>
      <c r="K303" s="5"/>
      <c r="L303" s="5"/>
      <c r="M303" s="5"/>
      <c r="N303" s="5"/>
      <c r="O303" s="5"/>
      <c r="P303" s="5"/>
    </row>
    <row r="304" spans="10:16" x14ac:dyDescent="0.2">
      <c r="J304" s="5"/>
      <c r="K304" s="5"/>
      <c r="L304" s="5"/>
      <c r="M304" s="5"/>
      <c r="N304" s="5"/>
      <c r="O304" s="5"/>
      <c r="P304" s="5"/>
    </row>
    <row r="305" spans="10:16" x14ac:dyDescent="0.2">
      <c r="J305" s="5"/>
      <c r="K305" s="5"/>
      <c r="L305" s="5"/>
      <c r="M305" s="5"/>
      <c r="N305" s="5"/>
      <c r="O305" s="5"/>
      <c r="P305" s="5"/>
    </row>
    <row r="306" spans="10:16" x14ac:dyDescent="0.2">
      <c r="J306" s="5"/>
      <c r="K306" s="5"/>
      <c r="L306" s="5"/>
      <c r="M306" s="5"/>
      <c r="N306" s="5"/>
      <c r="O306" s="5"/>
      <c r="P306" s="5"/>
    </row>
    <row r="307" spans="10:16" x14ac:dyDescent="0.2">
      <c r="J307" s="5"/>
      <c r="K307" s="5"/>
      <c r="L307" s="5"/>
      <c r="M307" s="5"/>
      <c r="N307" s="5"/>
      <c r="O307" s="5"/>
      <c r="P307" s="5"/>
    </row>
    <row r="308" spans="10:16" x14ac:dyDescent="0.2">
      <c r="J308" s="5"/>
      <c r="K308" s="5"/>
      <c r="L308" s="5"/>
      <c r="M308" s="5"/>
      <c r="N308" s="5"/>
      <c r="O308" s="5"/>
      <c r="P308" s="5"/>
    </row>
    <row r="309" spans="10:16" x14ac:dyDescent="0.2">
      <c r="J309" s="5"/>
      <c r="K309" s="5"/>
      <c r="L309" s="5"/>
      <c r="M309" s="5"/>
      <c r="N309" s="5"/>
      <c r="O309" s="5"/>
      <c r="P309" s="5"/>
    </row>
    <row r="310" spans="10:16" x14ac:dyDescent="0.2">
      <c r="J310" s="5"/>
      <c r="K310" s="5"/>
      <c r="L310" s="5"/>
      <c r="M310" s="5"/>
      <c r="N310" s="5"/>
      <c r="O310" s="5"/>
      <c r="P310" s="5"/>
    </row>
    <row r="311" spans="10:16" x14ac:dyDescent="0.2">
      <c r="J311" s="5"/>
      <c r="K311" s="5"/>
      <c r="L311" s="5"/>
      <c r="M311" s="5"/>
      <c r="N311" s="5"/>
      <c r="O311" s="5"/>
      <c r="P311" s="5"/>
    </row>
    <row r="312" spans="10:16" x14ac:dyDescent="0.2">
      <c r="J312" s="5"/>
      <c r="K312" s="5"/>
      <c r="L312" s="5"/>
      <c r="M312" s="5"/>
      <c r="N312" s="5"/>
      <c r="O312" s="5"/>
      <c r="P312" s="5"/>
    </row>
    <row r="313" spans="10:16" x14ac:dyDescent="0.2">
      <c r="J313" s="5"/>
      <c r="K313" s="5"/>
      <c r="L313" s="5"/>
      <c r="M313" s="5"/>
      <c r="N313" s="5"/>
      <c r="O313" s="5"/>
      <c r="P313" s="5"/>
    </row>
    <row r="314" spans="10:16" x14ac:dyDescent="0.2">
      <c r="J314" s="5"/>
      <c r="K314" s="5"/>
      <c r="L314" s="5"/>
      <c r="M314" s="5"/>
      <c r="N314" s="5"/>
      <c r="O314" s="5"/>
      <c r="P314" s="5"/>
    </row>
    <row r="315" spans="10:16" x14ac:dyDescent="0.2">
      <c r="J315" s="5"/>
      <c r="K315" s="5"/>
      <c r="L315" s="5"/>
      <c r="M315" s="5"/>
      <c r="N315" s="5"/>
      <c r="O315" s="5"/>
      <c r="P315" s="5"/>
    </row>
    <row r="316" spans="10:16" x14ac:dyDescent="0.2">
      <c r="J316" s="5"/>
      <c r="K316" s="5"/>
      <c r="L316" s="5"/>
      <c r="M316" s="5"/>
      <c r="N316" s="5"/>
      <c r="O316" s="5"/>
      <c r="P316" s="5"/>
    </row>
    <row r="317" spans="10:16" x14ac:dyDescent="0.2">
      <c r="J317" s="5"/>
      <c r="K317" s="5"/>
      <c r="L317" s="5"/>
      <c r="M317" s="5"/>
      <c r="N317" s="5"/>
      <c r="O317" s="5"/>
      <c r="P317" s="5"/>
    </row>
    <row r="318" spans="10:16" x14ac:dyDescent="0.2">
      <c r="J318" s="5"/>
      <c r="K318" s="5"/>
      <c r="L318" s="5"/>
      <c r="M318" s="5"/>
      <c r="N318" s="5"/>
      <c r="O318" s="5"/>
      <c r="P318" s="5"/>
    </row>
    <row r="319" spans="10:16" x14ac:dyDescent="0.2">
      <c r="J319" s="5"/>
      <c r="K319" s="5"/>
      <c r="L319" s="5"/>
      <c r="M319" s="5"/>
      <c r="N319" s="5"/>
      <c r="O319" s="5"/>
      <c r="P319" s="5"/>
    </row>
    <row r="320" spans="10:16" x14ac:dyDescent="0.2">
      <c r="J320" s="5"/>
      <c r="K320" s="5"/>
      <c r="L320" s="5"/>
      <c r="M320" s="5"/>
      <c r="N320" s="5"/>
      <c r="O320" s="5"/>
      <c r="P320" s="5"/>
    </row>
    <row r="321" spans="10:16" x14ac:dyDescent="0.2">
      <c r="J321" s="5"/>
      <c r="K321" s="5"/>
      <c r="L321" s="5"/>
      <c r="M321" s="5"/>
      <c r="N321" s="5"/>
      <c r="O321" s="5"/>
      <c r="P321" s="5"/>
    </row>
    <row r="322" spans="10:16" x14ac:dyDescent="0.2">
      <c r="J322" s="5"/>
      <c r="K322" s="5"/>
      <c r="L322" s="5"/>
      <c r="M322" s="5"/>
      <c r="N322" s="5"/>
      <c r="O322" s="5"/>
      <c r="P322" s="5"/>
    </row>
    <row r="323" spans="10:16" x14ac:dyDescent="0.2">
      <c r="J323" s="5"/>
      <c r="K323" s="5"/>
      <c r="L323" s="5"/>
      <c r="M323" s="5"/>
      <c r="N323" s="5"/>
      <c r="O323" s="5"/>
      <c r="P323" s="5"/>
    </row>
    <row r="324" spans="10:16" x14ac:dyDescent="0.2">
      <c r="J324" s="5"/>
      <c r="K324" s="5"/>
      <c r="L324" s="5"/>
      <c r="M324" s="5"/>
      <c r="N324" s="5"/>
      <c r="O324" s="5"/>
      <c r="P324" s="5"/>
    </row>
    <row r="325" spans="10:16" x14ac:dyDescent="0.2">
      <c r="J325" s="5"/>
      <c r="K325" s="5"/>
      <c r="L325" s="5"/>
      <c r="M325" s="5"/>
      <c r="N325" s="5"/>
      <c r="O325" s="5"/>
      <c r="P325" s="5"/>
    </row>
    <row r="326" spans="10:16" x14ac:dyDescent="0.2">
      <c r="J326" s="5"/>
      <c r="K326" s="5"/>
      <c r="L326" s="5"/>
      <c r="M326" s="5"/>
      <c r="N326" s="5"/>
      <c r="O326" s="5"/>
      <c r="P326" s="5"/>
    </row>
    <row r="327" spans="10:16" x14ac:dyDescent="0.2">
      <c r="J327" s="5"/>
      <c r="K327" s="5"/>
      <c r="L327" s="5"/>
      <c r="M327" s="5"/>
      <c r="N327" s="5"/>
      <c r="O327" s="5"/>
      <c r="P327" s="5"/>
    </row>
    <row r="328" spans="10:16" x14ac:dyDescent="0.2">
      <c r="J328" s="5"/>
      <c r="K328" s="5"/>
      <c r="L328" s="5"/>
      <c r="M328" s="5"/>
      <c r="N328" s="5"/>
      <c r="O328" s="5"/>
      <c r="P328" s="5"/>
    </row>
    <row r="329" spans="10:16" x14ac:dyDescent="0.2">
      <c r="J329" s="5"/>
      <c r="K329" s="5"/>
      <c r="L329" s="5"/>
      <c r="M329" s="5"/>
      <c r="N329" s="5"/>
      <c r="O329" s="5"/>
      <c r="P329" s="5"/>
    </row>
    <row r="330" spans="10:16" x14ac:dyDescent="0.2">
      <c r="J330" s="5"/>
      <c r="K330" s="5"/>
      <c r="L330" s="5"/>
      <c r="M330" s="5"/>
      <c r="N330" s="5"/>
      <c r="O330" s="5"/>
      <c r="P330" s="5"/>
    </row>
    <row r="331" spans="10:16" x14ac:dyDescent="0.2">
      <c r="J331" s="5"/>
      <c r="K331" s="5"/>
      <c r="L331" s="5"/>
      <c r="M331" s="5"/>
      <c r="N331" s="5"/>
      <c r="O331" s="5"/>
      <c r="P331" s="5"/>
    </row>
    <row r="332" spans="10:16" x14ac:dyDescent="0.2">
      <c r="J332" s="5"/>
      <c r="K332" s="5"/>
      <c r="L332" s="5"/>
      <c r="M332" s="5"/>
      <c r="N332" s="5"/>
      <c r="O332" s="5"/>
      <c r="P332" s="5"/>
    </row>
    <row r="333" spans="10:16" x14ac:dyDescent="0.2">
      <c r="J333" s="5"/>
      <c r="K333" s="5"/>
      <c r="L333" s="5"/>
      <c r="M333" s="5"/>
      <c r="N333" s="5"/>
      <c r="O333" s="5"/>
      <c r="P333" s="5"/>
    </row>
    <row r="334" spans="10:16" x14ac:dyDescent="0.2">
      <c r="J334" s="5"/>
      <c r="K334" s="5"/>
      <c r="L334" s="5"/>
      <c r="M334" s="5"/>
      <c r="N334" s="5"/>
      <c r="O334" s="5"/>
      <c r="P334" s="5"/>
    </row>
    <row r="335" spans="10:16" x14ac:dyDescent="0.2">
      <c r="J335" s="5"/>
      <c r="K335" s="5"/>
      <c r="L335" s="5"/>
      <c r="M335" s="5"/>
      <c r="N335" s="5"/>
      <c r="O335" s="5"/>
      <c r="P335" s="5"/>
    </row>
    <row r="336" spans="10:16" x14ac:dyDescent="0.2">
      <c r="J336" s="5"/>
      <c r="K336" s="5"/>
      <c r="L336" s="5"/>
      <c r="M336" s="5"/>
      <c r="N336" s="5"/>
      <c r="O336" s="5"/>
      <c r="P336" s="5"/>
    </row>
    <row r="337" spans="10:16" x14ac:dyDescent="0.2">
      <c r="J337" s="5"/>
      <c r="K337" s="5"/>
      <c r="L337" s="5"/>
      <c r="M337" s="5"/>
      <c r="N337" s="5"/>
      <c r="O337" s="5"/>
      <c r="P337" s="5"/>
    </row>
    <row r="338" spans="10:16" x14ac:dyDescent="0.2">
      <c r="J338" s="5"/>
      <c r="K338" s="5"/>
      <c r="L338" s="5"/>
      <c r="M338" s="5"/>
      <c r="N338" s="5"/>
      <c r="O338" s="5"/>
      <c r="P338" s="5"/>
    </row>
    <row r="339" spans="10:16" x14ac:dyDescent="0.2">
      <c r="J339" s="5"/>
      <c r="K339" s="5"/>
      <c r="L339" s="5"/>
      <c r="M339" s="5"/>
      <c r="N339" s="5"/>
      <c r="O339" s="5"/>
      <c r="P339" s="5"/>
    </row>
    <row r="340" spans="10:16" x14ac:dyDescent="0.2">
      <c r="J340" s="5"/>
      <c r="K340" s="5"/>
      <c r="L340" s="5"/>
      <c r="M340" s="5"/>
      <c r="N340" s="5"/>
      <c r="O340" s="5"/>
      <c r="P340" s="5"/>
    </row>
    <row r="341" spans="10:16" x14ac:dyDescent="0.2">
      <c r="J341" s="5"/>
      <c r="K341" s="5"/>
      <c r="L341" s="5"/>
      <c r="M341" s="5"/>
      <c r="N341" s="5"/>
      <c r="O341" s="5"/>
      <c r="P341" s="5"/>
    </row>
    <row r="342" spans="10:16" x14ac:dyDescent="0.2">
      <c r="J342" s="5"/>
      <c r="K342" s="5"/>
      <c r="L342" s="5"/>
      <c r="M342" s="5"/>
      <c r="N342" s="5"/>
      <c r="O342" s="5"/>
      <c r="P342" s="5"/>
    </row>
    <row r="343" spans="10:16" x14ac:dyDescent="0.2">
      <c r="J343" s="5"/>
      <c r="K343" s="5"/>
      <c r="L343" s="5"/>
      <c r="M343" s="5"/>
      <c r="N343" s="5"/>
      <c r="O343" s="5"/>
      <c r="P343" s="5"/>
    </row>
    <row r="344" spans="10:16" x14ac:dyDescent="0.2">
      <c r="J344" s="5"/>
      <c r="K344" s="5"/>
      <c r="L344" s="5"/>
      <c r="M344" s="5"/>
      <c r="N344" s="5"/>
      <c r="O344" s="5"/>
      <c r="P344" s="5"/>
    </row>
    <row r="345" spans="10:16" x14ac:dyDescent="0.2">
      <c r="J345" s="5"/>
      <c r="K345" s="5"/>
      <c r="L345" s="5"/>
      <c r="M345" s="5"/>
      <c r="N345" s="5"/>
      <c r="O345" s="5"/>
      <c r="P345" s="5"/>
    </row>
    <row r="346" spans="10:16" x14ac:dyDescent="0.2">
      <c r="J346" s="5"/>
      <c r="K346" s="5"/>
      <c r="L346" s="5"/>
      <c r="M346" s="5"/>
      <c r="N346" s="5"/>
      <c r="O346" s="5"/>
      <c r="P346" s="5"/>
    </row>
    <row r="347" spans="10:16" x14ac:dyDescent="0.2">
      <c r="J347" s="5"/>
      <c r="K347" s="5"/>
      <c r="L347" s="5"/>
      <c r="M347" s="5"/>
      <c r="N347" s="5"/>
      <c r="O347" s="5"/>
      <c r="P347" s="5"/>
    </row>
    <row r="348" spans="10:16" x14ac:dyDescent="0.2">
      <c r="J348" s="5"/>
      <c r="K348" s="5"/>
      <c r="L348" s="5"/>
      <c r="M348" s="5"/>
      <c r="N348" s="5"/>
      <c r="O348" s="5"/>
      <c r="P348" s="5"/>
    </row>
  </sheetData>
  <mergeCells count="40">
    <mergeCell ref="A1:I1"/>
    <mergeCell ref="B3:D3"/>
    <mergeCell ref="B5:D5"/>
    <mergeCell ref="A9:A11"/>
    <mergeCell ref="B9:B11"/>
    <mergeCell ref="C9:C11"/>
    <mergeCell ref="D9:D11"/>
    <mergeCell ref="E9:E11"/>
    <mergeCell ref="F9:F11"/>
    <mergeCell ref="B70:C7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5:C65"/>
    <mergeCell ref="B69:C69"/>
    <mergeCell ref="B82:C82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9:C89"/>
    <mergeCell ref="B83:C83"/>
    <mergeCell ref="B84:C84"/>
    <mergeCell ref="B85:C85"/>
    <mergeCell ref="B86:C86"/>
    <mergeCell ref="B87:C87"/>
    <mergeCell ref="B88:C88"/>
  </mergeCells>
  <pageMargins left="0.51181102362204722" right="0.51181102362204722" top="0.78740157480314965" bottom="0.78740157480314965" header="0.31496062992125984" footer="0.31496062992125984"/>
  <pageSetup paperSize="9" scale="75" fitToWidth="2" orientation="landscape" r:id="rId1"/>
  <headerFooter>
    <oddHeader>&amp;L&amp;G&amp;R&amp;G</oddHeader>
    <oddFooter>&amp;CAv. Pres. Tancredo Neves, 3557 sala 306 – Bairro Castelo CEP 31.330-430 – Belo Horizonte / Minas Gerais.
Endereço Eletrônico: ottawaeng@terra.com.br – Telefax (31) 3418-2175 – CNPJ: 04.472.311/0001-04&amp;R&amp;P de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view="pageBreakPreview" zoomScaleNormal="100" zoomScaleSheetLayoutView="100" workbookViewId="0">
      <selection activeCell="D14" sqref="D14"/>
    </sheetView>
  </sheetViews>
  <sheetFormatPr defaultRowHeight="14.25" x14ac:dyDescent="0.2"/>
  <cols>
    <col min="1" max="1" width="16" style="111" customWidth="1"/>
    <col min="2" max="2" width="16" style="2" customWidth="1"/>
    <col min="3" max="3" width="15.140625" style="2" customWidth="1"/>
    <col min="4" max="4" width="78.85546875" style="46" customWidth="1"/>
    <col min="5" max="5" width="11" style="2" hidden="1" customWidth="1"/>
    <col min="6" max="6" width="13.5703125" style="111" customWidth="1"/>
    <col min="7" max="7" width="11.7109375" style="112" customWidth="1"/>
    <col min="8" max="8" width="11.7109375" style="68" customWidth="1"/>
    <col min="9" max="9" width="17.42578125" style="69" customWidth="1"/>
    <col min="10" max="10" width="9.7109375" style="1" customWidth="1"/>
    <col min="11" max="11" width="8.140625" style="1" customWidth="1"/>
    <col min="12" max="12" width="7.5703125" style="1" customWidth="1"/>
    <col min="13" max="16384" width="9.140625" style="1"/>
  </cols>
  <sheetData>
    <row r="1" spans="1:16" ht="32.25" customHeight="1" x14ac:dyDescent="0.2">
      <c r="A1" s="651" t="s">
        <v>1093</v>
      </c>
      <c r="B1" s="652"/>
      <c r="C1" s="652"/>
      <c r="D1" s="652"/>
      <c r="E1" s="652"/>
      <c r="F1" s="652"/>
      <c r="G1" s="652"/>
      <c r="H1" s="652"/>
      <c r="I1" s="653"/>
      <c r="J1" s="3"/>
      <c r="K1" s="4"/>
      <c r="L1" s="4"/>
      <c r="M1" s="4"/>
      <c r="N1" s="4"/>
      <c r="O1" s="4"/>
      <c r="P1" s="4"/>
    </row>
    <row r="2" spans="1:16" ht="4.5" customHeight="1" thickBot="1" x14ac:dyDescent="0.25">
      <c r="A2" s="497"/>
      <c r="B2" s="446"/>
      <c r="C2" s="446"/>
      <c r="D2" s="447"/>
      <c r="E2" s="446"/>
      <c r="F2" s="498"/>
      <c r="G2" s="499"/>
      <c r="H2" s="450"/>
      <c r="I2" s="451"/>
      <c r="J2" s="3"/>
      <c r="K2" s="4"/>
      <c r="L2" s="4"/>
      <c r="M2" s="4"/>
      <c r="N2" s="4"/>
      <c r="O2" s="4"/>
      <c r="P2" s="4"/>
    </row>
    <row r="3" spans="1:16" ht="17.25" customHeight="1" thickTop="1" thickBot="1" x14ac:dyDescent="0.3">
      <c r="A3" s="500" t="s">
        <v>1074</v>
      </c>
      <c r="B3" s="668" t="s">
        <v>1075</v>
      </c>
      <c r="C3" s="668"/>
      <c r="D3" s="668"/>
      <c r="E3" s="453"/>
      <c r="F3" s="501"/>
      <c r="G3" s="502"/>
      <c r="H3" s="456" t="s">
        <v>1076</v>
      </c>
      <c r="I3" s="503" t="s">
        <v>1077</v>
      </c>
      <c r="J3" s="3"/>
      <c r="K3" s="101" t="s">
        <v>292</v>
      </c>
      <c r="L3" s="102">
        <v>0</v>
      </c>
      <c r="M3" s="4"/>
      <c r="N3" s="4"/>
      <c r="O3" s="4"/>
      <c r="P3" s="4"/>
    </row>
    <row r="4" spans="1:16" ht="4.5" customHeight="1" thickBot="1" x14ac:dyDescent="0.25">
      <c r="A4" s="497"/>
      <c r="B4" s="446"/>
      <c r="C4" s="446"/>
      <c r="D4" s="447"/>
      <c r="E4" s="446"/>
      <c r="F4" s="498"/>
      <c r="G4" s="499"/>
      <c r="H4" s="450"/>
      <c r="I4" s="451"/>
      <c r="J4" s="3"/>
      <c r="K4" s="4"/>
      <c r="L4" s="4"/>
      <c r="M4" s="4"/>
      <c r="N4" s="4"/>
      <c r="O4" s="4"/>
      <c r="P4" s="4"/>
    </row>
    <row r="5" spans="1:16" ht="15.75" customHeight="1" thickBot="1" x14ac:dyDescent="0.3">
      <c r="A5" s="391" t="s">
        <v>1078</v>
      </c>
      <c r="B5" s="669" t="s">
        <v>1079</v>
      </c>
      <c r="C5" s="670"/>
      <c r="D5" s="670"/>
      <c r="E5" s="459"/>
      <c r="F5" s="392"/>
      <c r="G5" s="504"/>
      <c r="H5" s="461"/>
      <c r="I5" s="462"/>
      <c r="J5" s="3"/>
      <c r="K5" s="4"/>
      <c r="L5" s="4">
        <v>122.43</v>
      </c>
      <c r="M5" s="4"/>
      <c r="N5" s="4"/>
      <c r="O5" s="4"/>
      <c r="P5" s="4"/>
    </row>
    <row r="6" spans="1:16" ht="4.5" customHeight="1" thickBot="1" x14ac:dyDescent="0.25">
      <c r="A6" s="497"/>
      <c r="B6" s="446"/>
      <c r="C6" s="446"/>
      <c r="D6" s="447"/>
      <c r="E6" s="446"/>
      <c r="F6" s="498"/>
      <c r="G6" s="499"/>
      <c r="H6" s="450"/>
      <c r="I6" s="451"/>
      <c r="J6" s="3"/>
      <c r="K6" s="4"/>
      <c r="L6" s="4"/>
      <c r="M6" s="4"/>
      <c r="N6" s="4"/>
      <c r="O6" s="4"/>
      <c r="P6" s="4"/>
    </row>
    <row r="7" spans="1:16" ht="15" customHeight="1" thickBot="1" x14ac:dyDescent="0.3">
      <c r="A7" s="391" t="s">
        <v>1080</v>
      </c>
      <c r="B7" s="463" t="s">
        <v>1092</v>
      </c>
      <c r="C7" s="459"/>
      <c r="D7" s="464"/>
      <c r="E7" s="459"/>
      <c r="F7" s="505"/>
      <c r="G7" s="504"/>
      <c r="H7" s="461"/>
      <c r="I7" s="466"/>
      <c r="J7" s="3"/>
      <c r="K7" s="4"/>
      <c r="L7" s="103">
        <f>L5/100</f>
        <v>1.2243000000000002</v>
      </c>
      <c r="M7" s="4"/>
      <c r="N7" s="4"/>
      <c r="O7" s="4"/>
      <c r="P7" s="4"/>
    </row>
    <row r="8" spans="1:16" ht="4.5" customHeight="1" thickBot="1" x14ac:dyDescent="0.25">
      <c r="A8" s="506"/>
      <c r="B8" s="507"/>
      <c r="C8" s="507"/>
      <c r="D8" s="508"/>
      <c r="E8" s="507"/>
      <c r="F8" s="509"/>
      <c r="G8" s="510"/>
      <c r="H8" s="511"/>
      <c r="I8" s="512"/>
      <c r="J8" s="3"/>
      <c r="K8" s="4"/>
      <c r="L8" s="4"/>
      <c r="M8" s="4"/>
      <c r="N8" s="4"/>
      <c r="O8" s="4"/>
      <c r="P8" s="4"/>
    </row>
    <row r="9" spans="1:16" ht="15" x14ac:dyDescent="0.25">
      <c r="A9" s="672" t="s">
        <v>89</v>
      </c>
      <c r="B9" s="657" t="s">
        <v>90</v>
      </c>
      <c r="C9" s="657" t="s">
        <v>91</v>
      </c>
      <c r="D9" s="675" t="s">
        <v>92</v>
      </c>
      <c r="E9" s="678" t="s">
        <v>93</v>
      </c>
      <c r="F9" s="681" t="s">
        <v>94</v>
      </c>
      <c r="G9" s="513" t="s">
        <v>1082</v>
      </c>
      <c r="H9" s="468" t="s">
        <v>1082</v>
      </c>
      <c r="I9" s="469" t="s">
        <v>1082</v>
      </c>
      <c r="J9" s="3"/>
      <c r="K9" s="4"/>
      <c r="L9" s="4"/>
      <c r="M9" s="4"/>
      <c r="N9" s="4"/>
      <c r="O9" s="4"/>
      <c r="P9" s="4"/>
    </row>
    <row r="10" spans="1:16" ht="30.75" customHeight="1" x14ac:dyDescent="0.25">
      <c r="A10" s="673"/>
      <c r="B10" s="658"/>
      <c r="C10" s="658"/>
      <c r="D10" s="676"/>
      <c r="E10" s="679"/>
      <c r="F10" s="682"/>
      <c r="G10" s="514" t="s">
        <v>1083</v>
      </c>
      <c r="H10" s="471" t="s">
        <v>1083</v>
      </c>
      <c r="I10" s="472" t="s">
        <v>1084</v>
      </c>
      <c r="J10" s="3"/>
      <c r="K10" s="4"/>
      <c r="L10" s="4"/>
      <c r="M10" s="4"/>
      <c r="N10" s="4"/>
      <c r="O10" s="4"/>
      <c r="P10" s="4"/>
    </row>
    <row r="11" spans="1:16" ht="21" customHeight="1" x14ac:dyDescent="0.25">
      <c r="A11" s="674"/>
      <c r="B11" s="658"/>
      <c r="C11" s="658"/>
      <c r="D11" s="677"/>
      <c r="E11" s="680"/>
      <c r="F11" s="683"/>
      <c r="G11" s="514" t="s">
        <v>1085</v>
      </c>
      <c r="H11" s="176" t="s">
        <v>559</v>
      </c>
      <c r="I11" s="472"/>
      <c r="J11" s="3"/>
      <c r="K11" s="4"/>
      <c r="L11" s="4"/>
      <c r="M11" s="4"/>
      <c r="N11" s="4"/>
      <c r="O11" s="4"/>
      <c r="P11" s="4"/>
    </row>
    <row r="12" spans="1:16" ht="14.25" customHeight="1" x14ac:dyDescent="0.2">
      <c r="A12" s="515"/>
      <c r="B12" s="474"/>
      <c r="C12" s="474"/>
      <c r="D12" s="516" t="s">
        <v>95</v>
      </c>
      <c r="E12" s="517"/>
      <c r="F12" s="518"/>
      <c r="G12" s="519"/>
      <c r="H12" s="478"/>
      <c r="I12" s="479"/>
      <c r="J12" s="3"/>
      <c r="K12" s="4"/>
      <c r="L12" s="4"/>
      <c r="M12" s="4"/>
      <c r="N12" s="4"/>
      <c r="O12" s="4"/>
      <c r="P12" s="4"/>
    </row>
    <row r="13" spans="1:16" s="7" customFormat="1" ht="14.25" customHeight="1" x14ac:dyDescent="0.2">
      <c r="A13" s="104"/>
      <c r="B13" s="374"/>
      <c r="C13" s="374"/>
      <c r="D13" s="105"/>
      <c r="E13" s="374"/>
      <c r="F13" s="410"/>
      <c r="G13" s="417"/>
      <c r="H13" s="396"/>
      <c r="I13" s="397"/>
      <c r="J13" s="480"/>
      <c r="K13" s="6"/>
      <c r="L13" s="6"/>
      <c r="M13" s="6"/>
      <c r="N13" s="6"/>
      <c r="O13" s="6"/>
      <c r="P13" s="6"/>
    </row>
    <row r="14" spans="1:16" s="7" customFormat="1" ht="14.25" customHeight="1" x14ac:dyDescent="0.25">
      <c r="A14" s="104" t="str">
        <f>A46</f>
        <v>01.00.00</v>
      </c>
      <c r="B14" s="363"/>
      <c r="C14" s="363"/>
      <c r="D14" s="105" t="str">
        <f>D46</f>
        <v>ETE - ILUMINAÇÃO EXTERNA</v>
      </c>
      <c r="E14" s="363"/>
      <c r="F14" s="520"/>
      <c r="G14" s="521"/>
      <c r="H14" s="427"/>
      <c r="I14" s="397">
        <f>I46</f>
        <v>11326.02</v>
      </c>
      <c r="J14" s="480"/>
      <c r="K14" s="6"/>
      <c r="L14" s="6"/>
      <c r="M14" s="6"/>
      <c r="N14" s="6"/>
      <c r="O14" s="6"/>
      <c r="P14" s="6"/>
    </row>
    <row r="15" spans="1:16" s="7" customFormat="1" ht="14.25" customHeight="1" x14ac:dyDescent="0.25">
      <c r="A15" s="104"/>
      <c r="B15" s="363"/>
      <c r="C15" s="363"/>
      <c r="D15" s="105"/>
      <c r="E15" s="363"/>
      <c r="F15" s="520"/>
      <c r="G15" s="521"/>
      <c r="H15" s="427"/>
      <c r="I15" s="397"/>
      <c r="J15" s="480"/>
      <c r="K15" s="6"/>
      <c r="L15" s="6"/>
      <c r="M15" s="6"/>
      <c r="N15" s="6"/>
      <c r="O15" s="6"/>
      <c r="P15" s="6"/>
    </row>
    <row r="16" spans="1:16" s="7" customFormat="1" ht="14.25" customHeight="1" x14ac:dyDescent="0.25">
      <c r="A16" s="104" t="str">
        <f>A60</f>
        <v>02.00.00</v>
      </c>
      <c r="B16" s="363"/>
      <c r="C16" s="363"/>
      <c r="D16" s="105" t="str">
        <f>D60</f>
        <v>UNIDADE DE APOIO - ILUMINAÇÃO/TOMADAS</v>
      </c>
      <c r="E16" s="363"/>
      <c r="F16" s="520"/>
      <c r="G16" s="521"/>
      <c r="H16" s="427"/>
      <c r="I16" s="397">
        <f>I60</f>
        <v>3110.0600000000004</v>
      </c>
      <c r="J16" s="480"/>
      <c r="K16" s="6"/>
      <c r="L16" s="6"/>
      <c r="M16" s="6"/>
      <c r="N16" s="6"/>
      <c r="O16" s="6"/>
      <c r="P16" s="6"/>
    </row>
    <row r="17" spans="1:16" s="7" customFormat="1" ht="14.25" customHeight="1" x14ac:dyDescent="0.25">
      <c r="A17" s="104"/>
      <c r="B17" s="363"/>
      <c r="C17" s="363"/>
      <c r="D17" s="105"/>
      <c r="E17" s="363"/>
      <c r="F17" s="520"/>
      <c r="G17" s="521"/>
      <c r="H17" s="427"/>
      <c r="I17" s="397"/>
      <c r="J17" s="480"/>
      <c r="K17" s="6"/>
      <c r="L17" s="6"/>
      <c r="M17" s="6"/>
      <c r="N17" s="6"/>
      <c r="O17" s="6"/>
      <c r="P17" s="6"/>
    </row>
    <row r="18" spans="1:16" s="7" customFormat="1" ht="14.25" customHeight="1" x14ac:dyDescent="0.25">
      <c r="A18" s="104" t="str">
        <f>A96</f>
        <v>03.00.00</v>
      </c>
      <c r="B18" s="363"/>
      <c r="C18" s="363"/>
      <c r="D18" s="105" t="str">
        <f>D96</f>
        <v>ETE-APOIO OPERACIONAL -SPDA/ATERRAMENTO</v>
      </c>
      <c r="E18" s="363"/>
      <c r="F18" s="520"/>
      <c r="G18" s="521"/>
      <c r="H18" s="427"/>
      <c r="I18" s="397">
        <f>I96</f>
        <v>2320.3000000000002</v>
      </c>
      <c r="J18" s="480"/>
      <c r="K18" s="6"/>
      <c r="L18" s="6"/>
      <c r="M18" s="6"/>
      <c r="N18" s="6"/>
      <c r="O18" s="6"/>
      <c r="P18" s="6"/>
    </row>
    <row r="19" spans="1:16" s="7" customFormat="1" ht="14.25" customHeight="1" x14ac:dyDescent="0.25">
      <c r="A19" s="104"/>
      <c r="B19" s="363"/>
      <c r="C19" s="363"/>
      <c r="D19" s="105"/>
      <c r="E19" s="363"/>
      <c r="F19" s="520"/>
      <c r="G19" s="521"/>
      <c r="H19" s="427"/>
      <c r="I19" s="397"/>
      <c r="J19" s="480"/>
      <c r="K19" s="6"/>
      <c r="L19" s="6"/>
      <c r="M19" s="6"/>
      <c r="N19" s="6"/>
      <c r="O19" s="6"/>
      <c r="P19" s="6"/>
    </row>
    <row r="20" spans="1:16" s="7" customFormat="1" ht="14.25" customHeight="1" x14ac:dyDescent="0.25">
      <c r="A20" s="104" t="str">
        <f>A118</f>
        <v>04.00.00</v>
      </c>
      <c r="B20" s="363"/>
      <c r="C20" s="363"/>
      <c r="D20" s="105" t="str">
        <f>D118</f>
        <v>ETE-BANCO DE DUTOS E ALIMENTAÇÃO DOS MOTORES</v>
      </c>
      <c r="E20" s="363"/>
      <c r="F20" s="520"/>
      <c r="G20" s="521"/>
      <c r="H20" s="427"/>
      <c r="I20" s="397">
        <f>I118</f>
        <v>11455.060000000001</v>
      </c>
      <c r="J20" s="480"/>
      <c r="K20" s="6"/>
      <c r="L20" s="6"/>
      <c r="M20" s="6"/>
      <c r="N20" s="6"/>
      <c r="O20" s="6"/>
      <c r="P20" s="6"/>
    </row>
    <row r="21" spans="1:16" s="7" customFormat="1" ht="14.25" customHeight="1" x14ac:dyDescent="0.25">
      <c r="A21" s="104"/>
      <c r="B21" s="363"/>
      <c r="C21" s="363"/>
      <c r="D21" s="105"/>
      <c r="E21" s="363"/>
      <c r="F21" s="520"/>
      <c r="G21" s="521"/>
      <c r="H21" s="427"/>
      <c r="I21" s="397"/>
      <c r="J21" s="480"/>
      <c r="K21" s="6"/>
      <c r="L21" s="6"/>
      <c r="M21" s="6"/>
      <c r="N21" s="6"/>
      <c r="O21" s="6"/>
      <c r="P21" s="6"/>
    </row>
    <row r="22" spans="1:16" s="7" customFormat="1" ht="14.25" customHeight="1" x14ac:dyDescent="0.25">
      <c r="A22" s="104" t="str">
        <f>A134</f>
        <v>05.00.00</v>
      </c>
      <c r="B22" s="363"/>
      <c r="C22" s="363"/>
      <c r="D22" s="105" t="str">
        <f>D134</f>
        <v>EQUIPAMENTOS - QCM</v>
      </c>
      <c r="E22" s="363"/>
      <c r="F22" s="520"/>
      <c r="G22" s="521"/>
      <c r="H22" s="427"/>
      <c r="I22" s="397">
        <f>I134</f>
        <v>3500</v>
      </c>
      <c r="J22" s="480"/>
      <c r="K22" s="6"/>
      <c r="L22" s="6"/>
      <c r="M22" s="6"/>
      <c r="N22" s="6"/>
      <c r="O22" s="6"/>
      <c r="P22" s="6"/>
    </row>
    <row r="23" spans="1:16" s="7" customFormat="1" ht="14.25" customHeight="1" x14ac:dyDescent="0.25">
      <c r="A23" s="104"/>
      <c r="B23" s="363"/>
      <c r="C23" s="363"/>
      <c r="D23" s="105"/>
      <c r="E23" s="363"/>
      <c r="F23" s="520"/>
      <c r="G23" s="521"/>
      <c r="H23" s="427"/>
      <c r="I23" s="397"/>
      <c r="J23" s="480"/>
      <c r="K23" s="6"/>
      <c r="L23" s="6"/>
      <c r="M23" s="6"/>
      <c r="N23" s="6"/>
      <c r="O23" s="6"/>
      <c r="P23" s="6"/>
    </row>
    <row r="24" spans="1:16" s="7" customFormat="1" ht="14.25" customHeight="1" x14ac:dyDescent="0.25">
      <c r="A24" s="104" t="str">
        <f>A136</f>
        <v>06.00.00</v>
      </c>
      <c r="B24" s="363"/>
      <c r="C24" s="363"/>
      <c r="D24" s="105" t="str">
        <f>D136</f>
        <v>PADRÃO DE ENTRADA TIPO C2</v>
      </c>
      <c r="E24" s="363"/>
      <c r="F24" s="520"/>
      <c r="G24" s="521"/>
      <c r="H24" s="427"/>
      <c r="I24" s="397">
        <f>I136</f>
        <v>1443.5100000000002</v>
      </c>
      <c r="J24" s="480"/>
      <c r="K24" s="6"/>
      <c r="L24" s="6"/>
      <c r="M24" s="6"/>
      <c r="N24" s="6"/>
      <c r="O24" s="6"/>
      <c r="P24" s="6"/>
    </row>
    <row r="25" spans="1:16" s="7" customFormat="1" ht="14.25" customHeight="1" x14ac:dyDescent="0.25">
      <c r="A25" s="104"/>
      <c r="B25" s="363"/>
      <c r="C25" s="363"/>
      <c r="D25" s="105"/>
      <c r="E25" s="363"/>
      <c r="F25" s="520"/>
      <c r="G25" s="521"/>
      <c r="H25" s="427"/>
      <c r="I25" s="397"/>
      <c r="J25" s="480"/>
      <c r="K25" s="6"/>
      <c r="L25" s="6"/>
      <c r="M25" s="6"/>
      <c r="N25" s="6"/>
      <c r="O25" s="6"/>
      <c r="P25" s="6"/>
    </row>
    <row r="26" spans="1:16" s="7" customFormat="1" ht="14.25" customHeight="1" x14ac:dyDescent="0.25">
      <c r="A26" s="104"/>
      <c r="B26" s="363"/>
      <c r="C26" s="363"/>
      <c r="D26" s="105"/>
      <c r="E26" s="363"/>
      <c r="F26" s="520"/>
      <c r="G26" s="521"/>
      <c r="H26" s="427"/>
      <c r="I26" s="397"/>
      <c r="J26" s="480"/>
      <c r="K26" s="6"/>
      <c r="L26" s="6"/>
      <c r="M26" s="6"/>
      <c r="N26" s="6"/>
      <c r="O26" s="6"/>
      <c r="P26" s="6"/>
    </row>
    <row r="27" spans="1:16" s="7" customFormat="1" ht="14.25" customHeight="1" x14ac:dyDescent="0.25">
      <c r="A27" s="104"/>
      <c r="B27" s="363"/>
      <c r="C27" s="363"/>
      <c r="D27" s="105" t="str">
        <f>D166</f>
        <v>TOTAL DAS INSTALAÇÕES ELÉTRICAS</v>
      </c>
      <c r="E27" s="363"/>
      <c r="F27" s="520"/>
      <c r="G27" s="521"/>
      <c r="H27" s="427"/>
      <c r="I27" s="397">
        <f>SUM(I14:I24)</f>
        <v>33154.950000000004</v>
      </c>
      <c r="J27" s="480"/>
      <c r="K27" s="6"/>
      <c r="L27" s="6"/>
      <c r="M27" s="6"/>
      <c r="N27" s="6"/>
      <c r="O27" s="6"/>
      <c r="P27" s="6"/>
    </row>
    <row r="28" spans="1:16" s="7" customFormat="1" ht="14.25" customHeight="1" x14ac:dyDescent="0.2">
      <c r="A28" s="104"/>
      <c r="B28" s="374"/>
      <c r="C28" s="374"/>
      <c r="D28" s="105"/>
      <c r="E28" s="374"/>
      <c r="F28" s="410"/>
      <c r="G28" s="417"/>
      <c r="H28" s="396"/>
      <c r="I28" s="397"/>
      <c r="J28" s="480"/>
      <c r="K28" s="6"/>
      <c r="L28" s="6"/>
      <c r="M28" s="6"/>
      <c r="N28" s="6"/>
      <c r="O28" s="6"/>
      <c r="P28" s="6"/>
    </row>
    <row r="29" spans="1:16" s="7" customFormat="1" ht="14.25" customHeight="1" x14ac:dyDescent="0.2">
      <c r="A29" s="104"/>
      <c r="B29" s="374"/>
      <c r="C29" s="374"/>
      <c r="D29" s="105"/>
      <c r="E29" s="374"/>
      <c r="F29" s="410"/>
      <c r="G29" s="417"/>
      <c r="H29" s="396"/>
      <c r="I29" s="397"/>
      <c r="J29" s="480"/>
      <c r="K29" s="6"/>
      <c r="L29" s="6"/>
      <c r="M29" s="6"/>
      <c r="N29" s="6"/>
      <c r="O29" s="6"/>
      <c r="P29" s="6"/>
    </row>
    <row r="30" spans="1:16" s="7" customFormat="1" ht="14.25" customHeight="1" x14ac:dyDescent="0.2">
      <c r="A30" s="104"/>
      <c r="B30" s="374"/>
      <c r="C30" s="374"/>
      <c r="D30" s="105"/>
      <c r="E30" s="374"/>
      <c r="F30" s="410"/>
      <c r="G30" s="417"/>
      <c r="H30" s="396"/>
      <c r="I30" s="397"/>
      <c r="J30" s="480"/>
      <c r="K30" s="6"/>
      <c r="L30" s="6"/>
      <c r="M30" s="6"/>
      <c r="N30" s="6"/>
      <c r="O30" s="6"/>
      <c r="P30" s="6"/>
    </row>
    <row r="31" spans="1:16" s="7" customFormat="1" ht="14.25" customHeight="1" x14ac:dyDescent="0.2">
      <c r="A31" s="104"/>
      <c r="B31" s="374"/>
      <c r="C31" s="374"/>
      <c r="D31" s="363" t="s">
        <v>1087</v>
      </c>
      <c r="E31" s="374"/>
      <c r="F31" s="410"/>
      <c r="G31" s="417"/>
      <c r="H31" s="396"/>
      <c r="I31" s="397"/>
      <c r="J31" s="480"/>
      <c r="K31" s="6"/>
      <c r="L31" s="6"/>
      <c r="M31" s="6"/>
      <c r="N31" s="6"/>
      <c r="O31" s="6"/>
      <c r="P31" s="6"/>
    </row>
    <row r="32" spans="1:16" s="7" customFormat="1" ht="14.25" customHeight="1" x14ac:dyDescent="0.2">
      <c r="A32" s="104"/>
      <c r="B32" s="374"/>
      <c r="C32" s="374"/>
      <c r="D32" s="363" t="s">
        <v>775</v>
      </c>
      <c r="E32" s="374"/>
      <c r="F32" s="410"/>
      <c r="G32" s="417"/>
      <c r="H32" s="396"/>
      <c r="I32" s="397"/>
      <c r="J32" s="480"/>
      <c r="K32" s="6"/>
      <c r="L32" s="6"/>
      <c r="M32" s="6"/>
      <c r="N32" s="6"/>
      <c r="O32" s="6"/>
      <c r="P32" s="6"/>
    </row>
    <row r="33" spans="1:16" s="7" customFormat="1" ht="14.25" customHeight="1" x14ac:dyDescent="0.2">
      <c r="A33" s="104"/>
      <c r="B33" s="374"/>
      <c r="C33" s="374"/>
      <c r="D33" s="105"/>
      <c r="E33" s="374"/>
      <c r="F33" s="410"/>
      <c r="G33" s="417"/>
      <c r="H33" s="396"/>
      <c r="I33" s="397"/>
      <c r="J33" s="480"/>
      <c r="K33" s="6"/>
      <c r="L33" s="6"/>
      <c r="M33" s="6"/>
      <c r="N33" s="6"/>
      <c r="O33" s="6"/>
      <c r="P33" s="6"/>
    </row>
    <row r="34" spans="1:16" s="7" customFormat="1" ht="14.25" customHeight="1" x14ac:dyDescent="0.2">
      <c r="A34" s="104"/>
      <c r="B34" s="374"/>
      <c r="C34" s="374"/>
      <c r="D34" s="105"/>
      <c r="E34" s="374"/>
      <c r="F34" s="410"/>
      <c r="G34" s="417"/>
      <c r="H34" s="396"/>
      <c r="I34" s="397"/>
      <c r="J34" s="480"/>
      <c r="K34" s="6"/>
      <c r="L34" s="6"/>
      <c r="M34" s="6"/>
      <c r="N34" s="6"/>
      <c r="O34" s="6"/>
      <c r="P34" s="6"/>
    </row>
    <row r="35" spans="1:16" s="7" customFormat="1" ht="14.25" customHeight="1" x14ac:dyDescent="0.2">
      <c r="A35" s="104"/>
      <c r="B35" s="374"/>
      <c r="C35" s="374"/>
      <c r="D35" s="105" t="s">
        <v>1088</v>
      </c>
      <c r="E35" s="374"/>
      <c r="F35" s="410"/>
      <c r="G35" s="417"/>
      <c r="H35" s="396"/>
      <c r="I35" s="397"/>
      <c r="J35" s="480"/>
      <c r="K35" s="6"/>
      <c r="L35" s="6"/>
      <c r="M35" s="6"/>
      <c r="N35" s="6"/>
      <c r="O35" s="6"/>
      <c r="P35" s="6"/>
    </row>
    <row r="36" spans="1:16" s="7" customFormat="1" ht="14.25" customHeight="1" x14ac:dyDescent="0.2">
      <c r="A36" s="104"/>
      <c r="B36" s="374"/>
      <c r="C36" s="374"/>
      <c r="D36" s="105" t="s">
        <v>1089</v>
      </c>
      <c r="E36" s="374"/>
      <c r="F36" s="410"/>
      <c r="G36" s="417"/>
      <c r="H36" s="396"/>
      <c r="I36" s="397"/>
      <c r="J36" s="480"/>
      <c r="K36" s="6"/>
      <c r="L36" s="6"/>
      <c r="M36" s="6"/>
      <c r="N36" s="6"/>
      <c r="O36" s="6"/>
      <c r="P36" s="6"/>
    </row>
    <row r="37" spans="1:16" s="7" customFormat="1" ht="14.25" customHeight="1" x14ac:dyDescent="0.2">
      <c r="A37" s="104"/>
      <c r="B37" s="374"/>
      <c r="C37" s="374"/>
      <c r="D37" s="105"/>
      <c r="E37" s="374"/>
      <c r="F37" s="410"/>
      <c r="G37" s="417"/>
      <c r="H37" s="396"/>
      <c r="I37" s="397"/>
      <c r="J37" s="480"/>
      <c r="K37" s="6"/>
      <c r="L37" s="6"/>
      <c r="M37" s="6"/>
      <c r="N37" s="6"/>
      <c r="O37" s="6"/>
      <c r="P37" s="6"/>
    </row>
    <row r="38" spans="1:16" s="7" customFormat="1" ht="14.25" customHeight="1" x14ac:dyDescent="0.2">
      <c r="A38" s="104"/>
      <c r="B38" s="374"/>
      <c r="C38" s="374"/>
      <c r="D38" s="105"/>
      <c r="E38" s="374"/>
      <c r="F38" s="410"/>
      <c r="G38" s="417"/>
      <c r="H38" s="396"/>
      <c r="I38" s="397"/>
      <c r="J38" s="480"/>
      <c r="K38" s="6"/>
      <c r="L38" s="6"/>
      <c r="M38" s="6"/>
      <c r="N38" s="6"/>
      <c r="O38" s="6"/>
      <c r="P38" s="6"/>
    </row>
    <row r="39" spans="1:16" s="7" customFormat="1" ht="14.25" customHeight="1" x14ac:dyDescent="0.2">
      <c r="A39" s="104"/>
      <c r="B39" s="374"/>
      <c r="C39" s="374"/>
      <c r="D39" s="105"/>
      <c r="E39" s="374"/>
      <c r="F39" s="410"/>
      <c r="G39" s="417"/>
      <c r="H39" s="396"/>
      <c r="I39" s="397"/>
      <c r="J39" s="480"/>
      <c r="K39" s="6"/>
      <c r="L39" s="6"/>
      <c r="M39" s="6"/>
      <c r="N39" s="6"/>
      <c r="O39" s="6"/>
      <c r="P39" s="6"/>
    </row>
    <row r="40" spans="1:16" s="7" customFormat="1" ht="14.25" customHeight="1" x14ac:dyDescent="0.2">
      <c r="A40" s="104"/>
      <c r="B40" s="374"/>
      <c r="C40" s="374"/>
      <c r="D40" s="105"/>
      <c r="E40" s="374"/>
      <c r="F40" s="410"/>
      <c r="G40" s="417"/>
      <c r="H40" s="396"/>
      <c r="I40" s="397"/>
      <c r="J40" s="480"/>
      <c r="K40" s="6"/>
      <c r="L40" s="6"/>
      <c r="M40" s="6"/>
      <c r="N40" s="6"/>
      <c r="O40" s="6"/>
      <c r="P40" s="6"/>
    </row>
    <row r="41" spans="1:16" s="7" customFormat="1" ht="14.25" customHeight="1" x14ac:dyDescent="0.2">
      <c r="A41" s="104"/>
      <c r="B41" s="374"/>
      <c r="C41" s="374"/>
      <c r="D41" s="105"/>
      <c r="E41" s="374"/>
      <c r="F41" s="410"/>
      <c r="G41" s="417"/>
      <c r="H41" s="396"/>
      <c r="I41" s="397"/>
      <c r="J41" s="480"/>
      <c r="K41" s="6"/>
      <c r="L41" s="6"/>
      <c r="M41" s="6"/>
      <c r="N41" s="6"/>
      <c r="O41" s="6"/>
      <c r="P41" s="6"/>
    </row>
    <row r="42" spans="1:16" s="7" customFormat="1" ht="14.25" customHeight="1" x14ac:dyDescent="0.2">
      <c r="A42" s="104"/>
      <c r="B42" s="374"/>
      <c r="C42" s="374"/>
      <c r="D42" s="105"/>
      <c r="E42" s="374"/>
      <c r="F42" s="410"/>
      <c r="G42" s="417"/>
      <c r="H42" s="396"/>
      <c r="I42" s="397"/>
      <c r="J42" s="480"/>
      <c r="K42" s="6"/>
      <c r="L42" s="6"/>
      <c r="M42" s="6"/>
      <c r="N42" s="6"/>
      <c r="O42" s="6"/>
      <c r="P42" s="6"/>
    </row>
    <row r="43" spans="1:16" s="7" customFormat="1" ht="14.25" customHeight="1" x14ac:dyDescent="0.2">
      <c r="A43" s="104"/>
      <c r="B43" s="374"/>
      <c r="C43" s="374"/>
      <c r="D43" s="105"/>
      <c r="E43" s="374"/>
      <c r="F43" s="410"/>
      <c r="G43" s="417"/>
      <c r="H43" s="396"/>
      <c r="I43" s="397"/>
      <c r="J43" s="480"/>
      <c r="K43" s="6"/>
      <c r="L43" s="6"/>
      <c r="M43" s="6"/>
      <c r="N43" s="6"/>
      <c r="O43" s="6"/>
      <c r="P43" s="6"/>
    </row>
    <row r="44" spans="1:16" s="7" customFormat="1" ht="14.25" customHeight="1" x14ac:dyDescent="0.2">
      <c r="A44" s="104"/>
      <c r="B44" s="374"/>
      <c r="C44" s="374"/>
      <c r="D44" s="105"/>
      <c r="E44" s="374"/>
      <c r="F44" s="410"/>
      <c r="G44" s="417"/>
      <c r="H44" s="396"/>
      <c r="I44" s="397"/>
      <c r="J44" s="480"/>
      <c r="K44" s="6"/>
      <c r="L44" s="6"/>
      <c r="M44" s="6"/>
      <c r="N44" s="6"/>
      <c r="O44" s="6"/>
      <c r="P44" s="6"/>
    </row>
    <row r="45" spans="1:16" s="7" customFormat="1" ht="14.25" customHeight="1" thickBot="1" x14ac:dyDescent="0.25">
      <c r="A45" s="522"/>
      <c r="B45" s="399"/>
      <c r="C45" s="399"/>
      <c r="D45" s="483"/>
      <c r="E45" s="399"/>
      <c r="F45" s="430"/>
      <c r="G45" s="419"/>
      <c r="H45" s="401"/>
      <c r="I45" s="485"/>
      <c r="J45" s="480"/>
      <c r="K45" s="6"/>
      <c r="L45" s="6"/>
      <c r="M45" s="6"/>
      <c r="N45" s="6"/>
      <c r="O45" s="6"/>
      <c r="P45" s="6"/>
    </row>
    <row r="46" spans="1:16" s="7" customFormat="1" ht="15" x14ac:dyDescent="0.2">
      <c r="A46" s="254" t="s">
        <v>997</v>
      </c>
      <c r="B46" s="143"/>
      <c r="C46" s="143"/>
      <c r="D46" s="441" t="s">
        <v>293</v>
      </c>
      <c r="E46" s="143"/>
      <c r="F46" s="436"/>
      <c r="G46" s="421"/>
      <c r="H46" s="406"/>
      <c r="I46" s="442">
        <f>I47+I55</f>
        <v>11326.02</v>
      </c>
      <c r="J46" s="480"/>
      <c r="K46" s="6"/>
      <c r="L46" s="6"/>
      <c r="M46" s="6"/>
      <c r="N46" s="6"/>
      <c r="O46" s="6"/>
      <c r="P46" s="6"/>
    </row>
    <row r="47" spans="1:16" s="7" customFormat="1" ht="15" x14ac:dyDescent="0.2">
      <c r="A47" s="104" t="s">
        <v>211</v>
      </c>
      <c r="B47" s="374"/>
      <c r="C47" s="374"/>
      <c r="D47" s="105" t="s">
        <v>132</v>
      </c>
      <c r="E47" s="374"/>
      <c r="F47" s="410"/>
      <c r="G47" s="417"/>
      <c r="H47" s="396"/>
      <c r="I47" s="397">
        <f>SUM(I48:I53)</f>
        <v>4240.0200000000004</v>
      </c>
      <c r="J47" s="480"/>
      <c r="K47" s="6"/>
      <c r="L47" s="6"/>
      <c r="M47" s="6"/>
      <c r="N47" s="6"/>
      <c r="O47" s="6"/>
      <c r="P47" s="6"/>
    </row>
    <row r="48" spans="1:16" s="7" customFormat="1" x14ac:dyDescent="0.2">
      <c r="A48" s="384" t="s">
        <v>47</v>
      </c>
      <c r="B48" s="684" t="s">
        <v>9</v>
      </c>
      <c r="C48" s="685"/>
      <c r="D48" s="227" t="s">
        <v>1094</v>
      </c>
      <c r="E48" s="374" t="s">
        <v>71</v>
      </c>
      <c r="F48" s="410">
        <v>42</v>
      </c>
      <c r="G48" s="395">
        <v>12.93</v>
      </c>
      <c r="H48" s="396">
        <f>ROUND(G48*(1+L$3),2)</f>
        <v>12.93</v>
      </c>
      <c r="I48" s="408">
        <f>ROUND(F48*H48,2)</f>
        <v>543.05999999999995</v>
      </c>
      <c r="J48" s="480"/>
      <c r="K48" s="6"/>
      <c r="L48" s="6"/>
      <c r="M48" s="6"/>
      <c r="N48" s="6"/>
      <c r="O48" s="6"/>
      <c r="P48" s="6"/>
    </row>
    <row r="49" spans="1:16" s="7" customFormat="1" x14ac:dyDescent="0.2">
      <c r="A49" s="384" t="s">
        <v>617</v>
      </c>
      <c r="B49" s="684" t="s">
        <v>9</v>
      </c>
      <c r="C49" s="685"/>
      <c r="D49" s="227" t="s">
        <v>1095</v>
      </c>
      <c r="E49" s="374" t="s">
        <v>107</v>
      </c>
      <c r="F49" s="410">
        <v>120</v>
      </c>
      <c r="G49" s="395">
        <v>5.71</v>
      </c>
      <c r="H49" s="396">
        <f t="shared" ref="H49:H89" si="0">ROUND(G49*(1+L$3),2)</f>
        <v>5.71</v>
      </c>
      <c r="I49" s="408">
        <f t="shared" ref="I49:I89" si="1">ROUND(F49*H49,2)</f>
        <v>685.2</v>
      </c>
      <c r="J49" s="480"/>
      <c r="K49" s="6"/>
      <c r="L49" s="6"/>
      <c r="M49" s="6"/>
      <c r="N49" s="6"/>
      <c r="O49" s="6"/>
      <c r="P49" s="6"/>
    </row>
    <row r="50" spans="1:16" s="7" customFormat="1" x14ac:dyDescent="0.2">
      <c r="A50" s="384" t="s">
        <v>199</v>
      </c>
      <c r="B50" s="684" t="s">
        <v>9</v>
      </c>
      <c r="C50" s="685"/>
      <c r="D50" s="227" t="s">
        <v>1096</v>
      </c>
      <c r="E50" s="374" t="s">
        <v>107</v>
      </c>
      <c r="F50" s="410">
        <v>120</v>
      </c>
      <c r="G50" s="395">
        <v>1.52</v>
      </c>
      <c r="H50" s="396">
        <f t="shared" si="0"/>
        <v>1.52</v>
      </c>
      <c r="I50" s="408">
        <f t="shared" si="1"/>
        <v>182.4</v>
      </c>
      <c r="J50" s="480"/>
      <c r="K50" s="6"/>
      <c r="L50" s="6"/>
      <c r="M50" s="6"/>
      <c r="N50" s="6"/>
      <c r="O50" s="6"/>
      <c r="P50" s="6"/>
    </row>
    <row r="51" spans="1:16" s="7" customFormat="1" x14ac:dyDescent="0.2">
      <c r="A51" s="384" t="s">
        <v>48</v>
      </c>
      <c r="B51" s="684" t="s">
        <v>9</v>
      </c>
      <c r="C51" s="685"/>
      <c r="D51" s="227" t="s">
        <v>1097</v>
      </c>
      <c r="E51" s="374" t="s">
        <v>71</v>
      </c>
      <c r="F51" s="410">
        <v>12</v>
      </c>
      <c r="G51" s="395">
        <v>28.83</v>
      </c>
      <c r="H51" s="396">
        <f t="shared" si="0"/>
        <v>28.83</v>
      </c>
      <c r="I51" s="408">
        <f t="shared" si="1"/>
        <v>345.96</v>
      </c>
      <c r="J51" s="480"/>
      <c r="K51" s="6"/>
      <c r="L51" s="6"/>
      <c r="M51" s="6"/>
      <c r="N51" s="6"/>
      <c r="O51" s="6"/>
      <c r="P51" s="6"/>
    </row>
    <row r="52" spans="1:16" s="7" customFormat="1" x14ac:dyDescent="0.2">
      <c r="A52" s="384" t="s">
        <v>49</v>
      </c>
      <c r="B52" s="684" t="s">
        <v>9</v>
      </c>
      <c r="C52" s="685"/>
      <c r="D52" s="227" t="s">
        <v>1098</v>
      </c>
      <c r="E52" s="374" t="s">
        <v>71</v>
      </c>
      <c r="F52" s="410">
        <v>12</v>
      </c>
      <c r="G52" s="417">
        <v>204.96</v>
      </c>
      <c r="H52" s="396">
        <f t="shared" si="0"/>
        <v>204.96</v>
      </c>
      <c r="I52" s="408">
        <f t="shared" si="1"/>
        <v>2459.52</v>
      </c>
      <c r="J52" s="480"/>
      <c r="K52" s="6"/>
      <c r="L52" s="6"/>
      <c r="M52" s="6"/>
      <c r="N52" s="6"/>
      <c r="O52" s="6"/>
      <c r="P52" s="6"/>
    </row>
    <row r="53" spans="1:16" s="7" customFormat="1" x14ac:dyDescent="0.2">
      <c r="A53" s="384" t="s">
        <v>216</v>
      </c>
      <c r="B53" s="684" t="s">
        <v>9</v>
      </c>
      <c r="C53" s="685"/>
      <c r="D53" s="227" t="s">
        <v>1026</v>
      </c>
      <c r="E53" s="374" t="s">
        <v>71</v>
      </c>
      <c r="F53" s="410">
        <v>12</v>
      </c>
      <c r="G53" s="417">
        <v>1.99</v>
      </c>
      <c r="H53" s="396">
        <f t="shared" si="0"/>
        <v>1.99</v>
      </c>
      <c r="I53" s="408">
        <f t="shared" si="1"/>
        <v>23.88</v>
      </c>
      <c r="J53" s="480"/>
      <c r="K53" s="6"/>
      <c r="L53" s="6"/>
      <c r="M53" s="6"/>
      <c r="N53" s="6"/>
      <c r="O53" s="6"/>
      <c r="P53" s="6"/>
    </row>
    <row r="54" spans="1:16" s="7" customFormat="1" x14ac:dyDescent="0.2">
      <c r="A54" s="384"/>
      <c r="B54" s="374"/>
      <c r="C54" s="374"/>
      <c r="D54" s="227"/>
      <c r="E54" s="374"/>
      <c r="F54" s="410"/>
      <c r="G54" s="417"/>
      <c r="H54" s="396"/>
      <c r="I54" s="408"/>
      <c r="J54" s="480"/>
      <c r="K54" s="6"/>
      <c r="L54" s="6"/>
      <c r="M54" s="6"/>
      <c r="N54" s="6"/>
      <c r="O54" s="6"/>
      <c r="P54" s="6"/>
    </row>
    <row r="55" spans="1:16" s="7" customFormat="1" ht="15" x14ac:dyDescent="0.2">
      <c r="A55" s="104" t="s">
        <v>221</v>
      </c>
      <c r="B55" s="374"/>
      <c r="C55" s="374"/>
      <c r="D55" s="105" t="s">
        <v>294</v>
      </c>
      <c r="E55" s="374"/>
      <c r="F55" s="410"/>
      <c r="G55" s="417"/>
      <c r="H55" s="396"/>
      <c r="I55" s="397">
        <f>SUM(I56:I58)</f>
        <v>7086</v>
      </c>
      <c r="J55" s="480"/>
      <c r="K55" s="6"/>
      <c r="L55" s="6"/>
      <c r="M55" s="6"/>
      <c r="N55" s="6"/>
      <c r="O55" s="6"/>
      <c r="P55" s="6"/>
    </row>
    <row r="56" spans="1:16" s="7" customFormat="1" x14ac:dyDescent="0.2">
      <c r="A56" s="384" t="s">
        <v>223</v>
      </c>
      <c r="B56" s="374" t="s">
        <v>98</v>
      </c>
      <c r="C56" s="374">
        <v>2436</v>
      </c>
      <c r="D56" s="227" t="s">
        <v>295</v>
      </c>
      <c r="E56" s="374" t="s">
        <v>296</v>
      </c>
      <c r="F56" s="410">
        <v>150</v>
      </c>
      <c r="G56" s="395">
        <v>9.86</v>
      </c>
      <c r="H56" s="396">
        <f>ROUND(G56*(1+L$7),2)</f>
        <v>21.93</v>
      </c>
      <c r="I56" s="408">
        <f t="shared" si="1"/>
        <v>3289.5</v>
      </c>
      <c r="J56" s="480"/>
      <c r="K56" s="6"/>
      <c r="L56" s="6"/>
      <c r="M56" s="6"/>
      <c r="N56" s="6"/>
      <c r="O56" s="6"/>
      <c r="P56" s="6"/>
    </row>
    <row r="57" spans="1:16" s="7" customFormat="1" x14ac:dyDescent="0.2">
      <c r="A57" s="384" t="s">
        <v>225</v>
      </c>
      <c r="B57" s="374" t="s">
        <v>98</v>
      </c>
      <c r="C57" s="374">
        <v>6113</v>
      </c>
      <c r="D57" s="227" t="s">
        <v>297</v>
      </c>
      <c r="E57" s="374" t="s">
        <v>97</v>
      </c>
      <c r="F57" s="410">
        <v>150</v>
      </c>
      <c r="G57" s="395">
        <v>7.07</v>
      </c>
      <c r="H57" s="396">
        <f t="shared" ref="H57:H58" si="2">ROUND(G57*(1+L$7),2)</f>
        <v>15.73</v>
      </c>
      <c r="I57" s="408">
        <f t="shared" si="1"/>
        <v>2359.5</v>
      </c>
      <c r="J57" s="480"/>
      <c r="K57" s="6"/>
      <c r="L57" s="6"/>
      <c r="M57" s="6"/>
      <c r="N57" s="6"/>
      <c r="O57" s="6"/>
      <c r="P57" s="6"/>
    </row>
    <row r="58" spans="1:16" s="7" customFormat="1" x14ac:dyDescent="0.2">
      <c r="A58" s="384" t="s">
        <v>227</v>
      </c>
      <c r="B58" s="374" t="s">
        <v>98</v>
      </c>
      <c r="C58" s="374">
        <v>6111</v>
      </c>
      <c r="D58" s="227" t="s">
        <v>298</v>
      </c>
      <c r="E58" s="374" t="s">
        <v>97</v>
      </c>
      <c r="F58" s="410">
        <v>100</v>
      </c>
      <c r="G58" s="417">
        <v>6.46</v>
      </c>
      <c r="H58" s="396">
        <f t="shared" si="2"/>
        <v>14.37</v>
      </c>
      <c r="I58" s="408">
        <f t="shared" si="1"/>
        <v>1437</v>
      </c>
      <c r="J58" s="480"/>
      <c r="K58" s="6"/>
      <c r="L58" s="6"/>
      <c r="M58" s="6"/>
      <c r="N58" s="6"/>
      <c r="O58" s="6"/>
      <c r="P58" s="6"/>
    </row>
    <row r="59" spans="1:16" s="7" customFormat="1" x14ac:dyDescent="0.2">
      <c r="A59" s="384"/>
      <c r="B59" s="374"/>
      <c r="C59" s="374"/>
      <c r="D59" s="227"/>
      <c r="E59" s="374"/>
      <c r="F59" s="410"/>
      <c r="G59" s="417"/>
      <c r="H59" s="396"/>
      <c r="I59" s="408"/>
      <c r="J59" s="480"/>
      <c r="K59" s="6"/>
      <c r="L59" s="6"/>
      <c r="M59" s="6"/>
      <c r="N59" s="6"/>
      <c r="O59" s="6"/>
      <c r="P59" s="6"/>
    </row>
    <row r="60" spans="1:16" s="7" customFormat="1" ht="15" x14ac:dyDescent="0.2">
      <c r="A60" s="104" t="s">
        <v>1099</v>
      </c>
      <c r="B60" s="374"/>
      <c r="C60" s="374"/>
      <c r="D60" s="105" t="s">
        <v>299</v>
      </c>
      <c r="E60" s="374"/>
      <c r="F60" s="410"/>
      <c r="G60" s="417"/>
      <c r="H60" s="396"/>
      <c r="I60" s="397">
        <f>I61+I92</f>
        <v>3110.0600000000004</v>
      </c>
      <c r="J60" s="480"/>
      <c r="K60" s="6"/>
      <c r="L60" s="6"/>
      <c r="M60" s="6"/>
      <c r="N60" s="6"/>
      <c r="O60" s="6"/>
      <c r="P60" s="6"/>
    </row>
    <row r="61" spans="1:16" s="7" customFormat="1" ht="15" x14ac:dyDescent="0.2">
      <c r="A61" s="104" t="s">
        <v>1100</v>
      </c>
      <c r="B61" s="374"/>
      <c r="C61" s="374"/>
      <c r="D61" s="105" t="s">
        <v>132</v>
      </c>
      <c r="E61" s="374"/>
      <c r="F61" s="410"/>
      <c r="G61" s="417"/>
      <c r="H61" s="396"/>
      <c r="I61" s="397">
        <f>SUM(I62:I89)</f>
        <v>1227.0600000000002</v>
      </c>
      <c r="J61" s="480"/>
      <c r="K61" s="6"/>
      <c r="L61" s="6"/>
      <c r="M61" s="6"/>
      <c r="N61" s="6"/>
      <c r="O61" s="6"/>
      <c r="P61" s="6"/>
    </row>
    <row r="62" spans="1:16" s="7" customFormat="1" x14ac:dyDescent="0.2">
      <c r="A62" s="384" t="s">
        <v>1101</v>
      </c>
      <c r="B62" s="684" t="s">
        <v>9</v>
      </c>
      <c r="C62" s="685"/>
      <c r="D62" s="227" t="s">
        <v>1102</v>
      </c>
      <c r="E62" s="374" t="s">
        <v>107</v>
      </c>
      <c r="F62" s="410">
        <v>25</v>
      </c>
      <c r="G62" s="417">
        <v>3.17</v>
      </c>
      <c r="H62" s="396">
        <f t="shared" si="0"/>
        <v>3.17</v>
      </c>
      <c r="I62" s="408">
        <f t="shared" si="1"/>
        <v>79.25</v>
      </c>
      <c r="J62" s="480"/>
      <c r="K62" s="6"/>
      <c r="L62" s="6"/>
      <c r="M62" s="6"/>
      <c r="N62" s="6"/>
      <c r="O62" s="6"/>
      <c r="P62" s="6"/>
    </row>
    <row r="63" spans="1:16" s="7" customFormat="1" x14ac:dyDescent="0.2">
      <c r="A63" s="384" t="s">
        <v>1103</v>
      </c>
      <c r="B63" s="684" t="s">
        <v>9</v>
      </c>
      <c r="C63" s="685"/>
      <c r="D63" s="227" t="s">
        <v>1104</v>
      </c>
      <c r="E63" s="374" t="s">
        <v>107</v>
      </c>
      <c r="F63" s="410">
        <v>300</v>
      </c>
      <c r="G63" s="417">
        <v>0.86</v>
      </c>
      <c r="H63" s="396">
        <f t="shared" si="0"/>
        <v>0.86</v>
      </c>
      <c r="I63" s="408">
        <f t="shared" si="1"/>
        <v>258</v>
      </c>
      <c r="J63" s="480"/>
      <c r="K63" s="6"/>
      <c r="L63" s="6"/>
      <c r="M63" s="6"/>
      <c r="N63" s="6"/>
      <c r="O63" s="6"/>
      <c r="P63" s="6"/>
    </row>
    <row r="64" spans="1:16" s="7" customFormat="1" x14ac:dyDescent="0.2">
      <c r="A64" s="384" t="s">
        <v>1105</v>
      </c>
      <c r="B64" s="684" t="s">
        <v>9</v>
      </c>
      <c r="C64" s="685"/>
      <c r="D64" s="227" t="s">
        <v>1106</v>
      </c>
      <c r="E64" s="374" t="s">
        <v>107</v>
      </c>
      <c r="F64" s="410">
        <v>50</v>
      </c>
      <c r="G64" s="417">
        <v>1.34</v>
      </c>
      <c r="H64" s="396">
        <f t="shared" si="0"/>
        <v>1.34</v>
      </c>
      <c r="I64" s="408">
        <f t="shared" si="1"/>
        <v>67</v>
      </c>
      <c r="J64" s="480"/>
      <c r="K64" s="6"/>
      <c r="L64" s="6"/>
      <c r="M64" s="6"/>
      <c r="N64" s="6"/>
      <c r="O64" s="6"/>
      <c r="P64" s="6"/>
    </row>
    <row r="65" spans="1:16" s="7" customFormat="1" x14ac:dyDescent="0.2">
      <c r="A65" s="384" t="s">
        <v>1107</v>
      </c>
      <c r="B65" s="684" t="s">
        <v>9</v>
      </c>
      <c r="C65" s="685"/>
      <c r="D65" s="227" t="s">
        <v>1108</v>
      </c>
      <c r="E65" s="374" t="s">
        <v>71</v>
      </c>
      <c r="F65" s="410">
        <v>2</v>
      </c>
      <c r="G65" s="417">
        <v>3.4</v>
      </c>
      <c r="H65" s="396">
        <f t="shared" si="0"/>
        <v>3.4</v>
      </c>
      <c r="I65" s="408">
        <f t="shared" si="1"/>
        <v>6.8</v>
      </c>
      <c r="J65" s="480"/>
      <c r="K65" s="6"/>
      <c r="L65" s="6"/>
      <c r="M65" s="6"/>
      <c r="N65" s="6"/>
      <c r="O65" s="6"/>
      <c r="P65" s="6"/>
    </row>
    <row r="66" spans="1:16" s="7" customFormat="1" ht="14.25" customHeight="1" x14ac:dyDescent="0.2">
      <c r="A66" s="384" t="s">
        <v>1109</v>
      </c>
      <c r="B66" s="684" t="s">
        <v>9</v>
      </c>
      <c r="C66" s="685"/>
      <c r="D66" s="227" t="s">
        <v>1110</v>
      </c>
      <c r="E66" s="374" t="s">
        <v>71</v>
      </c>
      <c r="F66" s="410">
        <v>2</v>
      </c>
      <c r="G66" s="417">
        <v>1.4</v>
      </c>
      <c r="H66" s="396">
        <f t="shared" si="0"/>
        <v>1.4</v>
      </c>
      <c r="I66" s="408">
        <f t="shared" si="1"/>
        <v>2.8</v>
      </c>
      <c r="J66" s="480"/>
      <c r="K66" s="6"/>
      <c r="L66" s="6"/>
      <c r="M66" s="6"/>
      <c r="N66" s="6"/>
      <c r="O66" s="6"/>
      <c r="P66" s="6"/>
    </row>
    <row r="67" spans="1:16" s="7" customFormat="1" ht="14.25" customHeight="1" x14ac:dyDescent="0.2">
      <c r="A67" s="384" t="s">
        <v>1111</v>
      </c>
      <c r="B67" s="684" t="s">
        <v>9</v>
      </c>
      <c r="C67" s="685"/>
      <c r="D67" s="227" t="s">
        <v>1112</v>
      </c>
      <c r="E67" s="374" t="s">
        <v>71</v>
      </c>
      <c r="F67" s="410">
        <v>2</v>
      </c>
      <c r="G67" s="417">
        <v>3.9</v>
      </c>
      <c r="H67" s="396">
        <f t="shared" si="0"/>
        <v>3.9</v>
      </c>
      <c r="I67" s="408">
        <f t="shared" si="1"/>
        <v>7.8</v>
      </c>
      <c r="J67" s="480"/>
      <c r="K67" s="6"/>
      <c r="L67" s="6"/>
      <c r="M67" s="6"/>
      <c r="N67" s="6"/>
      <c r="O67" s="6"/>
      <c r="P67" s="6"/>
    </row>
    <row r="68" spans="1:16" s="7" customFormat="1" ht="14.25" customHeight="1" x14ac:dyDescent="0.2">
      <c r="A68" s="384" t="s">
        <v>1113</v>
      </c>
      <c r="B68" s="684" t="s">
        <v>9</v>
      </c>
      <c r="C68" s="685"/>
      <c r="D68" s="227" t="s">
        <v>1108</v>
      </c>
      <c r="E68" s="374" t="s">
        <v>71</v>
      </c>
      <c r="F68" s="410">
        <v>3</v>
      </c>
      <c r="G68" s="417">
        <v>3.74</v>
      </c>
      <c r="H68" s="396">
        <f t="shared" si="0"/>
        <v>3.74</v>
      </c>
      <c r="I68" s="408">
        <f t="shared" si="1"/>
        <v>11.22</v>
      </c>
      <c r="J68" s="480"/>
      <c r="K68" s="6"/>
      <c r="L68" s="6"/>
      <c r="M68" s="6"/>
      <c r="N68" s="6"/>
      <c r="O68" s="6"/>
      <c r="P68" s="6"/>
    </row>
    <row r="69" spans="1:16" s="7" customFormat="1" ht="14.25" customHeight="1" x14ac:dyDescent="0.2">
      <c r="A69" s="384" t="s">
        <v>1114</v>
      </c>
      <c r="B69" s="684" t="s">
        <v>9</v>
      </c>
      <c r="C69" s="685"/>
      <c r="D69" s="227" t="s">
        <v>1115</v>
      </c>
      <c r="E69" s="374" t="s">
        <v>71</v>
      </c>
      <c r="F69" s="410">
        <v>3</v>
      </c>
      <c r="G69" s="417">
        <v>1.52</v>
      </c>
      <c r="H69" s="396">
        <f t="shared" si="0"/>
        <v>1.52</v>
      </c>
      <c r="I69" s="408">
        <f t="shared" si="1"/>
        <v>4.5599999999999996</v>
      </c>
      <c r="J69" s="480"/>
      <c r="K69" s="6"/>
      <c r="L69" s="6"/>
      <c r="M69" s="6"/>
      <c r="N69" s="6"/>
      <c r="O69" s="6"/>
      <c r="P69" s="6"/>
    </row>
    <row r="70" spans="1:16" s="7" customFormat="1" ht="14.25" customHeight="1" x14ac:dyDescent="0.2">
      <c r="A70" s="384" t="s">
        <v>1116</v>
      </c>
      <c r="B70" s="684" t="s">
        <v>9</v>
      </c>
      <c r="C70" s="685"/>
      <c r="D70" s="227" t="s">
        <v>1117</v>
      </c>
      <c r="E70" s="374" t="s">
        <v>71</v>
      </c>
      <c r="F70" s="410">
        <v>3</v>
      </c>
      <c r="G70" s="417">
        <v>6.56</v>
      </c>
      <c r="H70" s="396">
        <f t="shared" si="0"/>
        <v>6.56</v>
      </c>
      <c r="I70" s="408">
        <f t="shared" si="1"/>
        <v>19.68</v>
      </c>
      <c r="J70" s="480"/>
      <c r="K70" s="6"/>
      <c r="L70" s="6"/>
      <c r="M70" s="6"/>
      <c r="N70" s="6"/>
      <c r="O70" s="6"/>
      <c r="P70" s="6"/>
    </row>
    <row r="71" spans="1:16" s="7" customFormat="1" x14ac:dyDescent="0.2">
      <c r="A71" s="384" t="s">
        <v>1118</v>
      </c>
      <c r="B71" s="684" t="s">
        <v>9</v>
      </c>
      <c r="C71" s="685"/>
      <c r="D71" s="227" t="s">
        <v>1119</v>
      </c>
      <c r="E71" s="374" t="s">
        <v>10</v>
      </c>
      <c r="F71" s="410">
        <v>1</v>
      </c>
      <c r="G71" s="417">
        <v>183.06</v>
      </c>
      <c r="H71" s="396">
        <f t="shared" si="0"/>
        <v>183.06</v>
      </c>
      <c r="I71" s="408">
        <f t="shared" si="1"/>
        <v>183.06</v>
      </c>
      <c r="J71" s="480"/>
      <c r="K71" s="6"/>
      <c r="L71" s="6"/>
      <c r="M71" s="6"/>
      <c r="N71" s="6"/>
      <c r="O71" s="6"/>
      <c r="P71" s="6"/>
    </row>
    <row r="72" spans="1:16" s="7" customFormat="1" x14ac:dyDescent="0.2">
      <c r="A72" s="384" t="s">
        <v>1120</v>
      </c>
      <c r="B72" s="684" t="s">
        <v>9</v>
      </c>
      <c r="C72" s="685"/>
      <c r="D72" s="227" t="s">
        <v>1121</v>
      </c>
      <c r="E72" s="374" t="s">
        <v>71</v>
      </c>
      <c r="F72" s="410">
        <v>1</v>
      </c>
      <c r="G72" s="417">
        <v>5.95</v>
      </c>
      <c r="H72" s="396">
        <f t="shared" si="0"/>
        <v>5.95</v>
      </c>
      <c r="I72" s="408">
        <f t="shared" si="1"/>
        <v>5.95</v>
      </c>
      <c r="J72" s="480"/>
      <c r="K72" s="6"/>
      <c r="L72" s="6"/>
      <c r="M72" s="6"/>
      <c r="N72" s="6"/>
      <c r="O72" s="6"/>
      <c r="P72" s="6"/>
    </row>
    <row r="73" spans="1:16" s="7" customFormat="1" x14ac:dyDescent="0.2">
      <c r="A73" s="384" t="s">
        <v>1122</v>
      </c>
      <c r="B73" s="684" t="s">
        <v>9</v>
      </c>
      <c r="C73" s="685"/>
      <c r="D73" s="227" t="s">
        <v>1123</v>
      </c>
      <c r="E73" s="374" t="s">
        <v>71</v>
      </c>
      <c r="F73" s="410">
        <v>2</v>
      </c>
      <c r="G73" s="417">
        <v>28.83</v>
      </c>
      <c r="H73" s="396">
        <f t="shared" si="0"/>
        <v>28.83</v>
      </c>
      <c r="I73" s="408">
        <f t="shared" si="1"/>
        <v>57.66</v>
      </c>
      <c r="J73" s="480"/>
      <c r="K73" s="6"/>
      <c r="L73" s="6"/>
      <c r="M73" s="6"/>
      <c r="N73" s="6"/>
      <c r="O73" s="6"/>
      <c r="P73" s="6"/>
    </row>
    <row r="74" spans="1:16" s="7" customFormat="1" x14ac:dyDescent="0.2">
      <c r="A74" s="384" t="s">
        <v>1124</v>
      </c>
      <c r="B74" s="684" t="s">
        <v>9</v>
      </c>
      <c r="C74" s="685"/>
      <c r="D74" s="227" t="s">
        <v>1125</v>
      </c>
      <c r="E74" s="374" t="s">
        <v>71</v>
      </c>
      <c r="F74" s="410">
        <v>2</v>
      </c>
      <c r="G74" s="417">
        <v>28.83</v>
      </c>
      <c r="H74" s="396">
        <f t="shared" si="0"/>
        <v>28.83</v>
      </c>
      <c r="I74" s="408">
        <f t="shared" si="1"/>
        <v>57.66</v>
      </c>
      <c r="J74" s="480"/>
      <c r="K74" s="6"/>
      <c r="L74" s="6"/>
      <c r="M74" s="6"/>
      <c r="N74" s="6"/>
      <c r="O74" s="6"/>
      <c r="P74" s="6"/>
    </row>
    <row r="75" spans="1:16" s="7" customFormat="1" x14ac:dyDescent="0.2">
      <c r="A75" s="384" t="s">
        <v>1126</v>
      </c>
      <c r="B75" s="684" t="s">
        <v>9</v>
      </c>
      <c r="C75" s="685"/>
      <c r="D75" s="227" t="s">
        <v>1127</v>
      </c>
      <c r="E75" s="374" t="s">
        <v>71</v>
      </c>
      <c r="F75" s="410">
        <v>1</v>
      </c>
      <c r="G75" s="417">
        <v>27</v>
      </c>
      <c r="H75" s="396">
        <f t="shared" si="0"/>
        <v>27</v>
      </c>
      <c r="I75" s="408">
        <f t="shared" si="1"/>
        <v>27</v>
      </c>
      <c r="J75" s="480"/>
      <c r="K75" s="6"/>
      <c r="L75" s="6"/>
      <c r="M75" s="6"/>
      <c r="N75" s="6"/>
      <c r="O75" s="6"/>
      <c r="P75" s="6"/>
    </row>
    <row r="76" spans="1:16" s="7" customFormat="1" x14ac:dyDescent="0.2">
      <c r="A76" s="384" t="s">
        <v>1128</v>
      </c>
      <c r="B76" s="684" t="s">
        <v>9</v>
      </c>
      <c r="C76" s="685"/>
      <c r="D76" s="227" t="s">
        <v>1129</v>
      </c>
      <c r="E76" s="374" t="s">
        <v>71</v>
      </c>
      <c r="F76" s="410">
        <v>1</v>
      </c>
      <c r="G76" s="417">
        <v>59.42</v>
      </c>
      <c r="H76" s="396">
        <f t="shared" si="0"/>
        <v>59.42</v>
      </c>
      <c r="I76" s="408">
        <f t="shared" si="1"/>
        <v>59.42</v>
      </c>
      <c r="J76" s="480"/>
      <c r="K76" s="6"/>
      <c r="L76" s="6"/>
      <c r="M76" s="6"/>
      <c r="N76" s="6"/>
      <c r="O76" s="6"/>
      <c r="P76" s="6"/>
    </row>
    <row r="77" spans="1:16" s="7" customFormat="1" x14ac:dyDescent="0.2">
      <c r="A77" s="384" t="s">
        <v>1130</v>
      </c>
      <c r="B77" s="684" t="s">
        <v>9</v>
      </c>
      <c r="C77" s="685"/>
      <c r="D77" s="227" t="s">
        <v>1131</v>
      </c>
      <c r="E77" s="374" t="s">
        <v>71</v>
      </c>
      <c r="F77" s="410">
        <v>1</v>
      </c>
      <c r="G77" s="417">
        <v>44</v>
      </c>
      <c r="H77" s="396">
        <f t="shared" si="0"/>
        <v>44</v>
      </c>
      <c r="I77" s="408">
        <f t="shared" si="1"/>
        <v>44</v>
      </c>
      <c r="J77" s="480"/>
      <c r="K77" s="6"/>
      <c r="L77" s="6"/>
      <c r="M77" s="6"/>
      <c r="N77" s="6"/>
      <c r="O77" s="6"/>
      <c r="P77" s="6"/>
    </row>
    <row r="78" spans="1:16" s="373" customFormat="1" x14ac:dyDescent="0.2">
      <c r="A78" s="384" t="s">
        <v>1132</v>
      </c>
      <c r="B78" s="684" t="s">
        <v>9</v>
      </c>
      <c r="C78" s="685"/>
      <c r="D78" s="107" t="s">
        <v>1133</v>
      </c>
      <c r="E78" s="375" t="s">
        <v>71</v>
      </c>
      <c r="F78" s="410">
        <v>1</v>
      </c>
      <c r="G78" s="417">
        <v>81.510000000000005</v>
      </c>
      <c r="H78" s="411">
        <f t="shared" si="0"/>
        <v>81.510000000000005</v>
      </c>
      <c r="I78" s="412">
        <f t="shared" si="1"/>
        <v>81.510000000000005</v>
      </c>
      <c r="J78" s="486"/>
      <c r="K78" s="372"/>
      <c r="L78" s="372"/>
      <c r="M78" s="372"/>
      <c r="N78" s="372"/>
      <c r="O78" s="372"/>
      <c r="P78" s="372"/>
    </row>
    <row r="79" spans="1:16" s="373" customFormat="1" x14ac:dyDescent="0.2">
      <c r="A79" s="384" t="s">
        <v>1134</v>
      </c>
      <c r="B79" s="684" t="s">
        <v>9</v>
      </c>
      <c r="C79" s="685"/>
      <c r="D79" s="227" t="s">
        <v>1135</v>
      </c>
      <c r="E79" s="374" t="s">
        <v>71</v>
      </c>
      <c r="F79" s="410">
        <v>1</v>
      </c>
      <c r="G79" s="417">
        <v>15.11</v>
      </c>
      <c r="H79" s="396">
        <f t="shared" si="0"/>
        <v>15.11</v>
      </c>
      <c r="I79" s="408">
        <f t="shared" si="1"/>
        <v>15.11</v>
      </c>
      <c r="J79" s="486"/>
      <c r="K79" s="372"/>
      <c r="L79" s="372"/>
      <c r="M79" s="372"/>
      <c r="N79" s="372"/>
      <c r="O79" s="372"/>
      <c r="P79" s="372"/>
    </row>
    <row r="80" spans="1:16" s="373" customFormat="1" x14ac:dyDescent="0.2">
      <c r="A80" s="384" t="s">
        <v>1136</v>
      </c>
      <c r="B80" s="684" t="s">
        <v>9</v>
      </c>
      <c r="C80" s="685"/>
      <c r="D80" s="107" t="s">
        <v>1137</v>
      </c>
      <c r="E80" s="375" t="s">
        <v>71</v>
      </c>
      <c r="F80" s="410">
        <v>1</v>
      </c>
      <c r="G80" s="417">
        <v>9.99</v>
      </c>
      <c r="H80" s="411">
        <f t="shared" si="0"/>
        <v>9.99</v>
      </c>
      <c r="I80" s="412">
        <f t="shared" si="1"/>
        <v>9.99</v>
      </c>
      <c r="J80" s="486"/>
      <c r="K80" s="372"/>
      <c r="L80" s="372"/>
      <c r="M80" s="372"/>
      <c r="N80" s="372"/>
      <c r="O80" s="372"/>
      <c r="P80" s="372"/>
    </row>
    <row r="81" spans="1:16" s="373" customFormat="1" x14ac:dyDescent="0.2">
      <c r="A81" s="384" t="s">
        <v>1138</v>
      </c>
      <c r="B81" s="684" t="s">
        <v>9</v>
      </c>
      <c r="C81" s="685"/>
      <c r="D81" s="227" t="s">
        <v>1139</v>
      </c>
      <c r="E81" s="374" t="s">
        <v>71</v>
      </c>
      <c r="F81" s="410">
        <v>2</v>
      </c>
      <c r="G81" s="417">
        <v>4.99</v>
      </c>
      <c r="H81" s="396">
        <f t="shared" si="0"/>
        <v>4.99</v>
      </c>
      <c r="I81" s="408">
        <f t="shared" si="1"/>
        <v>9.98</v>
      </c>
      <c r="J81" s="486"/>
      <c r="K81" s="372"/>
      <c r="L81" s="372"/>
      <c r="M81" s="372"/>
      <c r="N81" s="372"/>
      <c r="O81" s="372"/>
      <c r="P81" s="372"/>
    </row>
    <row r="82" spans="1:16" s="7" customFormat="1" x14ac:dyDescent="0.2">
      <c r="A82" s="384" t="s">
        <v>1140</v>
      </c>
      <c r="B82" s="684" t="s">
        <v>9</v>
      </c>
      <c r="C82" s="685"/>
      <c r="D82" s="227" t="s">
        <v>1141</v>
      </c>
      <c r="E82" s="374" t="s">
        <v>71</v>
      </c>
      <c r="F82" s="410">
        <v>2</v>
      </c>
      <c r="G82" s="417">
        <v>4.37</v>
      </c>
      <c r="H82" s="396">
        <f t="shared" si="0"/>
        <v>4.37</v>
      </c>
      <c r="I82" s="408">
        <f t="shared" si="1"/>
        <v>8.74</v>
      </c>
      <c r="J82" s="480"/>
      <c r="K82" s="6"/>
      <c r="L82" s="6"/>
      <c r="M82" s="6"/>
      <c r="N82" s="6"/>
      <c r="O82" s="6"/>
      <c r="P82" s="6"/>
    </row>
    <row r="83" spans="1:16" s="7" customFormat="1" x14ac:dyDescent="0.2">
      <c r="A83" s="384" t="s">
        <v>1142</v>
      </c>
      <c r="B83" s="684" t="s">
        <v>9</v>
      </c>
      <c r="C83" s="685"/>
      <c r="D83" s="227" t="s">
        <v>1143</v>
      </c>
      <c r="E83" s="374" t="s">
        <v>71</v>
      </c>
      <c r="F83" s="410">
        <v>3</v>
      </c>
      <c r="G83" s="417">
        <v>4.26</v>
      </c>
      <c r="H83" s="396">
        <f t="shared" si="0"/>
        <v>4.26</v>
      </c>
      <c r="I83" s="408">
        <f t="shared" si="1"/>
        <v>12.78</v>
      </c>
      <c r="J83" s="480"/>
      <c r="K83" s="6"/>
      <c r="L83" s="6"/>
      <c r="M83" s="6"/>
      <c r="N83" s="6"/>
      <c r="O83" s="6"/>
      <c r="P83" s="6"/>
    </row>
    <row r="84" spans="1:16" s="7" customFormat="1" x14ac:dyDescent="0.2">
      <c r="A84" s="384" t="s">
        <v>1144</v>
      </c>
      <c r="B84" s="684" t="s">
        <v>9</v>
      </c>
      <c r="C84" s="685"/>
      <c r="D84" s="227" t="s">
        <v>1145</v>
      </c>
      <c r="E84" s="374" t="s">
        <v>71</v>
      </c>
      <c r="F84" s="410">
        <v>4</v>
      </c>
      <c r="G84" s="395">
        <v>4.7300000000000004</v>
      </c>
      <c r="H84" s="396">
        <f t="shared" si="0"/>
        <v>4.7300000000000004</v>
      </c>
      <c r="I84" s="408">
        <f t="shared" si="1"/>
        <v>18.920000000000002</v>
      </c>
      <c r="J84" s="480"/>
      <c r="K84" s="6"/>
      <c r="L84" s="6"/>
      <c r="M84" s="6"/>
      <c r="N84" s="6"/>
      <c r="O84" s="6"/>
      <c r="P84" s="6"/>
    </row>
    <row r="85" spans="1:16" s="7" customFormat="1" x14ac:dyDescent="0.2">
      <c r="A85" s="384" t="s">
        <v>1146</v>
      </c>
      <c r="B85" s="684" t="s">
        <v>9</v>
      </c>
      <c r="C85" s="685"/>
      <c r="D85" s="227" t="s">
        <v>1147</v>
      </c>
      <c r="E85" s="374" t="s">
        <v>71</v>
      </c>
      <c r="F85" s="410">
        <v>9</v>
      </c>
      <c r="G85" s="417">
        <v>5.13</v>
      </c>
      <c r="H85" s="396">
        <f t="shared" si="0"/>
        <v>5.13</v>
      </c>
      <c r="I85" s="408">
        <f t="shared" si="1"/>
        <v>46.17</v>
      </c>
      <c r="J85" s="480"/>
      <c r="K85" s="6"/>
      <c r="L85" s="6"/>
      <c r="M85" s="6"/>
      <c r="N85" s="6"/>
      <c r="O85" s="6"/>
      <c r="P85" s="6"/>
    </row>
    <row r="86" spans="1:16" s="7" customFormat="1" x14ac:dyDescent="0.2">
      <c r="A86" s="384" t="s">
        <v>1148</v>
      </c>
      <c r="B86" s="684" t="s">
        <v>9</v>
      </c>
      <c r="C86" s="685"/>
      <c r="D86" s="227" t="s">
        <v>1048</v>
      </c>
      <c r="E86" s="374" t="s">
        <v>71</v>
      </c>
      <c r="F86" s="410">
        <v>200</v>
      </c>
      <c r="G86" s="417">
        <v>0.32</v>
      </c>
      <c r="H86" s="396">
        <v>0.32</v>
      </c>
      <c r="I86" s="408">
        <f t="shared" si="1"/>
        <v>64</v>
      </c>
      <c r="J86" s="480"/>
      <c r="K86" s="6"/>
      <c r="L86" s="6"/>
      <c r="M86" s="6"/>
      <c r="N86" s="6"/>
      <c r="O86" s="6"/>
      <c r="P86" s="6"/>
    </row>
    <row r="87" spans="1:16" s="7" customFormat="1" x14ac:dyDescent="0.2">
      <c r="A87" s="384" t="s">
        <v>1149</v>
      </c>
      <c r="B87" s="684" t="s">
        <v>9</v>
      </c>
      <c r="C87" s="685"/>
      <c r="D87" s="227" t="s">
        <v>1050</v>
      </c>
      <c r="E87" s="374" t="s">
        <v>71</v>
      </c>
      <c r="F87" s="410">
        <v>200</v>
      </c>
      <c r="G87" s="417">
        <v>0.15</v>
      </c>
      <c r="H87" s="396">
        <v>0.15</v>
      </c>
      <c r="I87" s="408">
        <f t="shared" si="1"/>
        <v>30</v>
      </c>
      <c r="J87" s="480"/>
      <c r="K87" s="6"/>
      <c r="L87" s="6"/>
      <c r="M87" s="6"/>
      <c r="N87" s="6"/>
      <c r="O87" s="6"/>
      <c r="P87" s="6"/>
    </row>
    <row r="88" spans="1:16" s="7" customFormat="1" x14ac:dyDescent="0.2">
      <c r="A88" s="384" t="s">
        <v>1150</v>
      </c>
      <c r="B88" s="684" t="s">
        <v>9</v>
      </c>
      <c r="C88" s="685"/>
      <c r="D88" s="227" t="s">
        <v>1052</v>
      </c>
      <c r="E88" s="374" t="s">
        <v>71</v>
      </c>
      <c r="F88" s="410">
        <v>200</v>
      </c>
      <c r="G88" s="417">
        <v>0.08</v>
      </c>
      <c r="H88" s="396">
        <v>0.08</v>
      </c>
      <c r="I88" s="408">
        <f t="shared" si="1"/>
        <v>16</v>
      </c>
      <c r="J88" s="480"/>
      <c r="K88" s="6"/>
      <c r="L88" s="6"/>
      <c r="M88" s="6"/>
      <c r="N88" s="6"/>
      <c r="O88" s="6"/>
      <c r="P88" s="6"/>
    </row>
    <row r="89" spans="1:16" s="373" customFormat="1" x14ac:dyDescent="0.2">
      <c r="A89" s="384" t="s">
        <v>1151</v>
      </c>
      <c r="B89" s="684" t="s">
        <v>9</v>
      </c>
      <c r="C89" s="685"/>
      <c r="D89" s="107" t="s">
        <v>1054</v>
      </c>
      <c r="E89" s="374" t="s">
        <v>71</v>
      </c>
      <c r="F89" s="410">
        <v>200</v>
      </c>
      <c r="G89" s="409">
        <v>0.11</v>
      </c>
      <c r="H89" s="396">
        <f t="shared" si="0"/>
        <v>0.11</v>
      </c>
      <c r="I89" s="412">
        <f t="shared" si="1"/>
        <v>22</v>
      </c>
      <c r="J89" s="486"/>
      <c r="K89" s="372"/>
      <c r="L89" s="372"/>
      <c r="M89" s="372"/>
      <c r="N89" s="372"/>
      <c r="O89" s="372"/>
      <c r="P89" s="372"/>
    </row>
    <row r="90" spans="1:16" s="373" customFormat="1" x14ac:dyDescent="0.2">
      <c r="A90" s="384"/>
      <c r="B90" s="443"/>
      <c r="C90" s="444"/>
      <c r="D90" s="107"/>
      <c r="E90" s="374"/>
      <c r="F90" s="410"/>
      <c r="G90" s="409"/>
      <c r="H90" s="396"/>
      <c r="I90" s="412"/>
      <c r="J90" s="486"/>
      <c r="K90" s="372"/>
      <c r="L90" s="372"/>
      <c r="M90" s="372"/>
      <c r="N90" s="372"/>
      <c r="O90" s="372"/>
      <c r="P90" s="372"/>
    </row>
    <row r="91" spans="1:16" s="373" customFormat="1" x14ac:dyDescent="0.2">
      <c r="A91" s="384"/>
      <c r="B91" s="375"/>
      <c r="C91" s="375"/>
      <c r="D91" s="107"/>
      <c r="E91" s="374"/>
      <c r="F91" s="410"/>
      <c r="G91" s="409"/>
      <c r="H91" s="396"/>
      <c r="I91" s="412"/>
      <c r="J91" s="486"/>
      <c r="K91" s="372"/>
      <c r="L91" s="372"/>
      <c r="M91" s="372"/>
      <c r="N91" s="372"/>
      <c r="O91" s="372"/>
      <c r="P91" s="372"/>
    </row>
    <row r="92" spans="1:16" s="7" customFormat="1" ht="15" x14ac:dyDescent="0.2">
      <c r="A92" s="104" t="s">
        <v>1152</v>
      </c>
      <c r="B92" s="374"/>
      <c r="C92" s="374"/>
      <c r="D92" s="105" t="s">
        <v>294</v>
      </c>
      <c r="E92" s="374"/>
      <c r="F92" s="410"/>
      <c r="G92" s="395"/>
      <c r="H92" s="396"/>
      <c r="I92" s="397">
        <f>SUM(I93:I94)</f>
        <v>1883</v>
      </c>
      <c r="J92" s="480"/>
      <c r="K92" s="6"/>
      <c r="L92" s="6"/>
      <c r="M92" s="6"/>
      <c r="N92" s="6"/>
      <c r="O92" s="6"/>
      <c r="P92" s="6"/>
    </row>
    <row r="93" spans="1:16" s="7" customFormat="1" x14ac:dyDescent="0.2">
      <c r="A93" s="384" t="s">
        <v>1153</v>
      </c>
      <c r="B93" s="374" t="s">
        <v>98</v>
      </c>
      <c r="C93" s="374">
        <v>2436</v>
      </c>
      <c r="D93" s="227" t="s">
        <v>295</v>
      </c>
      <c r="E93" s="374" t="s">
        <v>97</v>
      </c>
      <c r="F93" s="410">
        <v>50</v>
      </c>
      <c r="G93" s="395">
        <v>9.86</v>
      </c>
      <c r="H93" s="396">
        <f>ROUND(G93*(1+L$7),2)</f>
        <v>21.93</v>
      </c>
      <c r="I93" s="408">
        <f>ROUND(F93*H93,2)</f>
        <v>1096.5</v>
      </c>
      <c r="J93" s="480"/>
      <c r="K93" s="6"/>
      <c r="L93" s="6"/>
      <c r="M93" s="6"/>
      <c r="N93" s="6"/>
      <c r="O93" s="6"/>
      <c r="P93" s="6"/>
    </row>
    <row r="94" spans="1:16" s="7" customFormat="1" x14ac:dyDescent="0.2">
      <c r="A94" s="384" t="s">
        <v>1154</v>
      </c>
      <c r="B94" s="374" t="s">
        <v>98</v>
      </c>
      <c r="C94" s="374">
        <v>6113</v>
      </c>
      <c r="D94" s="227" t="s">
        <v>297</v>
      </c>
      <c r="E94" s="374" t="s">
        <v>97</v>
      </c>
      <c r="F94" s="410">
        <v>50</v>
      </c>
      <c r="G94" s="395">
        <v>7.07</v>
      </c>
      <c r="H94" s="396">
        <f>ROUND(G94*(1+L$7),2)</f>
        <v>15.73</v>
      </c>
      <c r="I94" s="408">
        <f>ROUND(F94*H94,2)</f>
        <v>786.5</v>
      </c>
      <c r="J94" s="480"/>
      <c r="K94" s="6"/>
      <c r="L94" s="6"/>
      <c r="M94" s="6"/>
      <c r="N94" s="6"/>
      <c r="O94" s="6"/>
      <c r="P94" s="6"/>
    </row>
    <row r="95" spans="1:16" s="7" customFormat="1" x14ac:dyDescent="0.2">
      <c r="A95" s="384"/>
      <c r="B95" s="374"/>
      <c r="C95" s="374"/>
      <c r="D95" s="227"/>
      <c r="E95" s="374"/>
      <c r="F95" s="410"/>
      <c r="G95" s="395"/>
      <c r="H95" s="396"/>
      <c r="I95" s="408"/>
      <c r="J95" s="480"/>
      <c r="K95" s="6"/>
      <c r="L95" s="6"/>
      <c r="M95" s="6"/>
      <c r="N95" s="6"/>
      <c r="O95" s="6"/>
      <c r="P95" s="6"/>
    </row>
    <row r="96" spans="1:16" s="7" customFormat="1" ht="15" x14ac:dyDescent="0.2">
      <c r="A96" s="104" t="s">
        <v>1155</v>
      </c>
      <c r="B96" s="374"/>
      <c r="C96" s="374"/>
      <c r="D96" s="105" t="s">
        <v>300</v>
      </c>
      <c r="E96" s="374"/>
      <c r="F96" s="410"/>
      <c r="G96" s="395"/>
      <c r="H96" s="396"/>
      <c r="I96" s="397">
        <f>I97+I114</f>
        <v>2320.3000000000002</v>
      </c>
      <c r="J96" s="480"/>
      <c r="K96" s="6"/>
      <c r="L96" s="6"/>
      <c r="M96" s="6"/>
      <c r="N96" s="6"/>
      <c r="O96" s="6"/>
      <c r="P96" s="6"/>
    </row>
    <row r="97" spans="1:16" s="7" customFormat="1" ht="15" x14ac:dyDescent="0.2">
      <c r="A97" s="104" t="s">
        <v>205</v>
      </c>
      <c r="B97" s="374"/>
      <c r="C97" s="374"/>
      <c r="D97" s="105" t="s">
        <v>132</v>
      </c>
      <c r="E97" s="374"/>
      <c r="F97" s="410"/>
      <c r="G97" s="395"/>
      <c r="H97" s="396"/>
      <c r="I97" s="397">
        <f>SUM(I98:I111)</f>
        <v>813.9</v>
      </c>
      <c r="J97" s="480"/>
      <c r="K97" s="6"/>
      <c r="L97" s="6"/>
      <c r="M97" s="6"/>
      <c r="N97" s="6"/>
      <c r="O97" s="6"/>
      <c r="P97" s="6"/>
    </row>
    <row r="98" spans="1:16" s="373" customFormat="1" x14ac:dyDescent="0.2">
      <c r="A98" s="384" t="s">
        <v>206</v>
      </c>
      <c r="B98" s="684" t="s">
        <v>9</v>
      </c>
      <c r="C98" s="685"/>
      <c r="D98" s="107" t="s">
        <v>1156</v>
      </c>
      <c r="E98" s="375" t="s">
        <v>107</v>
      </c>
      <c r="F98" s="410">
        <v>100</v>
      </c>
      <c r="G98" s="409">
        <v>1.52</v>
      </c>
      <c r="H98" s="411">
        <f t="shared" ref="H98:H135" si="3">ROUND(G98*(1+L$3),2)</f>
        <v>1.52</v>
      </c>
      <c r="I98" s="412">
        <f t="shared" ref="I98:I135" si="4">ROUND(F98*H98,2)</f>
        <v>152</v>
      </c>
      <c r="J98" s="486"/>
      <c r="K98" s="372"/>
      <c r="L98" s="372"/>
      <c r="M98" s="372"/>
      <c r="N98" s="372"/>
      <c r="O98" s="372"/>
      <c r="P98" s="372"/>
    </row>
    <row r="99" spans="1:16" s="373" customFormat="1" x14ac:dyDescent="0.2">
      <c r="A99" s="384" t="s">
        <v>135</v>
      </c>
      <c r="B99" s="684" t="s">
        <v>9</v>
      </c>
      <c r="C99" s="685"/>
      <c r="D99" s="107" t="s">
        <v>1157</v>
      </c>
      <c r="E99" s="375" t="s">
        <v>71</v>
      </c>
      <c r="F99" s="410">
        <v>80</v>
      </c>
      <c r="G99" s="409">
        <v>1.06</v>
      </c>
      <c r="H99" s="411">
        <f t="shared" si="3"/>
        <v>1.06</v>
      </c>
      <c r="I99" s="412">
        <f t="shared" si="4"/>
        <v>84.8</v>
      </c>
      <c r="J99" s="486"/>
      <c r="K99" s="372"/>
      <c r="L99" s="372"/>
      <c r="M99" s="372"/>
      <c r="N99" s="372"/>
      <c r="O99" s="372"/>
      <c r="P99" s="372"/>
    </row>
    <row r="100" spans="1:16" s="109" customFormat="1" ht="28.5" x14ac:dyDescent="0.2">
      <c r="A100" s="384" t="s">
        <v>200</v>
      </c>
      <c r="B100" s="684" t="s">
        <v>9</v>
      </c>
      <c r="C100" s="685"/>
      <c r="D100" s="107" t="s">
        <v>1158</v>
      </c>
      <c r="E100" s="375" t="s">
        <v>71</v>
      </c>
      <c r="F100" s="410">
        <v>12</v>
      </c>
      <c r="G100" s="413">
        <v>7.5</v>
      </c>
      <c r="H100" s="411">
        <f t="shared" si="3"/>
        <v>7.5</v>
      </c>
      <c r="I100" s="412">
        <f t="shared" si="4"/>
        <v>90</v>
      </c>
      <c r="J100" s="487"/>
      <c r="K100" s="108"/>
      <c r="L100" s="108"/>
      <c r="M100" s="108"/>
      <c r="N100" s="108"/>
      <c r="O100" s="108"/>
      <c r="P100" s="108"/>
    </row>
    <row r="101" spans="1:16" s="373" customFormat="1" x14ac:dyDescent="0.2">
      <c r="A101" s="384" t="s">
        <v>201</v>
      </c>
      <c r="B101" s="684" t="s">
        <v>9</v>
      </c>
      <c r="C101" s="685"/>
      <c r="D101" s="107" t="s">
        <v>1159</v>
      </c>
      <c r="E101" s="375" t="s">
        <v>71</v>
      </c>
      <c r="F101" s="410">
        <v>2</v>
      </c>
      <c r="G101" s="409">
        <v>16.53</v>
      </c>
      <c r="H101" s="411">
        <f t="shared" si="3"/>
        <v>16.53</v>
      </c>
      <c r="I101" s="412">
        <f t="shared" si="4"/>
        <v>33.06</v>
      </c>
      <c r="J101" s="486"/>
      <c r="K101" s="372"/>
      <c r="L101" s="372"/>
      <c r="M101" s="372"/>
      <c r="N101" s="372"/>
      <c r="O101" s="372"/>
      <c r="P101" s="372"/>
    </row>
    <row r="102" spans="1:16" s="373" customFormat="1" x14ac:dyDescent="0.2">
      <c r="A102" s="384" t="s">
        <v>202</v>
      </c>
      <c r="B102" s="684" t="s">
        <v>9</v>
      </c>
      <c r="C102" s="685"/>
      <c r="D102" s="107" t="s">
        <v>1160</v>
      </c>
      <c r="E102" s="375" t="s">
        <v>71</v>
      </c>
      <c r="F102" s="410">
        <v>2</v>
      </c>
      <c r="G102" s="409">
        <v>13.04</v>
      </c>
      <c r="H102" s="411">
        <f t="shared" si="3"/>
        <v>13.04</v>
      </c>
      <c r="I102" s="412">
        <f t="shared" si="4"/>
        <v>26.08</v>
      </c>
      <c r="J102" s="486"/>
      <c r="K102" s="372"/>
      <c r="L102" s="372"/>
      <c r="M102" s="372"/>
      <c r="N102" s="372"/>
      <c r="O102" s="372"/>
      <c r="P102" s="372"/>
    </row>
    <row r="103" spans="1:16" s="373" customFormat="1" x14ac:dyDescent="0.2">
      <c r="A103" s="384" t="s">
        <v>203</v>
      </c>
      <c r="B103" s="684" t="s">
        <v>9</v>
      </c>
      <c r="C103" s="685"/>
      <c r="D103" s="107" t="s">
        <v>1161</v>
      </c>
      <c r="E103" s="375" t="s">
        <v>71</v>
      </c>
      <c r="F103" s="410">
        <v>4</v>
      </c>
      <c r="G103" s="409">
        <v>30.94</v>
      </c>
      <c r="H103" s="411">
        <f t="shared" si="3"/>
        <v>30.94</v>
      </c>
      <c r="I103" s="412">
        <f t="shared" si="4"/>
        <v>123.76</v>
      </c>
      <c r="J103" s="486"/>
      <c r="K103" s="372"/>
      <c r="L103" s="372"/>
      <c r="M103" s="372"/>
      <c r="N103" s="372"/>
      <c r="O103" s="372"/>
      <c r="P103" s="372"/>
    </row>
    <row r="104" spans="1:16" s="373" customFormat="1" x14ac:dyDescent="0.2">
      <c r="A104" s="384" t="s">
        <v>204</v>
      </c>
      <c r="B104" s="684" t="s">
        <v>9</v>
      </c>
      <c r="C104" s="685"/>
      <c r="D104" s="107" t="s">
        <v>1162</v>
      </c>
      <c r="E104" s="375" t="s">
        <v>71</v>
      </c>
      <c r="F104" s="410">
        <v>4</v>
      </c>
      <c r="G104" s="409">
        <v>1.68</v>
      </c>
      <c r="H104" s="411">
        <f t="shared" si="3"/>
        <v>1.68</v>
      </c>
      <c r="I104" s="412">
        <f t="shared" si="4"/>
        <v>6.72</v>
      </c>
      <c r="J104" s="486"/>
      <c r="K104" s="372"/>
      <c r="L104" s="372"/>
      <c r="M104" s="372"/>
      <c r="N104" s="372"/>
      <c r="O104" s="372"/>
      <c r="P104" s="372"/>
    </row>
    <row r="105" spans="1:16" s="373" customFormat="1" ht="14.25" customHeight="1" x14ac:dyDescent="0.2">
      <c r="A105" s="384" t="s">
        <v>1163</v>
      </c>
      <c r="B105" s="684" t="s">
        <v>9</v>
      </c>
      <c r="C105" s="685"/>
      <c r="D105" s="107" t="s">
        <v>1038</v>
      </c>
      <c r="E105" s="375" t="s">
        <v>71</v>
      </c>
      <c r="F105" s="410">
        <v>4</v>
      </c>
      <c r="G105" s="409">
        <v>1.49</v>
      </c>
      <c r="H105" s="411">
        <f t="shared" si="3"/>
        <v>1.49</v>
      </c>
      <c r="I105" s="412">
        <f t="shared" si="4"/>
        <v>5.96</v>
      </c>
      <c r="J105" s="486"/>
      <c r="K105" s="372"/>
      <c r="L105" s="372"/>
      <c r="M105" s="372"/>
      <c r="N105" s="372"/>
      <c r="O105" s="372"/>
      <c r="P105" s="372"/>
    </row>
    <row r="106" spans="1:16" s="373" customFormat="1" x14ac:dyDescent="0.2">
      <c r="A106" s="384" t="s">
        <v>1164</v>
      </c>
      <c r="B106" s="684" t="s">
        <v>9</v>
      </c>
      <c r="C106" s="685"/>
      <c r="D106" s="107" t="s">
        <v>1165</v>
      </c>
      <c r="E106" s="375" t="s">
        <v>71</v>
      </c>
      <c r="F106" s="410">
        <v>4</v>
      </c>
      <c r="G106" s="409">
        <v>15.92</v>
      </c>
      <c r="H106" s="411">
        <f t="shared" si="3"/>
        <v>15.92</v>
      </c>
      <c r="I106" s="412">
        <f t="shared" si="4"/>
        <v>63.68</v>
      </c>
      <c r="J106" s="486"/>
      <c r="K106" s="372"/>
      <c r="L106" s="372"/>
      <c r="M106" s="372"/>
      <c r="N106" s="372"/>
      <c r="O106" s="372"/>
      <c r="P106" s="372"/>
    </row>
    <row r="107" spans="1:16" s="373" customFormat="1" x14ac:dyDescent="0.2">
      <c r="A107" s="384" t="s">
        <v>1166</v>
      </c>
      <c r="B107" s="684" t="s">
        <v>9</v>
      </c>
      <c r="C107" s="685"/>
      <c r="D107" s="107" t="s">
        <v>1167</v>
      </c>
      <c r="E107" s="375" t="s">
        <v>71</v>
      </c>
      <c r="F107" s="410">
        <v>4</v>
      </c>
      <c r="G107" s="409">
        <v>23.96</v>
      </c>
      <c r="H107" s="411">
        <f t="shared" si="3"/>
        <v>23.96</v>
      </c>
      <c r="I107" s="412">
        <f t="shared" si="4"/>
        <v>95.84</v>
      </c>
      <c r="J107" s="486"/>
      <c r="K107" s="372"/>
      <c r="L107" s="372"/>
      <c r="M107" s="372"/>
      <c r="N107" s="372"/>
      <c r="O107" s="372"/>
      <c r="P107" s="372"/>
    </row>
    <row r="108" spans="1:16" s="373" customFormat="1" x14ac:dyDescent="0.2">
      <c r="A108" s="384" t="s">
        <v>1168</v>
      </c>
      <c r="B108" s="684" t="s">
        <v>9</v>
      </c>
      <c r="C108" s="685"/>
      <c r="D108" s="227" t="s">
        <v>1048</v>
      </c>
      <c r="E108" s="374" t="s">
        <v>71</v>
      </c>
      <c r="F108" s="410">
        <v>200</v>
      </c>
      <c r="G108" s="417">
        <v>0.32</v>
      </c>
      <c r="H108" s="411">
        <f t="shared" si="3"/>
        <v>0.32</v>
      </c>
      <c r="I108" s="412">
        <f t="shared" si="4"/>
        <v>64</v>
      </c>
      <c r="J108" s="486"/>
      <c r="K108" s="372"/>
      <c r="L108" s="372"/>
      <c r="M108" s="372"/>
      <c r="N108" s="372"/>
      <c r="O108" s="372"/>
      <c r="P108" s="372"/>
    </row>
    <row r="109" spans="1:16" s="373" customFormat="1" x14ac:dyDescent="0.2">
      <c r="A109" s="384" t="s">
        <v>1169</v>
      </c>
      <c r="B109" s="684" t="s">
        <v>9</v>
      </c>
      <c r="C109" s="685"/>
      <c r="D109" s="227" t="s">
        <v>1050</v>
      </c>
      <c r="E109" s="374" t="s">
        <v>71</v>
      </c>
      <c r="F109" s="410">
        <v>200</v>
      </c>
      <c r="G109" s="417">
        <v>0.15</v>
      </c>
      <c r="H109" s="411">
        <f t="shared" si="3"/>
        <v>0.15</v>
      </c>
      <c r="I109" s="412">
        <f t="shared" si="4"/>
        <v>30</v>
      </c>
      <c r="J109" s="486"/>
      <c r="K109" s="372"/>
      <c r="L109" s="372"/>
      <c r="M109" s="372"/>
      <c r="N109" s="372"/>
      <c r="O109" s="372"/>
      <c r="P109" s="372"/>
    </row>
    <row r="110" spans="1:16" s="373" customFormat="1" x14ac:dyDescent="0.2">
      <c r="A110" s="384" t="s">
        <v>1170</v>
      </c>
      <c r="B110" s="684" t="s">
        <v>9</v>
      </c>
      <c r="C110" s="685"/>
      <c r="D110" s="107" t="s">
        <v>1052</v>
      </c>
      <c r="E110" s="375" t="s">
        <v>71</v>
      </c>
      <c r="F110" s="410">
        <v>200</v>
      </c>
      <c r="G110" s="417">
        <v>0.08</v>
      </c>
      <c r="H110" s="411">
        <f t="shared" si="3"/>
        <v>0.08</v>
      </c>
      <c r="I110" s="412">
        <f t="shared" si="4"/>
        <v>16</v>
      </c>
      <c r="J110" s="486"/>
      <c r="K110" s="372"/>
      <c r="L110" s="372"/>
      <c r="M110" s="372"/>
      <c r="N110" s="372"/>
      <c r="O110" s="372"/>
      <c r="P110" s="372"/>
    </row>
    <row r="111" spans="1:16" s="373" customFormat="1" x14ac:dyDescent="0.2">
      <c r="A111" s="384" t="s">
        <v>1171</v>
      </c>
      <c r="B111" s="684" t="s">
        <v>9</v>
      </c>
      <c r="C111" s="685"/>
      <c r="D111" s="107" t="s">
        <v>1054</v>
      </c>
      <c r="E111" s="375" t="s">
        <v>71</v>
      </c>
      <c r="F111" s="410">
        <v>200</v>
      </c>
      <c r="G111" s="409">
        <v>0.11</v>
      </c>
      <c r="H111" s="411">
        <f t="shared" si="3"/>
        <v>0.11</v>
      </c>
      <c r="I111" s="412">
        <f t="shared" si="4"/>
        <v>22</v>
      </c>
      <c r="J111" s="486"/>
      <c r="K111" s="372"/>
      <c r="L111" s="372"/>
      <c r="M111" s="372"/>
      <c r="N111" s="372"/>
      <c r="O111" s="372"/>
      <c r="P111" s="372"/>
    </row>
    <row r="112" spans="1:16" s="373" customFormat="1" x14ac:dyDescent="0.2">
      <c r="A112" s="384"/>
      <c r="B112" s="443"/>
      <c r="C112" s="444"/>
      <c r="D112" s="107"/>
      <c r="E112" s="375"/>
      <c r="F112" s="410"/>
      <c r="G112" s="409"/>
      <c r="H112" s="411"/>
      <c r="I112" s="412"/>
      <c r="J112" s="486"/>
      <c r="K112" s="372"/>
      <c r="L112" s="372"/>
      <c r="M112" s="372"/>
      <c r="N112" s="372"/>
      <c r="O112" s="372"/>
      <c r="P112" s="372"/>
    </row>
    <row r="113" spans="1:16" s="373" customFormat="1" x14ac:dyDescent="0.2">
      <c r="A113" s="384"/>
      <c r="B113" s="443"/>
      <c r="C113" s="444"/>
      <c r="D113" s="107"/>
      <c r="E113" s="375"/>
      <c r="F113" s="410"/>
      <c r="G113" s="409"/>
      <c r="H113" s="411"/>
      <c r="I113" s="412"/>
      <c r="J113" s="486"/>
      <c r="K113" s="372"/>
      <c r="L113" s="372"/>
      <c r="M113" s="372"/>
      <c r="N113" s="372"/>
      <c r="O113" s="372"/>
      <c r="P113" s="372"/>
    </row>
    <row r="114" spans="1:16" s="7" customFormat="1" ht="15" x14ac:dyDescent="0.2">
      <c r="A114" s="254" t="s">
        <v>1172</v>
      </c>
      <c r="B114" s="143"/>
      <c r="C114" s="143"/>
      <c r="D114" s="441" t="s">
        <v>294</v>
      </c>
      <c r="E114" s="143"/>
      <c r="F114" s="436"/>
      <c r="G114" s="405"/>
      <c r="H114" s="406"/>
      <c r="I114" s="442">
        <f>SUM(I115:I116)</f>
        <v>1506.4</v>
      </c>
      <c r="J114" s="480"/>
      <c r="K114" s="6"/>
      <c r="L114" s="6"/>
      <c r="M114" s="6"/>
      <c r="N114" s="6"/>
      <c r="O114" s="6"/>
      <c r="P114" s="6"/>
    </row>
    <row r="115" spans="1:16" s="7" customFormat="1" x14ac:dyDescent="0.2">
      <c r="A115" s="384" t="s">
        <v>301</v>
      </c>
      <c r="B115" s="374" t="s">
        <v>98</v>
      </c>
      <c r="C115" s="374">
        <v>2436</v>
      </c>
      <c r="D115" s="227" t="s">
        <v>295</v>
      </c>
      <c r="E115" s="374" t="s">
        <v>1069</v>
      </c>
      <c r="F115" s="410">
        <v>40</v>
      </c>
      <c r="G115" s="395">
        <v>9.86</v>
      </c>
      <c r="H115" s="396">
        <f>ROUND(G115*(1+L$7),2)</f>
        <v>21.93</v>
      </c>
      <c r="I115" s="408">
        <f t="shared" si="4"/>
        <v>877.2</v>
      </c>
      <c r="J115" s="480"/>
      <c r="K115" s="6"/>
      <c r="L115" s="6"/>
      <c r="M115" s="6"/>
      <c r="N115" s="6"/>
      <c r="O115" s="6"/>
      <c r="P115" s="6"/>
    </row>
    <row r="116" spans="1:16" s="7" customFormat="1" x14ac:dyDescent="0.2">
      <c r="A116" s="384" t="s">
        <v>302</v>
      </c>
      <c r="B116" s="374" t="s">
        <v>98</v>
      </c>
      <c r="C116" s="374">
        <v>6113</v>
      </c>
      <c r="D116" s="227" t="s">
        <v>297</v>
      </c>
      <c r="E116" s="374" t="s">
        <v>1069</v>
      </c>
      <c r="F116" s="410">
        <v>40</v>
      </c>
      <c r="G116" s="395">
        <v>7.07</v>
      </c>
      <c r="H116" s="396">
        <f>ROUND(G116*(1+L$7),2)</f>
        <v>15.73</v>
      </c>
      <c r="I116" s="408">
        <f t="shared" si="4"/>
        <v>629.20000000000005</v>
      </c>
      <c r="J116" s="480"/>
      <c r="K116" s="6"/>
      <c r="L116" s="6"/>
      <c r="M116" s="6"/>
      <c r="N116" s="6"/>
      <c r="O116" s="6"/>
      <c r="P116" s="6"/>
    </row>
    <row r="117" spans="1:16" s="7" customFormat="1" x14ac:dyDescent="0.2">
      <c r="A117" s="384"/>
      <c r="B117" s="374"/>
      <c r="C117" s="374"/>
      <c r="D117" s="227"/>
      <c r="E117" s="374"/>
      <c r="F117" s="410"/>
      <c r="G117" s="395"/>
      <c r="H117" s="396"/>
      <c r="I117" s="408"/>
      <c r="J117" s="480"/>
      <c r="K117" s="6"/>
      <c r="L117" s="6"/>
      <c r="M117" s="6"/>
      <c r="N117" s="6"/>
      <c r="O117" s="6"/>
      <c r="P117" s="6"/>
    </row>
    <row r="118" spans="1:16" s="7" customFormat="1" ht="15" x14ac:dyDescent="0.2">
      <c r="A118" s="104" t="s">
        <v>1059</v>
      </c>
      <c r="B118" s="374"/>
      <c r="C118" s="374"/>
      <c r="D118" s="105" t="s">
        <v>303</v>
      </c>
      <c r="E118" s="374"/>
      <c r="F118" s="410"/>
      <c r="G118" s="395"/>
      <c r="H118" s="396"/>
      <c r="I118" s="397">
        <f>I119+I130</f>
        <v>11455.060000000001</v>
      </c>
      <c r="J118" s="480"/>
      <c r="K118" s="6"/>
      <c r="L118" s="6"/>
      <c r="M118" s="6"/>
      <c r="N118" s="6"/>
      <c r="O118" s="6"/>
      <c r="P118" s="6"/>
    </row>
    <row r="119" spans="1:16" s="7" customFormat="1" ht="15" x14ac:dyDescent="0.2">
      <c r="A119" s="104" t="s">
        <v>1060</v>
      </c>
      <c r="B119" s="374"/>
      <c r="C119" s="374"/>
      <c r="D119" s="105" t="s">
        <v>132</v>
      </c>
      <c r="E119" s="374"/>
      <c r="F119" s="410"/>
      <c r="G119" s="395"/>
      <c r="H119" s="396"/>
      <c r="I119" s="397">
        <f>SUM(I120:I128)</f>
        <v>4676.26</v>
      </c>
      <c r="J119" s="480"/>
      <c r="K119" s="6"/>
      <c r="L119" s="6"/>
      <c r="M119" s="6"/>
      <c r="N119" s="6"/>
      <c r="O119" s="6"/>
      <c r="P119" s="6"/>
    </row>
    <row r="120" spans="1:16" s="7" customFormat="1" x14ac:dyDescent="0.2">
      <c r="A120" s="384" t="s">
        <v>975</v>
      </c>
      <c r="B120" s="684" t="s">
        <v>9</v>
      </c>
      <c r="C120" s="685"/>
      <c r="D120" s="227" t="s">
        <v>999</v>
      </c>
      <c r="E120" s="374" t="s">
        <v>107</v>
      </c>
      <c r="F120" s="410">
        <v>60</v>
      </c>
      <c r="G120" s="395">
        <v>16.02</v>
      </c>
      <c r="H120" s="396">
        <f t="shared" si="3"/>
        <v>16.02</v>
      </c>
      <c r="I120" s="408">
        <f t="shared" si="4"/>
        <v>961.2</v>
      </c>
      <c r="J120" s="480"/>
      <c r="K120" s="6"/>
      <c r="L120" s="6"/>
      <c r="M120" s="6"/>
      <c r="N120" s="6"/>
      <c r="O120" s="6"/>
      <c r="P120" s="6"/>
    </row>
    <row r="121" spans="1:16" s="7" customFormat="1" x14ac:dyDescent="0.2">
      <c r="A121" s="384" t="s">
        <v>976</v>
      </c>
      <c r="B121" s="684" t="s">
        <v>9</v>
      </c>
      <c r="C121" s="685"/>
      <c r="D121" s="227" t="s">
        <v>1000</v>
      </c>
      <c r="E121" s="374" t="s">
        <v>107</v>
      </c>
      <c r="F121" s="410">
        <v>50</v>
      </c>
      <c r="G121" s="395">
        <v>8.6199999999999992</v>
      </c>
      <c r="H121" s="396">
        <f t="shared" si="3"/>
        <v>8.6199999999999992</v>
      </c>
      <c r="I121" s="408">
        <f t="shared" si="4"/>
        <v>431</v>
      </c>
      <c r="J121" s="480"/>
      <c r="K121" s="6"/>
      <c r="L121" s="6"/>
      <c r="M121" s="6"/>
      <c r="N121" s="6"/>
      <c r="O121" s="6"/>
      <c r="P121" s="6"/>
    </row>
    <row r="122" spans="1:16" s="7" customFormat="1" x14ac:dyDescent="0.2">
      <c r="A122" s="384" t="s">
        <v>977</v>
      </c>
      <c r="B122" s="684" t="s">
        <v>9</v>
      </c>
      <c r="C122" s="685"/>
      <c r="D122" s="227" t="s">
        <v>1061</v>
      </c>
      <c r="E122" s="374" t="s">
        <v>107</v>
      </c>
      <c r="F122" s="410">
        <v>250</v>
      </c>
      <c r="G122" s="395">
        <v>6.81</v>
      </c>
      <c r="H122" s="396">
        <f t="shared" si="3"/>
        <v>6.81</v>
      </c>
      <c r="I122" s="408">
        <f t="shared" si="4"/>
        <v>1702.5</v>
      </c>
      <c r="J122" s="480"/>
      <c r="K122" s="6"/>
      <c r="L122" s="6"/>
      <c r="M122" s="6"/>
      <c r="N122" s="6"/>
      <c r="O122" s="6"/>
      <c r="P122" s="6"/>
    </row>
    <row r="123" spans="1:16" s="7" customFormat="1" x14ac:dyDescent="0.2">
      <c r="A123" s="384" t="s">
        <v>978</v>
      </c>
      <c r="B123" s="684" t="s">
        <v>9</v>
      </c>
      <c r="C123" s="685"/>
      <c r="D123" s="227" t="s">
        <v>1002</v>
      </c>
      <c r="E123" s="374" t="s">
        <v>107</v>
      </c>
      <c r="F123" s="410">
        <v>150</v>
      </c>
      <c r="G123" s="395">
        <v>2.92</v>
      </c>
      <c r="H123" s="396">
        <f t="shared" si="3"/>
        <v>2.92</v>
      </c>
      <c r="I123" s="408">
        <f t="shared" si="4"/>
        <v>438</v>
      </c>
      <c r="J123" s="480"/>
      <c r="K123" s="6"/>
      <c r="L123" s="6"/>
      <c r="M123" s="6"/>
      <c r="N123" s="6"/>
      <c r="O123" s="6"/>
      <c r="P123" s="6"/>
    </row>
    <row r="124" spans="1:16" s="7" customFormat="1" x14ac:dyDescent="0.2">
      <c r="A124" s="384" t="s">
        <v>979</v>
      </c>
      <c r="B124" s="684" t="s">
        <v>9</v>
      </c>
      <c r="C124" s="685"/>
      <c r="D124" s="227" t="s">
        <v>1003</v>
      </c>
      <c r="E124" s="374" t="s">
        <v>107</v>
      </c>
      <c r="F124" s="410">
        <v>30</v>
      </c>
      <c r="G124" s="395">
        <v>2.0299999999999998</v>
      </c>
      <c r="H124" s="396">
        <f t="shared" si="3"/>
        <v>2.0299999999999998</v>
      </c>
      <c r="I124" s="408">
        <f t="shared" si="4"/>
        <v>60.9</v>
      </c>
      <c r="J124" s="480"/>
      <c r="K124" s="6"/>
      <c r="L124" s="6"/>
      <c r="M124" s="6"/>
      <c r="N124" s="6"/>
      <c r="O124" s="6"/>
      <c r="P124" s="6"/>
    </row>
    <row r="125" spans="1:16" s="7" customFormat="1" x14ac:dyDescent="0.2">
      <c r="A125" s="384" t="s">
        <v>1062</v>
      </c>
      <c r="B125" s="684" t="s">
        <v>9</v>
      </c>
      <c r="C125" s="685"/>
      <c r="D125" s="227" t="s">
        <v>1004</v>
      </c>
      <c r="E125" s="374" t="s">
        <v>107</v>
      </c>
      <c r="F125" s="410">
        <v>60</v>
      </c>
      <c r="G125" s="395">
        <v>3.28</v>
      </c>
      <c r="H125" s="396">
        <f t="shared" si="3"/>
        <v>3.28</v>
      </c>
      <c r="I125" s="408">
        <f t="shared" si="4"/>
        <v>196.8</v>
      </c>
      <c r="J125" s="480"/>
      <c r="K125" s="6"/>
      <c r="L125" s="6"/>
      <c r="M125" s="6"/>
      <c r="N125" s="6"/>
      <c r="O125" s="6"/>
      <c r="P125" s="6"/>
    </row>
    <row r="126" spans="1:16" s="373" customFormat="1" x14ac:dyDescent="0.2">
      <c r="A126" s="384" t="s">
        <v>1063</v>
      </c>
      <c r="B126" s="684" t="s">
        <v>9</v>
      </c>
      <c r="C126" s="685"/>
      <c r="D126" s="107" t="s">
        <v>1005</v>
      </c>
      <c r="E126" s="375" t="s">
        <v>71</v>
      </c>
      <c r="F126" s="410">
        <v>2</v>
      </c>
      <c r="G126" s="409">
        <v>26.8</v>
      </c>
      <c r="H126" s="411">
        <f t="shared" si="3"/>
        <v>26.8</v>
      </c>
      <c r="I126" s="412">
        <f t="shared" si="4"/>
        <v>53.6</v>
      </c>
      <c r="J126" s="486"/>
      <c r="K126" s="372"/>
      <c r="L126" s="372"/>
      <c r="M126" s="372"/>
      <c r="N126" s="372"/>
      <c r="O126" s="372"/>
      <c r="P126" s="372"/>
    </row>
    <row r="127" spans="1:16" s="109" customFormat="1" x14ac:dyDescent="0.2">
      <c r="A127" s="384" t="s">
        <v>1064</v>
      </c>
      <c r="B127" s="684" t="s">
        <v>9</v>
      </c>
      <c r="C127" s="685"/>
      <c r="D127" s="422" t="s">
        <v>1065</v>
      </c>
      <c r="E127" s="380" t="s">
        <v>71</v>
      </c>
      <c r="F127" s="423">
        <v>9</v>
      </c>
      <c r="G127" s="424">
        <v>46.78</v>
      </c>
      <c r="H127" s="425">
        <f t="shared" si="3"/>
        <v>46.78</v>
      </c>
      <c r="I127" s="426">
        <f t="shared" si="4"/>
        <v>421.02</v>
      </c>
      <c r="J127" s="487"/>
      <c r="K127" s="108"/>
      <c r="L127" s="108"/>
      <c r="M127" s="108"/>
      <c r="N127" s="108"/>
      <c r="O127" s="108"/>
      <c r="P127" s="108"/>
    </row>
    <row r="128" spans="1:16" s="109" customFormat="1" x14ac:dyDescent="0.2">
      <c r="A128" s="384" t="s">
        <v>1066</v>
      </c>
      <c r="B128" s="684" t="s">
        <v>9</v>
      </c>
      <c r="C128" s="685"/>
      <c r="D128" s="422" t="s">
        <v>1067</v>
      </c>
      <c r="E128" s="380" t="s">
        <v>71</v>
      </c>
      <c r="F128" s="423">
        <v>12</v>
      </c>
      <c r="G128" s="424">
        <v>34.270000000000003</v>
      </c>
      <c r="H128" s="425">
        <f t="shared" si="3"/>
        <v>34.270000000000003</v>
      </c>
      <c r="I128" s="426">
        <f t="shared" si="4"/>
        <v>411.24</v>
      </c>
      <c r="J128" s="487"/>
      <c r="K128" s="108"/>
      <c r="L128" s="108"/>
      <c r="M128" s="108"/>
      <c r="N128" s="108"/>
      <c r="O128" s="108"/>
      <c r="P128" s="108"/>
    </row>
    <row r="129" spans="1:16" s="109" customFormat="1" x14ac:dyDescent="0.2">
      <c r="A129" s="384"/>
      <c r="B129" s="380"/>
      <c r="C129" s="380"/>
      <c r="D129" s="107"/>
      <c r="E129" s="375"/>
      <c r="F129" s="410"/>
      <c r="G129" s="409"/>
      <c r="H129" s="411"/>
      <c r="I129" s="412"/>
      <c r="J129" s="487"/>
      <c r="K129" s="108"/>
      <c r="L129" s="108"/>
      <c r="M129" s="108"/>
      <c r="N129" s="108"/>
      <c r="O129" s="108"/>
      <c r="P129" s="108"/>
    </row>
    <row r="130" spans="1:16" s="7" customFormat="1" ht="15" x14ac:dyDescent="0.2">
      <c r="A130" s="104" t="s">
        <v>1068</v>
      </c>
      <c r="B130" s="380"/>
      <c r="C130" s="380"/>
      <c r="D130" s="105" t="s">
        <v>294</v>
      </c>
      <c r="E130" s="374"/>
      <c r="F130" s="410"/>
      <c r="G130" s="395"/>
      <c r="H130" s="396"/>
      <c r="I130" s="397">
        <f>SUM(I131:I132)</f>
        <v>6778.8</v>
      </c>
      <c r="J130" s="480"/>
      <c r="K130" s="6"/>
      <c r="L130" s="6"/>
      <c r="M130" s="6"/>
      <c r="N130" s="6"/>
      <c r="O130" s="6"/>
      <c r="P130" s="6"/>
    </row>
    <row r="131" spans="1:16" s="7" customFormat="1" x14ac:dyDescent="0.2">
      <c r="A131" s="384" t="s">
        <v>983</v>
      </c>
      <c r="B131" s="380" t="s">
        <v>98</v>
      </c>
      <c r="C131" s="380">
        <v>2436</v>
      </c>
      <c r="D131" s="227" t="s">
        <v>295</v>
      </c>
      <c r="E131" s="374" t="s">
        <v>1069</v>
      </c>
      <c r="F131" s="410">
        <v>180</v>
      </c>
      <c r="G131" s="395">
        <v>9.86</v>
      </c>
      <c r="H131" s="396">
        <f>ROUND(G131*(1+L$7),2)</f>
        <v>21.93</v>
      </c>
      <c r="I131" s="408">
        <f t="shared" si="4"/>
        <v>3947.4</v>
      </c>
      <c r="J131" s="480"/>
      <c r="K131" s="6"/>
      <c r="L131" s="6"/>
      <c r="M131" s="6"/>
      <c r="N131" s="6"/>
      <c r="O131" s="6"/>
      <c r="P131" s="6"/>
    </row>
    <row r="132" spans="1:16" s="7" customFormat="1" x14ac:dyDescent="0.2">
      <c r="A132" s="384" t="s">
        <v>984</v>
      </c>
      <c r="B132" s="380" t="s">
        <v>98</v>
      </c>
      <c r="C132" s="380">
        <v>6113</v>
      </c>
      <c r="D132" s="227" t="s">
        <v>297</v>
      </c>
      <c r="E132" s="374" t="s">
        <v>1069</v>
      </c>
      <c r="F132" s="410">
        <v>180</v>
      </c>
      <c r="G132" s="395">
        <v>7.07</v>
      </c>
      <c r="H132" s="396">
        <f>ROUND(G132*(1+L$7),2)</f>
        <v>15.73</v>
      </c>
      <c r="I132" s="408">
        <f t="shared" si="4"/>
        <v>2831.4</v>
      </c>
      <c r="J132" s="480"/>
      <c r="K132" s="6"/>
      <c r="L132" s="6"/>
      <c r="M132" s="6"/>
      <c r="N132" s="6"/>
      <c r="O132" s="6"/>
      <c r="P132" s="6"/>
    </row>
    <row r="133" spans="1:16" s="7" customFormat="1" x14ac:dyDescent="0.2">
      <c r="A133" s="384"/>
      <c r="B133" s="380"/>
      <c r="C133" s="380"/>
      <c r="D133" s="227"/>
      <c r="E133" s="374"/>
      <c r="F133" s="410"/>
      <c r="G133" s="395"/>
      <c r="H133" s="396"/>
      <c r="I133" s="408"/>
      <c r="J133" s="480"/>
      <c r="K133" s="6"/>
      <c r="L133" s="6"/>
      <c r="M133" s="6"/>
      <c r="N133" s="6"/>
      <c r="O133" s="6"/>
      <c r="P133" s="6"/>
    </row>
    <row r="134" spans="1:16" s="7" customFormat="1" ht="15" x14ac:dyDescent="0.2">
      <c r="A134" s="104" t="s">
        <v>1006</v>
      </c>
      <c r="B134" s="380"/>
      <c r="C134" s="380"/>
      <c r="D134" s="105" t="s">
        <v>304</v>
      </c>
      <c r="E134" s="374"/>
      <c r="F134" s="410"/>
      <c r="G134" s="395"/>
      <c r="H134" s="396"/>
      <c r="I134" s="397">
        <f>SUM(I135:I135)</f>
        <v>3500</v>
      </c>
      <c r="J134" s="480"/>
      <c r="K134" s="6"/>
      <c r="L134" s="6"/>
      <c r="M134" s="6"/>
      <c r="N134" s="6"/>
      <c r="O134" s="6"/>
      <c r="P134" s="6"/>
    </row>
    <row r="135" spans="1:16" s="109" customFormat="1" ht="28.5" x14ac:dyDescent="0.2">
      <c r="A135" s="384" t="s">
        <v>1007</v>
      </c>
      <c r="B135" s="684" t="s">
        <v>9</v>
      </c>
      <c r="C135" s="685"/>
      <c r="D135" s="107" t="s">
        <v>1070</v>
      </c>
      <c r="E135" s="375" t="s">
        <v>71</v>
      </c>
      <c r="F135" s="410">
        <v>1</v>
      </c>
      <c r="G135" s="413">
        <v>3500</v>
      </c>
      <c r="H135" s="411">
        <f t="shared" si="3"/>
        <v>3500</v>
      </c>
      <c r="I135" s="412">
        <f t="shared" si="4"/>
        <v>3500</v>
      </c>
      <c r="J135" s="487"/>
      <c r="K135" s="108"/>
      <c r="L135" s="108"/>
      <c r="M135" s="108"/>
      <c r="N135" s="108"/>
      <c r="O135" s="108"/>
      <c r="P135" s="108"/>
    </row>
    <row r="136" spans="1:16" ht="15.95" customHeight="1" x14ac:dyDescent="0.2">
      <c r="A136" s="104" t="s">
        <v>1009</v>
      </c>
      <c r="B136" s="292"/>
      <c r="C136" s="292"/>
      <c r="D136" s="105" t="s">
        <v>1071</v>
      </c>
      <c r="E136" s="374"/>
      <c r="F136" s="410"/>
      <c r="G136" s="417"/>
      <c r="H136" s="427"/>
      <c r="I136" s="397">
        <f>I137+I160</f>
        <v>1443.5100000000002</v>
      </c>
      <c r="J136" s="3"/>
      <c r="K136" s="4"/>
      <c r="L136" s="4"/>
      <c r="M136" s="4"/>
      <c r="N136" s="4"/>
      <c r="O136" s="4"/>
      <c r="P136" s="4"/>
    </row>
    <row r="137" spans="1:16" ht="15.95" customHeight="1" x14ac:dyDescent="0.2">
      <c r="A137" s="104" t="s">
        <v>1011</v>
      </c>
      <c r="B137" s="292"/>
      <c r="C137" s="292"/>
      <c r="D137" s="105" t="s">
        <v>132</v>
      </c>
      <c r="E137" s="374"/>
      <c r="F137" s="410"/>
      <c r="G137" s="417"/>
      <c r="H137" s="427"/>
      <c r="I137" s="397">
        <f>SUM(I138:I158)</f>
        <v>879.07</v>
      </c>
      <c r="J137" s="3"/>
      <c r="K137" s="4"/>
      <c r="L137" s="4"/>
      <c r="M137" s="4"/>
      <c r="N137" s="4"/>
      <c r="O137" s="4"/>
      <c r="P137" s="4"/>
    </row>
    <row r="138" spans="1:16" s="7" customFormat="1" x14ac:dyDescent="0.2">
      <c r="A138" s="384" t="s">
        <v>1012</v>
      </c>
      <c r="B138" s="684" t="s">
        <v>9</v>
      </c>
      <c r="C138" s="685"/>
      <c r="D138" s="227" t="s">
        <v>1072</v>
      </c>
      <c r="E138" s="374" t="s">
        <v>107</v>
      </c>
      <c r="F138" s="410">
        <v>30</v>
      </c>
      <c r="G138" s="417">
        <v>5.79</v>
      </c>
      <c r="H138" s="396">
        <f>ROUND(G138*(1+L$3),2)</f>
        <v>5.79</v>
      </c>
      <c r="I138" s="408">
        <f>ROUND(F138*H138,2)</f>
        <v>173.7</v>
      </c>
      <c r="J138" s="480"/>
      <c r="K138" s="6"/>
      <c r="L138" s="6"/>
      <c r="M138" s="6"/>
      <c r="N138" s="6"/>
      <c r="O138" s="6"/>
      <c r="P138" s="6"/>
    </row>
    <row r="139" spans="1:16" s="7" customFormat="1" ht="15.95" customHeight="1" x14ac:dyDescent="0.2">
      <c r="A139" s="384" t="s">
        <v>1014</v>
      </c>
      <c r="B139" s="684" t="s">
        <v>9</v>
      </c>
      <c r="C139" s="685"/>
      <c r="D139" s="227" t="s">
        <v>1015</v>
      </c>
      <c r="E139" s="374" t="s">
        <v>1016</v>
      </c>
      <c r="F139" s="410">
        <v>6</v>
      </c>
      <c r="G139" s="417">
        <v>3.17</v>
      </c>
      <c r="H139" s="396">
        <f t="shared" ref="H139:H158" si="5">ROUND(G139*(1+L$3),2)</f>
        <v>3.17</v>
      </c>
      <c r="I139" s="408">
        <f t="shared" ref="I139:I163" si="6">ROUND(F139*H139,2)</f>
        <v>19.02</v>
      </c>
      <c r="J139" s="480"/>
      <c r="K139" s="6"/>
      <c r="L139" s="6"/>
      <c r="M139" s="6"/>
      <c r="N139" s="6"/>
      <c r="O139" s="6"/>
      <c r="P139" s="6"/>
    </row>
    <row r="140" spans="1:16" s="373" customFormat="1" x14ac:dyDescent="0.2">
      <c r="A140" s="384" t="s">
        <v>1017</v>
      </c>
      <c r="B140" s="684" t="s">
        <v>9</v>
      </c>
      <c r="C140" s="685"/>
      <c r="D140" s="107" t="s">
        <v>1018</v>
      </c>
      <c r="E140" s="375" t="s">
        <v>71</v>
      </c>
      <c r="F140" s="410">
        <v>1</v>
      </c>
      <c r="G140" s="417">
        <v>1.9</v>
      </c>
      <c r="H140" s="411">
        <f t="shared" si="5"/>
        <v>1.9</v>
      </c>
      <c r="I140" s="412">
        <f t="shared" si="6"/>
        <v>1.9</v>
      </c>
      <c r="J140" s="486"/>
      <c r="K140" s="372"/>
      <c r="L140" s="372"/>
      <c r="M140" s="372"/>
      <c r="N140" s="372"/>
      <c r="O140" s="372"/>
      <c r="P140" s="372"/>
    </row>
    <row r="141" spans="1:16" s="373" customFormat="1" ht="15.95" customHeight="1" x14ac:dyDescent="0.2">
      <c r="A141" s="384" t="s">
        <v>1019</v>
      </c>
      <c r="B141" s="684" t="s">
        <v>9</v>
      </c>
      <c r="C141" s="685"/>
      <c r="D141" s="107" t="s">
        <v>1020</v>
      </c>
      <c r="E141" s="375" t="s">
        <v>71</v>
      </c>
      <c r="F141" s="410">
        <v>1</v>
      </c>
      <c r="G141" s="409">
        <v>8.56</v>
      </c>
      <c r="H141" s="411">
        <f t="shared" si="5"/>
        <v>8.56</v>
      </c>
      <c r="I141" s="412">
        <f t="shared" si="6"/>
        <v>8.56</v>
      </c>
      <c r="J141" s="486"/>
      <c r="K141" s="372"/>
      <c r="L141" s="372"/>
      <c r="M141" s="372"/>
      <c r="N141" s="372"/>
      <c r="O141" s="372"/>
      <c r="P141" s="372"/>
    </row>
    <row r="142" spans="1:16" s="373" customFormat="1" x14ac:dyDescent="0.2">
      <c r="A142" s="384" t="s">
        <v>1021</v>
      </c>
      <c r="B142" s="684" t="s">
        <v>9</v>
      </c>
      <c r="C142" s="685"/>
      <c r="D142" s="107" t="s">
        <v>1022</v>
      </c>
      <c r="E142" s="375" t="s">
        <v>2</v>
      </c>
      <c r="F142" s="410">
        <v>1</v>
      </c>
      <c r="G142" s="417">
        <v>10.039999999999999</v>
      </c>
      <c r="H142" s="411">
        <f t="shared" si="5"/>
        <v>10.039999999999999</v>
      </c>
      <c r="I142" s="412">
        <f t="shared" si="6"/>
        <v>10.039999999999999</v>
      </c>
      <c r="J142" s="486"/>
      <c r="K142" s="372"/>
      <c r="L142" s="372"/>
      <c r="M142" s="372"/>
      <c r="N142" s="372"/>
      <c r="O142" s="372"/>
      <c r="P142" s="372"/>
    </row>
    <row r="143" spans="1:16" s="373" customFormat="1" ht="15.95" customHeight="1" x14ac:dyDescent="0.2">
      <c r="A143" s="384" t="s">
        <v>1023</v>
      </c>
      <c r="B143" s="684" t="s">
        <v>9</v>
      </c>
      <c r="C143" s="685"/>
      <c r="D143" s="107" t="s">
        <v>1024</v>
      </c>
      <c r="E143" s="375" t="s">
        <v>71</v>
      </c>
      <c r="F143" s="410">
        <v>1</v>
      </c>
      <c r="G143" s="409">
        <v>5.5</v>
      </c>
      <c r="H143" s="411">
        <f t="shared" si="5"/>
        <v>5.5</v>
      </c>
      <c r="I143" s="412">
        <f t="shared" si="6"/>
        <v>5.5</v>
      </c>
      <c r="J143" s="486"/>
      <c r="K143" s="372"/>
      <c r="L143" s="372"/>
      <c r="M143" s="372"/>
      <c r="N143" s="372"/>
      <c r="O143" s="372"/>
      <c r="P143" s="372"/>
    </row>
    <row r="144" spans="1:16" s="373" customFormat="1" ht="15.95" customHeight="1" thickBot="1" x14ac:dyDescent="0.25">
      <c r="A144" s="428" t="s">
        <v>1025</v>
      </c>
      <c r="B144" s="686" t="s">
        <v>9</v>
      </c>
      <c r="C144" s="687"/>
      <c r="D144" s="418" t="s">
        <v>1026</v>
      </c>
      <c r="E144" s="429" t="s">
        <v>71</v>
      </c>
      <c r="F144" s="430">
        <v>1</v>
      </c>
      <c r="G144" s="431">
        <v>1.99</v>
      </c>
      <c r="H144" s="432">
        <f t="shared" si="5"/>
        <v>1.99</v>
      </c>
      <c r="I144" s="433">
        <f t="shared" si="6"/>
        <v>1.99</v>
      </c>
      <c r="J144" s="486"/>
      <c r="K144" s="372"/>
      <c r="L144" s="372"/>
      <c r="M144" s="372"/>
      <c r="N144" s="372"/>
      <c r="O144" s="372"/>
      <c r="P144" s="372"/>
    </row>
    <row r="145" spans="1:16" s="373" customFormat="1" ht="15.95" customHeight="1" x14ac:dyDescent="0.2">
      <c r="A145" s="434" t="s">
        <v>1027</v>
      </c>
      <c r="B145" s="688" t="s">
        <v>9</v>
      </c>
      <c r="C145" s="689"/>
      <c r="D145" s="420" t="s">
        <v>1028</v>
      </c>
      <c r="E145" s="435" t="s">
        <v>71</v>
      </c>
      <c r="F145" s="436">
        <v>1</v>
      </c>
      <c r="G145" s="437">
        <v>204.96</v>
      </c>
      <c r="H145" s="438">
        <f t="shared" si="5"/>
        <v>204.96</v>
      </c>
      <c r="I145" s="439">
        <f t="shared" si="6"/>
        <v>204.96</v>
      </c>
      <c r="J145" s="486"/>
      <c r="K145" s="372"/>
      <c r="L145" s="372"/>
      <c r="M145" s="372"/>
      <c r="N145" s="372"/>
      <c r="O145" s="372"/>
      <c r="P145" s="372"/>
    </row>
    <row r="146" spans="1:16" s="373" customFormat="1" x14ac:dyDescent="0.2">
      <c r="A146" s="384" t="s">
        <v>1029</v>
      </c>
      <c r="B146" s="684" t="s">
        <v>9</v>
      </c>
      <c r="C146" s="685"/>
      <c r="D146" s="107" t="s">
        <v>1030</v>
      </c>
      <c r="E146" s="375" t="s">
        <v>71</v>
      </c>
      <c r="F146" s="410">
        <v>1</v>
      </c>
      <c r="G146" s="417">
        <v>1.1100000000000001</v>
      </c>
      <c r="H146" s="411">
        <f t="shared" si="5"/>
        <v>1.1100000000000001</v>
      </c>
      <c r="I146" s="412">
        <f t="shared" si="6"/>
        <v>1.1100000000000001</v>
      </c>
      <c r="J146" s="486"/>
      <c r="K146" s="372"/>
      <c r="L146" s="372"/>
      <c r="M146" s="372"/>
      <c r="N146" s="372"/>
      <c r="O146" s="372"/>
      <c r="P146" s="372"/>
    </row>
    <row r="147" spans="1:16" s="373" customFormat="1" ht="15.95" customHeight="1" x14ac:dyDescent="0.2">
      <c r="A147" s="384" t="s">
        <v>1031</v>
      </c>
      <c r="B147" s="684" t="s">
        <v>9</v>
      </c>
      <c r="C147" s="685"/>
      <c r="D147" s="107" t="s">
        <v>1032</v>
      </c>
      <c r="E147" s="375" t="s">
        <v>71</v>
      </c>
      <c r="F147" s="410">
        <v>1</v>
      </c>
      <c r="G147" s="409">
        <v>159.54</v>
      </c>
      <c r="H147" s="411">
        <f t="shared" si="5"/>
        <v>159.54</v>
      </c>
      <c r="I147" s="412">
        <f t="shared" si="6"/>
        <v>159.54</v>
      </c>
      <c r="J147" s="486"/>
      <c r="K147" s="372"/>
      <c r="L147" s="372"/>
      <c r="M147" s="372"/>
      <c r="N147" s="372"/>
      <c r="O147" s="372"/>
      <c r="P147" s="372"/>
    </row>
    <row r="148" spans="1:16" s="373" customFormat="1" ht="15.95" customHeight="1" x14ac:dyDescent="0.2">
      <c r="A148" s="384" t="s">
        <v>1033</v>
      </c>
      <c r="B148" s="684" t="s">
        <v>9</v>
      </c>
      <c r="C148" s="685"/>
      <c r="D148" s="107" t="s">
        <v>1034</v>
      </c>
      <c r="E148" s="375" t="s">
        <v>71</v>
      </c>
      <c r="F148" s="410">
        <v>1</v>
      </c>
      <c r="G148" s="417">
        <v>1.5</v>
      </c>
      <c r="H148" s="411">
        <f t="shared" si="5"/>
        <v>1.5</v>
      </c>
      <c r="I148" s="412">
        <f t="shared" si="6"/>
        <v>1.5</v>
      </c>
      <c r="J148" s="486"/>
      <c r="K148" s="372"/>
      <c r="L148" s="372"/>
      <c r="M148" s="372"/>
      <c r="N148" s="372"/>
      <c r="O148" s="372"/>
      <c r="P148" s="372"/>
    </row>
    <row r="149" spans="1:16" s="373" customFormat="1" x14ac:dyDescent="0.2">
      <c r="A149" s="384" t="s">
        <v>1035</v>
      </c>
      <c r="B149" s="684" t="s">
        <v>9</v>
      </c>
      <c r="C149" s="685"/>
      <c r="D149" s="107" t="s">
        <v>1036</v>
      </c>
      <c r="E149" s="375" t="s">
        <v>1016</v>
      </c>
      <c r="F149" s="410">
        <v>6</v>
      </c>
      <c r="G149" s="409">
        <v>1.52</v>
      </c>
      <c r="H149" s="411">
        <f t="shared" si="5"/>
        <v>1.52</v>
      </c>
      <c r="I149" s="412">
        <f t="shared" si="6"/>
        <v>9.1199999999999992</v>
      </c>
      <c r="J149" s="486"/>
      <c r="K149" s="372"/>
      <c r="L149" s="372"/>
      <c r="M149" s="372"/>
      <c r="N149" s="372"/>
      <c r="O149" s="372"/>
      <c r="P149" s="372"/>
    </row>
    <row r="150" spans="1:16" s="7" customFormat="1" x14ac:dyDescent="0.2">
      <c r="A150" s="384" t="s">
        <v>1037</v>
      </c>
      <c r="B150" s="684" t="s">
        <v>9</v>
      </c>
      <c r="C150" s="685"/>
      <c r="D150" s="403" t="s">
        <v>1038</v>
      </c>
      <c r="E150" s="143" t="s">
        <v>71</v>
      </c>
      <c r="F150" s="436">
        <v>3</v>
      </c>
      <c r="G150" s="417">
        <v>1.49</v>
      </c>
      <c r="H150" s="396">
        <f t="shared" si="5"/>
        <v>1.49</v>
      </c>
      <c r="I150" s="408">
        <f t="shared" si="6"/>
        <v>4.47</v>
      </c>
      <c r="J150" s="480"/>
      <c r="K150" s="6"/>
      <c r="L150" s="6"/>
      <c r="M150" s="6"/>
      <c r="N150" s="6"/>
      <c r="O150" s="6"/>
      <c r="P150" s="6"/>
    </row>
    <row r="151" spans="1:16" s="373" customFormat="1" x14ac:dyDescent="0.2">
      <c r="A151" s="384" t="s">
        <v>1039</v>
      </c>
      <c r="B151" s="684" t="s">
        <v>9</v>
      </c>
      <c r="C151" s="685"/>
      <c r="D151" s="107" t="s">
        <v>1040</v>
      </c>
      <c r="E151" s="375" t="s">
        <v>71</v>
      </c>
      <c r="F151" s="410">
        <v>3</v>
      </c>
      <c r="G151" s="417">
        <v>30.94</v>
      </c>
      <c r="H151" s="411">
        <f t="shared" si="5"/>
        <v>30.94</v>
      </c>
      <c r="I151" s="412">
        <f t="shared" si="6"/>
        <v>92.82</v>
      </c>
      <c r="J151" s="486"/>
      <c r="K151" s="372"/>
      <c r="L151" s="372"/>
      <c r="M151" s="372"/>
      <c r="N151" s="372"/>
      <c r="O151" s="372"/>
      <c r="P151" s="372"/>
    </row>
    <row r="152" spans="1:16" s="373" customFormat="1" x14ac:dyDescent="0.2">
      <c r="A152" s="384" t="s">
        <v>1041</v>
      </c>
      <c r="B152" s="684" t="s">
        <v>9</v>
      </c>
      <c r="C152" s="685"/>
      <c r="D152" s="107" t="s">
        <v>1042</v>
      </c>
      <c r="E152" s="375" t="s">
        <v>71</v>
      </c>
      <c r="F152" s="410">
        <v>1</v>
      </c>
      <c r="G152" s="417">
        <v>43.85</v>
      </c>
      <c r="H152" s="411">
        <f t="shared" si="5"/>
        <v>43.85</v>
      </c>
      <c r="I152" s="412">
        <f t="shared" si="6"/>
        <v>43.85</v>
      </c>
      <c r="J152" s="486"/>
      <c r="K152" s="372"/>
      <c r="L152" s="372"/>
      <c r="M152" s="372"/>
      <c r="N152" s="372"/>
      <c r="O152" s="372"/>
      <c r="P152" s="372"/>
    </row>
    <row r="153" spans="1:16" s="373" customFormat="1" x14ac:dyDescent="0.2">
      <c r="A153" s="384" t="s">
        <v>1043</v>
      </c>
      <c r="B153" s="684" t="s">
        <v>9</v>
      </c>
      <c r="C153" s="685"/>
      <c r="D153" s="107" t="s">
        <v>1044</v>
      </c>
      <c r="E153" s="375" t="s">
        <v>71</v>
      </c>
      <c r="F153" s="410">
        <v>1</v>
      </c>
      <c r="G153" s="417">
        <v>6.03</v>
      </c>
      <c r="H153" s="411">
        <f t="shared" si="5"/>
        <v>6.03</v>
      </c>
      <c r="I153" s="412">
        <f t="shared" si="6"/>
        <v>6.03</v>
      </c>
      <c r="J153" s="486"/>
      <c r="K153" s="372"/>
      <c r="L153" s="372"/>
      <c r="M153" s="372"/>
      <c r="N153" s="372"/>
      <c r="O153" s="372"/>
      <c r="P153" s="372"/>
    </row>
    <row r="154" spans="1:16" s="373" customFormat="1" x14ac:dyDescent="0.2">
      <c r="A154" s="384" t="s">
        <v>1045</v>
      </c>
      <c r="B154" s="684" t="s">
        <v>9</v>
      </c>
      <c r="C154" s="685"/>
      <c r="D154" s="107" t="s">
        <v>1046</v>
      </c>
      <c r="E154" s="375" t="s">
        <v>71</v>
      </c>
      <c r="F154" s="410">
        <v>1</v>
      </c>
      <c r="G154" s="417">
        <v>2.96</v>
      </c>
      <c r="H154" s="411">
        <f t="shared" si="5"/>
        <v>2.96</v>
      </c>
      <c r="I154" s="412">
        <f t="shared" si="6"/>
        <v>2.96</v>
      </c>
      <c r="J154" s="486"/>
      <c r="K154" s="372"/>
      <c r="L154" s="372"/>
      <c r="M154" s="372"/>
      <c r="N154" s="372"/>
      <c r="O154" s="372"/>
      <c r="P154" s="372"/>
    </row>
    <row r="155" spans="1:16" s="373" customFormat="1" ht="15.95" customHeight="1" x14ac:dyDescent="0.2">
      <c r="A155" s="384" t="s">
        <v>1047</v>
      </c>
      <c r="B155" s="684" t="s">
        <v>9</v>
      </c>
      <c r="C155" s="685"/>
      <c r="D155" s="107" t="s">
        <v>1048</v>
      </c>
      <c r="E155" s="375" t="s">
        <v>71</v>
      </c>
      <c r="F155" s="410">
        <v>200</v>
      </c>
      <c r="G155" s="417">
        <v>0.32</v>
      </c>
      <c r="H155" s="411">
        <f t="shared" si="5"/>
        <v>0.32</v>
      </c>
      <c r="I155" s="412">
        <f t="shared" si="6"/>
        <v>64</v>
      </c>
      <c r="J155" s="486"/>
      <c r="K155" s="372"/>
      <c r="L155" s="372"/>
      <c r="M155" s="372"/>
      <c r="N155" s="372"/>
      <c r="O155" s="372"/>
      <c r="P155" s="372"/>
    </row>
    <row r="156" spans="1:16" s="373" customFormat="1" ht="15.95" customHeight="1" x14ac:dyDescent="0.2">
      <c r="A156" s="384" t="s">
        <v>1049</v>
      </c>
      <c r="B156" s="684" t="s">
        <v>9</v>
      </c>
      <c r="C156" s="685"/>
      <c r="D156" s="107" t="s">
        <v>1050</v>
      </c>
      <c r="E156" s="375" t="s">
        <v>71</v>
      </c>
      <c r="F156" s="410">
        <v>200</v>
      </c>
      <c r="G156" s="417">
        <v>0.15</v>
      </c>
      <c r="H156" s="411">
        <f t="shared" si="5"/>
        <v>0.15</v>
      </c>
      <c r="I156" s="412">
        <f t="shared" si="6"/>
        <v>30</v>
      </c>
      <c r="J156" s="486"/>
      <c r="K156" s="372"/>
      <c r="L156" s="372"/>
      <c r="M156" s="372"/>
      <c r="N156" s="372"/>
      <c r="O156" s="372"/>
      <c r="P156" s="372"/>
    </row>
    <row r="157" spans="1:16" s="373" customFormat="1" ht="15.95" customHeight="1" x14ac:dyDescent="0.2">
      <c r="A157" s="384" t="s">
        <v>1051</v>
      </c>
      <c r="B157" s="684" t="s">
        <v>9</v>
      </c>
      <c r="C157" s="685"/>
      <c r="D157" s="107" t="s">
        <v>1052</v>
      </c>
      <c r="E157" s="375" t="s">
        <v>71</v>
      </c>
      <c r="F157" s="410">
        <v>200</v>
      </c>
      <c r="G157" s="417">
        <v>0.08</v>
      </c>
      <c r="H157" s="411">
        <f t="shared" si="5"/>
        <v>0.08</v>
      </c>
      <c r="I157" s="412">
        <f t="shared" si="6"/>
        <v>16</v>
      </c>
      <c r="J157" s="486"/>
      <c r="K157" s="372"/>
      <c r="L157" s="372"/>
      <c r="M157" s="372"/>
      <c r="N157" s="372"/>
      <c r="O157" s="372"/>
      <c r="P157" s="372"/>
    </row>
    <row r="158" spans="1:16" s="373" customFormat="1" ht="15.95" customHeight="1" x14ac:dyDescent="0.2">
      <c r="A158" s="384" t="s">
        <v>1053</v>
      </c>
      <c r="B158" s="684" t="s">
        <v>9</v>
      </c>
      <c r="C158" s="685"/>
      <c r="D158" s="107" t="s">
        <v>1054</v>
      </c>
      <c r="E158" s="375" t="s">
        <v>71</v>
      </c>
      <c r="F158" s="410">
        <v>200</v>
      </c>
      <c r="G158" s="409">
        <v>0.11</v>
      </c>
      <c r="H158" s="411">
        <f t="shared" si="5"/>
        <v>0.11</v>
      </c>
      <c r="I158" s="412">
        <f t="shared" si="6"/>
        <v>22</v>
      </c>
      <c r="J158" s="486"/>
      <c r="K158" s="372"/>
      <c r="L158" s="372"/>
      <c r="M158" s="372"/>
      <c r="N158" s="372"/>
      <c r="O158" s="372"/>
      <c r="P158" s="372"/>
    </row>
    <row r="159" spans="1:16" s="373" customFormat="1" ht="15.95" customHeight="1" x14ac:dyDescent="0.2">
      <c r="A159" s="384"/>
      <c r="B159" s="375"/>
      <c r="C159" s="375"/>
      <c r="D159" s="107"/>
      <c r="E159" s="375"/>
      <c r="F159" s="410"/>
      <c r="G159" s="409"/>
      <c r="H159" s="411"/>
      <c r="I159" s="412"/>
      <c r="J159" s="486"/>
      <c r="K159" s="372"/>
      <c r="L159" s="372"/>
      <c r="M159" s="372"/>
      <c r="N159" s="372"/>
      <c r="O159" s="372"/>
      <c r="P159" s="372"/>
    </row>
    <row r="160" spans="1:16" s="7" customFormat="1" ht="15" x14ac:dyDescent="0.2">
      <c r="A160" s="104" t="s">
        <v>1055</v>
      </c>
      <c r="B160" s="374"/>
      <c r="C160" s="374"/>
      <c r="D160" s="105" t="s">
        <v>294</v>
      </c>
      <c r="E160" s="374"/>
      <c r="F160" s="410"/>
      <c r="G160" s="417"/>
      <c r="H160" s="396"/>
      <c r="I160" s="397">
        <f>SUM(I161:I163)</f>
        <v>564.44000000000005</v>
      </c>
      <c r="J160" s="480"/>
      <c r="K160" s="6"/>
      <c r="L160" s="6"/>
      <c r="M160" s="6"/>
      <c r="N160" s="6"/>
      <c r="O160" s="6"/>
      <c r="P160" s="6"/>
    </row>
    <row r="161" spans="1:16" s="7" customFormat="1" x14ac:dyDescent="0.2">
      <c r="A161" s="384" t="s">
        <v>1056</v>
      </c>
      <c r="B161" s="374" t="s">
        <v>98</v>
      </c>
      <c r="C161" s="374">
        <v>2436</v>
      </c>
      <c r="D161" s="227" t="s">
        <v>295</v>
      </c>
      <c r="E161" s="374" t="s">
        <v>296</v>
      </c>
      <c r="F161" s="410">
        <v>8</v>
      </c>
      <c r="G161" s="395">
        <v>9.86</v>
      </c>
      <c r="H161" s="396">
        <f>ROUND(G161*(1+L$7),2)</f>
        <v>21.93</v>
      </c>
      <c r="I161" s="408">
        <f t="shared" si="6"/>
        <v>175.44</v>
      </c>
      <c r="J161" s="480"/>
      <c r="K161" s="6"/>
      <c r="L161" s="6"/>
      <c r="M161" s="6"/>
      <c r="N161" s="6"/>
      <c r="O161" s="6"/>
      <c r="P161" s="6"/>
    </row>
    <row r="162" spans="1:16" s="7" customFormat="1" x14ac:dyDescent="0.2">
      <c r="A162" s="384" t="s">
        <v>1057</v>
      </c>
      <c r="B162" s="374" t="s">
        <v>98</v>
      </c>
      <c r="C162" s="374">
        <v>6113</v>
      </c>
      <c r="D162" s="227" t="s">
        <v>297</v>
      </c>
      <c r="E162" s="374" t="s">
        <v>97</v>
      </c>
      <c r="F162" s="410">
        <v>8</v>
      </c>
      <c r="G162" s="395">
        <v>7.07</v>
      </c>
      <c r="H162" s="396">
        <f t="shared" ref="H162:H163" si="7">ROUND(G162*(1+L$7),2)</f>
        <v>15.73</v>
      </c>
      <c r="I162" s="408">
        <f t="shared" si="6"/>
        <v>125.84</v>
      </c>
      <c r="J162" s="480"/>
      <c r="K162" s="6"/>
      <c r="L162" s="6"/>
      <c r="M162" s="6"/>
      <c r="N162" s="6"/>
      <c r="O162" s="6"/>
      <c r="P162" s="6"/>
    </row>
    <row r="163" spans="1:16" s="7" customFormat="1" x14ac:dyDescent="0.2">
      <c r="A163" s="384" t="s">
        <v>1058</v>
      </c>
      <c r="B163" s="374" t="s">
        <v>98</v>
      </c>
      <c r="C163" s="374">
        <v>4750</v>
      </c>
      <c r="D163" s="227" t="s">
        <v>305</v>
      </c>
      <c r="E163" s="374" t="s">
        <v>97</v>
      </c>
      <c r="F163" s="410">
        <v>12</v>
      </c>
      <c r="G163" s="395">
        <v>9.86</v>
      </c>
      <c r="H163" s="396">
        <f t="shared" si="7"/>
        <v>21.93</v>
      </c>
      <c r="I163" s="408">
        <f t="shared" si="6"/>
        <v>263.16000000000003</v>
      </c>
      <c r="J163" s="480"/>
      <c r="K163" s="6"/>
      <c r="L163" s="6"/>
      <c r="M163" s="6"/>
      <c r="N163" s="6"/>
      <c r="O163" s="6"/>
      <c r="P163" s="6"/>
    </row>
    <row r="164" spans="1:16" s="7" customFormat="1" x14ac:dyDescent="0.2">
      <c r="A164" s="384"/>
      <c r="B164" s="374"/>
      <c r="C164" s="374"/>
      <c r="D164" s="227"/>
      <c r="E164" s="374"/>
      <c r="F164" s="410"/>
      <c r="G164" s="417"/>
      <c r="H164" s="396"/>
      <c r="I164" s="408"/>
      <c r="J164" s="480"/>
      <c r="K164" s="6"/>
      <c r="L164" s="6"/>
      <c r="M164" s="6"/>
      <c r="N164" s="6"/>
      <c r="O164" s="6"/>
      <c r="P164" s="6"/>
    </row>
    <row r="165" spans="1:16" s="7" customFormat="1" x14ac:dyDescent="0.2">
      <c r="A165" s="384"/>
      <c r="B165" s="374"/>
      <c r="C165" s="374"/>
      <c r="D165" s="227"/>
      <c r="E165" s="374"/>
      <c r="F165" s="410"/>
      <c r="G165" s="417"/>
      <c r="H165" s="396"/>
      <c r="I165" s="408"/>
      <c r="J165" s="480"/>
      <c r="K165" s="6"/>
      <c r="L165" s="6"/>
      <c r="M165" s="6"/>
      <c r="N165" s="6"/>
      <c r="O165" s="6"/>
      <c r="P165" s="6"/>
    </row>
    <row r="166" spans="1:16" s="7" customFormat="1" ht="15" x14ac:dyDescent="0.2">
      <c r="A166" s="104"/>
      <c r="B166" s="374"/>
      <c r="C166" s="374"/>
      <c r="D166" s="105" t="s">
        <v>1086</v>
      </c>
      <c r="E166" s="374"/>
      <c r="F166" s="410"/>
      <c r="G166" s="417"/>
      <c r="H166" s="396"/>
      <c r="I166" s="397">
        <f>I46+I60+I96+I118+I134+I136</f>
        <v>33154.950000000004</v>
      </c>
      <c r="J166" s="480"/>
      <c r="K166" s="6"/>
      <c r="L166" s="6"/>
      <c r="M166" s="6"/>
      <c r="N166" s="6"/>
      <c r="O166" s="6"/>
      <c r="P166" s="6"/>
    </row>
    <row r="167" spans="1:16" s="7" customFormat="1" ht="15" x14ac:dyDescent="0.2">
      <c r="A167" s="254"/>
      <c r="B167" s="143"/>
      <c r="C167" s="143"/>
      <c r="D167" s="441"/>
      <c r="E167" s="143"/>
      <c r="F167" s="436"/>
      <c r="G167" s="417"/>
      <c r="H167" s="406"/>
      <c r="I167" s="442"/>
      <c r="J167" s="480"/>
      <c r="K167" s="6"/>
      <c r="L167" s="6"/>
      <c r="M167" s="6"/>
      <c r="N167" s="6"/>
      <c r="O167" s="6"/>
      <c r="P167" s="6"/>
    </row>
    <row r="168" spans="1:16" s="7" customFormat="1" ht="15" x14ac:dyDescent="0.2">
      <c r="A168" s="254"/>
      <c r="B168" s="143"/>
      <c r="C168" s="143"/>
      <c r="D168" s="441"/>
      <c r="E168" s="143"/>
      <c r="F168" s="436"/>
      <c r="G168" s="417"/>
      <c r="H168" s="406"/>
      <c r="I168" s="442"/>
      <c r="J168" s="480"/>
      <c r="K168" s="6"/>
      <c r="L168" s="6"/>
      <c r="M168" s="6"/>
      <c r="N168" s="6"/>
      <c r="O168" s="6"/>
      <c r="P168" s="6"/>
    </row>
    <row r="169" spans="1:16" s="7" customFormat="1" ht="15" x14ac:dyDescent="0.2">
      <c r="A169" s="254"/>
      <c r="B169" s="143"/>
      <c r="C169" s="143"/>
      <c r="D169" s="441"/>
      <c r="E169" s="143"/>
      <c r="F169" s="436"/>
      <c r="G169" s="417"/>
      <c r="H169" s="406"/>
      <c r="I169" s="442"/>
      <c r="J169" s="480"/>
      <c r="K169" s="6"/>
      <c r="L169" s="6"/>
      <c r="M169" s="6"/>
      <c r="N169" s="6"/>
      <c r="O169" s="6"/>
      <c r="P169" s="6"/>
    </row>
    <row r="170" spans="1:16" s="7" customFormat="1" ht="15" x14ac:dyDescent="0.2">
      <c r="A170" s="254"/>
      <c r="B170" s="143"/>
      <c r="C170" s="143"/>
      <c r="D170" s="441"/>
      <c r="E170" s="143"/>
      <c r="F170" s="436"/>
      <c r="G170" s="417"/>
      <c r="H170" s="406"/>
      <c r="I170" s="442"/>
      <c r="J170" s="480"/>
      <c r="K170" s="6"/>
      <c r="L170" s="6"/>
      <c r="M170" s="6"/>
      <c r="N170" s="6"/>
      <c r="O170" s="6"/>
      <c r="P170" s="6"/>
    </row>
    <row r="171" spans="1:16" s="7" customFormat="1" ht="15" x14ac:dyDescent="0.2">
      <c r="A171" s="254"/>
      <c r="B171" s="143"/>
      <c r="C171" s="143"/>
      <c r="D171" s="441"/>
      <c r="E171" s="143"/>
      <c r="F171" s="436"/>
      <c r="G171" s="417"/>
      <c r="H171" s="406"/>
      <c r="I171" s="442"/>
      <c r="J171" s="480"/>
      <c r="K171" s="6"/>
      <c r="L171" s="6"/>
      <c r="M171" s="6"/>
      <c r="N171" s="6"/>
      <c r="O171" s="6"/>
      <c r="P171" s="6"/>
    </row>
    <row r="172" spans="1:16" s="7" customFormat="1" ht="15" x14ac:dyDescent="0.2">
      <c r="A172" s="254"/>
      <c r="B172" s="143"/>
      <c r="C172" s="143"/>
      <c r="D172" s="441"/>
      <c r="E172" s="143"/>
      <c r="F172" s="436"/>
      <c r="G172" s="417"/>
      <c r="H172" s="406"/>
      <c r="I172" s="442"/>
      <c r="J172" s="480"/>
      <c r="K172" s="6"/>
      <c r="L172" s="6"/>
      <c r="M172" s="6"/>
      <c r="N172" s="6"/>
      <c r="O172" s="6"/>
      <c r="P172" s="6"/>
    </row>
    <row r="173" spans="1:16" s="7" customFormat="1" ht="15" x14ac:dyDescent="0.2">
      <c r="A173" s="254"/>
      <c r="B173" s="143"/>
      <c r="C173" s="143"/>
      <c r="D173" s="441"/>
      <c r="E173" s="143"/>
      <c r="F173" s="436"/>
      <c r="G173" s="417"/>
      <c r="H173" s="406"/>
      <c r="I173" s="442"/>
      <c r="J173" s="480"/>
      <c r="K173" s="6"/>
      <c r="L173" s="6"/>
      <c r="M173" s="6"/>
      <c r="N173" s="6"/>
      <c r="O173" s="6"/>
      <c r="P173" s="6"/>
    </row>
    <row r="174" spans="1:16" s="7" customFormat="1" ht="15" x14ac:dyDescent="0.2">
      <c r="A174" s="254"/>
      <c r="B174" s="143"/>
      <c r="C174" s="143"/>
      <c r="D174" s="441"/>
      <c r="E174" s="143"/>
      <c r="F174" s="436"/>
      <c r="G174" s="417"/>
      <c r="H174" s="406"/>
      <c r="I174" s="442"/>
      <c r="J174" s="480"/>
      <c r="K174" s="6"/>
      <c r="L174" s="6"/>
      <c r="M174" s="6"/>
      <c r="N174" s="6"/>
      <c r="O174" s="6"/>
      <c r="P174" s="6"/>
    </row>
    <row r="175" spans="1:16" s="7" customFormat="1" ht="15.95" customHeight="1" x14ac:dyDescent="0.2">
      <c r="A175" s="254"/>
      <c r="B175" s="143"/>
      <c r="C175" s="143"/>
      <c r="D175" s="441"/>
      <c r="E175" s="143"/>
      <c r="F175" s="436"/>
      <c r="G175" s="417"/>
      <c r="H175" s="406"/>
      <c r="I175" s="442"/>
      <c r="J175" s="8"/>
      <c r="K175" s="8"/>
      <c r="L175" s="8"/>
      <c r="M175" s="8"/>
      <c r="N175" s="8"/>
      <c r="O175" s="8"/>
      <c r="P175" s="8"/>
    </row>
    <row r="176" spans="1:16" s="7" customFormat="1" ht="15" x14ac:dyDescent="0.2">
      <c r="A176" s="254"/>
      <c r="B176" s="143"/>
      <c r="C176" s="143"/>
      <c r="D176" s="441"/>
      <c r="E176" s="143"/>
      <c r="F176" s="436"/>
      <c r="G176" s="417"/>
      <c r="H176" s="406"/>
      <c r="I176" s="442"/>
      <c r="J176" s="8"/>
      <c r="K176" s="9"/>
      <c r="L176" s="8"/>
      <c r="M176" s="8"/>
      <c r="N176" s="8"/>
      <c r="O176" s="8"/>
      <c r="P176" s="8"/>
    </row>
    <row r="177" spans="1:16" ht="15.95" customHeight="1" x14ac:dyDescent="0.2">
      <c r="J177" s="5"/>
      <c r="K177" s="5"/>
      <c r="L177" s="5"/>
      <c r="M177" s="5"/>
      <c r="N177" s="5"/>
      <c r="O177" s="5"/>
      <c r="P177" s="5"/>
    </row>
    <row r="178" spans="1:16" ht="15.95" customHeight="1" x14ac:dyDescent="0.2">
      <c r="J178" s="5"/>
      <c r="K178" s="5"/>
      <c r="L178" s="5"/>
      <c r="M178" s="5"/>
      <c r="N178" s="5"/>
      <c r="O178" s="5"/>
      <c r="P178" s="5"/>
    </row>
    <row r="179" spans="1:16" ht="15.95" customHeight="1" x14ac:dyDescent="0.2">
      <c r="J179" s="5"/>
      <c r="K179" s="5"/>
      <c r="L179" s="5"/>
      <c r="M179" s="5"/>
      <c r="N179" s="5"/>
      <c r="O179" s="5"/>
      <c r="P179" s="5"/>
    </row>
    <row r="180" spans="1:16" ht="15.95" customHeight="1" x14ac:dyDescent="0.2">
      <c r="J180" s="5"/>
      <c r="K180" s="5"/>
      <c r="L180" s="5"/>
      <c r="M180" s="5"/>
      <c r="N180" s="5"/>
      <c r="O180" s="5"/>
      <c r="P180" s="5"/>
    </row>
    <row r="181" spans="1:16" ht="15.95" customHeight="1" x14ac:dyDescent="0.2">
      <c r="J181" s="5"/>
      <c r="K181" s="5"/>
      <c r="L181" s="5"/>
      <c r="M181" s="5"/>
      <c r="N181" s="5"/>
      <c r="O181" s="5"/>
      <c r="P181" s="5"/>
    </row>
    <row r="182" spans="1:16" ht="15.95" customHeight="1" x14ac:dyDescent="0.2">
      <c r="J182" s="5"/>
      <c r="K182" s="5"/>
      <c r="L182" s="5"/>
      <c r="M182" s="5"/>
      <c r="N182" s="5"/>
      <c r="O182" s="5"/>
      <c r="P182" s="5"/>
    </row>
    <row r="183" spans="1:16" ht="15.95" customHeight="1" x14ac:dyDescent="0.2">
      <c r="J183" s="5"/>
      <c r="K183" s="5"/>
      <c r="L183" s="5"/>
      <c r="M183" s="5"/>
      <c r="N183" s="5"/>
      <c r="O183" s="5"/>
      <c r="P183" s="5"/>
    </row>
    <row r="184" spans="1:16" ht="15.95" customHeight="1" x14ac:dyDescent="0.2">
      <c r="J184" s="5"/>
      <c r="K184" s="5"/>
      <c r="L184" s="5"/>
      <c r="M184" s="5"/>
      <c r="N184" s="5"/>
      <c r="O184" s="5"/>
      <c r="P184" s="5"/>
    </row>
    <row r="185" spans="1:16" ht="15.95" customHeight="1" x14ac:dyDescent="0.2">
      <c r="J185" s="5"/>
      <c r="K185" s="5"/>
      <c r="L185" s="5"/>
      <c r="M185" s="5"/>
      <c r="N185" s="5"/>
      <c r="O185" s="5"/>
      <c r="P185" s="5"/>
    </row>
    <row r="186" spans="1:16" ht="15.95" customHeight="1" x14ac:dyDescent="0.2">
      <c r="J186" s="5"/>
      <c r="K186" s="5"/>
      <c r="L186" s="5"/>
      <c r="M186" s="5"/>
      <c r="N186" s="5"/>
      <c r="O186" s="5"/>
      <c r="P186" s="5"/>
    </row>
    <row r="187" spans="1:16" ht="15.95" customHeight="1" x14ac:dyDescent="0.2">
      <c r="J187" s="5"/>
      <c r="K187" s="5"/>
      <c r="L187" s="5"/>
      <c r="M187" s="5"/>
      <c r="N187" s="5"/>
      <c r="O187" s="5"/>
      <c r="P187" s="5"/>
    </row>
    <row r="188" spans="1:16" ht="15.95" customHeight="1" x14ac:dyDescent="0.2">
      <c r="J188" s="5"/>
      <c r="K188" s="5"/>
      <c r="L188" s="5"/>
      <c r="M188" s="5"/>
      <c r="N188" s="5"/>
      <c r="O188" s="5"/>
      <c r="P188" s="5"/>
    </row>
    <row r="189" spans="1:16" ht="15.95" customHeight="1" x14ac:dyDescent="0.2">
      <c r="J189" s="5"/>
      <c r="K189" s="5"/>
      <c r="L189" s="5"/>
      <c r="M189" s="5"/>
      <c r="N189" s="5"/>
      <c r="O189" s="5"/>
      <c r="P189" s="5"/>
    </row>
    <row r="190" spans="1:16" ht="15.95" customHeight="1" x14ac:dyDescent="0.2">
      <c r="J190" s="5"/>
      <c r="K190" s="5"/>
      <c r="L190" s="5"/>
      <c r="M190" s="5"/>
      <c r="N190" s="5"/>
      <c r="O190" s="5"/>
      <c r="P190" s="5"/>
    </row>
    <row r="191" spans="1:16" ht="15.95" customHeight="1" x14ac:dyDescent="0.2">
      <c r="J191" s="5"/>
      <c r="K191" s="5"/>
      <c r="L191" s="5"/>
      <c r="M191" s="5"/>
      <c r="N191" s="5"/>
      <c r="O191" s="5"/>
      <c r="P191" s="5"/>
    </row>
    <row r="192" spans="1:16" ht="15.9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5"/>
      <c r="K192" s="5"/>
      <c r="L192" s="5"/>
      <c r="M192" s="5"/>
      <c r="N192" s="5"/>
      <c r="O192" s="5"/>
      <c r="P192" s="5"/>
    </row>
    <row r="193" spans="1:16" ht="15.9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5"/>
      <c r="K193" s="5"/>
      <c r="L193" s="5"/>
      <c r="M193" s="5"/>
      <c r="N193" s="5"/>
      <c r="O193" s="5"/>
      <c r="P193" s="5"/>
    </row>
    <row r="194" spans="1:16" ht="15.9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5"/>
      <c r="K194" s="5"/>
      <c r="L194" s="5"/>
      <c r="M194" s="5"/>
      <c r="N194" s="5"/>
      <c r="O194" s="5"/>
      <c r="P194" s="5"/>
    </row>
    <row r="195" spans="1:16" ht="15.9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5"/>
      <c r="K195" s="5"/>
      <c r="L195" s="5"/>
      <c r="M195" s="5"/>
      <c r="N195" s="5"/>
      <c r="O195" s="5"/>
      <c r="P195" s="5"/>
    </row>
    <row r="196" spans="1:16" ht="15.9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5"/>
      <c r="K196" s="5"/>
      <c r="L196" s="5"/>
      <c r="M196" s="5"/>
      <c r="N196" s="5"/>
      <c r="O196" s="5"/>
      <c r="P196" s="5"/>
    </row>
    <row r="197" spans="1:16" ht="15.9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5"/>
      <c r="K197" s="5"/>
      <c r="L197" s="5"/>
      <c r="M197" s="5"/>
      <c r="N197" s="5"/>
      <c r="O197" s="5"/>
      <c r="P197" s="5"/>
    </row>
    <row r="198" spans="1:16" ht="15.9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5"/>
      <c r="K198" s="5"/>
      <c r="L198" s="5"/>
      <c r="M198" s="5"/>
      <c r="N198" s="5"/>
      <c r="O198" s="5"/>
      <c r="P198" s="5"/>
    </row>
    <row r="199" spans="1:16" ht="15.9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5"/>
      <c r="K199" s="5"/>
      <c r="L199" s="5"/>
      <c r="M199" s="5"/>
      <c r="N199" s="5"/>
      <c r="O199" s="5"/>
      <c r="P199" s="5"/>
    </row>
    <row r="200" spans="1:16" ht="15.9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5"/>
      <c r="K200" s="5"/>
      <c r="L200" s="5"/>
      <c r="M200" s="5"/>
      <c r="N200" s="5"/>
      <c r="O200" s="5"/>
      <c r="P200" s="5"/>
    </row>
    <row r="201" spans="1:16" ht="15.9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5"/>
      <c r="K201" s="5"/>
      <c r="L201" s="5"/>
      <c r="M201" s="5"/>
      <c r="N201" s="5"/>
      <c r="O201" s="5"/>
      <c r="P201" s="5"/>
    </row>
    <row r="202" spans="1:16" ht="15.9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5"/>
      <c r="K202" s="5"/>
      <c r="L202" s="5"/>
      <c r="M202" s="5"/>
      <c r="N202" s="5"/>
      <c r="O202" s="5"/>
      <c r="P202" s="5"/>
    </row>
    <row r="203" spans="1:16" ht="15.9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5"/>
      <c r="K203" s="5"/>
      <c r="L203" s="5"/>
      <c r="M203" s="5"/>
      <c r="N203" s="5"/>
      <c r="O203" s="5"/>
      <c r="P203" s="5"/>
    </row>
    <row r="204" spans="1:16" ht="15.9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5"/>
      <c r="K204" s="5"/>
      <c r="L204" s="5"/>
      <c r="M204" s="5"/>
      <c r="N204" s="5"/>
      <c r="O204" s="5"/>
      <c r="P204" s="5"/>
    </row>
    <row r="205" spans="1:16" ht="15.9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5"/>
      <c r="K205" s="5"/>
      <c r="L205" s="5"/>
      <c r="M205" s="5"/>
      <c r="N205" s="5"/>
      <c r="O205" s="5"/>
      <c r="P205" s="5"/>
    </row>
    <row r="206" spans="1:16" ht="15.9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5"/>
      <c r="K206" s="5"/>
      <c r="L206" s="5"/>
      <c r="M206" s="5"/>
      <c r="N206" s="5"/>
      <c r="O206" s="5"/>
      <c r="P206" s="5"/>
    </row>
    <row r="207" spans="1:16" ht="15.9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5"/>
      <c r="K207" s="5"/>
      <c r="L207" s="5"/>
      <c r="M207" s="5"/>
      <c r="N207" s="5"/>
      <c r="O207" s="5"/>
      <c r="P207" s="5"/>
    </row>
    <row r="208" spans="1:16" ht="15.9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5"/>
      <c r="K208" s="5"/>
      <c r="L208" s="5"/>
      <c r="M208" s="5"/>
      <c r="N208" s="5"/>
      <c r="O208" s="5"/>
      <c r="P208" s="5"/>
    </row>
    <row r="209" spans="1:16" ht="15.9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5"/>
      <c r="K209" s="5"/>
      <c r="L209" s="5"/>
      <c r="M209" s="5"/>
      <c r="N209" s="5"/>
      <c r="O209" s="5"/>
      <c r="P209" s="5"/>
    </row>
    <row r="210" spans="1:16" ht="15.9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5"/>
      <c r="K210" s="5"/>
      <c r="L210" s="5"/>
      <c r="M210" s="5"/>
      <c r="N210" s="5"/>
      <c r="O210" s="5"/>
      <c r="P210" s="5"/>
    </row>
    <row r="211" spans="1:16" ht="15.9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5"/>
      <c r="K211" s="5"/>
      <c r="L211" s="5"/>
      <c r="M211" s="5"/>
      <c r="N211" s="5"/>
      <c r="O211" s="5"/>
      <c r="P211" s="5"/>
    </row>
    <row r="212" spans="1:16" ht="15.9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5"/>
      <c r="K212" s="5"/>
      <c r="L212" s="5"/>
      <c r="M212" s="5"/>
      <c r="N212" s="5"/>
      <c r="O212" s="5"/>
      <c r="P212" s="5"/>
    </row>
    <row r="213" spans="1:16" ht="15.9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5"/>
      <c r="K213" s="5"/>
      <c r="L213" s="5"/>
      <c r="M213" s="5"/>
      <c r="N213" s="5"/>
      <c r="O213" s="5"/>
      <c r="P213" s="5"/>
    </row>
    <row r="214" spans="1:16" ht="15.9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5"/>
      <c r="K214" s="5"/>
      <c r="L214" s="5"/>
      <c r="M214" s="5"/>
      <c r="N214" s="5"/>
      <c r="O214" s="5"/>
      <c r="P214" s="5"/>
    </row>
    <row r="215" spans="1:16" ht="15.9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5"/>
      <c r="K215" s="5"/>
      <c r="L215" s="5"/>
      <c r="M215" s="5"/>
      <c r="N215" s="5"/>
      <c r="O215" s="5"/>
      <c r="P215" s="5"/>
    </row>
    <row r="216" spans="1:16" ht="15.9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5"/>
      <c r="K216" s="5"/>
      <c r="L216" s="5"/>
      <c r="M216" s="5"/>
      <c r="N216" s="5"/>
      <c r="O216" s="5"/>
      <c r="P216" s="5"/>
    </row>
    <row r="217" spans="1:16" ht="15.9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5"/>
      <c r="K217" s="5"/>
      <c r="L217" s="5"/>
      <c r="M217" s="5"/>
      <c r="N217" s="5"/>
      <c r="O217" s="5"/>
      <c r="P217" s="5"/>
    </row>
    <row r="218" spans="1:16" ht="15.9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5"/>
      <c r="K218" s="5"/>
      <c r="L218" s="5"/>
      <c r="M218" s="5"/>
      <c r="N218" s="5"/>
      <c r="O218" s="5"/>
      <c r="P218" s="5"/>
    </row>
    <row r="219" spans="1:16" ht="15.9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5"/>
      <c r="K219" s="5"/>
      <c r="L219" s="5"/>
      <c r="M219" s="5"/>
      <c r="N219" s="5"/>
      <c r="O219" s="5"/>
      <c r="P219" s="5"/>
    </row>
    <row r="220" spans="1:16" ht="15.9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5"/>
      <c r="K220" s="5"/>
      <c r="L220" s="5"/>
      <c r="M220" s="5"/>
      <c r="N220" s="5"/>
      <c r="O220" s="5"/>
      <c r="P220" s="5"/>
    </row>
    <row r="221" spans="1:16" ht="15.9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5"/>
      <c r="K221" s="5"/>
      <c r="L221" s="5"/>
      <c r="M221" s="5"/>
      <c r="N221" s="5"/>
      <c r="O221" s="5"/>
      <c r="P221" s="5"/>
    </row>
    <row r="222" spans="1:16" ht="15.9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5"/>
      <c r="K222" s="5"/>
      <c r="L222" s="5"/>
      <c r="M222" s="5"/>
      <c r="N222" s="5"/>
      <c r="O222" s="5"/>
      <c r="P222" s="5"/>
    </row>
    <row r="223" spans="1:16" ht="15.9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5"/>
      <c r="K223" s="5"/>
      <c r="L223" s="5"/>
      <c r="M223" s="5"/>
      <c r="N223" s="5"/>
      <c r="O223" s="5"/>
      <c r="P223" s="5"/>
    </row>
    <row r="224" spans="1:16" ht="15.9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5"/>
      <c r="K224" s="5"/>
      <c r="L224" s="5"/>
      <c r="M224" s="5"/>
      <c r="N224" s="5"/>
      <c r="O224" s="5"/>
      <c r="P224" s="5"/>
    </row>
    <row r="225" spans="1:16" ht="15.9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5"/>
      <c r="K225" s="5"/>
      <c r="L225" s="5"/>
      <c r="M225" s="5"/>
      <c r="N225" s="5"/>
      <c r="O225" s="5"/>
      <c r="P225" s="5"/>
    </row>
    <row r="226" spans="1:16" ht="15.9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5"/>
      <c r="K226" s="5"/>
      <c r="L226" s="5"/>
      <c r="M226" s="5"/>
      <c r="N226" s="5"/>
      <c r="O226" s="5"/>
      <c r="P226" s="5"/>
    </row>
    <row r="227" spans="1:16" ht="15.9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5"/>
      <c r="K227" s="5"/>
      <c r="L227" s="5"/>
      <c r="M227" s="5"/>
      <c r="N227" s="5"/>
      <c r="O227" s="5"/>
      <c r="P227" s="5"/>
    </row>
    <row r="228" spans="1:16" ht="15.9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5"/>
      <c r="K228" s="5"/>
      <c r="L228" s="5"/>
      <c r="M228" s="5"/>
      <c r="N228" s="5"/>
      <c r="O228" s="5"/>
      <c r="P228" s="5"/>
    </row>
    <row r="229" spans="1:16" ht="15.9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5"/>
      <c r="K229" s="5"/>
      <c r="L229" s="5"/>
      <c r="M229" s="5"/>
      <c r="N229" s="5"/>
      <c r="O229" s="5"/>
      <c r="P229" s="5"/>
    </row>
    <row r="230" spans="1:16" ht="15.9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5"/>
      <c r="K230" s="5"/>
      <c r="L230" s="5"/>
      <c r="M230" s="5"/>
      <c r="N230" s="5"/>
      <c r="O230" s="5"/>
      <c r="P230" s="5"/>
    </row>
    <row r="231" spans="1:16" ht="15.9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5"/>
      <c r="K231" s="5"/>
      <c r="L231" s="5"/>
      <c r="M231" s="5"/>
      <c r="N231" s="5"/>
      <c r="O231" s="5"/>
      <c r="P231" s="5"/>
    </row>
    <row r="232" spans="1:16" ht="15.9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5"/>
      <c r="K232" s="5"/>
      <c r="L232" s="5"/>
      <c r="M232" s="5"/>
      <c r="N232" s="5"/>
      <c r="O232" s="5"/>
      <c r="P232" s="5"/>
    </row>
    <row r="233" spans="1:16" ht="15.9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5"/>
      <c r="K233" s="5"/>
      <c r="L233" s="5"/>
      <c r="M233" s="5"/>
      <c r="N233" s="5"/>
      <c r="O233" s="5"/>
      <c r="P233" s="5"/>
    </row>
    <row r="234" spans="1:16" ht="15.9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5"/>
      <c r="K234" s="5"/>
      <c r="L234" s="5"/>
      <c r="M234" s="5"/>
      <c r="N234" s="5"/>
      <c r="O234" s="5"/>
      <c r="P234" s="5"/>
    </row>
    <row r="235" spans="1:16" ht="15.9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5"/>
      <c r="K235" s="5"/>
      <c r="L235" s="5"/>
      <c r="M235" s="5"/>
      <c r="N235" s="5"/>
      <c r="O235" s="5"/>
      <c r="P235" s="5"/>
    </row>
    <row r="236" spans="1:16" ht="15.9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5"/>
      <c r="K236" s="5"/>
      <c r="L236" s="5"/>
      <c r="M236" s="5"/>
      <c r="N236" s="5"/>
      <c r="O236" s="5"/>
      <c r="P236" s="5"/>
    </row>
    <row r="237" spans="1:16" ht="15.9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5"/>
      <c r="K237" s="5"/>
      <c r="L237" s="5"/>
      <c r="M237" s="5"/>
      <c r="N237" s="5"/>
      <c r="O237" s="5"/>
      <c r="P237" s="5"/>
    </row>
    <row r="238" spans="1:16" ht="15.9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5"/>
      <c r="K238" s="5"/>
      <c r="L238" s="5"/>
      <c r="M238" s="5"/>
      <c r="N238" s="5"/>
      <c r="O238" s="5"/>
      <c r="P238" s="5"/>
    </row>
    <row r="239" spans="1:16" ht="15.9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5"/>
      <c r="K239" s="5"/>
      <c r="L239" s="5"/>
      <c r="M239" s="5"/>
      <c r="N239" s="5"/>
      <c r="O239" s="5"/>
      <c r="P239" s="5"/>
    </row>
    <row r="240" spans="1:16" ht="15.9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5"/>
      <c r="K240" s="5"/>
      <c r="L240" s="5"/>
      <c r="M240" s="5"/>
      <c r="N240" s="5"/>
      <c r="O240" s="5"/>
      <c r="P240" s="5"/>
    </row>
    <row r="241" spans="1:16" ht="15.9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5"/>
      <c r="K241" s="5"/>
      <c r="L241" s="5"/>
      <c r="M241" s="5"/>
      <c r="N241" s="5"/>
      <c r="O241" s="5"/>
      <c r="P241" s="5"/>
    </row>
    <row r="242" spans="1:16" ht="15.9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5"/>
      <c r="K242" s="5"/>
      <c r="L242" s="5"/>
      <c r="M242" s="5"/>
      <c r="N242" s="5"/>
      <c r="O242" s="5"/>
      <c r="P242" s="5"/>
    </row>
    <row r="243" spans="1:16" ht="15.9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5"/>
      <c r="K243" s="5"/>
      <c r="L243" s="5"/>
      <c r="M243" s="5"/>
      <c r="N243" s="5"/>
      <c r="O243" s="5"/>
      <c r="P243" s="5"/>
    </row>
    <row r="244" spans="1:16" ht="15.9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5"/>
      <c r="K244" s="5"/>
      <c r="L244" s="5"/>
      <c r="M244" s="5"/>
      <c r="N244" s="5"/>
      <c r="O244" s="5"/>
      <c r="P244" s="5"/>
    </row>
    <row r="245" spans="1:16" ht="15.9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5"/>
      <c r="K245" s="5"/>
      <c r="L245" s="5"/>
      <c r="M245" s="5"/>
      <c r="N245" s="5"/>
      <c r="O245" s="5"/>
      <c r="P245" s="5"/>
    </row>
    <row r="246" spans="1:16" ht="15.9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5"/>
      <c r="K246" s="5"/>
      <c r="L246" s="5"/>
      <c r="M246" s="5"/>
      <c r="N246" s="5"/>
      <c r="O246" s="5"/>
      <c r="P246" s="5"/>
    </row>
    <row r="247" spans="1:16" ht="15.9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5"/>
      <c r="K247" s="5"/>
      <c r="L247" s="5"/>
      <c r="M247" s="5"/>
      <c r="N247" s="5"/>
      <c r="O247" s="5"/>
      <c r="P247" s="5"/>
    </row>
    <row r="248" spans="1:16" ht="15.9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5"/>
      <c r="K248" s="5"/>
      <c r="L248" s="5"/>
      <c r="M248" s="5"/>
      <c r="N248" s="5"/>
      <c r="O248" s="5"/>
      <c r="P248" s="5"/>
    </row>
    <row r="249" spans="1:16" ht="15.9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5"/>
      <c r="K249" s="5"/>
      <c r="L249" s="5"/>
      <c r="M249" s="5"/>
      <c r="N249" s="5"/>
      <c r="O249" s="5"/>
      <c r="P249" s="5"/>
    </row>
    <row r="250" spans="1:16" ht="15.9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5"/>
      <c r="K250" s="5"/>
      <c r="L250" s="5"/>
      <c r="M250" s="5"/>
      <c r="N250" s="5"/>
      <c r="O250" s="5"/>
      <c r="P250" s="5"/>
    </row>
    <row r="251" spans="1:16" ht="15.9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5"/>
      <c r="K251" s="5"/>
      <c r="L251" s="5"/>
      <c r="M251" s="5"/>
      <c r="N251" s="5"/>
      <c r="O251" s="5"/>
      <c r="P251" s="5"/>
    </row>
    <row r="252" spans="1:16" ht="15.9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5"/>
      <c r="K252" s="5"/>
      <c r="L252" s="5"/>
      <c r="M252" s="5"/>
      <c r="N252" s="5"/>
      <c r="O252" s="5"/>
      <c r="P252" s="5"/>
    </row>
    <row r="253" spans="1:16" ht="15.9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5"/>
      <c r="K253" s="5"/>
      <c r="L253" s="5"/>
      <c r="M253" s="5"/>
      <c r="N253" s="5"/>
      <c r="O253" s="5"/>
      <c r="P253" s="5"/>
    </row>
    <row r="254" spans="1:16" ht="15.9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5"/>
      <c r="K254" s="5"/>
      <c r="L254" s="5"/>
      <c r="M254" s="5"/>
      <c r="N254" s="5"/>
      <c r="O254" s="5"/>
      <c r="P254" s="5"/>
    </row>
    <row r="255" spans="1:16" ht="15.9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5"/>
      <c r="K255" s="5"/>
      <c r="L255" s="5"/>
      <c r="M255" s="5"/>
      <c r="N255" s="5"/>
      <c r="O255" s="5"/>
      <c r="P255" s="5"/>
    </row>
    <row r="256" spans="1:16" ht="15.9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5"/>
      <c r="K256" s="5"/>
      <c r="L256" s="5"/>
      <c r="M256" s="5"/>
      <c r="N256" s="5"/>
      <c r="O256" s="5"/>
      <c r="P256" s="5"/>
    </row>
    <row r="257" spans="1:16" ht="15.9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5"/>
      <c r="K257" s="5"/>
      <c r="L257" s="5"/>
      <c r="M257" s="5"/>
      <c r="N257" s="5"/>
      <c r="O257" s="5"/>
      <c r="P257" s="5"/>
    </row>
    <row r="258" spans="1:16" ht="15.9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5"/>
      <c r="K258" s="5"/>
      <c r="L258" s="5"/>
      <c r="M258" s="5"/>
      <c r="N258" s="5"/>
      <c r="O258" s="5"/>
      <c r="P258" s="5"/>
    </row>
    <row r="259" spans="1:16" ht="15.9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5"/>
      <c r="K259" s="5"/>
      <c r="L259" s="5"/>
      <c r="M259" s="5"/>
      <c r="N259" s="5"/>
      <c r="O259" s="5"/>
      <c r="P259" s="5"/>
    </row>
    <row r="260" spans="1:16" ht="15.9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5"/>
      <c r="K260" s="5"/>
      <c r="L260" s="5"/>
      <c r="M260" s="5"/>
      <c r="N260" s="5"/>
      <c r="O260" s="5"/>
      <c r="P260" s="5"/>
    </row>
    <row r="261" spans="1:16" ht="15.9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5"/>
      <c r="K261" s="5"/>
      <c r="L261" s="5"/>
      <c r="M261" s="5"/>
      <c r="N261" s="5"/>
      <c r="O261" s="5"/>
      <c r="P261" s="5"/>
    </row>
    <row r="262" spans="1:16" ht="15.9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5"/>
      <c r="K262" s="5"/>
      <c r="L262" s="5"/>
      <c r="M262" s="5"/>
      <c r="N262" s="5"/>
      <c r="O262" s="5"/>
      <c r="P262" s="5"/>
    </row>
    <row r="263" spans="1:16" ht="15.9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5"/>
      <c r="K263" s="5"/>
      <c r="L263" s="5"/>
      <c r="M263" s="5"/>
      <c r="N263" s="5"/>
      <c r="O263" s="5"/>
      <c r="P263" s="5"/>
    </row>
    <row r="264" spans="1:16" ht="15.9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5"/>
      <c r="K264" s="5"/>
      <c r="L264" s="5"/>
      <c r="M264" s="5"/>
      <c r="N264" s="5"/>
      <c r="O264" s="5"/>
      <c r="P264" s="5"/>
    </row>
    <row r="265" spans="1:16" ht="15.9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5"/>
      <c r="K265" s="5"/>
      <c r="L265" s="5"/>
      <c r="M265" s="5"/>
      <c r="N265" s="5"/>
      <c r="O265" s="5"/>
      <c r="P265" s="5"/>
    </row>
    <row r="266" spans="1:16" ht="15.9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5"/>
      <c r="K266" s="5"/>
      <c r="L266" s="5"/>
      <c r="M266" s="5"/>
      <c r="N266" s="5"/>
      <c r="O266" s="5"/>
      <c r="P266" s="5"/>
    </row>
    <row r="267" spans="1:16" ht="15.9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5"/>
      <c r="K267" s="5"/>
      <c r="L267" s="5"/>
      <c r="M267" s="5"/>
      <c r="N267" s="5"/>
      <c r="O267" s="5"/>
      <c r="P267" s="5"/>
    </row>
    <row r="268" spans="1:16" ht="15.9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5"/>
      <c r="K268" s="5"/>
      <c r="L268" s="5"/>
      <c r="M268" s="5"/>
      <c r="N268" s="5"/>
      <c r="O268" s="5"/>
      <c r="P268" s="5"/>
    </row>
    <row r="269" spans="1:16" ht="15.9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5"/>
      <c r="K269" s="5"/>
      <c r="L269" s="5"/>
      <c r="M269" s="5"/>
      <c r="N269" s="5"/>
      <c r="O269" s="5"/>
      <c r="P269" s="5"/>
    </row>
    <row r="270" spans="1:16" ht="15.9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5"/>
      <c r="K270" s="5"/>
      <c r="L270" s="5"/>
      <c r="M270" s="5"/>
      <c r="N270" s="5"/>
      <c r="O270" s="5"/>
      <c r="P270" s="5"/>
    </row>
    <row r="271" spans="1:16" ht="15.9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5"/>
      <c r="K271" s="5"/>
      <c r="L271" s="5"/>
      <c r="M271" s="5"/>
      <c r="N271" s="5"/>
      <c r="O271" s="5"/>
      <c r="P271" s="5"/>
    </row>
    <row r="272" spans="1:16" ht="15.9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5"/>
      <c r="K272" s="5"/>
      <c r="L272" s="5"/>
      <c r="M272" s="5"/>
      <c r="N272" s="5"/>
      <c r="O272" s="5"/>
      <c r="P272" s="5"/>
    </row>
    <row r="273" spans="1:16" ht="15.9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5"/>
      <c r="K273" s="5"/>
      <c r="L273" s="5"/>
      <c r="M273" s="5"/>
      <c r="N273" s="5"/>
      <c r="O273" s="5"/>
      <c r="P273" s="5"/>
    </row>
    <row r="274" spans="1:16" ht="15.9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5"/>
      <c r="K274" s="5"/>
      <c r="L274" s="5"/>
      <c r="M274" s="5"/>
      <c r="N274" s="5"/>
      <c r="O274" s="5"/>
      <c r="P274" s="5"/>
    </row>
    <row r="275" spans="1:16" ht="15.9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5"/>
      <c r="K275" s="5"/>
      <c r="L275" s="5"/>
      <c r="M275" s="5"/>
      <c r="N275" s="5"/>
      <c r="O275" s="5"/>
      <c r="P275" s="5"/>
    </row>
    <row r="276" spans="1:16" ht="15.9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5"/>
      <c r="K276" s="5"/>
      <c r="L276" s="5"/>
      <c r="M276" s="5"/>
      <c r="N276" s="5"/>
      <c r="O276" s="5"/>
      <c r="P276" s="5"/>
    </row>
    <row r="277" spans="1:16" ht="15.9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5"/>
      <c r="K277" s="5"/>
      <c r="L277" s="5"/>
      <c r="M277" s="5"/>
      <c r="N277" s="5"/>
      <c r="O277" s="5"/>
      <c r="P277" s="5"/>
    </row>
    <row r="278" spans="1:16" ht="15.9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5"/>
      <c r="K278" s="5"/>
      <c r="L278" s="5"/>
      <c r="M278" s="5"/>
      <c r="N278" s="5"/>
      <c r="O278" s="5"/>
      <c r="P278" s="5"/>
    </row>
    <row r="279" spans="1:16" ht="15.9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5"/>
      <c r="K279" s="5"/>
      <c r="L279" s="5"/>
      <c r="M279" s="5"/>
      <c r="N279" s="5"/>
      <c r="O279" s="5"/>
      <c r="P279" s="5"/>
    </row>
    <row r="280" spans="1:16" ht="15.9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5"/>
      <c r="K280" s="5"/>
      <c r="L280" s="5"/>
      <c r="M280" s="5"/>
      <c r="N280" s="5"/>
      <c r="O280" s="5"/>
      <c r="P280" s="5"/>
    </row>
    <row r="281" spans="1:16" ht="15.9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5"/>
      <c r="K281" s="5"/>
      <c r="L281" s="5"/>
      <c r="M281" s="5"/>
      <c r="N281" s="5"/>
      <c r="O281" s="5"/>
      <c r="P281" s="5"/>
    </row>
    <row r="282" spans="1:16" ht="15.9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5"/>
      <c r="K282" s="5"/>
      <c r="L282" s="5"/>
      <c r="M282" s="5"/>
      <c r="N282" s="5"/>
      <c r="O282" s="5"/>
      <c r="P282" s="5"/>
    </row>
    <row r="283" spans="1:16" ht="15.9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5"/>
      <c r="K283" s="5"/>
      <c r="L283" s="5"/>
      <c r="M283" s="5"/>
      <c r="N283" s="5"/>
      <c r="O283" s="5"/>
      <c r="P283" s="5"/>
    </row>
    <row r="284" spans="1:16" ht="15.9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5"/>
      <c r="K284" s="5"/>
      <c r="L284" s="5"/>
      <c r="M284" s="5"/>
      <c r="N284" s="5"/>
      <c r="O284" s="5"/>
      <c r="P284" s="5"/>
    </row>
    <row r="285" spans="1:16" ht="15.9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5"/>
      <c r="K285" s="5"/>
      <c r="L285" s="5"/>
      <c r="M285" s="5"/>
      <c r="N285" s="5"/>
      <c r="O285" s="5"/>
      <c r="P285" s="5"/>
    </row>
    <row r="286" spans="1:16" ht="15.9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5"/>
      <c r="K286" s="5"/>
      <c r="L286" s="5"/>
      <c r="M286" s="5"/>
      <c r="N286" s="5"/>
      <c r="O286" s="5"/>
      <c r="P286" s="5"/>
    </row>
    <row r="287" spans="1:16" ht="15.9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5"/>
      <c r="K287" s="5"/>
      <c r="L287" s="5"/>
      <c r="M287" s="5"/>
      <c r="N287" s="5"/>
      <c r="O287" s="5"/>
      <c r="P287" s="5"/>
    </row>
    <row r="288" spans="1:16" ht="15.9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5"/>
      <c r="K288" s="5"/>
      <c r="L288" s="5"/>
      <c r="M288" s="5"/>
      <c r="N288" s="5"/>
      <c r="O288" s="5"/>
      <c r="P288" s="5"/>
    </row>
    <row r="289" spans="1:16" ht="15.9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5"/>
      <c r="K289" s="5"/>
      <c r="L289" s="5"/>
      <c r="M289" s="5"/>
      <c r="N289" s="5"/>
      <c r="O289" s="5"/>
      <c r="P289" s="5"/>
    </row>
    <row r="290" spans="1:16" ht="15.9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5"/>
      <c r="K290" s="5"/>
      <c r="L290" s="5"/>
      <c r="M290" s="5"/>
      <c r="N290" s="5"/>
      <c r="O290" s="5"/>
      <c r="P290" s="5"/>
    </row>
    <row r="291" spans="1:16" ht="15.9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5"/>
      <c r="K291" s="5"/>
      <c r="L291" s="5"/>
      <c r="M291" s="5"/>
      <c r="N291" s="5"/>
      <c r="O291" s="5"/>
      <c r="P291" s="5"/>
    </row>
    <row r="292" spans="1:16" ht="15.9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5"/>
      <c r="K292" s="5"/>
      <c r="L292" s="5"/>
      <c r="M292" s="5"/>
      <c r="N292" s="5"/>
      <c r="O292" s="5"/>
      <c r="P292" s="5"/>
    </row>
    <row r="293" spans="1:16" ht="15.9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5"/>
      <c r="K293" s="5"/>
      <c r="L293" s="5"/>
      <c r="M293" s="5"/>
      <c r="N293" s="5"/>
      <c r="O293" s="5"/>
      <c r="P293" s="5"/>
    </row>
    <row r="294" spans="1:16" ht="15.9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5"/>
      <c r="K294" s="5"/>
      <c r="L294" s="5"/>
      <c r="M294" s="5"/>
      <c r="N294" s="5"/>
      <c r="O294" s="5"/>
      <c r="P294" s="5"/>
    </row>
    <row r="295" spans="1:16" ht="15.9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5"/>
      <c r="K295" s="5"/>
      <c r="L295" s="5"/>
      <c r="M295" s="5"/>
      <c r="N295" s="5"/>
      <c r="O295" s="5"/>
      <c r="P295" s="5"/>
    </row>
    <row r="296" spans="1:16" ht="15.9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5"/>
      <c r="K296" s="5"/>
      <c r="L296" s="5"/>
      <c r="M296" s="5"/>
      <c r="N296" s="5"/>
      <c r="O296" s="5"/>
      <c r="P296" s="5"/>
    </row>
    <row r="297" spans="1:16" ht="15.9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5"/>
      <c r="K297" s="5"/>
      <c r="L297" s="5"/>
      <c r="M297" s="5"/>
      <c r="N297" s="5"/>
      <c r="O297" s="5"/>
      <c r="P297" s="5"/>
    </row>
    <row r="298" spans="1:16" ht="15.9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5"/>
      <c r="K298" s="5"/>
      <c r="L298" s="5"/>
      <c r="M298" s="5"/>
      <c r="N298" s="5"/>
      <c r="O298" s="5"/>
      <c r="P298" s="5"/>
    </row>
    <row r="299" spans="1:16" ht="15.9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5"/>
      <c r="K299" s="5"/>
      <c r="L299" s="5"/>
      <c r="M299" s="5"/>
      <c r="N299" s="5"/>
      <c r="O299" s="5"/>
      <c r="P299" s="5"/>
    </row>
    <row r="300" spans="1:16" ht="15.9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5"/>
      <c r="K300" s="5"/>
      <c r="L300" s="5"/>
      <c r="M300" s="5"/>
      <c r="N300" s="5"/>
      <c r="O300" s="5"/>
      <c r="P300" s="5"/>
    </row>
    <row r="301" spans="1:16" ht="15.9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5"/>
      <c r="K301" s="5"/>
      <c r="L301" s="5"/>
      <c r="M301" s="5"/>
      <c r="N301" s="5"/>
      <c r="O301" s="5"/>
      <c r="P301" s="5"/>
    </row>
    <row r="302" spans="1:16" ht="15.9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5"/>
      <c r="K302" s="5"/>
      <c r="L302" s="5"/>
      <c r="M302" s="5"/>
      <c r="N302" s="5"/>
      <c r="O302" s="5"/>
      <c r="P302" s="5"/>
    </row>
    <row r="303" spans="1:16" ht="15.9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5"/>
      <c r="K303" s="5"/>
      <c r="L303" s="5"/>
      <c r="M303" s="5"/>
      <c r="N303" s="5"/>
      <c r="O303" s="5"/>
      <c r="P303" s="5"/>
    </row>
    <row r="304" spans="1:16" ht="15.9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5"/>
      <c r="K304" s="5"/>
      <c r="L304" s="5"/>
      <c r="M304" s="5"/>
      <c r="N304" s="5"/>
      <c r="O304" s="5"/>
      <c r="P304" s="5"/>
    </row>
    <row r="305" spans="1:16" ht="15.9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5"/>
      <c r="K305" s="5"/>
      <c r="L305" s="5"/>
      <c r="M305" s="5"/>
      <c r="N305" s="5"/>
      <c r="O305" s="5"/>
      <c r="P305" s="5"/>
    </row>
    <row r="306" spans="1:16" ht="15.9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5"/>
      <c r="K306" s="5"/>
      <c r="L306" s="5"/>
      <c r="M306" s="5"/>
      <c r="N306" s="5"/>
      <c r="O306" s="5"/>
      <c r="P306" s="5"/>
    </row>
    <row r="307" spans="1:16" ht="15.9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5"/>
      <c r="K307" s="5"/>
      <c r="L307" s="5"/>
      <c r="M307" s="5"/>
      <c r="N307" s="5"/>
      <c r="O307" s="5"/>
      <c r="P307" s="5"/>
    </row>
    <row r="308" spans="1:16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5"/>
      <c r="K308" s="5"/>
      <c r="L308" s="5"/>
      <c r="M308" s="5"/>
      <c r="N308" s="5"/>
      <c r="O308" s="5"/>
      <c r="P308" s="5"/>
    </row>
    <row r="309" spans="1:16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5"/>
      <c r="K309" s="5"/>
      <c r="L309" s="5"/>
      <c r="M309" s="5"/>
      <c r="N309" s="5"/>
      <c r="O309" s="5"/>
      <c r="P309" s="5"/>
    </row>
    <row r="310" spans="1:16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5"/>
      <c r="K310" s="5"/>
      <c r="L310" s="5"/>
      <c r="M310" s="5"/>
      <c r="N310" s="5"/>
      <c r="O310" s="5"/>
      <c r="P310" s="5"/>
    </row>
    <row r="311" spans="1:16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5"/>
      <c r="K311" s="5"/>
      <c r="L311" s="5"/>
      <c r="M311" s="5"/>
      <c r="N311" s="5"/>
      <c r="O311" s="5"/>
      <c r="P311" s="5"/>
    </row>
    <row r="312" spans="1:16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5"/>
      <c r="K312" s="5"/>
      <c r="L312" s="5"/>
      <c r="M312" s="5"/>
      <c r="N312" s="5"/>
      <c r="O312" s="5"/>
      <c r="P312" s="5"/>
    </row>
    <row r="313" spans="1:1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5"/>
      <c r="K313" s="5"/>
      <c r="L313" s="5"/>
      <c r="M313" s="5"/>
      <c r="N313" s="5"/>
      <c r="O313" s="5"/>
      <c r="P313" s="5"/>
    </row>
    <row r="314" spans="1:1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5"/>
      <c r="K314" s="5"/>
      <c r="L314" s="5"/>
      <c r="M314" s="5"/>
      <c r="N314" s="5"/>
      <c r="O314" s="5"/>
      <c r="P314" s="5"/>
    </row>
    <row r="315" spans="1:1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5"/>
      <c r="K315" s="5"/>
      <c r="L315" s="5"/>
      <c r="M315" s="5"/>
      <c r="N315" s="5"/>
      <c r="O315" s="5"/>
      <c r="P315" s="5"/>
    </row>
    <row r="316" spans="1:1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5"/>
      <c r="K316" s="5"/>
      <c r="L316" s="5"/>
      <c r="M316" s="5"/>
      <c r="N316" s="5"/>
      <c r="O316" s="5"/>
      <c r="P316" s="5"/>
    </row>
    <row r="317" spans="1:16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5"/>
      <c r="K317" s="5"/>
      <c r="L317" s="5"/>
      <c r="M317" s="5"/>
      <c r="N317" s="5"/>
      <c r="O317" s="5"/>
      <c r="P317" s="5"/>
    </row>
    <row r="318" spans="1:16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5"/>
      <c r="K318" s="5"/>
      <c r="L318" s="5"/>
      <c r="M318" s="5"/>
      <c r="N318" s="5"/>
      <c r="O318" s="5"/>
      <c r="P318" s="5"/>
    </row>
    <row r="319" spans="1:16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5"/>
      <c r="K319" s="5"/>
      <c r="L319" s="5"/>
      <c r="M319" s="5"/>
      <c r="N319" s="5"/>
      <c r="O319" s="5"/>
      <c r="P319" s="5"/>
    </row>
    <row r="320" spans="1:16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5"/>
      <c r="K320" s="5"/>
      <c r="L320" s="5"/>
      <c r="M320" s="5"/>
      <c r="N320" s="5"/>
      <c r="O320" s="5"/>
      <c r="P320" s="5"/>
    </row>
    <row r="321" spans="1:16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5"/>
      <c r="K321" s="5"/>
      <c r="L321" s="5"/>
      <c r="M321" s="5"/>
      <c r="N321" s="5"/>
      <c r="O321" s="5"/>
      <c r="P321" s="5"/>
    </row>
    <row r="322" spans="1:16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5"/>
      <c r="K322" s="5"/>
      <c r="L322" s="5"/>
      <c r="M322" s="5"/>
      <c r="N322" s="5"/>
      <c r="O322" s="5"/>
      <c r="P322" s="5"/>
    </row>
    <row r="323" spans="1:16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5"/>
      <c r="K323" s="5"/>
      <c r="L323" s="5"/>
      <c r="M323" s="5"/>
      <c r="N323" s="5"/>
      <c r="O323" s="5"/>
      <c r="P323" s="5"/>
    </row>
    <row r="324" spans="1:16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5"/>
      <c r="K324" s="5"/>
      <c r="L324" s="5"/>
      <c r="M324" s="5"/>
      <c r="N324" s="5"/>
      <c r="O324" s="5"/>
      <c r="P324" s="5"/>
    </row>
    <row r="325" spans="1:16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5"/>
      <c r="K325" s="5"/>
      <c r="L325" s="5"/>
      <c r="M325" s="5"/>
      <c r="N325" s="5"/>
      <c r="O325" s="5"/>
      <c r="P325" s="5"/>
    </row>
    <row r="326" spans="1:16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5"/>
      <c r="K326" s="5"/>
      <c r="L326" s="5"/>
      <c r="M326" s="5"/>
      <c r="N326" s="5"/>
      <c r="O326" s="5"/>
      <c r="P326" s="5"/>
    </row>
    <row r="327" spans="1:16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5"/>
      <c r="K327" s="5"/>
      <c r="L327" s="5"/>
      <c r="M327" s="5"/>
      <c r="N327" s="5"/>
      <c r="O327" s="5"/>
      <c r="P327" s="5"/>
    </row>
    <row r="328" spans="1:16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5"/>
      <c r="K328" s="5"/>
      <c r="L328" s="5"/>
      <c r="M328" s="5"/>
      <c r="N328" s="5"/>
      <c r="O328" s="5"/>
      <c r="P328" s="5"/>
    </row>
    <row r="329" spans="1:16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5"/>
      <c r="K329" s="5"/>
      <c r="L329" s="5"/>
      <c r="M329" s="5"/>
      <c r="N329" s="5"/>
      <c r="O329" s="5"/>
      <c r="P329" s="5"/>
    </row>
    <row r="330" spans="1:16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5"/>
      <c r="K330" s="5"/>
      <c r="L330" s="5"/>
      <c r="M330" s="5"/>
      <c r="N330" s="5"/>
      <c r="O330" s="5"/>
      <c r="P330" s="5"/>
    </row>
    <row r="331" spans="1:16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5"/>
      <c r="K331" s="5"/>
      <c r="L331" s="5"/>
      <c r="M331" s="5"/>
      <c r="N331" s="5"/>
      <c r="O331" s="5"/>
      <c r="P331" s="5"/>
    </row>
    <row r="332" spans="1:16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5"/>
      <c r="K332" s="5"/>
      <c r="L332" s="5"/>
      <c r="M332" s="5"/>
      <c r="N332" s="5"/>
      <c r="O332" s="5"/>
      <c r="P332" s="5"/>
    </row>
    <row r="333" spans="1:16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5"/>
      <c r="K333" s="5"/>
      <c r="L333" s="5"/>
      <c r="M333" s="5"/>
      <c r="N333" s="5"/>
      <c r="O333" s="5"/>
      <c r="P333" s="5"/>
    </row>
    <row r="334" spans="1:16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5"/>
      <c r="K334" s="5"/>
      <c r="L334" s="5"/>
      <c r="M334" s="5"/>
      <c r="N334" s="5"/>
      <c r="O334" s="5"/>
      <c r="P334" s="5"/>
    </row>
    <row r="335" spans="1:16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5"/>
      <c r="K335" s="5"/>
      <c r="L335" s="5"/>
      <c r="M335" s="5"/>
      <c r="N335" s="5"/>
      <c r="O335" s="5"/>
      <c r="P335" s="5"/>
    </row>
    <row r="336" spans="1:16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5"/>
      <c r="K336" s="5"/>
      <c r="L336" s="5"/>
      <c r="M336" s="5"/>
      <c r="N336" s="5"/>
      <c r="O336" s="5"/>
      <c r="P336" s="5"/>
    </row>
    <row r="337" spans="1:16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5"/>
      <c r="K337" s="5"/>
      <c r="L337" s="5"/>
      <c r="M337" s="5"/>
      <c r="N337" s="5"/>
      <c r="O337" s="5"/>
      <c r="P337" s="5"/>
    </row>
    <row r="338" spans="1:16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5"/>
      <c r="K338" s="5"/>
      <c r="L338" s="5"/>
      <c r="M338" s="5"/>
      <c r="N338" s="5"/>
      <c r="O338" s="5"/>
      <c r="P338" s="5"/>
    </row>
    <row r="339" spans="1:16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5"/>
      <c r="K339" s="5"/>
      <c r="L339" s="5"/>
      <c r="M339" s="5"/>
      <c r="N339" s="5"/>
      <c r="O339" s="5"/>
      <c r="P339" s="5"/>
    </row>
    <row r="340" spans="1:16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5"/>
      <c r="K340" s="5"/>
      <c r="L340" s="5"/>
      <c r="M340" s="5"/>
      <c r="N340" s="5"/>
      <c r="O340" s="5"/>
      <c r="P340" s="5"/>
    </row>
    <row r="341" spans="1:16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5"/>
      <c r="K341" s="5"/>
      <c r="L341" s="5"/>
      <c r="M341" s="5"/>
      <c r="N341" s="5"/>
      <c r="O341" s="5"/>
      <c r="P341" s="5"/>
    </row>
    <row r="342" spans="1:16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5"/>
      <c r="K342" s="5"/>
      <c r="L342" s="5"/>
      <c r="M342" s="5"/>
      <c r="N342" s="5"/>
      <c r="O342" s="5"/>
      <c r="P342" s="5"/>
    </row>
    <row r="343" spans="1:16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5"/>
      <c r="K343" s="5"/>
      <c r="L343" s="5"/>
      <c r="M343" s="5"/>
      <c r="N343" s="5"/>
      <c r="O343" s="5"/>
      <c r="P343" s="5"/>
    </row>
    <row r="344" spans="1:16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5"/>
      <c r="K344" s="5"/>
      <c r="L344" s="5"/>
      <c r="M344" s="5"/>
      <c r="N344" s="5"/>
      <c r="O344" s="5"/>
      <c r="P344" s="5"/>
    </row>
    <row r="345" spans="1:16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5"/>
      <c r="K345" s="5"/>
      <c r="L345" s="5"/>
      <c r="M345" s="5"/>
      <c r="N345" s="5"/>
      <c r="O345" s="5"/>
      <c r="P345" s="5"/>
    </row>
    <row r="346" spans="1:16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5"/>
      <c r="K346" s="5"/>
      <c r="L346" s="5"/>
      <c r="M346" s="5"/>
      <c r="N346" s="5"/>
      <c r="O346" s="5"/>
      <c r="P346" s="5"/>
    </row>
    <row r="347" spans="1:16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5"/>
      <c r="K347" s="5"/>
      <c r="L347" s="5"/>
      <c r="M347" s="5"/>
      <c r="N347" s="5"/>
      <c r="O347" s="5"/>
      <c r="P347" s="5"/>
    </row>
    <row r="348" spans="1:16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5"/>
      <c r="K348" s="5"/>
      <c r="L348" s="5"/>
      <c r="M348" s="5"/>
      <c r="N348" s="5"/>
      <c r="O348" s="5"/>
      <c r="P348" s="5"/>
    </row>
    <row r="349" spans="1:16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5"/>
      <c r="K349" s="5"/>
      <c r="L349" s="5"/>
      <c r="M349" s="5"/>
      <c r="N349" s="5"/>
      <c r="O349" s="5"/>
      <c r="P349" s="5"/>
    </row>
    <row r="350" spans="1:16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5"/>
      <c r="K350" s="5"/>
      <c r="L350" s="5"/>
      <c r="M350" s="5"/>
      <c r="N350" s="5"/>
      <c r="O350" s="5"/>
      <c r="P350" s="5"/>
    </row>
    <row r="351" spans="1:16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5"/>
      <c r="K351" s="5"/>
      <c r="L351" s="5"/>
      <c r="M351" s="5"/>
      <c r="N351" s="5"/>
      <c r="O351" s="5"/>
      <c r="P351" s="5"/>
    </row>
    <row r="352" spans="1:16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5"/>
      <c r="K352" s="5"/>
      <c r="L352" s="5"/>
      <c r="M352" s="5"/>
      <c r="N352" s="5"/>
      <c r="O352" s="5"/>
      <c r="P352" s="5"/>
    </row>
    <row r="353" spans="1:16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5"/>
      <c r="K353" s="5"/>
      <c r="L353" s="5"/>
      <c r="M353" s="5"/>
      <c r="N353" s="5"/>
      <c r="O353" s="5"/>
      <c r="P353" s="5"/>
    </row>
    <row r="354" spans="1:16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5"/>
      <c r="K354" s="5"/>
      <c r="L354" s="5"/>
      <c r="M354" s="5"/>
      <c r="N354" s="5"/>
      <c r="O354" s="5"/>
      <c r="P354" s="5"/>
    </row>
    <row r="355" spans="1:16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5"/>
      <c r="K355" s="5"/>
      <c r="L355" s="5"/>
      <c r="M355" s="5"/>
      <c r="N355" s="5"/>
      <c r="O355" s="5"/>
      <c r="P355" s="5"/>
    </row>
    <row r="356" spans="1:16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5"/>
      <c r="K356" s="5"/>
      <c r="L356" s="5"/>
      <c r="M356" s="5"/>
      <c r="N356" s="5"/>
      <c r="O356" s="5"/>
      <c r="P356" s="5"/>
    </row>
    <row r="357" spans="1:16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5"/>
      <c r="K357" s="5"/>
      <c r="L357" s="5"/>
      <c r="M357" s="5"/>
      <c r="N357" s="5"/>
      <c r="O357" s="5"/>
      <c r="P357" s="5"/>
    </row>
    <row r="358" spans="1:16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5"/>
      <c r="K358" s="5"/>
      <c r="L358" s="5"/>
      <c r="M358" s="5"/>
      <c r="N358" s="5"/>
      <c r="O358" s="5"/>
      <c r="P358" s="5"/>
    </row>
    <row r="359" spans="1:16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5"/>
      <c r="K359" s="5"/>
      <c r="L359" s="5"/>
      <c r="M359" s="5"/>
      <c r="N359" s="5"/>
      <c r="O359" s="5"/>
      <c r="P359" s="5"/>
    </row>
    <row r="360" spans="1:16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5"/>
      <c r="K360" s="5"/>
      <c r="L360" s="5"/>
      <c r="M360" s="5"/>
      <c r="N360" s="5"/>
      <c r="O360" s="5"/>
      <c r="P360" s="5"/>
    </row>
    <row r="361" spans="1:16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5"/>
      <c r="K361" s="5"/>
      <c r="L361" s="5"/>
      <c r="M361" s="5"/>
      <c r="N361" s="5"/>
      <c r="O361" s="5"/>
      <c r="P361" s="5"/>
    </row>
    <row r="362" spans="1:16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5"/>
      <c r="K362" s="5"/>
      <c r="L362" s="5"/>
      <c r="M362" s="5"/>
      <c r="N362" s="5"/>
      <c r="O362" s="5"/>
      <c r="P362" s="5"/>
    </row>
    <row r="363" spans="1:16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5"/>
      <c r="K363" s="5"/>
      <c r="L363" s="5"/>
      <c r="M363" s="5"/>
      <c r="N363" s="5"/>
      <c r="O363" s="5"/>
      <c r="P363" s="5"/>
    </row>
    <row r="364" spans="1:16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5"/>
      <c r="K364" s="5"/>
      <c r="L364" s="5"/>
      <c r="M364" s="5"/>
      <c r="N364" s="5"/>
      <c r="O364" s="5"/>
      <c r="P364" s="5"/>
    </row>
    <row r="365" spans="1:16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5"/>
      <c r="K365" s="5"/>
      <c r="L365" s="5"/>
      <c r="M365" s="5"/>
      <c r="N365" s="5"/>
      <c r="O365" s="5"/>
      <c r="P365" s="5"/>
    </row>
    <row r="366" spans="1:16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5"/>
      <c r="K366" s="5"/>
      <c r="L366" s="5"/>
      <c r="M366" s="5"/>
      <c r="N366" s="5"/>
      <c r="O366" s="5"/>
      <c r="P366" s="5"/>
    </row>
    <row r="367" spans="1:16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5"/>
      <c r="K367" s="5"/>
      <c r="L367" s="5"/>
      <c r="M367" s="5"/>
      <c r="N367" s="5"/>
      <c r="O367" s="5"/>
      <c r="P367" s="5"/>
    </row>
    <row r="368" spans="1:16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5"/>
      <c r="K368" s="5"/>
      <c r="L368" s="5"/>
      <c r="M368" s="5"/>
      <c r="N368" s="5"/>
      <c r="O368" s="5"/>
      <c r="P368" s="5"/>
    </row>
    <row r="369" spans="1:16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5"/>
      <c r="K369" s="5"/>
      <c r="L369" s="5"/>
      <c r="M369" s="5"/>
      <c r="N369" s="5"/>
      <c r="O369" s="5"/>
      <c r="P369" s="5"/>
    </row>
    <row r="370" spans="1:16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5"/>
      <c r="K370" s="5"/>
      <c r="L370" s="5"/>
      <c r="M370" s="5"/>
      <c r="N370" s="5"/>
      <c r="O370" s="5"/>
      <c r="P370" s="5"/>
    </row>
    <row r="371" spans="1:16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5"/>
      <c r="K371" s="5"/>
      <c r="L371" s="5"/>
      <c r="M371" s="5"/>
      <c r="N371" s="5"/>
      <c r="O371" s="5"/>
      <c r="P371" s="5"/>
    </row>
    <row r="372" spans="1:16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5"/>
      <c r="K372" s="5"/>
      <c r="L372" s="5"/>
      <c r="M372" s="5"/>
      <c r="N372" s="5"/>
      <c r="O372" s="5"/>
      <c r="P372" s="5"/>
    </row>
    <row r="373" spans="1:16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5"/>
      <c r="K373" s="5"/>
      <c r="L373" s="5"/>
      <c r="M373" s="5"/>
      <c r="N373" s="5"/>
      <c r="O373" s="5"/>
      <c r="P373" s="5"/>
    </row>
    <row r="374" spans="1:16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5"/>
      <c r="K374" s="5"/>
      <c r="L374" s="5"/>
      <c r="M374" s="5"/>
      <c r="N374" s="5"/>
      <c r="O374" s="5"/>
      <c r="P374" s="5"/>
    </row>
    <row r="375" spans="1:16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5"/>
      <c r="K375" s="5"/>
      <c r="L375" s="5"/>
      <c r="M375" s="5"/>
      <c r="N375" s="5"/>
      <c r="O375" s="5"/>
      <c r="P375" s="5"/>
    </row>
    <row r="376" spans="1:16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5"/>
      <c r="K376" s="5"/>
      <c r="L376" s="5"/>
      <c r="M376" s="5"/>
      <c r="N376" s="5"/>
      <c r="O376" s="5"/>
      <c r="P376" s="5"/>
    </row>
    <row r="377" spans="1:16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5"/>
      <c r="K377" s="5"/>
      <c r="L377" s="5"/>
      <c r="M377" s="5"/>
      <c r="N377" s="5"/>
      <c r="O377" s="5"/>
      <c r="P377" s="5"/>
    </row>
    <row r="378" spans="1:16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5"/>
      <c r="K378" s="5"/>
      <c r="L378" s="5"/>
      <c r="M378" s="5"/>
      <c r="N378" s="5"/>
      <c r="O378" s="5"/>
      <c r="P378" s="5"/>
    </row>
    <row r="379" spans="1:16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5"/>
      <c r="K379" s="5"/>
      <c r="L379" s="5"/>
      <c r="M379" s="5"/>
      <c r="N379" s="5"/>
      <c r="O379" s="5"/>
      <c r="P379" s="5"/>
    </row>
    <row r="380" spans="1:16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5"/>
      <c r="K380" s="5"/>
      <c r="L380" s="5"/>
      <c r="M380" s="5"/>
      <c r="N380" s="5"/>
      <c r="O380" s="5"/>
      <c r="P380" s="5"/>
    </row>
    <row r="381" spans="1:16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5"/>
      <c r="K381" s="5"/>
      <c r="L381" s="5"/>
      <c r="M381" s="5"/>
      <c r="N381" s="5"/>
      <c r="O381" s="5"/>
      <c r="P381" s="5"/>
    </row>
    <row r="382" spans="1:16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5"/>
      <c r="K382" s="5"/>
      <c r="L382" s="5"/>
      <c r="M382" s="5"/>
      <c r="N382" s="5"/>
      <c r="O382" s="5"/>
      <c r="P382" s="5"/>
    </row>
    <row r="383" spans="1:16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5"/>
      <c r="K383" s="5"/>
      <c r="L383" s="5"/>
      <c r="M383" s="5"/>
      <c r="N383" s="5"/>
      <c r="O383" s="5"/>
      <c r="P383" s="5"/>
    </row>
    <row r="384" spans="1:1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5"/>
      <c r="K384" s="5"/>
      <c r="L384" s="5"/>
      <c r="M384" s="5"/>
      <c r="N384" s="5"/>
      <c r="O384" s="5"/>
      <c r="P384" s="5"/>
    </row>
    <row r="385" spans="1:1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5"/>
      <c r="K385" s="5"/>
      <c r="L385" s="5"/>
      <c r="M385" s="5"/>
      <c r="N385" s="5"/>
      <c r="O385" s="5"/>
      <c r="P385" s="5"/>
    </row>
    <row r="386" spans="1:1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5"/>
      <c r="K386" s="5"/>
      <c r="L386" s="5"/>
      <c r="M386" s="5"/>
      <c r="N386" s="5"/>
      <c r="O386" s="5"/>
      <c r="P386" s="5"/>
    </row>
    <row r="387" spans="1:1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5"/>
      <c r="K387" s="5"/>
      <c r="L387" s="5"/>
      <c r="M387" s="5"/>
      <c r="N387" s="5"/>
      <c r="O387" s="5"/>
      <c r="P387" s="5"/>
    </row>
    <row r="388" spans="1:1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5"/>
      <c r="K388" s="5"/>
      <c r="L388" s="5"/>
      <c r="M388" s="5"/>
      <c r="N388" s="5"/>
      <c r="O388" s="5"/>
      <c r="P388" s="5"/>
    </row>
    <row r="389" spans="1:1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5"/>
      <c r="K389" s="5"/>
      <c r="L389" s="5"/>
      <c r="M389" s="5"/>
      <c r="N389" s="5"/>
      <c r="O389" s="5"/>
      <c r="P389" s="5"/>
    </row>
  </sheetData>
  <mergeCells count="88">
    <mergeCell ref="B48:C48"/>
    <mergeCell ref="B49:C49"/>
    <mergeCell ref="A1:I1"/>
    <mergeCell ref="B3:D3"/>
    <mergeCell ref="B5:D5"/>
    <mergeCell ref="A9:A11"/>
    <mergeCell ref="B9:B11"/>
    <mergeCell ref="C9:C11"/>
    <mergeCell ref="D9:D11"/>
    <mergeCell ref="E9:E11"/>
    <mergeCell ref="F9:F11"/>
    <mergeCell ref="B50:C50"/>
    <mergeCell ref="B51:C51"/>
    <mergeCell ref="B52:C52"/>
    <mergeCell ref="B63:C63"/>
    <mergeCell ref="B64:C64"/>
    <mergeCell ref="B53:C53"/>
    <mergeCell ref="B62:C62"/>
    <mergeCell ref="B86:C8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76:C76"/>
    <mergeCell ref="B65:C65"/>
    <mergeCell ref="B66:C66"/>
    <mergeCell ref="B67:C67"/>
    <mergeCell ref="B68:C68"/>
    <mergeCell ref="B69:C69"/>
    <mergeCell ref="B71:C71"/>
    <mergeCell ref="B72:C72"/>
    <mergeCell ref="B73:C73"/>
    <mergeCell ref="B74:C74"/>
    <mergeCell ref="B75:C75"/>
    <mergeCell ref="B70:C70"/>
    <mergeCell ref="B106:C106"/>
    <mergeCell ref="B87:C87"/>
    <mergeCell ref="B88:C88"/>
    <mergeCell ref="B89:C89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26:C126"/>
    <mergeCell ref="B107:C107"/>
    <mergeCell ref="B108:C108"/>
    <mergeCell ref="B109:C109"/>
    <mergeCell ref="B110:C110"/>
    <mergeCell ref="B111:C111"/>
    <mergeCell ref="B120:C120"/>
    <mergeCell ref="B121:C121"/>
    <mergeCell ref="B122:C122"/>
    <mergeCell ref="B123:C123"/>
    <mergeCell ref="B124:C124"/>
    <mergeCell ref="B125:C125"/>
    <mergeCell ref="B146:C146"/>
    <mergeCell ref="B127:C127"/>
    <mergeCell ref="B128:C128"/>
    <mergeCell ref="B135:C135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58:C158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</mergeCells>
  <pageMargins left="0.51181102362204722" right="0.51181102362204722" top="0.78740157480314965" bottom="0.78740157480314965" header="0.31496062992125984" footer="0.31496062992125984"/>
  <pageSetup paperSize="9" scale="75" fitToWidth="2" orientation="landscape" r:id="rId1"/>
  <headerFooter>
    <oddHeader>&amp;L&amp;G&amp;R&amp;G</oddHeader>
    <oddFooter>&amp;CAv. Pres. Tancredo Neves, 3557 sala 306 – Bairro Castelo CEP 31.330-430 – Belo Horizonte / Minas Gerais.
Endereço Eletrônico: ottawaeng@terra.com.br – Telefax (31) 3418-2175 – CNPJ: 04.472.311/0001-04&amp;R&amp;P de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3"/>
  <sheetViews>
    <sheetView topLeftCell="A10" zoomScaleNormal="100" workbookViewId="0">
      <selection activeCell="A28" sqref="A28:D28"/>
    </sheetView>
  </sheetViews>
  <sheetFormatPr defaultRowHeight="14.25" x14ac:dyDescent="0.2"/>
  <cols>
    <col min="1" max="1" width="12.85546875" style="2" customWidth="1"/>
    <col min="2" max="2" width="43.7109375" style="2" customWidth="1"/>
    <col min="3" max="3" width="15.140625" style="2" customWidth="1"/>
    <col min="4" max="4" width="20.42578125" style="46" customWidth="1"/>
    <col min="5" max="5" width="21" style="1" customWidth="1"/>
    <col min="6" max="6" width="5.85546875" style="1" customWidth="1"/>
    <col min="7" max="7" width="16.28515625" style="1" customWidth="1"/>
    <col min="8" max="16384" width="9.140625" style="1"/>
  </cols>
  <sheetData>
    <row r="2" spans="1:12" ht="15" thickBot="1" x14ac:dyDescent="0.25"/>
    <row r="3" spans="1:12" ht="32.25" customHeight="1" thickBot="1" x14ac:dyDescent="0.25">
      <c r="A3" s="693" t="s">
        <v>571</v>
      </c>
      <c r="B3" s="694"/>
      <c r="C3" s="694"/>
      <c r="D3" s="695"/>
      <c r="E3" s="4"/>
      <c r="F3" s="4"/>
      <c r="G3" s="4"/>
      <c r="H3" s="4"/>
      <c r="I3" s="4"/>
      <c r="J3" s="4"/>
      <c r="K3" s="4"/>
      <c r="L3" s="4"/>
    </row>
    <row r="4" spans="1:12" s="43" customFormat="1" ht="4.5" customHeight="1" thickBot="1" x14ac:dyDescent="0.25">
      <c r="A4" s="236"/>
      <c r="B4" s="237"/>
      <c r="C4" s="237"/>
      <c r="D4" s="238"/>
      <c r="E4" s="42"/>
      <c r="F4" s="42"/>
      <c r="G4" s="42"/>
      <c r="H4" s="42"/>
      <c r="I4" s="42"/>
      <c r="J4" s="42"/>
      <c r="K4" s="42"/>
      <c r="L4" s="42"/>
    </row>
    <row r="5" spans="1:12" ht="20.100000000000001" customHeight="1" thickBot="1" x14ac:dyDescent="0.25">
      <c r="A5" s="696" t="s">
        <v>777</v>
      </c>
      <c r="B5" s="697"/>
      <c r="C5" s="697"/>
      <c r="D5" s="698"/>
      <c r="E5" s="4"/>
      <c r="F5" s="4"/>
      <c r="G5" s="4"/>
      <c r="H5" s="4"/>
      <c r="I5" s="4"/>
      <c r="J5" s="4"/>
      <c r="K5" s="4"/>
      <c r="L5" s="4"/>
    </row>
    <row r="6" spans="1:12" s="43" customFormat="1" ht="4.5" customHeight="1" thickBot="1" x14ac:dyDescent="0.25">
      <c r="A6" s="239"/>
      <c r="B6" s="240"/>
      <c r="C6" s="240"/>
      <c r="D6" s="241"/>
      <c r="E6" s="42"/>
      <c r="F6" s="42"/>
      <c r="G6" s="42"/>
      <c r="H6" s="42"/>
      <c r="I6" s="42"/>
      <c r="J6" s="42"/>
      <c r="K6" s="42"/>
      <c r="L6" s="42"/>
    </row>
    <row r="7" spans="1:12" ht="20.100000000000001" customHeight="1" thickBot="1" x14ac:dyDescent="0.25">
      <c r="A7" s="696" t="s">
        <v>783</v>
      </c>
      <c r="B7" s="697"/>
      <c r="C7" s="697"/>
      <c r="D7" s="698"/>
      <c r="E7" s="4"/>
      <c r="F7" s="4"/>
      <c r="G7" s="4"/>
      <c r="H7" s="4"/>
      <c r="I7" s="4"/>
      <c r="J7" s="4"/>
      <c r="K7" s="4"/>
      <c r="L7" s="4"/>
    </row>
    <row r="8" spans="1:12" s="43" customFormat="1" ht="4.5" customHeight="1" thickBot="1" x14ac:dyDescent="0.25">
      <c r="A8" s="239"/>
      <c r="B8" s="240"/>
      <c r="C8" s="240"/>
      <c r="D8" s="241"/>
      <c r="E8" s="42"/>
      <c r="F8" s="42"/>
      <c r="G8" s="42"/>
      <c r="H8" s="42"/>
      <c r="I8" s="42"/>
      <c r="J8" s="42"/>
      <c r="K8" s="42"/>
      <c r="L8" s="42"/>
    </row>
    <row r="9" spans="1:12" ht="20.100000000000001" customHeight="1" thickBot="1" x14ac:dyDescent="0.25">
      <c r="A9" s="699" t="s">
        <v>780</v>
      </c>
      <c r="B9" s="700"/>
      <c r="C9" s="701" t="s">
        <v>784</v>
      </c>
      <c r="D9" s="702"/>
      <c r="E9" s="11"/>
      <c r="F9" s="4"/>
      <c r="G9" s="4"/>
      <c r="H9" s="4"/>
      <c r="I9" s="4"/>
      <c r="J9" s="4"/>
      <c r="K9" s="4"/>
      <c r="L9" s="4"/>
    </row>
    <row r="10" spans="1:12" s="43" customFormat="1" ht="4.5" customHeight="1" thickBot="1" x14ac:dyDescent="0.25">
      <c r="A10" s="236"/>
      <c r="B10" s="237"/>
      <c r="C10" s="237"/>
      <c r="D10" s="238"/>
      <c r="E10" s="42"/>
      <c r="F10" s="42"/>
      <c r="G10" s="42"/>
      <c r="H10" s="42"/>
      <c r="I10" s="42"/>
      <c r="J10" s="42"/>
      <c r="K10" s="42"/>
      <c r="L10" s="42"/>
    </row>
    <row r="11" spans="1:12" s="7" customFormat="1" ht="20.100000000000001" customHeight="1" thickBot="1" x14ac:dyDescent="0.25">
      <c r="A11" s="195" t="s">
        <v>89</v>
      </c>
      <c r="B11" s="196" t="s">
        <v>255</v>
      </c>
      <c r="C11" s="196" t="s">
        <v>256</v>
      </c>
      <c r="D11" s="197" t="s">
        <v>257</v>
      </c>
      <c r="E11" s="70"/>
      <c r="F11" s="8"/>
      <c r="G11" s="8"/>
      <c r="H11" s="8"/>
      <c r="I11" s="8"/>
      <c r="J11" s="8"/>
      <c r="K11" s="8"/>
      <c r="L11" s="8"/>
    </row>
    <row r="12" spans="1:12" s="7" customFormat="1" ht="20.100000000000001" customHeight="1" x14ac:dyDescent="0.2">
      <c r="A12" s="71"/>
      <c r="B12" s="72"/>
      <c r="C12" s="72"/>
      <c r="D12" s="73"/>
      <c r="E12" s="74"/>
      <c r="F12" s="8"/>
      <c r="G12" s="8"/>
      <c r="H12" s="8"/>
      <c r="I12" s="8"/>
      <c r="J12" s="8"/>
      <c r="K12" s="8"/>
      <c r="L12" s="8"/>
    </row>
    <row r="13" spans="1:12" s="7" customFormat="1" ht="20.100000000000001" customHeight="1" x14ac:dyDescent="0.25">
      <c r="A13" s="75" t="s">
        <v>258</v>
      </c>
      <c r="B13" s="76" t="s">
        <v>259</v>
      </c>
      <c r="C13" s="77"/>
      <c r="D13" s="78" t="e">
        <f>ORÇAMENTO!L419</f>
        <v>#REF!</v>
      </c>
      <c r="E13" s="79"/>
      <c r="F13" s="8"/>
      <c r="G13" s="8"/>
      <c r="H13" s="8"/>
      <c r="I13" s="8"/>
      <c r="J13" s="8"/>
      <c r="K13" s="8"/>
      <c r="L13" s="8"/>
    </row>
    <row r="14" spans="1:12" s="7" customFormat="1" ht="20.100000000000001" customHeight="1" x14ac:dyDescent="0.2">
      <c r="A14" s="80"/>
      <c r="B14" s="81"/>
      <c r="C14" s="82"/>
      <c r="D14" s="83"/>
      <c r="E14"/>
      <c r="F14" s="8"/>
      <c r="G14" s="8"/>
      <c r="H14" s="8"/>
      <c r="I14" s="8"/>
      <c r="J14" s="8"/>
      <c r="K14" s="8"/>
      <c r="L14" s="8"/>
    </row>
    <row r="15" spans="1:12" s="7" customFormat="1" ht="20.100000000000001" customHeight="1" x14ac:dyDescent="0.25">
      <c r="A15" s="75" t="s">
        <v>260</v>
      </c>
      <c r="B15" s="76" t="s">
        <v>261</v>
      </c>
      <c r="C15" s="84">
        <f>SUM(C16:C19)</f>
        <v>7.9399999999999998E-2</v>
      </c>
      <c r="D15" s="85" t="e">
        <f>SUM(D16:D19)</f>
        <v>#REF!</v>
      </c>
      <c r="E15" s="86"/>
      <c r="F15" s="8"/>
      <c r="G15" s="8"/>
      <c r="H15" s="8"/>
      <c r="I15" s="8"/>
      <c r="J15" s="8"/>
      <c r="K15" s="8"/>
      <c r="L15" s="8"/>
    </row>
    <row r="16" spans="1:12" s="7" customFormat="1" ht="20.100000000000001" customHeight="1" x14ac:dyDescent="0.2">
      <c r="A16" s="80" t="s">
        <v>262</v>
      </c>
      <c r="B16" s="81" t="s">
        <v>263</v>
      </c>
      <c r="C16" s="87">
        <v>5.0599999999999999E-2</v>
      </c>
      <c r="D16" s="88" t="e">
        <f>C16*D$13</f>
        <v>#REF!</v>
      </c>
      <c r="E16" s="89"/>
      <c r="F16" s="8"/>
      <c r="G16" s="8"/>
      <c r="H16" s="8"/>
      <c r="I16" s="8"/>
      <c r="J16" s="8"/>
      <c r="K16" s="8"/>
      <c r="L16" s="8"/>
    </row>
    <row r="17" spans="1:12" s="7" customFormat="1" ht="20.100000000000001" customHeight="1" x14ac:dyDescent="0.2">
      <c r="A17" s="80" t="s">
        <v>264</v>
      </c>
      <c r="B17" s="81" t="s">
        <v>265</v>
      </c>
      <c r="C17" s="87">
        <v>2.0999999999999999E-3</v>
      </c>
      <c r="D17" s="88" t="e">
        <f>C17*D$13</f>
        <v>#REF!</v>
      </c>
      <c r="E17" s="89"/>
      <c r="F17" s="8"/>
      <c r="G17" s="8"/>
      <c r="H17" s="8"/>
      <c r="I17" s="8"/>
      <c r="J17" s="8"/>
      <c r="K17" s="8"/>
      <c r="L17" s="8"/>
    </row>
    <row r="18" spans="1:12" s="7" customFormat="1" ht="20.100000000000001" customHeight="1" x14ac:dyDescent="0.2">
      <c r="A18" s="80" t="s">
        <v>266</v>
      </c>
      <c r="B18" s="81" t="s">
        <v>267</v>
      </c>
      <c r="C18" s="87">
        <v>9.7000000000000003E-3</v>
      </c>
      <c r="D18" s="88" t="e">
        <f>C18*D$13</f>
        <v>#REF!</v>
      </c>
      <c r="E18" s="89"/>
      <c r="F18" s="8"/>
      <c r="G18" s="8"/>
      <c r="H18" s="8"/>
      <c r="I18" s="8"/>
      <c r="J18" s="8"/>
      <c r="K18" s="8"/>
      <c r="L18" s="8"/>
    </row>
    <row r="19" spans="1:12" s="7" customFormat="1" ht="20.100000000000001" customHeight="1" x14ac:dyDescent="0.2">
      <c r="A19" s="80" t="s">
        <v>268</v>
      </c>
      <c r="B19" s="81" t="s">
        <v>269</v>
      </c>
      <c r="C19" s="87">
        <v>1.7000000000000001E-2</v>
      </c>
      <c r="D19" s="88" t="e">
        <f>C19*D$13</f>
        <v>#REF!</v>
      </c>
      <c r="E19" s="89"/>
      <c r="F19" s="8"/>
      <c r="G19" s="8"/>
      <c r="H19" s="8"/>
      <c r="I19" s="8"/>
      <c r="J19" s="8"/>
      <c r="K19" s="8"/>
      <c r="L19" s="8"/>
    </row>
    <row r="20" spans="1:12" s="7" customFormat="1" ht="20.100000000000001" customHeight="1" x14ac:dyDescent="0.2">
      <c r="A20" s="690" t="s">
        <v>270</v>
      </c>
      <c r="B20" s="691"/>
      <c r="C20" s="691"/>
      <c r="D20" s="692"/>
      <c r="E20"/>
      <c r="F20" s="8"/>
      <c r="G20" s="8"/>
      <c r="H20" s="8"/>
      <c r="I20" s="8"/>
      <c r="J20" s="8"/>
      <c r="K20" s="8"/>
      <c r="L20" s="8"/>
    </row>
    <row r="21" spans="1:12" s="7" customFormat="1" ht="20.100000000000001" customHeight="1" x14ac:dyDescent="0.2">
      <c r="A21" s="90"/>
      <c r="B21" s="91"/>
      <c r="C21" s="91"/>
      <c r="D21" s="92"/>
      <c r="E21"/>
      <c r="F21" s="8"/>
      <c r="G21" s="8"/>
      <c r="H21" s="8"/>
      <c r="I21" s="8"/>
      <c r="J21" s="8"/>
      <c r="K21" s="8"/>
      <c r="L21" s="8"/>
    </row>
    <row r="22" spans="1:12" s="7" customFormat="1" ht="20.100000000000001" customHeight="1" x14ac:dyDescent="0.25">
      <c r="A22" s="75" t="s">
        <v>271</v>
      </c>
      <c r="B22" s="76" t="s">
        <v>272</v>
      </c>
      <c r="C22" s="77"/>
      <c r="D22" s="85" t="e">
        <f>D13+D15</f>
        <v>#REF!</v>
      </c>
      <c r="E22" s="86"/>
      <c r="F22" s="8"/>
      <c r="G22" s="8"/>
      <c r="H22" s="8"/>
      <c r="I22" s="8"/>
      <c r="J22" s="8"/>
      <c r="K22" s="8"/>
      <c r="L22" s="8"/>
    </row>
    <row r="23" spans="1:12" s="7" customFormat="1" ht="20.100000000000001" customHeight="1" x14ac:dyDescent="0.2">
      <c r="A23" s="80"/>
      <c r="B23" s="81"/>
      <c r="C23" s="82"/>
      <c r="D23" s="83"/>
      <c r="E23"/>
      <c r="F23" s="8"/>
      <c r="G23" s="8"/>
      <c r="H23" s="8"/>
      <c r="I23" s="8"/>
      <c r="J23" s="8"/>
      <c r="K23" s="8"/>
      <c r="L23" s="8"/>
    </row>
    <row r="24" spans="1:12" s="7" customFormat="1" ht="20.100000000000001" customHeight="1" x14ac:dyDescent="0.25">
      <c r="A24" s="75" t="s">
        <v>273</v>
      </c>
      <c r="B24" s="76" t="s">
        <v>274</v>
      </c>
      <c r="C24" s="84">
        <f>SUM(C25:C27)</f>
        <v>6.6500000000000004E-2</v>
      </c>
      <c r="D24" s="85">
        <f>ROUND(SUM(D25:D27),2)</f>
        <v>394848.88</v>
      </c>
      <c r="E24" s="86"/>
      <c r="F24" s="8"/>
      <c r="G24" s="8"/>
      <c r="H24" s="8"/>
      <c r="I24" s="8"/>
      <c r="J24" s="8"/>
      <c r="K24" s="8"/>
      <c r="L24" s="8"/>
    </row>
    <row r="25" spans="1:12" s="7" customFormat="1" ht="20.100000000000001" customHeight="1" x14ac:dyDescent="0.2">
      <c r="A25" s="80" t="s">
        <v>275</v>
      </c>
      <c r="B25" s="81" t="s">
        <v>276</v>
      </c>
      <c r="C25" s="87">
        <v>0.03</v>
      </c>
      <c r="D25" s="88">
        <f>C25*D$33</f>
        <v>178127.31570000004</v>
      </c>
      <c r="E25" s="86"/>
      <c r="F25" s="8"/>
      <c r="G25" s="8"/>
      <c r="H25" s="8"/>
      <c r="I25" s="8"/>
      <c r="J25" s="8"/>
      <c r="K25" s="8"/>
      <c r="L25" s="8"/>
    </row>
    <row r="26" spans="1:12" s="7" customFormat="1" ht="20.100000000000001" customHeight="1" x14ac:dyDescent="0.2">
      <c r="A26" s="80" t="s">
        <v>277</v>
      </c>
      <c r="B26" s="81" t="s">
        <v>278</v>
      </c>
      <c r="C26" s="87">
        <v>6.4999999999999997E-3</v>
      </c>
      <c r="D26" s="88">
        <f>C26*D$33</f>
        <v>38594.251735000005</v>
      </c>
      <c r="E26" s="86"/>
      <c r="F26" s="8"/>
      <c r="G26" s="8"/>
      <c r="H26" s="8"/>
      <c r="I26" s="8"/>
      <c r="J26" s="8"/>
      <c r="K26" s="8"/>
      <c r="L26" s="8"/>
    </row>
    <row r="27" spans="1:12" s="7" customFormat="1" ht="20.100000000000001" customHeight="1" x14ac:dyDescent="0.2">
      <c r="A27" s="80" t="s">
        <v>279</v>
      </c>
      <c r="B27" s="81" t="s">
        <v>280</v>
      </c>
      <c r="C27" s="87">
        <v>0.03</v>
      </c>
      <c r="D27" s="88">
        <f>C27*D$33</f>
        <v>178127.31570000004</v>
      </c>
      <c r="E27" s="86"/>
      <c r="F27" s="8"/>
      <c r="G27" s="8"/>
      <c r="H27" s="8"/>
      <c r="I27" s="8"/>
      <c r="J27" s="8"/>
      <c r="K27" s="8"/>
      <c r="L27" s="8"/>
    </row>
    <row r="28" spans="1:12" s="7" customFormat="1" ht="20.100000000000001" customHeight="1" x14ac:dyDescent="0.2">
      <c r="A28" s="690" t="s">
        <v>281</v>
      </c>
      <c r="B28" s="691"/>
      <c r="C28" s="691"/>
      <c r="D28" s="692"/>
      <c r="E28" s="86"/>
      <c r="F28" s="8"/>
      <c r="G28" s="8"/>
      <c r="H28" s="8"/>
      <c r="I28" s="8"/>
      <c r="J28" s="8"/>
      <c r="K28" s="8"/>
      <c r="L28" s="8"/>
    </row>
    <row r="29" spans="1:12" s="7" customFormat="1" ht="20.100000000000001" customHeight="1" x14ac:dyDescent="0.2">
      <c r="A29" s="90"/>
      <c r="B29" s="91"/>
      <c r="C29" s="91"/>
      <c r="D29" s="92"/>
      <c r="E29" s="86"/>
      <c r="F29" s="8"/>
      <c r="G29" s="8"/>
      <c r="H29" s="8"/>
      <c r="I29" s="8"/>
      <c r="J29" s="8"/>
      <c r="K29" s="8"/>
      <c r="L29" s="8"/>
    </row>
    <row r="30" spans="1:12" s="7" customFormat="1" ht="20.100000000000001" customHeight="1" x14ac:dyDescent="0.25">
      <c r="A30" s="75" t="s">
        <v>282</v>
      </c>
      <c r="B30" s="76" t="s">
        <v>283</v>
      </c>
      <c r="C30" s="84">
        <v>7.0000000000000007E-2</v>
      </c>
      <c r="D30" s="85">
        <f>C30*D$33</f>
        <v>415630.40330000012</v>
      </c>
      <c r="E30" s="86"/>
      <c r="F30" s="8"/>
      <c r="G30" s="8"/>
      <c r="H30" s="8"/>
      <c r="I30" s="8"/>
      <c r="J30" s="8"/>
      <c r="K30" s="8"/>
      <c r="L30" s="8"/>
    </row>
    <row r="31" spans="1:12" s="7" customFormat="1" ht="20.100000000000001" customHeight="1" x14ac:dyDescent="0.2">
      <c r="A31" s="690" t="s">
        <v>284</v>
      </c>
      <c r="B31" s="691"/>
      <c r="C31" s="691"/>
      <c r="D31" s="692"/>
      <c r="E31"/>
      <c r="F31" s="8"/>
      <c r="G31" s="8"/>
      <c r="H31" s="8"/>
      <c r="I31" s="8"/>
      <c r="J31" s="8"/>
      <c r="K31" s="8"/>
      <c r="L31" s="8"/>
    </row>
    <row r="32" spans="1:12" s="7" customFormat="1" ht="20.100000000000001" customHeight="1" x14ac:dyDescent="0.2">
      <c r="A32" s="90"/>
      <c r="B32" s="91"/>
      <c r="C32" s="91"/>
      <c r="D32" s="92"/>
      <c r="E32"/>
      <c r="F32" s="8"/>
      <c r="G32" s="8"/>
      <c r="H32" s="8"/>
      <c r="I32" s="8"/>
      <c r="J32" s="8"/>
      <c r="K32" s="8"/>
      <c r="L32" s="8"/>
    </row>
    <row r="33" spans="1:12" s="7" customFormat="1" ht="20.100000000000001" customHeight="1" x14ac:dyDescent="0.25">
      <c r="A33" s="75" t="s">
        <v>285</v>
      </c>
      <c r="B33" s="76" t="s">
        <v>286</v>
      </c>
      <c r="C33" s="82"/>
      <c r="D33" s="85">
        <f>ORÇAMENTO!I44</f>
        <v>5937577.1900000013</v>
      </c>
      <c r="E33" s="86"/>
      <c r="F33" s="8"/>
      <c r="G33" s="65"/>
      <c r="H33" s="8"/>
      <c r="I33" s="8"/>
      <c r="J33" s="8"/>
      <c r="K33" s="8"/>
      <c r="L33" s="8"/>
    </row>
    <row r="34" spans="1:12" s="7" customFormat="1" ht="20.100000000000001" customHeight="1" x14ac:dyDescent="0.2">
      <c r="A34" s="80"/>
      <c r="B34" s="81"/>
      <c r="C34" s="82"/>
      <c r="D34" s="83"/>
      <c r="E34"/>
      <c r="F34" s="8"/>
      <c r="G34" s="8"/>
      <c r="H34" s="8"/>
      <c r="I34" s="8"/>
      <c r="J34" s="8"/>
      <c r="K34" s="8"/>
      <c r="L34" s="8"/>
    </row>
    <row r="35" spans="1:12" s="7" customFormat="1" ht="20.100000000000001" customHeight="1" x14ac:dyDescent="0.25">
      <c r="A35" s="75" t="s">
        <v>287</v>
      </c>
      <c r="B35" s="76" t="s">
        <v>288</v>
      </c>
      <c r="C35" s="84">
        <f>ROUND((1+C15)/(1-C24-C30)-1,5)</f>
        <v>0.25002999999999997</v>
      </c>
      <c r="D35" s="83"/>
      <c r="E35"/>
      <c r="F35" s="8"/>
      <c r="G35" s="8"/>
      <c r="H35" s="8"/>
      <c r="I35" s="8"/>
      <c r="J35" s="8"/>
      <c r="K35" s="8"/>
      <c r="L35" s="8"/>
    </row>
    <row r="36" spans="1:12" s="7" customFormat="1" ht="20.100000000000001" customHeight="1" x14ac:dyDescent="0.2">
      <c r="A36" s="93"/>
      <c r="B36" s="94"/>
      <c r="C36" s="94"/>
      <c r="D36" s="95"/>
      <c r="E36"/>
      <c r="F36" s="8"/>
      <c r="G36" s="8"/>
      <c r="H36" s="8"/>
      <c r="I36" s="8"/>
      <c r="J36" s="8"/>
      <c r="K36" s="8"/>
      <c r="L36" s="8"/>
    </row>
    <row r="37" spans="1:12" s="7" customFormat="1" ht="20.100000000000001" customHeight="1" x14ac:dyDescent="0.25">
      <c r="A37" s="96" t="s">
        <v>289</v>
      </c>
      <c r="B37" s="94"/>
      <c r="C37" s="94"/>
      <c r="D37" s="95"/>
      <c r="E37"/>
      <c r="F37" s="8"/>
      <c r="G37" s="8"/>
      <c r="H37" s="8"/>
      <c r="I37" s="8"/>
      <c r="J37" s="8"/>
      <c r="K37" s="8"/>
      <c r="L37" s="8"/>
    </row>
    <row r="38" spans="1:12" s="7" customFormat="1" ht="20.100000000000001" customHeight="1" x14ac:dyDescent="0.25">
      <c r="A38" s="96" t="s">
        <v>290</v>
      </c>
      <c r="B38" s="94"/>
      <c r="C38" s="94"/>
      <c r="D38" s="95"/>
      <c r="E38"/>
      <c r="F38" s="8"/>
      <c r="G38" s="8"/>
      <c r="H38" s="8"/>
      <c r="I38" s="8"/>
      <c r="J38" s="8"/>
      <c r="K38" s="8"/>
      <c r="L38" s="8"/>
    </row>
    <row r="39" spans="1:12" s="7" customFormat="1" ht="20.100000000000001" customHeight="1" thickBot="1" x14ac:dyDescent="0.25">
      <c r="A39" s="97"/>
      <c r="B39" s="98"/>
      <c r="C39" s="99"/>
      <c r="D39" s="100"/>
      <c r="E39" s="8"/>
      <c r="F39" s="8"/>
      <c r="G39" s="8"/>
      <c r="H39" s="8"/>
      <c r="I39" s="8"/>
      <c r="J39" s="8"/>
      <c r="K39" s="8"/>
      <c r="L39" s="8"/>
    </row>
    <row r="40" spans="1:12" s="7" customFormat="1" x14ac:dyDescent="0.2">
      <c r="E40" s="8"/>
      <c r="F40" s="9"/>
      <c r="G40" s="8"/>
      <c r="H40" s="8"/>
      <c r="I40" s="8"/>
      <c r="J40" s="8"/>
      <c r="K40" s="8"/>
      <c r="L40" s="8"/>
    </row>
    <row r="41" spans="1:12" ht="15.95" customHeight="1" x14ac:dyDescent="0.2">
      <c r="E41" s="5"/>
      <c r="F41" s="5"/>
      <c r="G41" s="5"/>
      <c r="H41" s="5"/>
      <c r="I41" s="5"/>
      <c r="J41" s="5"/>
      <c r="K41" s="5"/>
      <c r="L41" s="5"/>
    </row>
    <row r="42" spans="1:12" ht="15.95" customHeight="1" x14ac:dyDescent="0.2">
      <c r="E42" s="5"/>
      <c r="F42" s="5"/>
      <c r="G42" s="5"/>
      <c r="H42" s="5"/>
      <c r="I42" s="5"/>
      <c r="J42" s="5"/>
      <c r="K42" s="5"/>
      <c r="L42" s="5"/>
    </row>
    <row r="43" spans="1:12" ht="15.95" customHeight="1" x14ac:dyDescent="0.2">
      <c r="E43" s="5"/>
      <c r="F43" s="5"/>
      <c r="G43" s="5"/>
      <c r="H43" s="5"/>
      <c r="I43" s="5"/>
      <c r="J43" s="5"/>
      <c r="K43" s="5"/>
      <c r="L43" s="5"/>
    </row>
    <row r="44" spans="1:12" ht="15.95" customHeight="1" x14ac:dyDescent="0.2">
      <c r="E44" s="5"/>
      <c r="F44" s="5"/>
      <c r="G44" s="5"/>
      <c r="H44" s="5"/>
      <c r="I44" s="5"/>
      <c r="J44" s="5"/>
      <c r="K44" s="5"/>
      <c r="L44" s="5"/>
    </row>
    <row r="45" spans="1:12" ht="15.95" customHeight="1" x14ac:dyDescent="0.2">
      <c r="E45" s="5"/>
      <c r="F45" s="5"/>
      <c r="G45" s="5"/>
      <c r="H45" s="5"/>
      <c r="I45" s="5"/>
      <c r="J45" s="5"/>
      <c r="K45" s="5"/>
      <c r="L45" s="5"/>
    </row>
    <row r="46" spans="1:12" ht="15.95" customHeight="1" x14ac:dyDescent="0.2">
      <c r="E46" s="5"/>
      <c r="F46" s="5"/>
      <c r="G46" s="5"/>
      <c r="H46" s="5"/>
      <c r="I46" s="5"/>
      <c r="J46" s="5"/>
      <c r="K46" s="5"/>
      <c r="L46" s="5"/>
    </row>
    <row r="47" spans="1:12" ht="15.95" customHeight="1" x14ac:dyDescent="0.2">
      <c r="E47" s="5"/>
      <c r="F47" s="5"/>
      <c r="G47" s="5"/>
      <c r="H47" s="5"/>
      <c r="I47" s="5"/>
      <c r="J47" s="5"/>
      <c r="K47" s="5"/>
      <c r="L47" s="5"/>
    </row>
    <row r="48" spans="1:12" ht="15.95" customHeight="1" x14ac:dyDescent="0.2">
      <c r="A48" s="1"/>
      <c r="B48" s="1"/>
      <c r="C48" s="1"/>
      <c r="D48" s="1"/>
      <c r="E48" s="5"/>
      <c r="F48" s="5"/>
      <c r="G48" s="5"/>
      <c r="H48" s="5"/>
      <c r="I48" s="5"/>
      <c r="J48" s="5"/>
      <c r="K48" s="5"/>
      <c r="L48" s="5"/>
    </row>
    <row r="49" spans="1:12" ht="15.95" customHeight="1" x14ac:dyDescent="0.2">
      <c r="A49" s="1"/>
      <c r="B49" s="1"/>
      <c r="C49" s="1"/>
      <c r="D49" s="1"/>
      <c r="E49" s="5"/>
      <c r="F49" s="5"/>
      <c r="G49" s="5"/>
      <c r="H49" s="5"/>
      <c r="I49" s="5"/>
      <c r="J49" s="5"/>
      <c r="K49" s="5"/>
      <c r="L49" s="5"/>
    </row>
    <row r="50" spans="1:12" ht="15.95" customHeight="1" x14ac:dyDescent="0.2">
      <c r="A50" s="1"/>
      <c r="B50" s="1"/>
      <c r="C50" s="1"/>
      <c r="D50" s="1"/>
      <c r="E50" s="5"/>
      <c r="F50" s="5"/>
      <c r="G50" s="5"/>
      <c r="H50" s="5"/>
      <c r="I50" s="5"/>
      <c r="J50" s="5"/>
      <c r="K50" s="5"/>
      <c r="L50" s="5"/>
    </row>
    <row r="51" spans="1:12" ht="15.95" customHeight="1" x14ac:dyDescent="0.2">
      <c r="A51" s="1"/>
      <c r="B51" s="1"/>
      <c r="C51" s="1"/>
      <c r="D51" s="1"/>
      <c r="E51" s="5"/>
      <c r="F51" s="5"/>
      <c r="G51" s="5"/>
      <c r="H51" s="5"/>
      <c r="I51" s="5"/>
      <c r="J51" s="5"/>
      <c r="K51" s="5"/>
      <c r="L51" s="5"/>
    </row>
    <row r="52" spans="1:12" ht="15.95" customHeight="1" x14ac:dyDescent="0.2">
      <c r="A52" s="1"/>
      <c r="B52" s="1"/>
      <c r="C52" s="1"/>
      <c r="D52" s="1"/>
      <c r="E52" s="5"/>
      <c r="F52" s="5"/>
      <c r="G52" s="5"/>
      <c r="H52" s="5"/>
      <c r="I52" s="5"/>
      <c r="J52" s="5"/>
      <c r="K52" s="5"/>
      <c r="L52" s="5"/>
    </row>
    <row r="53" spans="1:12" ht="15.95" customHeight="1" x14ac:dyDescent="0.2">
      <c r="A53" s="1"/>
      <c r="B53" s="1"/>
      <c r="C53" s="1"/>
      <c r="D53" s="1"/>
      <c r="E53" s="5"/>
      <c r="F53" s="5"/>
      <c r="G53" s="5"/>
      <c r="H53" s="5"/>
      <c r="I53" s="5"/>
      <c r="J53" s="5"/>
      <c r="K53" s="5"/>
      <c r="L53" s="5"/>
    </row>
    <row r="54" spans="1:12" ht="15.95" customHeight="1" x14ac:dyDescent="0.2">
      <c r="A54" s="1"/>
      <c r="B54" s="1"/>
      <c r="C54" s="1"/>
      <c r="D54" s="1"/>
      <c r="E54" s="5"/>
      <c r="F54" s="5"/>
      <c r="G54" s="5"/>
      <c r="H54" s="5"/>
      <c r="I54" s="5"/>
      <c r="J54" s="5"/>
      <c r="K54" s="5"/>
      <c r="L54" s="5"/>
    </row>
    <row r="55" spans="1:12" ht="15.95" customHeight="1" x14ac:dyDescent="0.2">
      <c r="A55" s="1"/>
      <c r="B55" s="1"/>
      <c r="C55" s="1"/>
      <c r="D55" s="1"/>
      <c r="E55" s="5"/>
      <c r="F55" s="5"/>
      <c r="G55" s="5"/>
      <c r="H55" s="5"/>
      <c r="I55" s="5"/>
      <c r="J55" s="5"/>
      <c r="K55" s="5"/>
      <c r="L55" s="5"/>
    </row>
    <row r="56" spans="1:12" ht="15.95" customHeight="1" x14ac:dyDescent="0.2">
      <c r="A56" s="1"/>
      <c r="B56" s="1"/>
      <c r="C56" s="1"/>
      <c r="D56" s="1"/>
      <c r="E56" s="5"/>
      <c r="F56" s="5"/>
      <c r="G56" s="5"/>
      <c r="H56" s="5"/>
      <c r="I56" s="5"/>
      <c r="J56" s="5"/>
      <c r="K56" s="5"/>
      <c r="L56" s="5"/>
    </row>
    <row r="57" spans="1:12" ht="15.95" customHeight="1" x14ac:dyDescent="0.2">
      <c r="A57" s="1"/>
      <c r="B57" s="1"/>
      <c r="C57" s="1"/>
      <c r="D57" s="1"/>
      <c r="E57" s="5"/>
      <c r="F57" s="5"/>
      <c r="G57" s="5"/>
      <c r="H57" s="5"/>
      <c r="I57" s="5"/>
      <c r="J57" s="5"/>
      <c r="K57" s="5"/>
      <c r="L57" s="5"/>
    </row>
    <row r="58" spans="1:12" ht="15.95" customHeight="1" x14ac:dyDescent="0.2">
      <c r="A58" s="1"/>
      <c r="B58" s="1"/>
      <c r="C58" s="1"/>
      <c r="D58" s="1"/>
      <c r="E58" s="5"/>
      <c r="F58" s="5"/>
      <c r="G58" s="5"/>
      <c r="H58" s="5"/>
      <c r="I58" s="5"/>
      <c r="J58" s="5"/>
      <c r="K58" s="5"/>
      <c r="L58" s="5"/>
    </row>
    <row r="59" spans="1:12" ht="15.95" customHeight="1" x14ac:dyDescent="0.2">
      <c r="A59" s="1"/>
      <c r="B59" s="1"/>
      <c r="C59" s="1"/>
      <c r="D59" s="1"/>
      <c r="E59" s="5"/>
      <c r="F59" s="5"/>
      <c r="G59" s="5"/>
      <c r="H59" s="5"/>
      <c r="I59" s="5"/>
      <c r="J59" s="5"/>
      <c r="K59" s="5"/>
      <c r="L59" s="5"/>
    </row>
    <row r="60" spans="1:12" ht="15.95" customHeight="1" x14ac:dyDescent="0.2">
      <c r="A60" s="1"/>
      <c r="B60" s="1"/>
      <c r="C60" s="1"/>
      <c r="D60" s="1"/>
      <c r="E60" s="5"/>
      <c r="F60" s="5"/>
      <c r="G60" s="5"/>
      <c r="H60" s="5"/>
      <c r="I60" s="5"/>
      <c r="J60" s="5"/>
      <c r="K60" s="5"/>
      <c r="L60" s="5"/>
    </row>
    <row r="61" spans="1:12" ht="15.95" customHeight="1" x14ac:dyDescent="0.2">
      <c r="A61" s="1"/>
      <c r="B61" s="1"/>
      <c r="C61" s="1"/>
      <c r="D61" s="1"/>
      <c r="E61" s="5"/>
      <c r="F61" s="5"/>
      <c r="G61" s="5"/>
      <c r="H61" s="5"/>
      <c r="I61" s="5"/>
      <c r="J61" s="5"/>
      <c r="K61" s="5"/>
      <c r="L61" s="5"/>
    </row>
    <row r="62" spans="1:12" ht="15.95" customHeight="1" x14ac:dyDescent="0.2">
      <c r="A62" s="1"/>
      <c r="B62" s="1"/>
      <c r="C62" s="1"/>
      <c r="D62" s="1"/>
      <c r="E62" s="5"/>
      <c r="F62" s="5"/>
      <c r="G62" s="5"/>
      <c r="H62" s="5"/>
      <c r="I62" s="5"/>
      <c r="J62" s="5"/>
      <c r="K62" s="5"/>
      <c r="L62" s="5"/>
    </row>
    <row r="63" spans="1:12" ht="15.95" customHeight="1" x14ac:dyDescent="0.2">
      <c r="A63" s="1"/>
      <c r="B63" s="1"/>
      <c r="C63" s="1"/>
      <c r="D63" s="1"/>
      <c r="E63" s="5"/>
      <c r="F63" s="5"/>
      <c r="G63" s="5"/>
      <c r="H63" s="5"/>
      <c r="I63" s="5"/>
      <c r="J63" s="5"/>
      <c r="K63" s="5"/>
      <c r="L63" s="5"/>
    </row>
    <row r="64" spans="1:12" ht="15.95" customHeight="1" x14ac:dyDescent="0.2">
      <c r="A64" s="1"/>
      <c r="B64" s="1"/>
      <c r="C64" s="1"/>
      <c r="D64" s="1"/>
      <c r="E64" s="5"/>
      <c r="F64" s="5"/>
      <c r="G64" s="5"/>
      <c r="H64" s="5"/>
      <c r="I64" s="5"/>
      <c r="J64" s="5"/>
      <c r="K64" s="5"/>
      <c r="L64" s="5"/>
    </row>
    <row r="65" spans="1:12" ht="15.95" customHeight="1" x14ac:dyDescent="0.2">
      <c r="A65" s="1"/>
      <c r="B65" s="1"/>
      <c r="C65" s="1"/>
      <c r="D65" s="1"/>
      <c r="E65" s="5"/>
      <c r="F65" s="5"/>
      <c r="G65" s="5"/>
      <c r="H65" s="5"/>
      <c r="I65" s="5"/>
      <c r="J65" s="5"/>
      <c r="K65" s="5"/>
      <c r="L65" s="5"/>
    </row>
    <row r="66" spans="1:12" ht="15.95" customHeight="1" x14ac:dyDescent="0.2">
      <c r="A66" s="1"/>
      <c r="B66" s="1"/>
      <c r="C66" s="1"/>
      <c r="D66" s="1"/>
      <c r="E66" s="5"/>
      <c r="F66" s="5"/>
      <c r="G66" s="5"/>
      <c r="H66" s="5"/>
      <c r="I66" s="5"/>
      <c r="J66" s="5"/>
      <c r="K66" s="5"/>
      <c r="L66" s="5"/>
    </row>
    <row r="67" spans="1:12" ht="15.95" customHeight="1" x14ac:dyDescent="0.2">
      <c r="A67" s="1"/>
      <c r="B67" s="1"/>
      <c r="C67" s="1"/>
      <c r="D67" s="1"/>
      <c r="E67" s="5"/>
      <c r="F67" s="5"/>
      <c r="G67" s="5"/>
      <c r="H67" s="5"/>
      <c r="I67" s="5"/>
      <c r="J67" s="5"/>
      <c r="K67" s="5"/>
      <c r="L67" s="5"/>
    </row>
    <row r="68" spans="1:12" ht="15.95" customHeight="1" x14ac:dyDescent="0.2">
      <c r="A68" s="1"/>
      <c r="B68" s="1"/>
      <c r="C68" s="1"/>
      <c r="D68" s="1"/>
      <c r="E68" s="5"/>
      <c r="F68" s="5"/>
      <c r="G68" s="5"/>
      <c r="H68" s="5"/>
      <c r="I68" s="5"/>
      <c r="J68" s="5"/>
      <c r="K68" s="5"/>
      <c r="L68" s="5"/>
    </row>
    <row r="69" spans="1:12" ht="15.95" customHeight="1" x14ac:dyDescent="0.2">
      <c r="A69" s="1"/>
      <c r="B69" s="1"/>
      <c r="C69" s="1"/>
      <c r="D69" s="1"/>
      <c r="E69" s="5"/>
      <c r="F69" s="5"/>
      <c r="G69" s="5"/>
      <c r="H69" s="5"/>
      <c r="I69" s="5"/>
      <c r="J69" s="5"/>
      <c r="K69" s="5"/>
      <c r="L69" s="5"/>
    </row>
    <row r="70" spans="1:12" ht="15.95" customHeight="1" x14ac:dyDescent="0.2">
      <c r="A70" s="1"/>
      <c r="B70" s="1"/>
      <c r="C70" s="1"/>
      <c r="D70" s="1"/>
      <c r="E70" s="5"/>
      <c r="F70" s="5"/>
      <c r="G70" s="5"/>
      <c r="H70" s="5"/>
      <c r="I70" s="5"/>
      <c r="J70" s="5"/>
      <c r="K70" s="5"/>
      <c r="L70" s="5"/>
    </row>
    <row r="71" spans="1:12" ht="15.95" customHeight="1" x14ac:dyDescent="0.2">
      <c r="A71" s="1"/>
      <c r="B71" s="1"/>
      <c r="C71" s="1"/>
      <c r="D71" s="1"/>
      <c r="E71" s="5"/>
      <c r="F71" s="5"/>
      <c r="G71" s="5"/>
      <c r="H71" s="5"/>
      <c r="I71" s="5"/>
      <c r="J71" s="5"/>
      <c r="K71" s="5"/>
      <c r="L71" s="5"/>
    </row>
    <row r="72" spans="1:12" ht="15.95" customHeight="1" x14ac:dyDescent="0.2">
      <c r="A72" s="1"/>
      <c r="B72" s="1"/>
      <c r="C72" s="1"/>
      <c r="D72" s="1"/>
      <c r="E72" s="5"/>
      <c r="F72" s="5"/>
      <c r="G72" s="5"/>
      <c r="H72" s="5"/>
      <c r="I72" s="5"/>
      <c r="J72" s="5"/>
      <c r="K72" s="5"/>
      <c r="L72" s="5"/>
    </row>
    <row r="73" spans="1:12" ht="15.95" customHeight="1" x14ac:dyDescent="0.2">
      <c r="A73" s="1"/>
      <c r="B73" s="1"/>
      <c r="C73" s="1"/>
      <c r="D73" s="1"/>
      <c r="E73" s="5"/>
      <c r="F73" s="5"/>
      <c r="G73" s="5"/>
      <c r="H73" s="5"/>
      <c r="I73" s="5"/>
      <c r="J73" s="5"/>
      <c r="K73" s="5"/>
      <c r="L73" s="5"/>
    </row>
    <row r="74" spans="1:12" ht="15.95" customHeight="1" x14ac:dyDescent="0.2">
      <c r="A74" s="1"/>
      <c r="B74" s="1"/>
      <c r="C74" s="1"/>
      <c r="D74" s="1"/>
      <c r="E74" s="5"/>
      <c r="F74" s="5"/>
      <c r="G74" s="5"/>
      <c r="H74" s="5"/>
      <c r="I74" s="5"/>
      <c r="J74" s="5"/>
      <c r="K74" s="5"/>
      <c r="L74" s="5"/>
    </row>
    <row r="75" spans="1:12" ht="15.95" customHeight="1" x14ac:dyDescent="0.2">
      <c r="A75" s="1"/>
      <c r="B75" s="1"/>
      <c r="C75" s="1"/>
      <c r="D75" s="1"/>
      <c r="E75" s="5"/>
      <c r="F75" s="5"/>
      <c r="G75" s="5"/>
      <c r="H75" s="5"/>
      <c r="I75" s="5"/>
      <c r="J75" s="5"/>
      <c r="K75" s="5"/>
      <c r="L75" s="5"/>
    </row>
    <row r="76" spans="1:12" ht="15.95" customHeight="1" x14ac:dyDescent="0.2">
      <c r="A76" s="1"/>
      <c r="B76" s="1"/>
      <c r="C76" s="1"/>
      <c r="D76" s="1"/>
      <c r="E76" s="5"/>
      <c r="F76" s="5"/>
      <c r="G76" s="5"/>
      <c r="H76" s="5"/>
      <c r="I76" s="5"/>
      <c r="J76" s="5"/>
      <c r="K76" s="5"/>
      <c r="L76" s="5"/>
    </row>
    <row r="77" spans="1:12" ht="15.95" customHeight="1" x14ac:dyDescent="0.2">
      <c r="A77" s="1"/>
      <c r="B77" s="1"/>
      <c r="C77" s="1"/>
      <c r="D77" s="1"/>
      <c r="E77" s="5"/>
      <c r="F77" s="5"/>
      <c r="G77" s="5"/>
      <c r="H77" s="5"/>
      <c r="I77" s="5"/>
      <c r="J77" s="5"/>
      <c r="K77" s="5"/>
      <c r="L77" s="5"/>
    </row>
    <row r="78" spans="1:12" ht="15.95" customHeight="1" x14ac:dyDescent="0.2">
      <c r="A78" s="1"/>
      <c r="B78" s="1"/>
      <c r="C78" s="1"/>
      <c r="D78" s="1"/>
      <c r="E78" s="5"/>
      <c r="F78" s="5"/>
      <c r="G78" s="5"/>
      <c r="H78" s="5"/>
      <c r="I78" s="5"/>
      <c r="J78" s="5"/>
      <c r="K78" s="5"/>
      <c r="L78" s="5"/>
    </row>
    <row r="79" spans="1:12" ht="15.95" customHeight="1" x14ac:dyDescent="0.2">
      <c r="A79" s="1"/>
      <c r="B79" s="1"/>
      <c r="C79" s="1"/>
      <c r="D79" s="1"/>
      <c r="E79" s="5"/>
      <c r="F79" s="5"/>
      <c r="G79" s="5"/>
      <c r="H79" s="5"/>
      <c r="I79" s="5"/>
      <c r="J79" s="5"/>
      <c r="K79" s="5"/>
      <c r="L79" s="5"/>
    </row>
    <row r="80" spans="1:12" ht="15.95" customHeight="1" x14ac:dyDescent="0.2">
      <c r="A80" s="1"/>
      <c r="B80" s="1"/>
      <c r="C80" s="1"/>
      <c r="D80" s="1"/>
      <c r="E80" s="5"/>
      <c r="F80" s="5"/>
      <c r="G80" s="5"/>
      <c r="H80" s="5"/>
      <c r="I80" s="5"/>
      <c r="J80" s="5"/>
      <c r="K80" s="5"/>
      <c r="L80" s="5"/>
    </row>
    <row r="81" spans="1:12" ht="15.95" customHeight="1" x14ac:dyDescent="0.2">
      <c r="A81" s="1"/>
      <c r="B81" s="1"/>
      <c r="C81" s="1"/>
      <c r="D81" s="1"/>
      <c r="E81" s="5"/>
      <c r="F81" s="5"/>
      <c r="G81" s="5"/>
      <c r="H81" s="5"/>
      <c r="I81" s="5"/>
      <c r="J81" s="5"/>
      <c r="K81" s="5"/>
      <c r="L81" s="5"/>
    </row>
    <row r="82" spans="1:12" ht="15.95" customHeight="1" x14ac:dyDescent="0.2">
      <c r="A82" s="1"/>
      <c r="B82" s="1"/>
      <c r="C82" s="1"/>
      <c r="D82" s="1"/>
      <c r="E82" s="5"/>
      <c r="F82" s="5"/>
      <c r="G82" s="5"/>
      <c r="H82" s="5"/>
      <c r="I82" s="5"/>
      <c r="J82" s="5"/>
      <c r="K82" s="5"/>
      <c r="L82" s="5"/>
    </row>
    <row r="83" spans="1:12" ht="15.95" customHeight="1" x14ac:dyDescent="0.2">
      <c r="A83" s="1"/>
      <c r="B83" s="1"/>
      <c r="C83" s="1"/>
      <c r="D83" s="1"/>
      <c r="E83" s="5"/>
      <c r="F83" s="5"/>
      <c r="G83" s="5"/>
      <c r="H83" s="5"/>
      <c r="I83" s="5"/>
      <c r="J83" s="5"/>
      <c r="K83" s="5"/>
      <c r="L83" s="5"/>
    </row>
    <row r="84" spans="1:12" ht="15.95" customHeight="1" x14ac:dyDescent="0.2">
      <c r="A84" s="1"/>
      <c r="B84" s="1"/>
      <c r="C84" s="1"/>
      <c r="D84" s="1"/>
      <c r="E84" s="5"/>
      <c r="F84" s="5"/>
      <c r="G84" s="5"/>
      <c r="H84" s="5"/>
      <c r="I84" s="5"/>
      <c r="J84" s="5"/>
      <c r="K84" s="5"/>
      <c r="L84" s="5"/>
    </row>
    <row r="85" spans="1:12" ht="15.95" customHeight="1" x14ac:dyDescent="0.2">
      <c r="A85" s="1"/>
      <c r="B85" s="1"/>
      <c r="C85" s="1"/>
      <c r="D85" s="1"/>
      <c r="E85" s="5"/>
      <c r="F85" s="5"/>
      <c r="G85" s="5"/>
      <c r="H85" s="5"/>
      <c r="I85" s="5"/>
      <c r="J85" s="5"/>
      <c r="K85" s="5"/>
      <c r="L85" s="5"/>
    </row>
    <row r="86" spans="1:12" ht="15.95" customHeight="1" x14ac:dyDescent="0.2">
      <c r="A86" s="1"/>
      <c r="B86" s="1"/>
      <c r="C86" s="1"/>
      <c r="D86" s="1"/>
      <c r="E86" s="5"/>
      <c r="F86" s="5"/>
      <c r="G86" s="5"/>
      <c r="H86" s="5"/>
      <c r="I86" s="5"/>
      <c r="J86" s="5"/>
      <c r="K86" s="5"/>
      <c r="L86" s="5"/>
    </row>
    <row r="87" spans="1:12" ht="15.95" customHeight="1" x14ac:dyDescent="0.2">
      <c r="A87" s="1"/>
      <c r="B87" s="1"/>
      <c r="C87" s="1"/>
      <c r="D87" s="1"/>
      <c r="E87" s="5"/>
      <c r="F87" s="5"/>
      <c r="G87" s="5"/>
      <c r="H87" s="5"/>
      <c r="I87" s="5"/>
      <c r="J87" s="5"/>
      <c r="K87" s="5"/>
      <c r="L87" s="5"/>
    </row>
    <row r="88" spans="1:12" ht="15.95" customHeight="1" x14ac:dyDescent="0.2">
      <c r="A88" s="1"/>
      <c r="B88" s="1"/>
      <c r="C88" s="1"/>
      <c r="D88" s="1"/>
      <c r="E88" s="5"/>
      <c r="F88" s="5"/>
      <c r="G88" s="5"/>
      <c r="H88" s="5"/>
      <c r="I88" s="5"/>
      <c r="J88" s="5"/>
      <c r="K88" s="5"/>
      <c r="L88" s="5"/>
    </row>
    <row r="89" spans="1:12" ht="15.95" customHeight="1" x14ac:dyDescent="0.2">
      <c r="A89" s="1"/>
      <c r="B89" s="1"/>
      <c r="C89" s="1"/>
      <c r="D89" s="1"/>
      <c r="E89" s="5"/>
      <c r="F89" s="5"/>
      <c r="G89" s="5"/>
      <c r="H89" s="5"/>
      <c r="I89" s="5"/>
      <c r="J89" s="5"/>
      <c r="K89" s="5"/>
      <c r="L89" s="5"/>
    </row>
    <row r="90" spans="1:12" ht="15.95" customHeight="1" x14ac:dyDescent="0.2">
      <c r="A90" s="1"/>
      <c r="B90" s="1"/>
      <c r="C90" s="1"/>
      <c r="D90" s="1"/>
      <c r="E90" s="5"/>
      <c r="F90" s="5"/>
      <c r="G90" s="5"/>
      <c r="H90" s="5"/>
      <c r="I90" s="5"/>
      <c r="J90" s="5"/>
      <c r="K90" s="5"/>
      <c r="L90" s="5"/>
    </row>
    <row r="91" spans="1:12" ht="15.95" customHeight="1" x14ac:dyDescent="0.2">
      <c r="A91" s="1"/>
      <c r="B91" s="1"/>
      <c r="C91" s="1"/>
      <c r="D91" s="1"/>
      <c r="E91" s="5"/>
      <c r="F91" s="5"/>
      <c r="G91" s="5"/>
      <c r="H91" s="5"/>
      <c r="I91" s="5"/>
      <c r="J91" s="5"/>
      <c r="K91" s="5"/>
      <c r="L91" s="5"/>
    </row>
    <row r="92" spans="1:12" ht="15.95" customHeight="1" x14ac:dyDescent="0.2">
      <c r="A92" s="1"/>
      <c r="B92" s="1"/>
      <c r="C92" s="1"/>
      <c r="D92" s="1"/>
      <c r="E92" s="5"/>
      <c r="F92" s="5"/>
      <c r="G92" s="5"/>
      <c r="H92" s="5"/>
      <c r="I92" s="5"/>
      <c r="J92" s="5"/>
      <c r="K92" s="5"/>
      <c r="L92" s="5"/>
    </row>
    <row r="93" spans="1:12" ht="15.95" customHeight="1" x14ac:dyDescent="0.2">
      <c r="A93" s="1"/>
      <c r="B93" s="1"/>
      <c r="C93" s="1"/>
      <c r="D93" s="1"/>
      <c r="E93" s="5"/>
      <c r="F93" s="5"/>
      <c r="G93" s="5"/>
      <c r="H93" s="5"/>
      <c r="I93" s="5"/>
      <c r="J93" s="5"/>
      <c r="K93" s="5"/>
      <c r="L93" s="5"/>
    </row>
    <row r="94" spans="1:12" ht="15.95" customHeight="1" x14ac:dyDescent="0.2">
      <c r="A94" s="1"/>
      <c r="B94" s="1"/>
      <c r="C94" s="1"/>
      <c r="D94" s="1"/>
      <c r="E94" s="5"/>
      <c r="F94" s="5"/>
      <c r="G94" s="5"/>
      <c r="H94" s="5"/>
      <c r="I94" s="5"/>
      <c r="J94" s="5"/>
      <c r="K94" s="5"/>
      <c r="L94" s="5"/>
    </row>
    <row r="95" spans="1:12" ht="15.95" customHeight="1" x14ac:dyDescent="0.2">
      <c r="A95" s="1"/>
      <c r="B95" s="1"/>
      <c r="C95" s="1"/>
      <c r="D95" s="1"/>
      <c r="E95" s="5"/>
      <c r="F95" s="5"/>
      <c r="G95" s="5"/>
      <c r="H95" s="5"/>
      <c r="I95" s="5"/>
      <c r="J95" s="5"/>
      <c r="K95" s="5"/>
      <c r="L95" s="5"/>
    </row>
    <row r="96" spans="1:12" ht="15.95" customHeight="1" x14ac:dyDescent="0.2">
      <c r="A96" s="1"/>
      <c r="B96" s="1"/>
      <c r="C96" s="1"/>
      <c r="D96" s="1"/>
      <c r="E96" s="5"/>
      <c r="F96" s="5"/>
      <c r="G96" s="5"/>
      <c r="H96" s="5"/>
      <c r="I96" s="5"/>
      <c r="J96" s="5"/>
      <c r="K96" s="5"/>
      <c r="L96" s="5"/>
    </row>
    <row r="97" spans="1:12" ht="15.95" customHeight="1" x14ac:dyDescent="0.2">
      <c r="A97" s="1"/>
      <c r="B97" s="1"/>
      <c r="C97" s="1"/>
      <c r="D97" s="1"/>
      <c r="E97" s="5"/>
      <c r="F97" s="5"/>
      <c r="G97" s="5"/>
      <c r="H97" s="5"/>
      <c r="I97" s="5"/>
      <c r="J97" s="5"/>
      <c r="K97" s="5"/>
      <c r="L97" s="5"/>
    </row>
    <row r="98" spans="1:12" ht="15.95" customHeight="1" x14ac:dyDescent="0.2">
      <c r="A98" s="1"/>
      <c r="B98" s="1"/>
      <c r="C98" s="1"/>
      <c r="D98" s="1"/>
      <c r="E98" s="5"/>
      <c r="F98" s="5"/>
      <c r="G98" s="5"/>
      <c r="H98" s="5"/>
      <c r="I98" s="5"/>
      <c r="J98" s="5"/>
      <c r="K98" s="5"/>
      <c r="L98" s="5"/>
    </row>
    <row r="99" spans="1:12" ht="15.95" customHeight="1" x14ac:dyDescent="0.2">
      <c r="A99" s="1"/>
      <c r="B99" s="1"/>
      <c r="C99" s="1"/>
      <c r="D99" s="1"/>
      <c r="E99" s="5"/>
      <c r="F99" s="5"/>
      <c r="G99" s="5"/>
      <c r="H99" s="5"/>
      <c r="I99" s="5"/>
      <c r="J99" s="5"/>
      <c r="K99" s="5"/>
      <c r="L99" s="5"/>
    </row>
    <row r="100" spans="1:12" ht="15.95" customHeight="1" x14ac:dyDescent="0.2">
      <c r="A100" s="1"/>
      <c r="B100" s="1"/>
      <c r="C100" s="1"/>
      <c r="D100" s="1"/>
      <c r="E100" s="5"/>
      <c r="F100" s="5"/>
      <c r="G100" s="5"/>
      <c r="H100" s="5"/>
      <c r="I100" s="5"/>
      <c r="J100" s="5"/>
      <c r="K100" s="5"/>
      <c r="L100" s="5"/>
    </row>
    <row r="101" spans="1:12" ht="15.95" customHeight="1" x14ac:dyDescent="0.2">
      <c r="A101" s="1"/>
      <c r="B101" s="1"/>
      <c r="C101" s="1"/>
      <c r="D101" s="1"/>
      <c r="E101" s="5"/>
      <c r="F101" s="5"/>
      <c r="G101" s="5"/>
      <c r="H101" s="5"/>
      <c r="I101" s="5"/>
      <c r="J101" s="5"/>
      <c r="K101" s="5"/>
      <c r="L101" s="5"/>
    </row>
    <row r="102" spans="1:12" ht="15.95" customHeight="1" x14ac:dyDescent="0.2">
      <c r="A102" s="1"/>
      <c r="B102" s="1"/>
      <c r="C102" s="1"/>
      <c r="D102" s="1"/>
      <c r="E102" s="5"/>
      <c r="F102" s="5"/>
      <c r="G102" s="5"/>
      <c r="H102" s="5"/>
      <c r="I102" s="5"/>
      <c r="J102" s="5"/>
      <c r="K102" s="5"/>
      <c r="L102" s="5"/>
    </row>
    <row r="103" spans="1:12" ht="15.95" customHeight="1" x14ac:dyDescent="0.2">
      <c r="A103" s="1"/>
      <c r="B103" s="1"/>
      <c r="C103" s="1"/>
      <c r="D103" s="1"/>
      <c r="E103" s="5"/>
      <c r="F103" s="5"/>
      <c r="G103" s="5"/>
      <c r="H103" s="5"/>
      <c r="I103" s="5"/>
      <c r="J103" s="5"/>
      <c r="K103" s="5"/>
      <c r="L103" s="5"/>
    </row>
    <row r="104" spans="1:12" ht="15.95" customHeight="1" x14ac:dyDescent="0.2">
      <c r="A104" s="1"/>
      <c r="B104" s="1"/>
      <c r="C104" s="1"/>
      <c r="D104" s="1"/>
      <c r="E104" s="5"/>
      <c r="F104" s="5"/>
      <c r="G104" s="5"/>
      <c r="H104" s="5"/>
      <c r="I104" s="5"/>
      <c r="J104" s="5"/>
      <c r="K104" s="5"/>
      <c r="L104" s="5"/>
    </row>
    <row r="105" spans="1:12" ht="15.95" customHeight="1" x14ac:dyDescent="0.2">
      <c r="A105" s="1"/>
      <c r="B105" s="1"/>
      <c r="C105" s="1"/>
      <c r="D105" s="1"/>
      <c r="E105" s="5"/>
      <c r="F105" s="5"/>
      <c r="G105" s="5"/>
      <c r="H105" s="5"/>
      <c r="I105" s="5"/>
      <c r="J105" s="5"/>
      <c r="K105" s="5"/>
      <c r="L105" s="5"/>
    </row>
    <row r="106" spans="1:12" ht="15.95" customHeight="1" x14ac:dyDescent="0.2">
      <c r="A106" s="1"/>
      <c r="B106" s="1"/>
      <c r="C106" s="1"/>
      <c r="D106" s="1"/>
      <c r="E106" s="5"/>
      <c r="F106" s="5"/>
      <c r="G106" s="5"/>
      <c r="H106" s="5"/>
      <c r="I106" s="5"/>
      <c r="J106" s="5"/>
      <c r="K106" s="5"/>
      <c r="L106" s="5"/>
    </row>
    <row r="107" spans="1:12" ht="15.95" customHeight="1" x14ac:dyDescent="0.2">
      <c r="A107" s="1"/>
      <c r="B107" s="1"/>
      <c r="C107" s="1"/>
      <c r="D107" s="1"/>
      <c r="E107" s="5"/>
      <c r="F107" s="5"/>
      <c r="G107" s="5"/>
      <c r="H107" s="5"/>
      <c r="I107" s="5"/>
      <c r="J107" s="5"/>
      <c r="K107" s="5"/>
      <c r="L107" s="5"/>
    </row>
    <row r="108" spans="1:12" ht="15.95" customHeight="1" x14ac:dyDescent="0.2">
      <c r="A108" s="1"/>
      <c r="B108" s="1"/>
      <c r="C108" s="1"/>
      <c r="D108" s="1"/>
      <c r="E108" s="5"/>
      <c r="F108" s="5"/>
      <c r="G108" s="5"/>
      <c r="H108" s="5"/>
      <c r="I108" s="5"/>
      <c r="J108" s="5"/>
      <c r="K108" s="5"/>
      <c r="L108" s="5"/>
    </row>
    <row r="109" spans="1:12" ht="15.95" customHeight="1" x14ac:dyDescent="0.2">
      <c r="A109" s="1"/>
      <c r="B109" s="1"/>
      <c r="C109" s="1"/>
      <c r="D109" s="1"/>
      <c r="E109" s="5"/>
      <c r="F109" s="5"/>
      <c r="G109" s="5"/>
      <c r="H109" s="5"/>
      <c r="I109" s="5"/>
      <c r="J109" s="5"/>
      <c r="K109" s="5"/>
      <c r="L109" s="5"/>
    </row>
    <row r="110" spans="1:12" ht="15.95" customHeight="1" x14ac:dyDescent="0.2">
      <c r="A110" s="1"/>
      <c r="B110" s="1"/>
      <c r="C110" s="1"/>
      <c r="D110" s="1"/>
      <c r="E110" s="5"/>
      <c r="F110" s="5"/>
      <c r="G110" s="5"/>
      <c r="H110" s="5"/>
      <c r="I110" s="5"/>
      <c r="J110" s="5"/>
      <c r="K110" s="5"/>
      <c r="L110" s="5"/>
    </row>
    <row r="111" spans="1:12" ht="15.95" customHeight="1" x14ac:dyDescent="0.2">
      <c r="A111" s="1"/>
      <c r="B111" s="1"/>
      <c r="C111" s="1"/>
      <c r="D111" s="1"/>
      <c r="E111" s="5"/>
      <c r="F111" s="5"/>
      <c r="G111" s="5"/>
      <c r="H111" s="5"/>
      <c r="I111" s="5"/>
      <c r="J111" s="5"/>
      <c r="K111" s="5"/>
      <c r="L111" s="5"/>
    </row>
    <row r="112" spans="1:12" ht="15.95" customHeight="1" x14ac:dyDescent="0.2">
      <c r="A112" s="1"/>
      <c r="B112" s="1"/>
      <c r="C112" s="1"/>
      <c r="D112" s="1"/>
      <c r="E112" s="5"/>
      <c r="F112" s="5"/>
      <c r="G112" s="5"/>
      <c r="H112" s="5"/>
      <c r="I112" s="5"/>
      <c r="J112" s="5"/>
      <c r="K112" s="5"/>
      <c r="L112" s="5"/>
    </row>
    <row r="113" spans="1:12" ht="15.95" customHeight="1" x14ac:dyDescent="0.2">
      <c r="A113" s="1"/>
      <c r="B113" s="1"/>
      <c r="C113" s="1"/>
      <c r="D113" s="1"/>
      <c r="E113" s="5"/>
      <c r="F113" s="5"/>
      <c r="G113" s="5"/>
      <c r="H113" s="5"/>
      <c r="I113" s="5"/>
      <c r="J113" s="5"/>
      <c r="K113" s="5"/>
      <c r="L113" s="5"/>
    </row>
    <row r="114" spans="1:12" ht="15.95" customHeight="1" x14ac:dyDescent="0.2">
      <c r="A114" s="1"/>
      <c r="B114" s="1"/>
      <c r="C114" s="1"/>
      <c r="D114" s="1"/>
      <c r="E114" s="5"/>
      <c r="F114" s="5"/>
      <c r="G114" s="5"/>
      <c r="H114" s="5"/>
      <c r="I114" s="5"/>
      <c r="J114" s="5"/>
      <c r="K114" s="5"/>
      <c r="L114" s="5"/>
    </row>
    <row r="115" spans="1:12" ht="15.95" customHeight="1" x14ac:dyDescent="0.2">
      <c r="A115" s="1"/>
      <c r="B115" s="1"/>
      <c r="C115" s="1"/>
      <c r="D115" s="1"/>
      <c r="E115" s="5"/>
      <c r="F115" s="5"/>
      <c r="G115" s="5"/>
      <c r="H115" s="5"/>
      <c r="I115" s="5"/>
      <c r="J115" s="5"/>
      <c r="K115" s="5"/>
      <c r="L115" s="5"/>
    </row>
    <row r="116" spans="1:12" ht="15.95" customHeight="1" x14ac:dyDescent="0.2">
      <c r="A116" s="1"/>
      <c r="B116" s="1"/>
      <c r="C116" s="1"/>
      <c r="D116" s="1"/>
      <c r="E116" s="5"/>
      <c r="F116" s="5"/>
      <c r="G116" s="5"/>
      <c r="H116" s="5"/>
      <c r="I116" s="5"/>
      <c r="J116" s="5"/>
      <c r="K116" s="5"/>
      <c r="L116" s="5"/>
    </row>
    <row r="117" spans="1:12" ht="15.95" customHeight="1" x14ac:dyDescent="0.2">
      <c r="A117" s="1"/>
      <c r="B117" s="1"/>
      <c r="C117" s="1"/>
      <c r="D117" s="1"/>
      <c r="E117" s="5"/>
      <c r="F117" s="5"/>
      <c r="G117" s="5"/>
      <c r="H117" s="5"/>
      <c r="I117" s="5"/>
      <c r="J117" s="5"/>
      <c r="K117" s="5"/>
      <c r="L117" s="5"/>
    </row>
    <row r="118" spans="1:12" ht="15.95" customHeight="1" x14ac:dyDescent="0.2">
      <c r="A118" s="1"/>
      <c r="B118" s="1"/>
      <c r="C118" s="1"/>
      <c r="D118" s="1"/>
      <c r="E118" s="5"/>
      <c r="F118" s="5"/>
      <c r="G118" s="5"/>
      <c r="H118" s="5"/>
      <c r="I118" s="5"/>
      <c r="J118" s="5"/>
      <c r="K118" s="5"/>
      <c r="L118" s="5"/>
    </row>
    <row r="119" spans="1:12" ht="15.95" customHeight="1" x14ac:dyDescent="0.2">
      <c r="A119" s="1"/>
      <c r="B119" s="1"/>
      <c r="C119" s="1"/>
      <c r="D119" s="1"/>
      <c r="E119" s="5"/>
      <c r="F119" s="5"/>
      <c r="G119" s="5"/>
      <c r="H119" s="5"/>
      <c r="I119" s="5"/>
      <c r="J119" s="5"/>
      <c r="K119" s="5"/>
      <c r="L119" s="5"/>
    </row>
    <row r="120" spans="1:12" ht="15.95" customHeight="1" x14ac:dyDescent="0.2">
      <c r="A120" s="1"/>
      <c r="B120" s="1"/>
      <c r="C120" s="1"/>
      <c r="D120" s="1"/>
      <c r="E120" s="5"/>
      <c r="F120" s="5"/>
      <c r="G120" s="5"/>
      <c r="H120" s="5"/>
      <c r="I120" s="5"/>
      <c r="J120" s="5"/>
      <c r="K120" s="5"/>
      <c r="L120" s="5"/>
    </row>
    <row r="121" spans="1:12" ht="15.95" customHeight="1" x14ac:dyDescent="0.2">
      <c r="A121" s="1"/>
      <c r="B121" s="1"/>
      <c r="C121" s="1"/>
      <c r="D121" s="1"/>
      <c r="E121" s="5"/>
      <c r="F121" s="5"/>
      <c r="G121" s="5"/>
      <c r="H121" s="5"/>
      <c r="I121" s="5"/>
      <c r="J121" s="5"/>
      <c r="K121" s="5"/>
      <c r="L121" s="5"/>
    </row>
    <row r="122" spans="1:12" ht="15.95" customHeight="1" x14ac:dyDescent="0.2">
      <c r="A122" s="1"/>
      <c r="B122" s="1"/>
      <c r="C122" s="1"/>
      <c r="D122" s="1"/>
      <c r="E122" s="5"/>
      <c r="F122" s="5"/>
      <c r="G122" s="5"/>
      <c r="H122" s="5"/>
      <c r="I122" s="5"/>
      <c r="J122" s="5"/>
      <c r="K122" s="5"/>
      <c r="L122" s="5"/>
    </row>
    <row r="123" spans="1:12" ht="15.95" customHeight="1" x14ac:dyDescent="0.2">
      <c r="A123" s="1"/>
      <c r="B123" s="1"/>
      <c r="C123" s="1"/>
      <c r="D123" s="1"/>
      <c r="E123" s="5"/>
      <c r="F123" s="5"/>
      <c r="G123" s="5"/>
      <c r="H123" s="5"/>
      <c r="I123" s="5"/>
      <c r="J123" s="5"/>
      <c r="K123" s="5"/>
      <c r="L123" s="5"/>
    </row>
    <row r="124" spans="1:12" ht="15.95" customHeight="1" x14ac:dyDescent="0.2">
      <c r="A124" s="1"/>
      <c r="B124" s="1"/>
      <c r="C124" s="1"/>
      <c r="D124" s="1"/>
      <c r="E124" s="5"/>
      <c r="F124" s="5"/>
      <c r="G124" s="5"/>
      <c r="H124" s="5"/>
      <c r="I124" s="5"/>
      <c r="J124" s="5"/>
      <c r="K124" s="5"/>
      <c r="L124" s="5"/>
    </row>
    <row r="125" spans="1:12" ht="15.95" customHeight="1" x14ac:dyDescent="0.2">
      <c r="A125" s="1"/>
      <c r="B125" s="1"/>
      <c r="C125" s="1"/>
      <c r="D125" s="1"/>
      <c r="E125" s="5"/>
      <c r="F125" s="5"/>
      <c r="G125" s="5"/>
      <c r="H125" s="5"/>
      <c r="I125" s="5"/>
      <c r="J125" s="5"/>
      <c r="K125" s="5"/>
      <c r="L125" s="5"/>
    </row>
    <row r="126" spans="1:12" ht="15.95" customHeight="1" x14ac:dyDescent="0.2">
      <c r="A126" s="1"/>
      <c r="B126" s="1"/>
      <c r="C126" s="1"/>
      <c r="D126" s="1"/>
      <c r="E126" s="5"/>
      <c r="F126" s="5"/>
      <c r="G126" s="5"/>
      <c r="H126" s="5"/>
      <c r="I126" s="5"/>
      <c r="J126" s="5"/>
      <c r="K126" s="5"/>
      <c r="L126" s="5"/>
    </row>
    <row r="127" spans="1:12" ht="15.95" customHeight="1" x14ac:dyDescent="0.2">
      <c r="A127" s="1"/>
      <c r="B127" s="1"/>
      <c r="C127" s="1"/>
      <c r="D127" s="1"/>
      <c r="E127" s="5"/>
      <c r="F127" s="5"/>
      <c r="G127" s="5"/>
      <c r="H127" s="5"/>
      <c r="I127" s="5"/>
      <c r="J127" s="5"/>
      <c r="K127" s="5"/>
      <c r="L127" s="5"/>
    </row>
    <row r="128" spans="1:12" ht="15.95" customHeight="1" x14ac:dyDescent="0.2">
      <c r="A128" s="1"/>
      <c r="B128" s="1"/>
      <c r="C128" s="1"/>
      <c r="D128" s="1"/>
      <c r="E128" s="5"/>
      <c r="F128" s="5"/>
      <c r="G128" s="5"/>
      <c r="H128" s="5"/>
      <c r="I128" s="5"/>
      <c r="J128" s="5"/>
      <c r="K128" s="5"/>
      <c r="L128" s="5"/>
    </row>
    <row r="129" spans="1:12" ht="15.95" customHeight="1" x14ac:dyDescent="0.2">
      <c r="A129" s="1"/>
      <c r="B129" s="1"/>
      <c r="C129" s="1"/>
      <c r="D129" s="1"/>
      <c r="E129" s="5"/>
      <c r="F129" s="5"/>
      <c r="G129" s="5"/>
      <c r="H129" s="5"/>
      <c r="I129" s="5"/>
      <c r="J129" s="5"/>
      <c r="K129" s="5"/>
      <c r="L129" s="5"/>
    </row>
    <row r="130" spans="1:12" ht="15.95" customHeight="1" x14ac:dyDescent="0.2">
      <c r="A130" s="1"/>
      <c r="B130" s="1"/>
      <c r="C130" s="1"/>
      <c r="D130" s="1"/>
      <c r="E130" s="5"/>
      <c r="F130" s="5"/>
      <c r="G130" s="5"/>
      <c r="H130" s="5"/>
      <c r="I130" s="5"/>
      <c r="J130" s="5"/>
      <c r="K130" s="5"/>
      <c r="L130" s="5"/>
    </row>
    <row r="131" spans="1:12" ht="15.95" customHeight="1" x14ac:dyDescent="0.2">
      <c r="A131" s="1"/>
      <c r="B131" s="1"/>
      <c r="C131" s="1"/>
      <c r="D131" s="1"/>
      <c r="E131" s="5"/>
      <c r="F131" s="5"/>
      <c r="G131" s="5"/>
      <c r="H131" s="5"/>
      <c r="I131" s="5"/>
      <c r="J131" s="5"/>
      <c r="K131" s="5"/>
      <c r="L131" s="5"/>
    </row>
    <row r="132" spans="1:12" ht="15.95" customHeight="1" x14ac:dyDescent="0.2">
      <c r="A132" s="1"/>
      <c r="B132" s="1"/>
      <c r="C132" s="1"/>
      <c r="D132" s="1"/>
      <c r="E132" s="5"/>
      <c r="F132" s="5"/>
      <c r="G132" s="5"/>
      <c r="H132" s="5"/>
      <c r="I132" s="5"/>
      <c r="J132" s="5"/>
      <c r="K132" s="5"/>
      <c r="L132" s="5"/>
    </row>
    <row r="133" spans="1:12" ht="15.95" customHeight="1" x14ac:dyDescent="0.2">
      <c r="A133" s="1"/>
      <c r="B133" s="1"/>
      <c r="C133" s="1"/>
      <c r="D133" s="1"/>
      <c r="E133" s="5"/>
      <c r="F133" s="5"/>
      <c r="G133" s="5"/>
      <c r="H133" s="5"/>
      <c r="I133" s="5"/>
      <c r="J133" s="5"/>
      <c r="K133" s="5"/>
      <c r="L133" s="5"/>
    </row>
    <row r="134" spans="1:12" ht="15.95" customHeight="1" x14ac:dyDescent="0.2">
      <c r="A134" s="1"/>
      <c r="B134" s="1"/>
      <c r="C134" s="1"/>
      <c r="D134" s="1"/>
      <c r="E134" s="5"/>
      <c r="F134" s="5"/>
      <c r="G134" s="5"/>
      <c r="H134" s="5"/>
      <c r="I134" s="5"/>
      <c r="J134" s="5"/>
      <c r="K134" s="5"/>
      <c r="L134" s="5"/>
    </row>
    <row r="135" spans="1:12" ht="15.95" customHeight="1" x14ac:dyDescent="0.2">
      <c r="A135" s="1"/>
      <c r="B135" s="1"/>
      <c r="C135" s="1"/>
      <c r="D135" s="1"/>
      <c r="E135" s="5"/>
      <c r="F135" s="5"/>
      <c r="G135" s="5"/>
      <c r="H135" s="5"/>
      <c r="I135" s="5"/>
      <c r="J135" s="5"/>
      <c r="K135" s="5"/>
      <c r="L135" s="5"/>
    </row>
    <row r="136" spans="1:12" ht="15.95" customHeight="1" x14ac:dyDescent="0.2">
      <c r="A136" s="1"/>
      <c r="B136" s="1"/>
      <c r="C136" s="1"/>
      <c r="D136" s="1"/>
      <c r="E136" s="5"/>
      <c r="F136" s="5"/>
      <c r="G136" s="5"/>
      <c r="H136" s="5"/>
      <c r="I136" s="5"/>
      <c r="J136" s="5"/>
      <c r="K136" s="5"/>
      <c r="L136" s="5"/>
    </row>
    <row r="137" spans="1:12" ht="15.95" customHeight="1" x14ac:dyDescent="0.2">
      <c r="A137" s="1"/>
      <c r="B137" s="1"/>
      <c r="C137" s="1"/>
      <c r="D137" s="1"/>
      <c r="E137" s="5"/>
      <c r="F137" s="5"/>
      <c r="G137" s="5"/>
      <c r="H137" s="5"/>
      <c r="I137" s="5"/>
      <c r="J137" s="5"/>
      <c r="K137" s="5"/>
      <c r="L137" s="5"/>
    </row>
    <row r="138" spans="1:12" ht="15.95" customHeight="1" x14ac:dyDescent="0.2">
      <c r="A138" s="1"/>
      <c r="B138" s="1"/>
      <c r="C138" s="1"/>
      <c r="D138" s="1"/>
      <c r="E138" s="5"/>
      <c r="F138" s="5"/>
      <c r="G138" s="5"/>
      <c r="H138" s="5"/>
      <c r="I138" s="5"/>
      <c r="J138" s="5"/>
      <c r="K138" s="5"/>
      <c r="L138" s="5"/>
    </row>
    <row r="139" spans="1:12" ht="15.95" customHeight="1" x14ac:dyDescent="0.2">
      <c r="A139" s="1"/>
      <c r="B139" s="1"/>
      <c r="C139" s="1"/>
      <c r="D139" s="1"/>
      <c r="E139" s="5"/>
      <c r="F139" s="5"/>
      <c r="G139" s="5"/>
      <c r="H139" s="5"/>
      <c r="I139" s="5"/>
      <c r="J139" s="5"/>
      <c r="K139" s="5"/>
      <c r="L139" s="5"/>
    </row>
    <row r="140" spans="1:12" ht="15.95" customHeight="1" x14ac:dyDescent="0.2">
      <c r="A140" s="1"/>
      <c r="B140" s="1"/>
      <c r="C140" s="1"/>
      <c r="D140" s="1"/>
      <c r="E140" s="5"/>
      <c r="F140" s="5"/>
      <c r="G140" s="5"/>
      <c r="H140" s="5"/>
      <c r="I140" s="5"/>
      <c r="J140" s="5"/>
      <c r="K140" s="5"/>
      <c r="L140" s="5"/>
    </row>
    <row r="141" spans="1:12" ht="15.95" customHeight="1" x14ac:dyDescent="0.2">
      <c r="A141" s="1"/>
      <c r="B141" s="1"/>
      <c r="C141" s="1"/>
      <c r="D141" s="1"/>
      <c r="E141" s="5"/>
      <c r="F141" s="5"/>
      <c r="G141" s="5"/>
      <c r="H141" s="5"/>
      <c r="I141" s="5"/>
      <c r="J141" s="5"/>
      <c r="K141" s="5"/>
      <c r="L141" s="5"/>
    </row>
    <row r="142" spans="1:12" ht="15.95" customHeight="1" x14ac:dyDescent="0.2">
      <c r="A142" s="1"/>
      <c r="B142" s="1"/>
      <c r="C142" s="1"/>
      <c r="D142" s="1"/>
      <c r="E142" s="5"/>
      <c r="F142" s="5"/>
      <c r="G142" s="5"/>
      <c r="H142" s="5"/>
      <c r="I142" s="5"/>
      <c r="J142" s="5"/>
      <c r="K142" s="5"/>
      <c r="L142" s="5"/>
    </row>
    <row r="143" spans="1:12" ht="15.95" customHeight="1" x14ac:dyDescent="0.2">
      <c r="A143" s="1"/>
      <c r="B143" s="1"/>
      <c r="C143" s="1"/>
      <c r="D143" s="1"/>
      <c r="E143" s="5"/>
      <c r="F143" s="5"/>
      <c r="G143" s="5"/>
      <c r="H143" s="5"/>
      <c r="I143" s="5"/>
      <c r="J143" s="5"/>
      <c r="K143" s="5"/>
      <c r="L143" s="5"/>
    </row>
    <row r="144" spans="1:12" ht="15.95" customHeight="1" x14ac:dyDescent="0.2">
      <c r="A144" s="1"/>
      <c r="B144" s="1"/>
      <c r="C144" s="1"/>
      <c r="D144" s="1"/>
      <c r="E144" s="5"/>
      <c r="F144" s="5"/>
      <c r="G144" s="5"/>
      <c r="H144" s="5"/>
      <c r="I144" s="5"/>
      <c r="J144" s="5"/>
      <c r="K144" s="5"/>
      <c r="L144" s="5"/>
    </row>
    <row r="145" spans="1:12" ht="15.95" customHeight="1" x14ac:dyDescent="0.2">
      <c r="A145" s="1"/>
      <c r="B145" s="1"/>
      <c r="C145" s="1"/>
      <c r="D145" s="1"/>
      <c r="E145" s="5"/>
      <c r="F145" s="5"/>
      <c r="G145" s="5"/>
      <c r="H145" s="5"/>
      <c r="I145" s="5"/>
      <c r="J145" s="5"/>
      <c r="K145" s="5"/>
      <c r="L145" s="5"/>
    </row>
    <row r="146" spans="1:12" ht="15.95" customHeight="1" x14ac:dyDescent="0.2">
      <c r="A146" s="1"/>
      <c r="B146" s="1"/>
      <c r="C146" s="1"/>
      <c r="D146" s="1"/>
      <c r="E146" s="5"/>
      <c r="F146" s="5"/>
      <c r="G146" s="5"/>
      <c r="H146" s="5"/>
      <c r="I146" s="5"/>
      <c r="J146" s="5"/>
      <c r="K146" s="5"/>
      <c r="L146" s="5"/>
    </row>
    <row r="147" spans="1:12" ht="15.95" customHeight="1" x14ac:dyDescent="0.2">
      <c r="A147" s="1"/>
      <c r="B147" s="1"/>
      <c r="C147" s="1"/>
      <c r="D147" s="1"/>
      <c r="E147" s="5"/>
      <c r="F147" s="5"/>
      <c r="G147" s="5"/>
      <c r="H147" s="5"/>
      <c r="I147" s="5"/>
      <c r="J147" s="5"/>
      <c r="K147" s="5"/>
      <c r="L147" s="5"/>
    </row>
    <row r="148" spans="1:12" ht="15.95" customHeight="1" x14ac:dyDescent="0.2">
      <c r="A148" s="1"/>
      <c r="B148" s="1"/>
      <c r="C148" s="1"/>
      <c r="D148" s="1"/>
      <c r="E148" s="5"/>
      <c r="F148" s="5"/>
      <c r="G148" s="5"/>
      <c r="H148" s="5"/>
      <c r="I148" s="5"/>
      <c r="J148" s="5"/>
      <c r="K148" s="5"/>
      <c r="L148" s="5"/>
    </row>
    <row r="149" spans="1:12" ht="15.95" customHeight="1" x14ac:dyDescent="0.2">
      <c r="A149" s="1"/>
      <c r="B149" s="1"/>
      <c r="C149" s="1"/>
      <c r="D149" s="1"/>
      <c r="E149" s="5"/>
      <c r="F149" s="5"/>
      <c r="G149" s="5"/>
      <c r="H149" s="5"/>
      <c r="I149" s="5"/>
      <c r="J149" s="5"/>
      <c r="K149" s="5"/>
      <c r="L149" s="5"/>
    </row>
    <row r="150" spans="1:12" ht="15.95" customHeight="1" x14ac:dyDescent="0.2">
      <c r="A150" s="1"/>
      <c r="B150" s="1"/>
      <c r="C150" s="1"/>
      <c r="D150" s="1"/>
      <c r="E150" s="5"/>
      <c r="F150" s="5"/>
      <c r="G150" s="5"/>
      <c r="H150" s="5"/>
      <c r="I150" s="5"/>
      <c r="J150" s="5"/>
      <c r="K150" s="5"/>
      <c r="L150" s="5"/>
    </row>
    <row r="151" spans="1:12" ht="15.95" customHeight="1" x14ac:dyDescent="0.2">
      <c r="A151" s="1"/>
      <c r="B151" s="1"/>
      <c r="C151" s="1"/>
      <c r="D151" s="1"/>
      <c r="E151" s="5"/>
      <c r="F151" s="5"/>
      <c r="G151" s="5"/>
      <c r="H151" s="5"/>
      <c r="I151" s="5"/>
      <c r="J151" s="5"/>
      <c r="K151" s="5"/>
      <c r="L151" s="5"/>
    </row>
    <row r="152" spans="1:12" ht="15.95" customHeight="1" x14ac:dyDescent="0.2">
      <c r="A152" s="1"/>
      <c r="B152" s="1"/>
      <c r="C152" s="1"/>
      <c r="D152" s="1"/>
      <c r="E152" s="5"/>
      <c r="F152" s="5"/>
      <c r="G152" s="5"/>
      <c r="H152" s="5"/>
      <c r="I152" s="5"/>
      <c r="J152" s="5"/>
      <c r="K152" s="5"/>
      <c r="L152" s="5"/>
    </row>
    <row r="153" spans="1:12" ht="15.95" customHeight="1" x14ac:dyDescent="0.2">
      <c r="A153" s="1"/>
      <c r="B153" s="1"/>
      <c r="C153" s="1"/>
      <c r="D153" s="1"/>
      <c r="E153" s="5"/>
      <c r="F153" s="5"/>
      <c r="G153" s="5"/>
      <c r="H153" s="5"/>
      <c r="I153" s="5"/>
      <c r="J153" s="5"/>
      <c r="K153" s="5"/>
      <c r="L153" s="5"/>
    </row>
    <row r="154" spans="1:12" ht="15.95" customHeight="1" x14ac:dyDescent="0.2">
      <c r="A154" s="1"/>
      <c r="B154" s="1"/>
      <c r="C154" s="1"/>
      <c r="D154" s="1"/>
      <c r="E154" s="5"/>
      <c r="F154" s="5"/>
      <c r="G154" s="5"/>
      <c r="H154" s="5"/>
      <c r="I154" s="5"/>
      <c r="J154" s="5"/>
      <c r="K154" s="5"/>
      <c r="L154" s="5"/>
    </row>
    <row r="155" spans="1:12" ht="15.95" customHeight="1" x14ac:dyDescent="0.2">
      <c r="A155" s="1"/>
      <c r="B155" s="1"/>
      <c r="C155" s="1"/>
      <c r="D155" s="1"/>
      <c r="E155" s="5"/>
      <c r="F155" s="5"/>
      <c r="G155" s="5"/>
      <c r="H155" s="5"/>
      <c r="I155" s="5"/>
      <c r="J155" s="5"/>
      <c r="K155" s="5"/>
      <c r="L155" s="5"/>
    </row>
    <row r="156" spans="1:12" ht="15.95" customHeight="1" x14ac:dyDescent="0.2">
      <c r="A156" s="1"/>
      <c r="B156" s="1"/>
      <c r="C156" s="1"/>
      <c r="D156" s="1"/>
      <c r="E156" s="5"/>
      <c r="F156" s="5"/>
      <c r="G156" s="5"/>
      <c r="H156" s="5"/>
      <c r="I156" s="5"/>
      <c r="J156" s="5"/>
      <c r="K156" s="5"/>
      <c r="L156" s="5"/>
    </row>
    <row r="157" spans="1:12" ht="15.95" customHeight="1" x14ac:dyDescent="0.2">
      <c r="A157" s="1"/>
      <c r="B157" s="1"/>
      <c r="C157" s="1"/>
      <c r="D157" s="1"/>
      <c r="E157" s="5"/>
      <c r="F157" s="5"/>
      <c r="G157" s="5"/>
      <c r="H157" s="5"/>
      <c r="I157" s="5"/>
      <c r="J157" s="5"/>
      <c r="K157" s="5"/>
      <c r="L157" s="5"/>
    </row>
    <row r="158" spans="1:12" ht="15.95" customHeight="1" x14ac:dyDescent="0.2">
      <c r="A158" s="1"/>
      <c r="B158" s="1"/>
      <c r="C158" s="1"/>
      <c r="D158" s="1"/>
      <c r="E158" s="5"/>
      <c r="F158" s="5"/>
      <c r="G158" s="5"/>
      <c r="H158" s="5"/>
      <c r="I158" s="5"/>
      <c r="J158" s="5"/>
      <c r="K158" s="5"/>
      <c r="L158" s="5"/>
    </row>
    <row r="159" spans="1:12" ht="15.95" customHeight="1" x14ac:dyDescent="0.2">
      <c r="A159" s="1"/>
      <c r="B159" s="1"/>
      <c r="C159" s="1"/>
      <c r="D159" s="1"/>
      <c r="E159" s="5"/>
      <c r="F159" s="5"/>
      <c r="G159" s="5"/>
      <c r="H159" s="5"/>
      <c r="I159" s="5"/>
      <c r="J159" s="5"/>
      <c r="K159" s="5"/>
      <c r="L159" s="5"/>
    </row>
    <row r="160" spans="1:12" ht="15.95" customHeight="1" x14ac:dyDescent="0.2">
      <c r="A160" s="1"/>
      <c r="B160" s="1"/>
      <c r="C160" s="1"/>
      <c r="D160" s="1"/>
      <c r="E160" s="5"/>
      <c r="F160" s="5"/>
      <c r="G160" s="5"/>
      <c r="H160" s="5"/>
      <c r="I160" s="5"/>
      <c r="J160" s="5"/>
      <c r="K160" s="5"/>
      <c r="L160" s="5"/>
    </row>
    <row r="161" spans="1:12" ht="15.95" customHeight="1" x14ac:dyDescent="0.2">
      <c r="A161" s="1"/>
      <c r="B161" s="1"/>
      <c r="C161" s="1"/>
      <c r="D161" s="1"/>
      <c r="E161" s="5"/>
      <c r="F161" s="5"/>
      <c r="G161" s="5"/>
      <c r="H161" s="5"/>
      <c r="I161" s="5"/>
      <c r="J161" s="5"/>
      <c r="K161" s="5"/>
      <c r="L161" s="5"/>
    </row>
    <row r="162" spans="1:12" ht="15.95" customHeight="1" x14ac:dyDescent="0.2">
      <c r="A162" s="1"/>
      <c r="B162" s="1"/>
      <c r="C162" s="1"/>
      <c r="D162" s="1"/>
      <c r="E162" s="5"/>
      <c r="F162" s="5"/>
      <c r="G162" s="5"/>
      <c r="H162" s="5"/>
      <c r="I162" s="5"/>
      <c r="J162" s="5"/>
      <c r="K162" s="5"/>
      <c r="L162" s="5"/>
    </row>
    <row r="163" spans="1:12" ht="15.95" customHeight="1" x14ac:dyDescent="0.2">
      <c r="A163" s="1"/>
      <c r="B163" s="1"/>
      <c r="C163" s="1"/>
      <c r="D163" s="1"/>
      <c r="E163" s="5"/>
      <c r="F163" s="5"/>
      <c r="G163" s="5"/>
      <c r="H163" s="5"/>
      <c r="I163" s="5"/>
      <c r="J163" s="5"/>
      <c r="K163" s="5"/>
      <c r="L163" s="5"/>
    </row>
    <row r="164" spans="1:12" ht="15.95" customHeight="1" x14ac:dyDescent="0.2">
      <c r="A164" s="1"/>
      <c r="B164" s="1"/>
      <c r="C164" s="1"/>
      <c r="D164" s="1"/>
      <c r="E164" s="5"/>
      <c r="F164" s="5"/>
      <c r="G164" s="5"/>
      <c r="H164" s="5"/>
      <c r="I164" s="5"/>
      <c r="J164" s="5"/>
      <c r="K164" s="5"/>
      <c r="L164" s="5"/>
    </row>
    <row r="165" spans="1:12" ht="15.95" customHeight="1" x14ac:dyDescent="0.2">
      <c r="A165" s="1"/>
      <c r="B165" s="1"/>
      <c r="C165" s="1"/>
      <c r="D165" s="1"/>
      <c r="E165" s="5"/>
      <c r="F165" s="5"/>
      <c r="G165" s="5"/>
      <c r="H165" s="5"/>
      <c r="I165" s="5"/>
      <c r="J165" s="5"/>
      <c r="K165" s="5"/>
      <c r="L165" s="5"/>
    </row>
    <row r="166" spans="1:12" ht="15.95" customHeight="1" x14ac:dyDescent="0.2">
      <c r="A166" s="1"/>
      <c r="B166" s="1"/>
      <c r="C166" s="1"/>
      <c r="D166" s="1"/>
      <c r="E166" s="5"/>
      <c r="F166" s="5"/>
      <c r="G166" s="5"/>
      <c r="H166" s="5"/>
      <c r="I166" s="5"/>
      <c r="J166" s="5"/>
      <c r="K166" s="5"/>
      <c r="L166" s="5"/>
    </row>
    <row r="167" spans="1:12" ht="15.95" customHeight="1" x14ac:dyDescent="0.2">
      <c r="A167" s="1"/>
      <c r="B167" s="1"/>
      <c r="C167" s="1"/>
      <c r="D167" s="1"/>
      <c r="E167" s="5"/>
      <c r="F167" s="5"/>
      <c r="G167" s="5"/>
      <c r="H167" s="5"/>
      <c r="I167" s="5"/>
      <c r="J167" s="5"/>
      <c r="K167" s="5"/>
      <c r="L167" s="5"/>
    </row>
    <row r="168" spans="1:12" ht="15.95" customHeight="1" x14ac:dyDescent="0.2">
      <c r="A168" s="1"/>
      <c r="B168" s="1"/>
      <c r="C168" s="1"/>
      <c r="D168" s="1"/>
      <c r="E168" s="5"/>
      <c r="F168" s="5"/>
      <c r="G168" s="5"/>
      <c r="H168" s="5"/>
      <c r="I168" s="5"/>
      <c r="J168" s="5"/>
      <c r="K168" s="5"/>
      <c r="L168" s="5"/>
    </row>
    <row r="169" spans="1:12" ht="15.95" customHeight="1" x14ac:dyDescent="0.2">
      <c r="A169" s="1"/>
      <c r="B169" s="1"/>
      <c r="C169" s="1"/>
      <c r="D169" s="1"/>
      <c r="E169" s="5"/>
      <c r="F169" s="5"/>
      <c r="G169" s="5"/>
      <c r="H169" s="5"/>
      <c r="I169" s="5"/>
      <c r="J169" s="5"/>
      <c r="K169" s="5"/>
      <c r="L169" s="5"/>
    </row>
    <row r="170" spans="1:12" ht="15.95" customHeight="1" x14ac:dyDescent="0.2">
      <c r="A170" s="1"/>
      <c r="B170" s="1"/>
      <c r="C170" s="1"/>
      <c r="D170" s="1"/>
      <c r="E170" s="5"/>
      <c r="F170" s="5"/>
      <c r="G170" s="5"/>
      <c r="H170" s="5"/>
      <c r="I170" s="5"/>
      <c r="J170" s="5"/>
      <c r="K170" s="5"/>
      <c r="L170" s="5"/>
    </row>
    <row r="171" spans="1:12" ht="15.95" customHeight="1" x14ac:dyDescent="0.2">
      <c r="A171" s="1"/>
      <c r="B171" s="1"/>
      <c r="C171" s="1"/>
      <c r="D171" s="1"/>
      <c r="E171" s="5"/>
      <c r="F171" s="5"/>
      <c r="G171" s="5"/>
      <c r="H171" s="5"/>
      <c r="I171" s="5"/>
      <c r="J171" s="5"/>
      <c r="K171" s="5"/>
      <c r="L171" s="5"/>
    </row>
    <row r="172" spans="1:12" x14ac:dyDescent="0.2">
      <c r="A172" s="1"/>
      <c r="B172" s="1"/>
      <c r="C172" s="1"/>
      <c r="D172" s="1"/>
      <c r="E172" s="5"/>
      <c r="F172" s="5"/>
      <c r="G172" s="5"/>
      <c r="H172" s="5"/>
      <c r="I172" s="5"/>
      <c r="J172" s="5"/>
      <c r="K172" s="5"/>
      <c r="L172" s="5"/>
    </row>
    <row r="173" spans="1:12" x14ac:dyDescent="0.2">
      <c r="A173" s="1"/>
      <c r="B173" s="1"/>
      <c r="C173" s="1"/>
      <c r="D173" s="1"/>
      <c r="E173" s="5"/>
      <c r="F173" s="5"/>
      <c r="G173" s="5"/>
      <c r="H173" s="5"/>
      <c r="I173" s="5"/>
      <c r="J173" s="5"/>
      <c r="K173" s="5"/>
      <c r="L173" s="5"/>
    </row>
    <row r="174" spans="1:12" x14ac:dyDescent="0.2">
      <c r="A174" s="1"/>
      <c r="B174" s="1"/>
      <c r="C174" s="1"/>
      <c r="D174" s="1"/>
      <c r="E174" s="5"/>
      <c r="F174" s="5"/>
      <c r="G174" s="5"/>
      <c r="H174" s="5"/>
      <c r="I174" s="5"/>
      <c r="J174" s="5"/>
      <c r="K174" s="5"/>
      <c r="L174" s="5"/>
    </row>
    <row r="175" spans="1:12" x14ac:dyDescent="0.2">
      <c r="A175" s="1"/>
      <c r="B175" s="1"/>
      <c r="C175" s="1"/>
      <c r="D175" s="1"/>
      <c r="E175" s="5"/>
      <c r="F175" s="5"/>
      <c r="G175" s="5"/>
      <c r="H175" s="5"/>
      <c r="I175" s="5"/>
      <c r="J175" s="5"/>
      <c r="K175" s="5"/>
      <c r="L175" s="5"/>
    </row>
    <row r="176" spans="1:12" x14ac:dyDescent="0.2">
      <c r="A176" s="1"/>
      <c r="B176" s="1"/>
      <c r="C176" s="1"/>
      <c r="D176" s="1"/>
      <c r="E176" s="5"/>
      <c r="F176" s="5"/>
      <c r="G176" s="5"/>
      <c r="H176" s="5"/>
      <c r="I176" s="5"/>
      <c r="J176" s="5"/>
      <c r="K176" s="5"/>
      <c r="L176" s="5"/>
    </row>
    <row r="177" spans="1:12" x14ac:dyDescent="0.2">
      <c r="A177" s="1"/>
      <c r="B177" s="1"/>
      <c r="C177" s="1"/>
      <c r="D177" s="1"/>
      <c r="E177" s="5"/>
      <c r="F177" s="5"/>
      <c r="G177" s="5"/>
      <c r="H177" s="5"/>
      <c r="I177" s="5"/>
      <c r="J177" s="5"/>
      <c r="K177" s="5"/>
      <c r="L177" s="5"/>
    </row>
    <row r="178" spans="1:12" x14ac:dyDescent="0.2">
      <c r="A178" s="1"/>
      <c r="B178" s="1"/>
      <c r="C178" s="1"/>
      <c r="D178" s="1"/>
      <c r="E178" s="5"/>
      <c r="F178" s="5"/>
      <c r="G178" s="5"/>
      <c r="H178" s="5"/>
      <c r="I178" s="5"/>
      <c r="J178" s="5"/>
      <c r="K178" s="5"/>
      <c r="L178" s="5"/>
    </row>
    <row r="179" spans="1:12" x14ac:dyDescent="0.2">
      <c r="A179" s="1"/>
      <c r="B179" s="1"/>
      <c r="C179" s="1"/>
      <c r="D179" s="1"/>
      <c r="E179" s="5"/>
      <c r="F179" s="5"/>
      <c r="G179" s="5"/>
      <c r="H179" s="5"/>
      <c r="I179" s="5"/>
      <c r="J179" s="5"/>
      <c r="K179" s="5"/>
      <c r="L179" s="5"/>
    </row>
    <row r="180" spans="1:12" x14ac:dyDescent="0.2">
      <c r="A180" s="1"/>
      <c r="B180" s="1"/>
      <c r="C180" s="1"/>
      <c r="D180" s="1"/>
      <c r="E180" s="5"/>
      <c r="F180" s="5"/>
      <c r="G180" s="5"/>
      <c r="H180" s="5"/>
      <c r="I180" s="5"/>
      <c r="J180" s="5"/>
      <c r="K180" s="5"/>
      <c r="L180" s="5"/>
    </row>
    <row r="181" spans="1:12" x14ac:dyDescent="0.2">
      <c r="A181" s="1"/>
      <c r="B181" s="1"/>
      <c r="C181" s="1"/>
      <c r="D181" s="1"/>
      <c r="E181" s="5"/>
      <c r="F181" s="5"/>
      <c r="G181" s="5"/>
      <c r="H181" s="5"/>
      <c r="I181" s="5"/>
      <c r="J181" s="5"/>
      <c r="K181" s="5"/>
      <c r="L181" s="5"/>
    </row>
    <row r="182" spans="1:12" x14ac:dyDescent="0.2">
      <c r="A182" s="1"/>
      <c r="B182" s="1"/>
      <c r="C182" s="1"/>
      <c r="D182" s="1"/>
      <c r="E182" s="5"/>
      <c r="F182" s="5"/>
      <c r="G182" s="5"/>
      <c r="H182" s="5"/>
      <c r="I182" s="5"/>
      <c r="J182" s="5"/>
      <c r="K182" s="5"/>
      <c r="L182" s="5"/>
    </row>
    <row r="183" spans="1:12" x14ac:dyDescent="0.2">
      <c r="A183" s="1"/>
      <c r="B183" s="1"/>
      <c r="C183" s="1"/>
      <c r="D183" s="1"/>
      <c r="E183" s="5"/>
      <c r="F183" s="5"/>
      <c r="G183" s="5"/>
      <c r="H183" s="5"/>
      <c r="I183" s="5"/>
      <c r="J183" s="5"/>
      <c r="K183" s="5"/>
      <c r="L183" s="5"/>
    </row>
    <row r="184" spans="1:12" x14ac:dyDescent="0.2">
      <c r="A184" s="1"/>
      <c r="B184" s="1"/>
      <c r="C184" s="1"/>
      <c r="D184" s="1"/>
      <c r="E184" s="5"/>
      <c r="F184" s="5"/>
      <c r="G184" s="5"/>
      <c r="H184" s="5"/>
      <c r="I184" s="5"/>
      <c r="J184" s="5"/>
      <c r="K184" s="5"/>
      <c r="L184" s="5"/>
    </row>
    <row r="185" spans="1:12" x14ac:dyDescent="0.2">
      <c r="A185" s="1"/>
      <c r="B185" s="1"/>
      <c r="C185" s="1"/>
      <c r="D185" s="1"/>
      <c r="E185" s="5"/>
      <c r="F185" s="5"/>
      <c r="G185" s="5"/>
      <c r="H185" s="5"/>
      <c r="I185" s="5"/>
      <c r="J185" s="5"/>
      <c r="K185" s="5"/>
      <c r="L185" s="5"/>
    </row>
    <row r="186" spans="1:12" x14ac:dyDescent="0.2">
      <c r="A186" s="1"/>
      <c r="B186" s="1"/>
      <c r="C186" s="1"/>
      <c r="D186" s="1"/>
      <c r="E186" s="5"/>
      <c r="F186" s="5"/>
      <c r="G186" s="5"/>
      <c r="H186" s="5"/>
      <c r="I186" s="5"/>
      <c r="J186" s="5"/>
      <c r="K186" s="5"/>
      <c r="L186" s="5"/>
    </row>
    <row r="187" spans="1:12" x14ac:dyDescent="0.2">
      <c r="A187" s="1"/>
      <c r="B187" s="1"/>
      <c r="C187" s="1"/>
      <c r="D187" s="1"/>
      <c r="E187" s="5"/>
      <c r="F187" s="5"/>
      <c r="G187" s="5"/>
      <c r="H187" s="5"/>
      <c r="I187" s="5"/>
      <c r="J187" s="5"/>
      <c r="K187" s="5"/>
      <c r="L187" s="5"/>
    </row>
    <row r="188" spans="1:12" x14ac:dyDescent="0.2">
      <c r="A188" s="1"/>
      <c r="B188" s="1"/>
      <c r="C188" s="1"/>
      <c r="D188" s="1"/>
      <c r="E188" s="5"/>
      <c r="F188" s="5"/>
      <c r="G188" s="5"/>
      <c r="H188" s="5"/>
      <c r="I188" s="5"/>
      <c r="J188" s="5"/>
      <c r="K188" s="5"/>
      <c r="L188" s="5"/>
    </row>
    <row r="189" spans="1:12" x14ac:dyDescent="0.2">
      <c r="A189" s="1"/>
      <c r="B189" s="1"/>
      <c r="C189" s="1"/>
      <c r="D189" s="1"/>
      <c r="E189" s="5"/>
      <c r="F189" s="5"/>
      <c r="G189" s="5"/>
      <c r="H189" s="5"/>
      <c r="I189" s="5"/>
      <c r="J189" s="5"/>
      <c r="K189" s="5"/>
      <c r="L189" s="5"/>
    </row>
    <row r="190" spans="1:12" x14ac:dyDescent="0.2">
      <c r="A190" s="1"/>
      <c r="B190" s="1"/>
      <c r="C190" s="1"/>
      <c r="D190" s="1"/>
      <c r="E190" s="5"/>
      <c r="F190" s="5"/>
      <c r="G190" s="5"/>
      <c r="H190" s="5"/>
      <c r="I190" s="5"/>
      <c r="J190" s="5"/>
      <c r="K190" s="5"/>
      <c r="L190" s="5"/>
    </row>
    <row r="191" spans="1:12" x14ac:dyDescent="0.2">
      <c r="A191" s="1"/>
      <c r="B191" s="1"/>
      <c r="C191" s="1"/>
      <c r="D191" s="1"/>
      <c r="E191" s="5"/>
      <c r="F191" s="5"/>
      <c r="G191" s="5"/>
      <c r="H191" s="5"/>
      <c r="I191" s="5"/>
      <c r="J191" s="5"/>
      <c r="K191" s="5"/>
      <c r="L191" s="5"/>
    </row>
    <row r="192" spans="1:12" x14ac:dyDescent="0.2">
      <c r="A192" s="1"/>
      <c r="B192" s="1"/>
      <c r="C192" s="1"/>
      <c r="D192" s="1"/>
      <c r="E192" s="5"/>
      <c r="F192" s="5"/>
      <c r="G192" s="5"/>
      <c r="H192" s="5"/>
      <c r="I192" s="5"/>
      <c r="J192" s="5"/>
      <c r="K192" s="5"/>
      <c r="L192" s="5"/>
    </row>
    <row r="193" spans="1:12" x14ac:dyDescent="0.2">
      <c r="A193" s="1"/>
      <c r="B193" s="1"/>
      <c r="C193" s="1"/>
      <c r="D193" s="1"/>
      <c r="E193" s="5"/>
      <c r="F193" s="5"/>
      <c r="G193" s="5"/>
      <c r="H193" s="5"/>
      <c r="I193" s="5"/>
      <c r="J193" s="5"/>
      <c r="K193" s="5"/>
      <c r="L193" s="5"/>
    </row>
    <row r="194" spans="1:12" x14ac:dyDescent="0.2">
      <c r="A194" s="1"/>
      <c r="B194" s="1"/>
      <c r="C194" s="1"/>
      <c r="D194" s="1"/>
      <c r="E194" s="5"/>
      <c r="F194" s="5"/>
      <c r="G194" s="5"/>
      <c r="H194" s="5"/>
      <c r="I194" s="5"/>
      <c r="J194" s="5"/>
      <c r="K194" s="5"/>
      <c r="L194" s="5"/>
    </row>
    <row r="195" spans="1:12" x14ac:dyDescent="0.2">
      <c r="A195" s="1"/>
      <c r="B195" s="1"/>
      <c r="C195" s="1"/>
      <c r="D195" s="1"/>
      <c r="E195" s="5"/>
      <c r="F195" s="5"/>
      <c r="G195" s="5"/>
      <c r="H195" s="5"/>
      <c r="I195" s="5"/>
      <c r="J195" s="5"/>
      <c r="K195" s="5"/>
      <c r="L195" s="5"/>
    </row>
    <row r="196" spans="1:12" x14ac:dyDescent="0.2">
      <c r="A196" s="1"/>
      <c r="B196" s="1"/>
      <c r="C196" s="1"/>
      <c r="D196" s="1"/>
      <c r="E196" s="5"/>
      <c r="F196" s="5"/>
      <c r="G196" s="5"/>
      <c r="H196" s="5"/>
      <c r="I196" s="5"/>
      <c r="J196" s="5"/>
      <c r="K196" s="5"/>
      <c r="L196" s="5"/>
    </row>
    <row r="197" spans="1:12" x14ac:dyDescent="0.2">
      <c r="A197" s="1"/>
      <c r="B197" s="1"/>
      <c r="C197" s="1"/>
      <c r="D197" s="1"/>
      <c r="E197" s="5"/>
      <c r="F197" s="5"/>
      <c r="G197" s="5"/>
      <c r="H197" s="5"/>
      <c r="I197" s="5"/>
      <c r="J197" s="5"/>
      <c r="K197" s="5"/>
      <c r="L197" s="5"/>
    </row>
    <row r="198" spans="1:12" x14ac:dyDescent="0.2">
      <c r="A198" s="1"/>
      <c r="B198" s="1"/>
      <c r="C198" s="1"/>
      <c r="D198" s="1"/>
      <c r="E198" s="5"/>
      <c r="F198" s="5"/>
      <c r="G198" s="5"/>
      <c r="H198" s="5"/>
      <c r="I198" s="5"/>
      <c r="J198" s="5"/>
      <c r="K198" s="5"/>
      <c r="L198" s="5"/>
    </row>
    <row r="199" spans="1:12" x14ac:dyDescent="0.2">
      <c r="A199" s="1"/>
      <c r="B199" s="1"/>
      <c r="C199" s="1"/>
      <c r="D199" s="1"/>
      <c r="E199" s="5"/>
      <c r="F199" s="5"/>
      <c r="G199" s="5"/>
      <c r="H199" s="5"/>
      <c r="I199" s="5"/>
      <c r="J199" s="5"/>
      <c r="K199" s="5"/>
      <c r="L199" s="5"/>
    </row>
    <row r="200" spans="1:12" x14ac:dyDescent="0.2">
      <c r="A200" s="1"/>
      <c r="B200" s="1"/>
      <c r="C200" s="1"/>
      <c r="D200" s="1"/>
      <c r="E200" s="5"/>
      <c r="F200" s="5"/>
      <c r="G200" s="5"/>
      <c r="H200" s="5"/>
      <c r="I200" s="5"/>
      <c r="J200" s="5"/>
      <c r="K200" s="5"/>
      <c r="L200" s="5"/>
    </row>
    <row r="201" spans="1:12" x14ac:dyDescent="0.2">
      <c r="A201" s="1"/>
      <c r="B201" s="1"/>
      <c r="C201" s="1"/>
      <c r="D201" s="1"/>
      <c r="E201" s="5"/>
      <c r="F201" s="5"/>
      <c r="G201" s="5"/>
      <c r="H201" s="5"/>
      <c r="I201" s="5"/>
      <c r="J201" s="5"/>
      <c r="K201" s="5"/>
      <c r="L201" s="5"/>
    </row>
    <row r="202" spans="1:12" x14ac:dyDescent="0.2">
      <c r="A202" s="1"/>
      <c r="B202" s="1"/>
      <c r="C202" s="1"/>
      <c r="D202" s="1"/>
      <c r="E202" s="5"/>
      <c r="F202" s="5"/>
      <c r="G202" s="5"/>
      <c r="H202" s="5"/>
      <c r="I202" s="5"/>
      <c r="J202" s="5"/>
      <c r="K202" s="5"/>
      <c r="L202" s="5"/>
    </row>
    <row r="203" spans="1:12" x14ac:dyDescent="0.2">
      <c r="A203" s="1"/>
      <c r="B203" s="1"/>
      <c r="C203" s="1"/>
      <c r="D203" s="1"/>
      <c r="E203" s="5"/>
      <c r="F203" s="5"/>
      <c r="G203" s="5"/>
      <c r="H203" s="5"/>
      <c r="I203" s="5"/>
      <c r="J203" s="5"/>
      <c r="K203" s="5"/>
      <c r="L203" s="5"/>
    </row>
    <row r="204" spans="1:12" x14ac:dyDescent="0.2">
      <c r="A204" s="1"/>
      <c r="B204" s="1"/>
      <c r="C204" s="1"/>
      <c r="D204" s="1"/>
      <c r="E204" s="5"/>
      <c r="F204" s="5"/>
      <c r="G204" s="5"/>
      <c r="H204" s="5"/>
      <c r="I204" s="5"/>
      <c r="J204" s="5"/>
      <c r="K204" s="5"/>
      <c r="L204" s="5"/>
    </row>
    <row r="205" spans="1:12" x14ac:dyDescent="0.2">
      <c r="A205" s="1"/>
      <c r="B205" s="1"/>
      <c r="C205" s="1"/>
      <c r="D205" s="1"/>
      <c r="E205" s="5"/>
      <c r="F205" s="5"/>
      <c r="G205" s="5"/>
      <c r="H205" s="5"/>
      <c r="I205" s="5"/>
      <c r="J205" s="5"/>
      <c r="K205" s="5"/>
      <c r="L205" s="5"/>
    </row>
    <row r="206" spans="1:12" x14ac:dyDescent="0.2">
      <c r="A206" s="1"/>
      <c r="B206" s="1"/>
      <c r="C206" s="1"/>
      <c r="D206" s="1"/>
      <c r="E206" s="5"/>
      <c r="F206" s="5"/>
      <c r="G206" s="5"/>
      <c r="H206" s="5"/>
      <c r="I206" s="5"/>
      <c r="J206" s="5"/>
      <c r="K206" s="5"/>
      <c r="L206" s="5"/>
    </row>
    <row r="207" spans="1:12" x14ac:dyDescent="0.2">
      <c r="A207" s="1"/>
      <c r="B207" s="1"/>
      <c r="C207" s="1"/>
      <c r="D207" s="1"/>
      <c r="E207" s="5"/>
      <c r="F207" s="5"/>
      <c r="G207" s="5"/>
      <c r="H207" s="5"/>
      <c r="I207" s="5"/>
      <c r="J207" s="5"/>
      <c r="K207" s="5"/>
      <c r="L207" s="5"/>
    </row>
    <row r="208" spans="1:12" x14ac:dyDescent="0.2">
      <c r="A208" s="1"/>
      <c r="B208" s="1"/>
      <c r="C208" s="1"/>
      <c r="D208" s="1"/>
      <c r="E208" s="5"/>
      <c r="F208" s="5"/>
      <c r="G208" s="5"/>
      <c r="H208" s="5"/>
      <c r="I208" s="5"/>
      <c r="J208" s="5"/>
      <c r="K208" s="5"/>
      <c r="L208" s="5"/>
    </row>
    <row r="209" spans="1:12" x14ac:dyDescent="0.2">
      <c r="A209" s="1"/>
      <c r="B209" s="1"/>
      <c r="C209" s="1"/>
      <c r="D209" s="1"/>
      <c r="E209" s="5"/>
      <c r="F209" s="5"/>
      <c r="G209" s="5"/>
      <c r="H209" s="5"/>
      <c r="I209" s="5"/>
      <c r="J209" s="5"/>
      <c r="K209" s="5"/>
      <c r="L209" s="5"/>
    </row>
    <row r="210" spans="1:12" x14ac:dyDescent="0.2">
      <c r="A210" s="1"/>
      <c r="B210" s="1"/>
      <c r="C210" s="1"/>
      <c r="D210" s="1"/>
      <c r="E210" s="5"/>
      <c r="F210" s="5"/>
      <c r="G210" s="5"/>
      <c r="H210" s="5"/>
      <c r="I210" s="5"/>
      <c r="J210" s="5"/>
      <c r="K210" s="5"/>
      <c r="L210" s="5"/>
    </row>
    <row r="211" spans="1:12" x14ac:dyDescent="0.2">
      <c r="A211" s="1"/>
      <c r="B211" s="1"/>
      <c r="C211" s="1"/>
      <c r="D211" s="1"/>
      <c r="E211" s="5"/>
      <c r="F211" s="5"/>
      <c r="G211" s="5"/>
      <c r="H211" s="5"/>
      <c r="I211" s="5"/>
      <c r="J211" s="5"/>
      <c r="K211" s="5"/>
      <c r="L211" s="5"/>
    </row>
    <row r="212" spans="1:12" x14ac:dyDescent="0.2">
      <c r="A212" s="1"/>
      <c r="B212" s="1"/>
      <c r="C212" s="1"/>
      <c r="D212" s="1"/>
      <c r="E212" s="5"/>
      <c r="F212" s="5"/>
      <c r="G212" s="5"/>
      <c r="H212" s="5"/>
      <c r="I212" s="5"/>
      <c r="J212" s="5"/>
      <c r="K212" s="5"/>
      <c r="L212" s="5"/>
    </row>
    <row r="213" spans="1:12" x14ac:dyDescent="0.2">
      <c r="A213" s="1"/>
      <c r="B213" s="1"/>
      <c r="C213" s="1"/>
      <c r="D213" s="1"/>
      <c r="E213" s="5"/>
      <c r="F213" s="5"/>
      <c r="G213" s="5"/>
      <c r="H213" s="5"/>
      <c r="I213" s="5"/>
      <c r="J213" s="5"/>
      <c r="K213" s="5"/>
      <c r="L213" s="5"/>
    </row>
    <row r="214" spans="1:12" x14ac:dyDescent="0.2">
      <c r="A214" s="1"/>
      <c r="B214" s="1"/>
      <c r="C214" s="1"/>
      <c r="D214" s="1"/>
      <c r="E214" s="5"/>
      <c r="F214" s="5"/>
      <c r="G214" s="5"/>
      <c r="H214" s="5"/>
      <c r="I214" s="5"/>
      <c r="J214" s="5"/>
      <c r="K214" s="5"/>
      <c r="L214" s="5"/>
    </row>
    <row r="215" spans="1:12" x14ac:dyDescent="0.2">
      <c r="A215" s="1"/>
      <c r="B215" s="1"/>
      <c r="C215" s="1"/>
      <c r="D215" s="1"/>
      <c r="E215" s="5"/>
      <c r="F215" s="5"/>
      <c r="G215" s="5"/>
      <c r="H215" s="5"/>
      <c r="I215" s="5"/>
      <c r="J215" s="5"/>
      <c r="K215" s="5"/>
      <c r="L215" s="5"/>
    </row>
    <row r="216" spans="1:12" x14ac:dyDescent="0.2">
      <c r="A216" s="1"/>
      <c r="B216" s="1"/>
      <c r="C216" s="1"/>
      <c r="D216" s="1"/>
      <c r="E216" s="5"/>
      <c r="F216" s="5"/>
      <c r="G216" s="5"/>
      <c r="H216" s="5"/>
      <c r="I216" s="5"/>
      <c r="J216" s="5"/>
      <c r="K216" s="5"/>
      <c r="L216" s="5"/>
    </row>
    <row r="217" spans="1:12" x14ac:dyDescent="0.2">
      <c r="A217" s="1"/>
      <c r="B217" s="1"/>
      <c r="C217" s="1"/>
      <c r="D217" s="1"/>
      <c r="E217" s="5"/>
      <c r="F217" s="5"/>
      <c r="G217" s="5"/>
      <c r="H217" s="5"/>
      <c r="I217" s="5"/>
      <c r="J217" s="5"/>
      <c r="K217" s="5"/>
      <c r="L217" s="5"/>
    </row>
    <row r="218" spans="1:12" x14ac:dyDescent="0.2">
      <c r="A218" s="1"/>
      <c r="B218" s="1"/>
      <c r="C218" s="1"/>
      <c r="D218" s="1"/>
      <c r="E218" s="5"/>
      <c r="F218" s="5"/>
      <c r="G218" s="5"/>
      <c r="H218" s="5"/>
      <c r="I218" s="5"/>
      <c r="J218" s="5"/>
      <c r="K218" s="5"/>
      <c r="L218" s="5"/>
    </row>
    <row r="219" spans="1:12" x14ac:dyDescent="0.2">
      <c r="A219" s="1"/>
      <c r="B219" s="1"/>
      <c r="C219" s="1"/>
      <c r="D219" s="1"/>
      <c r="E219" s="5"/>
      <c r="F219" s="5"/>
      <c r="G219" s="5"/>
      <c r="H219" s="5"/>
      <c r="I219" s="5"/>
      <c r="J219" s="5"/>
      <c r="K219" s="5"/>
      <c r="L219" s="5"/>
    </row>
    <row r="220" spans="1:12" x14ac:dyDescent="0.2">
      <c r="A220" s="1"/>
      <c r="B220" s="1"/>
      <c r="C220" s="1"/>
      <c r="D220" s="1"/>
      <c r="E220" s="5"/>
      <c r="F220" s="5"/>
      <c r="G220" s="5"/>
      <c r="H220" s="5"/>
      <c r="I220" s="5"/>
      <c r="J220" s="5"/>
      <c r="K220" s="5"/>
      <c r="L220" s="5"/>
    </row>
    <row r="221" spans="1:12" x14ac:dyDescent="0.2">
      <c r="A221" s="1"/>
      <c r="B221" s="1"/>
      <c r="C221" s="1"/>
      <c r="D221" s="1"/>
      <c r="E221" s="5"/>
      <c r="F221" s="5"/>
      <c r="G221" s="5"/>
      <c r="H221" s="5"/>
      <c r="I221" s="5"/>
      <c r="J221" s="5"/>
      <c r="K221" s="5"/>
      <c r="L221" s="5"/>
    </row>
    <row r="222" spans="1:12" x14ac:dyDescent="0.2">
      <c r="A222" s="1"/>
      <c r="B222" s="1"/>
      <c r="C222" s="1"/>
      <c r="D222" s="1"/>
      <c r="E222" s="5"/>
      <c r="F222" s="5"/>
      <c r="G222" s="5"/>
      <c r="H222" s="5"/>
      <c r="I222" s="5"/>
      <c r="J222" s="5"/>
      <c r="K222" s="5"/>
      <c r="L222" s="5"/>
    </row>
    <row r="223" spans="1:12" x14ac:dyDescent="0.2">
      <c r="A223" s="1"/>
      <c r="B223" s="1"/>
      <c r="C223" s="1"/>
      <c r="D223" s="1"/>
      <c r="E223" s="5"/>
      <c r="F223" s="5"/>
      <c r="G223" s="5"/>
      <c r="H223" s="5"/>
      <c r="I223" s="5"/>
      <c r="J223" s="5"/>
      <c r="K223" s="5"/>
      <c r="L223" s="5"/>
    </row>
    <row r="224" spans="1:12" x14ac:dyDescent="0.2">
      <c r="A224" s="1"/>
      <c r="B224" s="1"/>
      <c r="C224" s="1"/>
      <c r="D224" s="1"/>
      <c r="E224" s="5"/>
      <c r="F224" s="5"/>
      <c r="G224" s="5"/>
      <c r="H224" s="5"/>
      <c r="I224" s="5"/>
      <c r="J224" s="5"/>
      <c r="K224" s="5"/>
      <c r="L224" s="5"/>
    </row>
    <row r="225" spans="1:12" x14ac:dyDescent="0.2">
      <c r="A225" s="1"/>
      <c r="B225" s="1"/>
      <c r="C225" s="1"/>
      <c r="D225" s="1"/>
      <c r="E225" s="5"/>
      <c r="F225" s="5"/>
      <c r="G225" s="5"/>
      <c r="H225" s="5"/>
      <c r="I225" s="5"/>
      <c r="J225" s="5"/>
      <c r="K225" s="5"/>
      <c r="L225" s="5"/>
    </row>
    <row r="226" spans="1:12" x14ac:dyDescent="0.2">
      <c r="A226" s="1"/>
      <c r="B226" s="1"/>
      <c r="C226" s="1"/>
      <c r="D226" s="1"/>
      <c r="E226" s="5"/>
      <c r="F226" s="5"/>
      <c r="G226" s="5"/>
      <c r="H226" s="5"/>
      <c r="I226" s="5"/>
      <c r="J226" s="5"/>
      <c r="K226" s="5"/>
      <c r="L226" s="5"/>
    </row>
    <row r="227" spans="1:12" x14ac:dyDescent="0.2">
      <c r="A227" s="1"/>
      <c r="B227" s="1"/>
      <c r="C227" s="1"/>
      <c r="D227" s="1"/>
      <c r="E227" s="5"/>
      <c r="F227" s="5"/>
      <c r="G227" s="5"/>
      <c r="H227" s="5"/>
      <c r="I227" s="5"/>
      <c r="J227" s="5"/>
      <c r="K227" s="5"/>
      <c r="L227" s="5"/>
    </row>
    <row r="228" spans="1:12" x14ac:dyDescent="0.2">
      <c r="A228" s="1"/>
      <c r="B228" s="1"/>
      <c r="C228" s="1"/>
      <c r="D228" s="1"/>
      <c r="E228" s="5"/>
      <c r="F228" s="5"/>
      <c r="G228" s="5"/>
      <c r="H228" s="5"/>
      <c r="I228" s="5"/>
      <c r="J228" s="5"/>
      <c r="K228" s="5"/>
      <c r="L228" s="5"/>
    </row>
    <row r="229" spans="1:12" x14ac:dyDescent="0.2">
      <c r="A229" s="1"/>
      <c r="B229" s="1"/>
      <c r="C229" s="1"/>
      <c r="D229" s="1"/>
      <c r="E229" s="5"/>
      <c r="F229" s="5"/>
      <c r="G229" s="5"/>
      <c r="H229" s="5"/>
      <c r="I229" s="5"/>
      <c r="J229" s="5"/>
      <c r="K229" s="5"/>
      <c r="L229" s="5"/>
    </row>
    <row r="230" spans="1:12" x14ac:dyDescent="0.2">
      <c r="A230" s="1"/>
      <c r="B230" s="1"/>
      <c r="C230" s="1"/>
      <c r="D230" s="1"/>
      <c r="E230" s="5"/>
      <c r="F230" s="5"/>
      <c r="G230" s="5"/>
      <c r="H230" s="5"/>
      <c r="I230" s="5"/>
      <c r="J230" s="5"/>
      <c r="K230" s="5"/>
      <c r="L230" s="5"/>
    </row>
    <row r="231" spans="1:12" x14ac:dyDescent="0.2">
      <c r="A231" s="1"/>
      <c r="B231" s="1"/>
      <c r="C231" s="1"/>
      <c r="D231" s="1"/>
      <c r="E231" s="5"/>
      <c r="F231" s="5"/>
      <c r="G231" s="5"/>
      <c r="H231" s="5"/>
      <c r="I231" s="5"/>
      <c r="J231" s="5"/>
      <c r="K231" s="5"/>
      <c r="L231" s="5"/>
    </row>
    <row r="232" spans="1:12" x14ac:dyDescent="0.2">
      <c r="A232" s="1"/>
      <c r="B232" s="1"/>
      <c r="C232" s="1"/>
      <c r="D232" s="1"/>
      <c r="E232" s="5"/>
      <c r="F232" s="5"/>
      <c r="G232" s="5"/>
      <c r="H232" s="5"/>
      <c r="I232" s="5"/>
      <c r="J232" s="5"/>
      <c r="K232" s="5"/>
      <c r="L232" s="5"/>
    </row>
    <row r="233" spans="1:12" x14ac:dyDescent="0.2">
      <c r="A233" s="1"/>
      <c r="B233" s="1"/>
      <c r="C233" s="1"/>
      <c r="D233" s="1"/>
      <c r="E233" s="5"/>
      <c r="F233" s="5"/>
      <c r="G233" s="5"/>
      <c r="H233" s="5"/>
      <c r="I233" s="5"/>
      <c r="J233" s="5"/>
      <c r="K233" s="5"/>
      <c r="L233" s="5"/>
    </row>
    <row r="234" spans="1:12" x14ac:dyDescent="0.2">
      <c r="A234" s="1"/>
      <c r="B234" s="1"/>
      <c r="C234" s="1"/>
      <c r="D234" s="1"/>
      <c r="E234" s="5"/>
      <c r="F234" s="5"/>
      <c r="G234" s="5"/>
      <c r="H234" s="5"/>
      <c r="I234" s="5"/>
      <c r="J234" s="5"/>
      <c r="K234" s="5"/>
      <c r="L234" s="5"/>
    </row>
    <row r="235" spans="1:12" x14ac:dyDescent="0.2">
      <c r="A235" s="1"/>
      <c r="B235" s="1"/>
      <c r="C235" s="1"/>
      <c r="D235" s="1"/>
      <c r="E235" s="5"/>
      <c r="F235" s="5"/>
      <c r="G235" s="5"/>
      <c r="H235" s="5"/>
      <c r="I235" s="5"/>
      <c r="J235" s="5"/>
      <c r="K235" s="5"/>
      <c r="L235" s="5"/>
    </row>
    <row r="236" spans="1:12" x14ac:dyDescent="0.2">
      <c r="A236" s="1"/>
      <c r="B236" s="1"/>
      <c r="C236" s="1"/>
      <c r="D236" s="1"/>
      <c r="E236" s="5"/>
      <c r="F236" s="5"/>
      <c r="G236" s="5"/>
      <c r="H236" s="5"/>
      <c r="I236" s="5"/>
      <c r="J236" s="5"/>
      <c r="K236" s="5"/>
      <c r="L236" s="5"/>
    </row>
    <row r="237" spans="1:12" x14ac:dyDescent="0.2">
      <c r="A237" s="1"/>
      <c r="B237" s="1"/>
      <c r="C237" s="1"/>
      <c r="D237" s="1"/>
      <c r="E237" s="5"/>
      <c r="F237" s="5"/>
      <c r="G237" s="5"/>
      <c r="H237" s="5"/>
      <c r="I237" s="5"/>
      <c r="J237" s="5"/>
      <c r="K237" s="5"/>
      <c r="L237" s="5"/>
    </row>
    <row r="238" spans="1:12" x14ac:dyDescent="0.2">
      <c r="A238" s="1"/>
      <c r="B238" s="1"/>
      <c r="C238" s="1"/>
      <c r="D238" s="1"/>
      <c r="E238" s="5"/>
      <c r="F238" s="5"/>
      <c r="G238" s="5"/>
      <c r="H238" s="5"/>
      <c r="I238" s="5"/>
      <c r="J238" s="5"/>
      <c r="K238" s="5"/>
      <c r="L238" s="5"/>
    </row>
    <row r="239" spans="1:12" x14ac:dyDescent="0.2">
      <c r="A239" s="1"/>
      <c r="B239" s="1"/>
      <c r="C239" s="1"/>
      <c r="D239" s="1"/>
      <c r="E239" s="5"/>
      <c r="F239" s="5"/>
      <c r="G239" s="5"/>
      <c r="H239" s="5"/>
      <c r="I239" s="5"/>
      <c r="J239" s="5"/>
      <c r="K239" s="5"/>
      <c r="L239" s="5"/>
    </row>
    <row r="240" spans="1:12" x14ac:dyDescent="0.2">
      <c r="A240" s="1"/>
      <c r="B240" s="1"/>
      <c r="C240" s="1"/>
      <c r="D240" s="1"/>
      <c r="E240" s="5"/>
      <c r="F240" s="5"/>
      <c r="G240" s="5"/>
      <c r="H240" s="5"/>
      <c r="I240" s="5"/>
      <c r="J240" s="5"/>
      <c r="K240" s="5"/>
      <c r="L240" s="5"/>
    </row>
    <row r="241" spans="1:12" x14ac:dyDescent="0.2">
      <c r="A241" s="1"/>
      <c r="B241" s="1"/>
      <c r="C241" s="1"/>
      <c r="D241" s="1"/>
      <c r="E241" s="5"/>
      <c r="F241" s="5"/>
      <c r="G241" s="5"/>
      <c r="H241" s="5"/>
      <c r="I241" s="5"/>
      <c r="J241" s="5"/>
      <c r="K241" s="5"/>
      <c r="L241" s="5"/>
    </row>
    <row r="242" spans="1:12" x14ac:dyDescent="0.2">
      <c r="A242" s="1"/>
      <c r="B242" s="1"/>
      <c r="C242" s="1"/>
      <c r="D242" s="1"/>
      <c r="E242" s="5"/>
      <c r="F242" s="5"/>
      <c r="G242" s="5"/>
      <c r="H242" s="5"/>
      <c r="I242" s="5"/>
      <c r="J242" s="5"/>
      <c r="K242" s="5"/>
      <c r="L242" s="5"/>
    </row>
    <row r="243" spans="1:12" x14ac:dyDescent="0.2">
      <c r="A243" s="1"/>
      <c r="B243" s="1"/>
      <c r="C243" s="1"/>
      <c r="D243" s="1"/>
      <c r="E243" s="5"/>
      <c r="F243" s="5"/>
      <c r="G243" s="5"/>
      <c r="H243" s="5"/>
      <c r="I243" s="5"/>
      <c r="J243" s="5"/>
      <c r="K243" s="5"/>
      <c r="L243" s="5"/>
    </row>
    <row r="244" spans="1:12" x14ac:dyDescent="0.2">
      <c r="A244" s="1"/>
      <c r="B244" s="1"/>
      <c r="C244" s="1"/>
      <c r="D244" s="1"/>
      <c r="E244" s="5"/>
      <c r="F244" s="5"/>
      <c r="G244" s="5"/>
      <c r="H244" s="5"/>
      <c r="I244" s="5"/>
      <c r="J244" s="5"/>
      <c r="K244" s="5"/>
      <c r="L244" s="5"/>
    </row>
    <row r="245" spans="1:12" x14ac:dyDescent="0.2">
      <c r="A245" s="1"/>
      <c r="B245" s="1"/>
      <c r="C245" s="1"/>
      <c r="D245" s="1"/>
      <c r="E245" s="5"/>
      <c r="F245" s="5"/>
      <c r="G245" s="5"/>
      <c r="H245" s="5"/>
      <c r="I245" s="5"/>
      <c r="J245" s="5"/>
      <c r="K245" s="5"/>
      <c r="L245" s="5"/>
    </row>
    <row r="246" spans="1:12" x14ac:dyDescent="0.2">
      <c r="A246" s="1"/>
      <c r="B246" s="1"/>
      <c r="C246" s="1"/>
      <c r="D246" s="1"/>
      <c r="E246" s="5"/>
      <c r="F246" s="5"/>
      <c r="G246" s="5"/>
      <c r="H246" s="5"/>
      <c r="I246" s="5"/>
      <c r="J246" s="5"/>
      <c r="K246" s="5"/>
      <c r="L246" s="5"/>
    </row>
    <row r="247" spans="1:12" x14ac:dyDescent="0.2">
      <c r="A247" s="1"/>
      <c r="B247" s="1"/>
      <c r="C247" s="1"/>
      <c r="D247" s="1"/>
      <c r="E247" s="5"/>
      <c r="F247" s="5"/>
      <c r="G247" s="5"/>
      <c r="H247" s="5"/>
      <c r="I247" s="5"/>
      <c r="J247" s="5"/>
      <c r="K247" s="5"/>
      <c r="L247" s="5"/>
    </row>
    <row r="248" spans="1:12" x14ac:dyDescent="0.2">
      <c r="A248" s="1"/>
      <c r="B248" s="1"/>
      <c r="C248" s="1"/>
      <c r="D248" s="1"/>
      <c r="E248" s="5"/>
      <c r="F248" s="5"/>
      <c r="G248" s="5"/>
      <c r="H248" s="5"/>
      <c r="I248" s="5"/>
      <c r="J248" s="5"/>
      <c r="K248" s="5"/>
      <c r="L248" s="5"/>
    </row>
    <row r="249" spans="1:12" x14ac:dyDescent="0.2">
      <c r="A249" s="1"/>
      <c r="B249" s="1"/>
      <c r="C249" s="1"/>
      <c r="D249" s="1"/>
      <c r="E249" s="5"/>
      <c r="F249" s="5"/>
      <c r="G249" s="5"/>
      <c r="H249" s="5"/>
      <c r="I249" s="5"/>
      <c r="J249" s="5"/>
      <c r="K249" s="5"/>
      <c r="L249" s="5"/>
    </row>
    <row r="250" spans="1:12" x14ac:dyDescent="0.2">
      <c r="A250" s="1"/>
      <c r="B250" s="1"/>
      <c r="C250" s="1"/>
      <c r="D250" s="1"/>
      <c r="E250" s="5"/>
      <c r="F250" s="5"/>
      <c r="G250" s="5"/>
      <c r="H250" s="5"/>
      <c r="I250" s="5"/>
      <c r="J250" s="5"/>
      <c r="K250" s="5"/>
      <c r="L250" s="5"/>
    </row>
    <row r="251" spans="1:12" x14ac:dyDescent="0.2">
      <c r="A251" s="1"/>
      <c r="B251" s="1"/>
      <c r="C251" s="1"/>
      <c r="D251" s="1"/>
      <c r="E251" s="5"/>
      <c r="F251" s="5"/>
      <c r="G251" s="5"/>
      <c r="H251" s="5"/>
      <c r="I251" s="5"/>
      <c r="J251" s="5"/>
      <c r="K251" s="5"/>
      <c r="L251" s="5"/>
    </row>
    <row r="252" spans="1:12" x14ac:dyDescent="0.2">
      <c r="A252" s="1"/>
      <c r="B252" s="1"/>
      <c r="C252" s="1"/>
      <c r="D252" s="1"/>
      <c r="E252" s="5"/>
      <c r="F252" s="5"/>
      <c r="G252" s="5"/>
      <c r="H252" s="5"/>
      <c r="I252" s="5"/>
      <c r="J252" s="5"/>
      <c r="K252" s="5"/>
      <c r="L252" s="5"/>
    </row>
    <row r="253" spans="1:12" x14ac:dyDescent="0.2">
      <c r="A253" s="1"/>
      <c r="B253" s="1"/>
      <c r="C253" s="1"/>
      <c r="D253" s="1"/>
      <c r="E253" s="5"/>
      <c r="F253" s="5"/>
      <c r="G253" s="5"/>
      <c r="H253" s="5"/>
      <c r="I253" s="5"/>
      <c r="J253" s="5"/>
      <c r="K253" s="5"/>
      <c r="L253" s="5"/>
    </row>
  </sheetData>
  <mergeCells count="8">
    <mergeCell ref="A31:D31"/>
    <mergeCell ref="A3:D3"/>
    <mergeCell ref="A20:D20"/>
    <mergeCell ref="A28:D28"/>
    <mergeCell ref="A5:D5"/>
    <mergeCell ref="A7:D7"/>
    <mergeCell ref="A9:B9"/>
    <mergeCell ref="C9:D9"/>
  </mergeCells>
  <printOptions horizontalCentered="1"/>
  <pageMargins left="0.51181102362204722" right="0.51181102362204722" top="1.1417322834645669" bottom="0.78740157480314965" header="0.31496062992125984" footer="0.31496062992125984"/>
  <pageSetup paperSize="9" orientation="portrait" r:id="rId1"/>
  <headerFooter>
    <oddHeader>&amp;L&amp;G&amp;R&amp;G</oddHeader>
    <oddFooter xml:space="preserve">&amp;CAv. Pres. Tancredo Neves, 3557 sala 306 – Bairro Castelo CEP 31.330-430 – Belo Horizonte / Minas Gerais.
Endereço Eletrônico: ottawaeng@terra.com.br – Telefax (31) 3418-2175 – CNPJ: 04.472.311/0001-04
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3"/>
  <sheetViews>
    <sheetView view="pageBreakPreview" topLeftCell="A13" zoomScaleNormal="100" zoomScaleSheetLayoutView="100" workbookViewId="0">
      <selection activeCell="C19" sqref="C19"/>
    </sheetView>
  </sheetViews>
  <sheetFormatPr defaultRowHeight="14.25" x14ac:dyDescent="0.2"/>
  <cols>
    <col min="1" max="1" width="12.85546875" style="2" customWidth="1"/>
    <col min="2" max="2" width="43.7109375" style="2" customWidth="1"/>
    <col min="3" max="3" width="15.140625" style="2" customWidth="1"/>
    <col min="4" max="4" width="20.42578125" style="46" customWidth="1"/>
    <col min="5" max="5" width="21" style="1" customWidth="1"/>
    <col min="6" max="6" width="5.85546875" style="1" customWidth="1"/>
    <col min="7" max="7" width="16.28515625" style="1" customWidth="1"/>
    <col min="8" max="16384" width="9.140625" style="1"/>
  </cols>
  <sheetData>
    <row r="1" spans="1:12" x14ac:dyDescent="0.2">
      <c r="A1" s="198"/>
      <c r="B1" s="198"/>
      <c r="C1" s="198"/>
      <c r="D1" s="199"/>
    </row>
    <row r="2" spans="1:12" ht="15" thickBot="1" x14ac:dyDescent="0.25">
      <c r="A2" s="198"/>
      <c r="B2" s="198"/>
      <c r="C2" s="198"/>
      <c r="D2" s="199"/>
    </row>
    <row r="3" spans="1:12" ht="32.25" customHeight="1" thickBot="1" x14ac:dyDescent="0.25">
      <c r="A3" s="703" t="s">
        <v>291</v>
      </c>
      <c r="B3" s="704"/>
      <c r="C3" s="704"/>
      <c r="D3" s="705"/>
      <c r="E3" s="4"/>
      <c r="F3" s="4"/>
      <c r="G3" s="4"/>
      <c r="H3" s="4"/>
      <c r="I3" s="4"/>
      <c r="J3" s="4"/>
      <c r="K3" s="4"/>
      <c r="L3" s="4"/>
    </row>
    <row r="4" spans="1:12" s="43" customFormat="1" ht="4.5" customHeight="1" thickBot="1" x14ac:dyDescent="0.25">
      <c r="A4" s="242"/>
      <c r="B4" s="243"/>
      <c r="C4" s="243"/>
      <c r="D4" s="244"/>
      <c r="E4" s="42"/>
      <c r="F4" s="42"/>
      <c r="G4" s="42"/>
      <c r="H4" s="42"/>
      <c r="I4" s="42"/>
      <c r="J4" s="42"/>
      <c r="K4" s="42"/>
      <c r="L4" s="42"/>
    </row>
    <row r="5" spans="1:12" ht="20.100000000000001" customHeight="1" thickBot="1" x14ac:dyDescent="0.25">
      <c r="A5" s="696" t="s">
        <v>777</v>
      </c>
      <c r="B5" s="697"/>
      <c r="C5" s="697"/>
      <c r="D5" s="698"/>
      <c r="E5" s="4"/>
      <c r="F5" s="4"/>
      <c r="G5" s="4"/>
      <c r="H5" s="4"/>
      <c r="I5" s="4"/>
      <c r="J5" s="4"/>
      <c r="K5" s="4"/>
      <c r="L5" s="4"/>
    </row>
    <row r="6" spans="1:12" s="43" customFormat="1" ht="4.5" customHeight="1" thickBot="1" x14ac:dyDescent="0.25">
      <c r="A6" s="239"/>
      <c r="B6" s="240"/>
      <c r="C6" s="240"/>
      <c r="D6" s="241"/>
      <c r="E6" s="42"/>
      <c r="F6" s="42"/>
      <c r="G6" s="42"/>
      <c r="H6" s="42"/>
      <c r="I6" s="42"/>
      <c r="J6" s="42"/>
      <c r="K6" s="42"/>
      <c r="L6" s="42"/>
    </row>
    <row r="7" spans="1:12" ht="20.100000000000001" customHeight="1" thickBot="1" x14ac:dyDescent="0.25">
      <c r="A7" s="696" t="s">
        <v>782</v>
      </c>
      <c r="B7" s="697"/>
      <c r="C7" s="697"/>
      <c r="D7" s="698"/>
      <c r="E7" s="4"/>
      <c r="F7" s="4"/>
      <c r="G7" s="4"/>
      <c r="H7" s="4"/>
      <c r="I7" s="4"/>
      <c r="J7" s="4"/>
      <c r="K7" s="4"/>
      <c r="L7" s="4"/>
    </row>
    <row r="8" spans="1:12" s="43" customFormat="1" ht="4.5" customHeight="1" thickBot="1" x14ac:dyDescent="0.25">
      <c r="A8" s="239"/>
      <c r="B8" s="240"/>
      <c r="C8" s="240"/>
      <c r="D8" s="241"/>
      <c r="E8" s="42"/>
      <c r="F8" s="42"/>
      <c r="G8" s="42"/>
      <c r="H8" s="42"/>
      <c r="I8" s="42"/>
      <c r="J8" s="42"/>
      <c r="K8" s="42"/>
      <c r="L8" s="42"/>
    </row>
    <row r="9" spans="1:12" ht="20.100000000000001" customHeight="1" thickBot="1" x14ac:dyDescent="0.25">
      <c r="A9" s="706" t="s">
        <v>781</v>
      </c>
      <c r="B9" s="707"/>
      <c r="C9" s="701" t="s">
        <v>784</v>
      </c>
      <c r="D9" s="702"/>
      <c r="E9" s="11"/>
      <c r="F9" s="4"/>
      <c r="G9" s="4"/>
      <c r="H9" s="4"/>
      <c r="I9" s="4"/>
      <c r="J9" s="4"/>
      <c r="K9" s="4"/>
      <c r="L9" s="4"/>
    </row>
    <row r="10" spans="1:12" s="43" customFormat="1" ht="4.5" customHeight="1" thickBot="1" x14ac:dyDescent="0.25">
      <c r="A10" s="242"/>
      <c r="B10" s="243"/>
      <c r="C10" s="243"/>
      <c r="D10" s="244"/>
      <c r="E10" s="42"/>
      <c r="F10" s="42"/>
      <c r="G10" s="42"/>
      <c r="H10" s="42"/>
      <c r="I10" s="42"/>
      <c r="J10" s="42"/>
      <c r="K10" s="42"/>
      <c r="L10" s="42"/>
    </row>
    <row r="11" spans="1:12" s="7" customFormat="1" ht="20.100000000000001" customHeight="1" thickBot="1" x14ac:dyDescent="0.25">
      <c r="A11" s="195" t="s">
        <v>89</v>
      </c>
      <c r="B11" s="196" t="s">
        <v>255</v>
      </c>
      <c r="C11" s="196" t="s">
        <v>256</v>
      </c>
      <c r="D11" s="197" t="s">
        <v>257</v>
      </c>
      <c r="E11" s="70"/>
      <c r="F11" s="8"/>
      <c r="G11" s="8"/>
      <c r="H11" s="8"/>
      <c r="I11" s="8"/>
      <c r="J11" s="8"/>
      <c r="K11" s="8"/>
      <c r="L11" s="8"/>
    </row>
    <row r="12" spans="1:12" s="7" customFormat="1" ht="20.100000000000001" customHeight="1" x14ac:dyDescent="0.2">
      <c r="A12" s="71"/>
      <c r="B12" s="72"/>
      <c r="C12" s="72"/>
      <c r="D12" s="73"/>
      <c r="E12" s="74"/>
      <c r="F12" s="8"/>
      <c r="G12" s="8"/>
      <c r="H12" s="8"/>
      <c r="I12" s="8"/>
      <c r="J12" s="8"/>
      <c r="K12" s="8"/>
      <c r="L12" s="8"/>
    </row>
    <row r="13" spans="1:12" s="7" customFormat="1" ht="20.100000000000001" customHeight="1" x14ac:dyDescent="0.25">
      <c r="A13" s="164" t="s">
        <v>258</v>
      </c>
      <c r="B13" s="165" t="s">
        <v>259</v>
      </c>
      <c r="C13" s="166"/>
      <c r="D13" s="167" t="e">
        <f>ORÇAMENTO!L414</f>
        <v>#REF!</v>
      </c>
      <c r="E13" s="79"/>
      <c r="F13" s="8"/>
      <c r="G13" s="8"/>
      <c r="H13" s="8"/>
      <c r="I13" s="8"/>
      <c r="J13" s="8"/>
      <c r="K13" s="8"/>
      <c r="L13" s="8"/>
    </row>
    <row r="14" spans="1:12" s="7" customFormat="1" ht="20.100000000000001" customHeight="1" x14ac:dyDescent="0.2">
      <c r="A14" s="80"/>
      <c r="B14" s="81"/>
      <c r="C14" s="82"/>
      <c r="D14" s="83"/>
      <c r="E14"/>
      <c r="F14" s="8"/>
      <c r="G14" s="8"/>
      <c r="H14" s="8"/>
      <c r="I14" s="8"/>
      <c r="J14" s="8"/>
      <c r="K14" s="8"/>
      <c r="L14" s="8"/>
    </row>
    <row r="15" spans="1:12" s="7" customFormat="1" ht="20.100000000000001" customHeight="1" x14ac:dyDescent="0.25">
      <c r="A15" s="164" t="s">
        <v>260</v>
      </c>
      <c r="B15" s="165" t="s">
        <v>261</v>
      </c>
      <c r="C15" s="168">
        <f>SUM(C16:C19)</f>
        <v>2.4799999999999999E-2</v>
      </c>
      <c r="D15" s="169" t="e">
        <f>SUM(D16:D19)</f>
        <v>#REF!</v>
      </c>
      <c r="E15" s="86"/>
      <c r="F15" s="8"/>
      <c r="G15" s="8"/>
      <c r="H15" s="8"/>
      <c r="I15" s="8"/>
      <c r="J15" s="8"/>
      <c r="K15" s="8"/>
      <c r="L15" s="8"/>
    </row>
    <row r="16" spans="1:12" s="7" customFormat="1" ht="20.100000000000001" customHeight="1" x14ac:dyDescent="0.2">
      <c r="A16" s="80" t="s">
        <v>262</v>
      </c>
      <c r="B16" s="81" t="s">
        <v>263</v>
      </c>
      <c r="C16" s="87">
        <v>1.9E-2</v>
      </c>
      <c r="D16" s="88" t="e">
        <f>C16*D$13</f>
        <v>#REF!</v>
      </c>
      <c r="E16" s="89"/>
      <c r="F16" s="8"/>
      <c r="G16" s="8"/>
      <c r="H16" s="8"/>
      <c r="I16" s="8"/>
      <c r="J16" s="8"/>
      <c r="K16" s="8"/>
      <c r="L16" s="8"/>
    </row>
    <row r="17" spans="1:12" s="7" customFormat="1" ht="20.100000000000001" customHeight="1" x14ac:dyDescent="0.2">
      <c r="A17" s="80" t="s">
        <v>264</v>
      </c>
      <c r="B17" s="81" t="s">
        <v>265</v>
      </c>
      <c r="C17" s="87">
        <v>2.5000000000000001E-3</v>
      </c>
      <c r="D17" s="88" t="e">
        <f>C17*D$13</f>
        <v>#REF!</v>
      </c>
      <c r="E17" s="89"/>
      <c r="F17" s="8"/>
      <c r="G17" s="8"/>
      <c r="H17" s="8"/>
      <c r="I17" s="8"/>
      <c r="J17" s="8"/>
      <c r="K17" s="8"/>
      <c r="L17" s="8"/>
    </row>
    <row r="18" spans="1:12" s="7" customFormat="1" ht="20.100000000000001" customHeight="1" x14ac:dyDescent="0.2">
      <c r="A18" s="80" t="s">
        <v>266</v>
      </c>
      <c r="B18" s="81" t="s">
        <v>267</v>
      </c>
      <c r="C18" s="87">
        <v>3.3E-3</v>
      </c>
      <c r="D18" s="88" t="e">
        <f>C18*D$13</f>
        <v>#REF!</v>
      </c>
      <c r="E18" s="89"/>
      <c r="F18" s="8"/>
      <c r="G18" s="8"/>
      <c r="H18" s="8"/>
      <c r="I18" s="8"/>
      <c r="J18" s="8"/>
      <c r="K18" s="8"/>
      <c r="L18" s="8"/>
    </row>
    <row r="19" spans="1:12" s="7" customFormat="1" ht="20.100000000000001" customHeight="1" x14ac:dyDescent="0.2">
      <c r="A19" s="80" t="s">
        <v>268</v>
      </c>
      <c r="B19" s="81" t="s">
        <v>269</v>
      </c>
      <c r="C19" s="87"/>
      <c r="D19" s="88" t="e">
        <f>C19*D$13</f>
        <v>#REF!</v>
      </c>
      <c r="E19" s="89"/>
      <c r="F19" s="8"/>
      <c r="G19" s="8"/>
      <c r="H19" s="8"/>
      <c r="I19" s="8"/>
      <c r="J19" s="8"/>
      <c r="K19" s="8"/>
      <c r="L19" s="8"/>
    </row>
    <row r="20" spans="1:12" s="7" customFormat="1" ht="20.100000000000001" customHeight="1" x14ac:dyDescent="0.2">
      <c r="A20" s="690" t="s">
        <v>270</v>
      </c>
      <c r="B20" s="691"/>
      <c r="C20" s="691"/>
      <c r="D20" s="692"/>
      <c r="E20"/>
      <c r="F20" s="8"/>
      <c r="G20" s="8"/>
      <c r="H20" s="8"/>
      <c r="I20" s="8"/>
      <c r="J20" s="8"/>
      <c r="K20" s="8"/>
      <c r="L20" s="8"/>
    </row>
    <row r="21" spans="1:12" s="7" customFormat="1" ht="20.100000000000001" customHeight="1" x14ac:dyDescent="0.2">
      <c r="A21" s="90"/>
      <c r="B21" s="91"/>
      <c r="C21" s="91"/>
      <c r="D21" s="92"/>
      <c r="E21"/>
      <c r="F21" s="8"/>
      <c r="G21" s="8"/>
      <c r="H21" s="8"/>
      <c r="I21" s="8"/>
      <c r="J21" s="8"/>
      <c r="K21" s="8"/>
      <c r="L21" s="8"/>
    </row>
    <row r="22" spans="1:12" s="7" customFormat="1" ht="20.100000000000001" customHeight="1" x14ac:dyDescent="0.25">
      <c r="A22" s="164" t="s">
        <v>271</v>
      </c>
      <c r="B22" s="165" t="s">
        <v>272</v>
      </c>
      <c r="C22" s="166"/>
      <c r="D22" s="169" t="e">
        <f>D13+D15</f>
        <v>#REF!</v>
      </c>
      <c r="E22" s="86"/>
      <c r="F22" s="8"/>
      <c r="G22" s="8"/>
      <c r="H22" s="8"/>
      <c r="I22" s="8"/>
      <c r="J22" s="8"/>
      <c r="K22" s="8"/>
      <c r="L22" s="8"/>
    </row>
    <row r="23" spans="1:12" s="7" customFormat="1" ht="20.100000000000001" customHeight="1" x14ac:dyDescent="0.2">
      <c r="A23" s="80"/>
      <c r="B23" s="81"/>
      <c r="C23" s="82"/>
      <c r="D23" s="83"/>
      <c r="E23"/>
      <c r="F23" s="8"/>
      <c r="G23" s="8"/>
      <c r="H23" s="8"/>
      <c r="I23" s="8"/>
      <c r="J23" s="8"/>
      <c r="K23" s="8"/>
      <c r="L23" s="8"/>
    </row>
    <row r="24" spans="1:12" s="7" customFormat="1" ht="20.100000000000001" customHeight="1" x14ac:dyDescent="0.25">
      <c r="A24" s="164" t="s">
        <v>273</v>
      </c>
      <c r="B24" s="165" t="s">
        <v>274</v>
      </c>
      <c r="C24" s="168">
        <f>SUM(C25:C27)</f>
        <v>3.6499999999999998E-2</v>
      </c>
      <c r="D24" s="169" t="e">
        <f>ROUND(SUM(D25:D27),2)</f>
        <v>#REF!</v>
      </c>
      <c r="E24" s="86"/>
      <c r="F24" s="8"/>
      <c r="G24" s="8"/>
      <c r="H24" s="8"/>
      <c r="I24" s="8"/>
      <c r="J24" s="8"/>
      <c r="K24" s="8"/>
      <c r="L24" s="8"/>
    </row>
    <row r="25" spans="1:12" s="7" customFormat="1" ht="20.100000000000001" customHeight="1" x14ac:dyDescent="0.2">
      <c r="A25" s="80" t="s">
        <v>275</v>
      </c>
      <c r="B25" s="81" t="s">
        <v>276</v>
      </c>
      <c r="C25" s="87">
        <v>0.03</v>
      </c>
      <c r="D25" s="88" t="e">
        <f>C25*D$33</f>
        <v>#REF!</v>
      </c>
      <c r="E25" s="86"/>
      <c r="F25" s="8"/>
      <c r="G25" s="8"/>
      <c r="H25" s="8"/>
      <c r="I25" s="8"/>
      <c r="J25" s="8"/>
      <c r="K25" s="8"/>
      <c r="L25" s="8"/>
    </row>
    <row r="26" spans="1:12" s="7" customFormat="1" ht="20.100000000000001" customHeight="1" x14ac:dyDescent="0.2">
      <c r="A26" s="80" t="s">
        <v>277</v>
      </c>
      <c r="B26" s="81" t="s">
        <v>278</v>
      </c>
      <c r="C26" s="87">
        <v>6.4999999999999997E-3</v>
      </c>
      <c r="D26" s="88" t="e">
        <f>C26*D$33</f>
        <v>#REF!</v>
      </c>
      <c r="E26" s="86"/>
      <c r="F26" s="8"/>
      <c r="G26" s="8"/>
      <c r="H26" s="8"/>
      <c r="I26" s="8"/>
      <c r="J26" s="8"/>
      <c r="K26" s="8"/>
      <c r="L26" s="8"/>
    </row>
    <row r="27" spans="1:12" s="7" customFormat="1" ht="20.100000000000001" customHeight="1" x14ac:dyDescent="0.2">
      <c r="A27" s="80" t="s">
        <v>279</v>
      </c>
      <c r="B27" s="81" t="s">
        <v>280</v>
      </c>
      <c r="C27" s="87"/>
      <c r="D27" s="88" t="e">
        <f>C27*D$33</f>
        <v>#REF!</v>
      </c>
      <c r="E27" s="86"/>
      <c r="F27" s="8"/>
      <c r="G27" s="8"/>
      <c r="H27" s="8"/>
      <c r="I27" s="8"/>
      <c r="J27" s="8"/>
      <c r="K27" s="8"/>
      <c r="L27" s="8"/>
    </row>
    <row r="28" spans="1:12" s="7" customFormat="1" ht="20.100000000000001" customHeight="1" x14ac:dyDescent="0.2">
      <c r="A28" s="690" t="s">
        <v>281</v>
      </c>
      <c r="B28" s="691"/>
      <c r="C28" s="691"/>
      <c r="D28" s="692"/>
      <c r="E28" s="86"/>
      <c r="F28" s="8"/>
      <c r="G28" s="8"/>
      <c r="H28" s="8"/>
      <c r="I28" s="8"/>
      <c r="J28" s="8"/>
      <c r="K28" s="8"/>
      <c r="L28" s="8"/>
    </row>
    <row r="29" spans="1:12" s="7" customFormat="1" ht="20.100000000000001" customHeight="1" x14ac:dyDescent="0.2">
      <c r="A29" s="90"/>
      <c r="B29" s="91"/>
      <c r="C29" s="91"/>
      <c r="D29" s="92"/>
      <c r="E29" s="86"/>
      <c r="F29" s="8"/>
      <c r="G29" s="8"/>
      <c r="H29" s="8"/>
      <c r="I29" s="8"/>
      <c r="J29" s="8"/>
      <c r="K29" s="8"/>
      <c r="L29" s="8"/>
    </row>
    <row r="30" spans="1:12" s="7" customFormat="1" ht="20.100000000000001" customHeight="1" x14ac:dyDescent="0.25">
      <c r="A30" s="164" t="s">
        <v>282</v>
      </c>
      <c r="B30" s="165" t="s">
        <v>283</v>
      </c>
      <c r="C30" s="168">
        <v>4.8500000000000001E-2</v>
      </c>
      <c r="D30" s="169" t="e">
        <f>C30*D$33</f>
        <v>#REF!</v>
      </c>
      <c r="E30" s="86"/>
      <c r="F30" s="8"/>
      <c r="G30" s="8"/>
      <c r="H30" s="8"/>
      <c r="I30" s="8"/>
      <c r="J30" s="8"/>
      <c r="K30" s="8"/>
      <c r="L30" s="8"/>
    </row>
    <row r="31" spans="1:12" s="7" customFormat="1" ht="20.100000000000001" customHeight="1" x14ac:dyDescent="0.2">
      <c r="A31" s="690" t="s">
        <v>284</v>
      </c>
      <c r="B31" s="691"/>
      <c r="C31" s="691"/>
      <c r="D31" s="692"/>
      <c r="E31"/>
      <c r="F31" s="8"/>
      <c r="G31" s="8"/>
      <c r="H31" s="8"/>
      <c r="I31" s="8"/>
      <c r="J31" s="8"/>
      <c r="K31" s="8"/>
      <c r="L31" s="8"/>
    </row>
    <row r="32" spans="1:12" s="7" customFormat="1" ht="20.100000000000001" customHeight="1" x14ac:dyDescent="0.2">
      <c r="A32" s="90"/>
      <c r="B32" s="91"/>
      <c r="C32" s="91"/>
      <c r="D32" s="92"/>
      <c r="E32"/>
      <c r="F32" s="8"/>
      <c r="G32" s="8"/>
      <c r="H32" s="8"/>
      <c r="I32" s="8"/>
      <c r="J32" s="8"/>
      <c r="K32" s="8"/>
      <c r="L32" s="8"/>
    </row>
    <row r="33" spans="1:12" s="7" customFormat="1" ht="20.100000000000001" customHeight="1" x14ac:dyDescent="0.25">
      <c r="A33" s="164" t="s">
        <v>285</v>
      </c>
      <c r="B33" s="165" t="s">
        <v>286</v>
      </c>
      <c r="C33" s="170"/>
      <c r="D33" s="169" t="e">
        <f>ORÇAMENTO!I415</f>
        <v>#REF!</v>
      </c>
      <c r="E33" s="86"/>
      <c r="F33" s="8"/>
      <c r="G33" s="65"/>
      <c r="H33" s="8"/>
      <c r="I33" s="8"/>
      <c r="J33" s="8"/>
      <c r="K33" s="8"/>
      <c r="L33" s="8"/>
    </row>
    <row r="34" spans="1:12" s="7" customFormat="1" ht="20.100000000000001" customHeight="1" x14ac:dyDescent="0.2">
      <c r="A34" s="80"/>
      <c r="B34" s="81"/>
      <c r="C34" s="82"/>
      <c r="D34" s="83"/>
      <c r="E34"/>
      <c r="F34" s="8"/>
      <c r="G34" s="8"/>
      <c r="H34" s="8"/>
      <c r="I34" s="8"/>
      <c r="J34" s="8"/>
      <c r="K34" s="8"/>
      <c r="L34" s="8"/>
    </row>
    <row r="35" spans="1:12" s="7" customFormat="1" ht="20.100000000000001" customHeight="1" x14ac:dyDescent="0.25">
      <c r="A35" s="164" t="s">
        <v>287</v>
      </c>
      <c r="B35" s="165" t="s">
        <v>288</v>
      </c>
      <c r="C35" s="168">
        <f>ROUND((1+C15)/(1-C24-C30)-1,5)</f>
        <v>0.12</v>
      </c>
      <c r="D35" s="171"/>
      <c r="E35"/>
      <c r="F35" s="8"/>
      <c r="G35" s="8"/>
      <c r="H35" s="8"/>
      <c r="I35" s="8"/>
      <c r="J35" s="8"/>
      <c r="K35" s="8"/>
      <c r="L35" s="8"/>
    </row>
    <row r="36" spans="1:12" s="7" customFormat="1" ht="20.100000000000001" customHeight="1" x14ac:dyDescent="0.2">
      <c r="A36" s="93"/>
      <c r="B36" s="94"/>
      <c r="C36" s="94"/>
      <c r="D36" s="95"/>
      <c r="E36"/>
      <c r="F36" s="8"/>
      <c r="G36" s="8"/>
      <c r="H36" s="8"/>
      <c r="I36" s="8"/>
      <c r="J36" s="8"/>
      <c r="K36" s="8"/>
      <c r="L36" s="8"/>
    </row>
    <row r="37" spans="1:12" s="7" customFormat="1" ht="20.100000000000001" customHeight="1" x14ac:dyDescent="0.25">
      <c r="A37" s="96" t="s">
        <v>289</v>
      </c>
      <c r="B37" s="94"/>
      <c r="C37" s="94"/>
      <c r="D37" s="95"/>
      <c r="E37"/>
      <c r="F37" s="8"/>
      <c r="G37" s="8"/>
      <c r="H37" s="8"/>
      <c r="I37" s="8"/>
      <c r="J37" s="8"/>
      <c r="K37" s="8"/>
      <c r="L37" s="8"/>
    </row>
    <row r="38" spans="1:12" s="7" customFormat="1" ht="20.100000000000001" customHeight="1" x14ac:dyDescent="0.25">
      <c r="A38" s="96" t="s">
        <v>290</v>
      </c>
      <c r="B38" s="94"/>
      <c r="C38" s="94"/>
      <c r="D38" s="95"/>
      <c r="E38"/>
      <c r="F38" s="8"/>
      <c r="G38" s="8"/>
      <c r="H38" s="8"/>
      <c r="I38" s="8"/>
      <c r="J38" s="8"/>
      <c r="K38" s="8"/>
      <c r="L38" s="8"/>
    </row>
    <row r="39" spans="1:12" s="7" customFormat="1" ht="20.100000000000001" customHeight="1" thickBot="1" x14ac:dyDescent="0.25">
      <c r="A39" s="97"/>
      <c r="B39" s="98"/>
      <c r="C39" s="99"/>
      <c r="D39" s="100"/>
      <c r="E39" s="8"/>
      <c r="F39" s="8"/>
      <c r="G39" s="8"/>
      <c r="H39" s="8"/>
      <c r="I39" s="8"/>
      <c r="J39" s="8"/>
      <c r="K39" s="8"/>
      <c r="L39" s="8"/>
    </row>
    <row r="40" spans="1:12" s="7" customFormat="1" x14ac:dyDescent="0.2">
      <c r="E40" s="8"/>
      <c r="F40" s="9"/>
      <c r="G40" s="8"/>
      <c r="H40" s="8"/>
      <c r="I40" s="8"/>
      <c r="J40" s="8"/>
      <c r="K40" s="8"/>
      <c r="L40" s="8"/>
    </row>
    <row r="41" spans="1:12" ht="15.95" customHeight="1" x14ac:dyDescent="0.2">
      <c r="E41" s="5"/>
      <c r="F41" s="5"/>
      <c r="G41" s="5"/>
      <c r="H41" s="5"/>
      <c r="I41" s="5"/>
      <c r="J41" s="5"/>
      <c r="K41" s="5"/>
      <c r="L41" s="5"/>
    </row>
    <row r="42" spans="1:12" ht="15.95" customHeight="1" x14ac:dyDescent="0.2">
      <c r="E42" s="5"/>
      <c r="F42" s="5"/>
      <c r="G42" s="5"/>
      <c r="H42" s="5"/>
      <c r="I42" s="5"/>
      <c r="J42" s="5"/>
      <c r="K42" s="5"/>
      <c r="L42" s="5"/>
    </row>
    <row r="43" spans="1:12" ht="15.95" customHeight="1" x14ac:dyDescent="0.2">
      <c r="E43" s="5"/>
      <c r="F43" s="5"/>
      <c r="G43" s="5"/>
      <c r="H43" s="5"/>
      <c r="I43" s="5"/>
      <c r="J43" s="5"/>
      <c r="K43" s="5"/>
      <c r="L43" s="5"/>
    </row>
    <row r="44" spans="1:12" ht="15.95" customHeight="1" x14ac:dyDescent="0.2">
      <c r="E44" s="5"/>
      <c r="F44" s="5"/>
      <c r="G44" s="5"/>
      <c r="H44" s="5"/>
      <c r="I44" s="5"/>
      <c r="J44" s="5"/>
      <c r="K44" s="5"/>
      <c r="L44" s="5"/>
    </row>
    <row r="45" spans="1:12" ht="15.95" customHeight="1" x14ac:dyDescent="0.2">
      <c r="E45" s="5"/>
      <c r="F45" s="5"/>
      <c r="G45" s="5"/>
      <c r="H45" s="5"/>
      <c r="I45" s="5"/>
      <c r="J45" s="5"/>
      <c r="K45" s="5"/>
      <c r="L45" s="5"/>
    </row>
    <row r="46" spans="1:12" ht="15.95" customHeight="1" x14ac:dyDescent="0.2">
      <c r="E46" s="5"/>
      <c r="F46" s="5"/>
      <c r="G46" s="5"/>
      <c r="H46" s="5"/>
      <c r="I46" s="5"/>
      <c r="J46" s="5"/>
      <c r="K46" s="5"/>
      <c r="L46" s="5"/>
    </row>
    <row r="47" spans="1:12" ht="15.95" customHeight="1" x14ac:dyDescent="0.2">
      <c r="E47" s="5"/>
      <c r="F47" s="5"/>
      <c r="G47" s="5"/>
      <c r="H47" s="5"/>
      <c r="I47" s="5"/>
      <c r="J47" s="5"/>
      <c r="K47" s="5"/>
      <c r="L47" s="5"/>
    </row>
    <row r="48" spans="1:12" ht="15.95" customHeight="1" x14ac:dyDescent="0.2">
      <c r="A48" s="1"/>
      <c r="B48" s="1"/>
      <c r="C48" s="1"/>
      <c r="D48" s="1"/>
      <c r="E48" s="5"/>
      <c r="F48" s="5"/>
      <c r="G48" s="5"/>
      <c r="H48" s="5"/>
      <c r="I48" s="5"/>
      <c r="J48" s="5"/>
      <c r="K48" s="5"/>
      <c r="L48" s="5"/>
    </row>
    <row r="49" spans="1:12" ht="15.95" customHeight="1" x14ac:dyDescent="0.2">
      <c r="A49" s="1"/>
      <c r="B49" s="1"/>
      <c r="C49" s="1"/>
      <c r="D49" s="1"/>
      <c r="E49" s="5"/>
      <c r="F49" s="5"/>
      <c r="G49" s="5"/>
      <c r="H49" s="5"/>
      <c r="I49" s="5"/>
      <c r="J49" s="5"/>
      <c r="K49" s="5"/>
      <c r="L49" s="5"/>
    </row>
    <row r="50" spans="1:12" ht="15.95" customHeight="1" x14ac:dyDescent="0.2">
      <c r="A50" s="1"/>
      <c r="B50" s="1"/>
      <c r="C50" s="1"/>
      <c r="D50" s="1"/>
      <c r="E50" s="5"/>
      <c r="F50" s="5"/>
      <c r="G50" s="5"/>
      <c r="H50" s="5"/>
      <c r="I50" s="5"/>
      <c r="J50" s="5"/>
      <c r="K50" s="5"/>
      <c r="L50" s="5"/>
    </row>
    <row r="51" spans="1:12" ht="15.95" customHeight="1" x14ac:dyDescent="0.2">
      <c r="A51" s="1"/>
      <c r="B51" s="1"/>
      <c r="C51" s="1"/>
      <c r="D51" s="1"/>
      <c r="E51" s="5"/>
      <c r="F51" s="5"/>
      <c r="G51" s="5"/>
      <c r="H51" s="5"/>
      <c r="I51" s="5"/>
      <c r="J51" s="5"/>
      <c r="K51" s="5"/>
      <c r="L51" s="5"/>
    </row>
    <row r="52" spans="1:12" ht="15.95" customHeight="1" x14ac:dyDescent="0.2">
      <c r="A52" s="1"/>
      <c r="B52" s="1"/>
      <c r="C52" s="1"/>
      <c r="D52" s="1"/>
      <c r="E52" s="5"/>
      <c r="F52" s="5"/>
      <c r="G52" s="5"/>
      <c r="H52" s="5"/>
      <c r="I52" s="5"/>
      <c r="J52" s="5"/>
      <c r="K52" s="5"/>
      <c r="L52" s="5"/>
    </row>
    <row r="53" spans="1:12" ht="15.95" customHeight="1" x14ac:dyDescent="0.2">
      <c r="A53" s="1"/>
      <c r="B53" s="1"/>
      <c r="C53" s="1"/>
      <c r="D53" s="1"/>
      <c r="E53" s="5"/>
      <c r="F53" s="5"/>
      <c r="G53" s="5"/>
      <c r="H53" s="5"/>
      <c r="I53" s="5"/>
      <c r="J53" s="5"/>
      <c r="K53" s="5"/>
      <c r="L53" s="5"/>
    </row>
    <row r="54" spans="1:12" ht="15.95" customHeight="1" x14ac:dyDescent="0.2">
      <c r="A54" s="1"/>
      <c r="B54" s="1"/>
      <c r="C54" s="1"/>
      <c r="D54" s="1"/>
      <c r="E54" s="5"/>
      <c r="F54" s="5"/>
      <c r="G54" s="5"/>
      <c r="H54" s="5"/>
      <c r="I54" s="5"/>
      <c r="J54" s="5"/>
      <c r="K54" s="5"/>
      <c r="L54" s="5"/>
    </row>
    <row r="55" spans="1:12" ht="15.95" customHeight="1" x14ac:dyDescent="0.2">
      <c r="A55" s="1"/>
      <c r="B55" s="1"/>
      <c r="C55" s="1"/>
      <c r="D55" s="1"/>
      <c r="E55" s="5"/>
      <c r="F55" s="5"/>
      <c r="G55" s="5"/>
      <c r="H55" s="5"/>
      <c r="I55" s="5"/>
      <c r="J55" s="5"/>
      <c r="K55" s="5"/>
      <c r="L55" s="5"/>
    </row>
    <row r="56" spans="1:12" ht="15.95" customHeight="1" x14ac:dyDescent="0.2">
      <c r="A56" s="1"/>
      <c r="B56" s="1"/>
      <c r="C56" s="1"/>
      <c r="D56" s="1"/>
      <c r="E56" s="5"/>
      <c r="F56" s="5"/>
      <c r="G56" s="5"/>
      <c r="H56" s="5"/>
      <c r="I56" s="5"/>
      <c r="J56" s="5"/>
      <c r="K56" s="5"/>
      <c r="L56" s="5"/>
    </row>
    <row r="57" spans="1:12" ht="15.95" customHeight="1" x14ac:dyDescent="0.2">
      <c r="A57" s="1"/>
      <c r="B57" s="1"/>
      <c r="C57" s="1"/>
      <c r="D57" s="1"/>
      <c r="E57" s="5"/>
      <c r="F57" s="5"/>
      <c r="G57" s="5"/>
      <c r="H57" s="5"/>
      <c r="I57" s="5"/>
      <c r="J57" s="5"/>
      <c r="K57" s="5"/>
      <c r="L57" s="5"/>
    </row>
    <row r="58" spans="1:12" ht="15.95" customHeight="1" x14ac:dyDescent="0.2">
      <c r="A58" s="1"/>
      <c r="B58" s="1"/>
      <c r="C58" s="1"/>
      <c r="D58" s="1"/>
      <c r="E58" s="5"/>
      <c r="F58" s="5"/>
      <c r="G58" s="5"/>
      <c r="H58" s="5"/>
      <c r="I58" s="5"/>
      <c r="J58" s="5"/>
      <c r="K58" s="5"/>
      <c r="L58" s="5"/>
    </row>
    <row r="59" spans="1:12" ht="15.95" customHeight="1" x14ac:dyDescent="0.2">
      <c r="A59" s="1"/>
      <c r="B59" s="1"/>
      <c r="C59" s="1"/>
      <c r="D59" s="1"/>
      <c r="E59" s="5"/>
      <c r="F59" s="5"/>
      <c r="G59" s="5"/>
      <c r="H59" s="5"/>
      <c r="I59" s="5"/>
      <c r="J59" s="5"/>
      <c r="K59" s="5"/>
      <c r="L59" s="5"/>
    </row>
    <row r="60" spans="1:12" ht="15.95" customHeight="1" x14ac:dyDescent="0.2">
      <c r="A60" s="1"/>
      <c r="B60" s="1"/>
      <c r="C60" s="1"/>
      <c r="D60" s="1"/>
      <c r="E60" s="5"/>
      <c r="F60" s="5"/>
      <c r="G60" s="5"/>
      <c r="H60" s="5"/>
      <c r="I60" s="5"/>
      <c r="J60" s="5"/>
      <c r="K60" s="5"/>
      <c r="L60" s="5"/>
    </row>
    <row r="61" spans="1:12" ht="15.95" customHeight="1" x14ac:dyDescent="0.2">
      <c r="A61" s="1"/>
      <c r="B61" s="1"/>
      <c r="C61" s="1"/>
      <c r="D61" s="1"/>
      <c r="E61" s="5"/>
      <c r="F61" s="5"/>
      <c r="G61" s="5"/>
      <c r="H61" s="5"/>
      <c r="I61" s="5"/>
      <c r="J61" s="5"/>
      <c r="K61" s="5"/>
      <c r="L61" s="5"/>
    </row>
    <row r="62" spans="1:12" ht="15.95" customHeight="1" x14ac:dyDescent="0.2">
      <c r="A62" s="1"/>
      <c r="B62" s="1"/>
      <c r="C62" s="1"/>
      <c r="D62" s="1"/>
      <c r="E62" s="5"/>
      <c r="F62" s="5"/>
      <c r="G62" s="5"/>
      <c r="H62" s="5"/>
      <c r="I62" s="5"/>
      <c r="J62" s="5"/>
      <c r="K62" s="5"/>
      <c r="L62" s="5"/>
    </row>
    <row r="63" spans="1:12" ht="15.95" customHeight="1" x14ac:dyDescent="0.2">
      <c r="A63" s="1"/>
      <c r="B63" s="1"/>
      <c r="C63" s="1"/>
      <c r="D63" s="1"/>
      <c r="E63" s="5"/>
      <c r="F63" s="5"/>
      <c r="G63" s="5"/>
      <c r="H63" s="5"/>
      <c r="I63" s="5"/>
      <c r="J63" s="5"/>
      <c r="K63" s="5"/>
      <c r="L63" s="5"/>
    </row>
    <row r="64" spans="1:12" ht="15.95" customHeight="1" x14ac:dyDescent="0.2">
      <c r="A64" s="1"/>
      <c r="B64" s="1"/>
      <c r="C64" s="1"/>
      <c r="D64" s="1"/>
      <c r="E64" s="5"/>
      <c r="F64" s="5"/>
      <c r="G64" s="5"/>
      <c r="H64" s="5"/>
      <c r="I64" s="5"/>
      <c r="J64" s="5"/>
      <c r="K64" s="5"/>
      <c r="L64" s="5"/>
    </row>
    <row r="65" spans="1:12" ht="15.95" customHeight="1" x14ac:dyDescent="0.2">
      <c r="A65" s="1"/>
      <c r="B65" s="1"/>
      <c r="C65" s="1"/>
      <c r="D65" s="1"/>
      <c r="E65" s="5"/>
      <c r="F65" s="5"/>
      <c r="G65" s="5"/>
      <c r="H65" s="5"/>
      <c r="I65" s="5"/>
      <c r="J65" s="5"/>
      <c r="K65" s="5"/>
      <c r="L65" s="5"/>
    </row>
    <row r="66" spans="1:12" ht="15.95" customHeight="1" x14ac:dyDescent="0.2">
      <c r="A66" s="1"/>
      <c r="B66" s="1"/>
      <c r="C66" s="1"/>
      <c r="D66" s="1"/>
      <c r="E66" s="5"/>
      <c r="F66" s="5"/>
      <c r="G66" s="5"/>
      <c r="H66" s="5"/>
      <c r="I66" s="5"/>
      <c r="J66" s="5"/>
      <c r="K66" s="5"/>
      <c r="L66" s="5"/>
    </row>
    <row r="67" spans="1:12" ht="15.95" customHeight="1" x14ac:dyDescent="0.2">
      <c r="A67" s="1"/>
      <c r="B67" s="1"/>
      <c r="C67" s="1"/>
      <c r="D67" s="1"/>
      <c r="E67" s="5"/>
      <c r="F67" s="5"/>
      <c r="G67" s="5"/>
      <c r="H67" s="5"/>
      <c r="I67" s="5"/>
      <c r="J67" s="5"/>
      <c r="K67" s="5"/>
      <c r="L67" s="5"/>
    </row>
    <row r="68" spans="1:12" ht="15.95" customHeight="1" x14ac:dyDescent="0.2">
      <c r="A68" s="1"/>
      <c r="B68" s="1"/>
      <c r="C68" s="1"/>
      <c r="D68" s="1"/>
      <c r="E68" s="5"/>
      <c r="F68" s="5"/>
      <c r="G68" s="5"/>
      <c r="H68" s="5"/>
      <c r="I68" s="5"/>
      <c r="J68" s="5"/>
      <c r="K68" s="5"/>
      <c r="L68" s="5"/>
    </row>
    <row r="69" spans="1:12" ht="15.95" customHeight="1" x14ac:dyDescent="0.2">
      <c r="A69" s="1"/>
      <c r="B69" s="1"/>
      <c r="C69" s="1"/>
      <c r="D69" s="1"/>
      <c r="E69" s="5"/>
      <c r="F69" s="5"/>
      <c r="G69" s="5"/>
      <c r="H69" s="5"/>
      <c r="I69" s="5"/>
      <c r="J69" s="5"/>
      <c r="K69" s="5"/>
      <c r="L69" s="5"/>
    </row>
    <row r="70" spans="1:12" ht="15.95" customHeight="1" x14ac:dyDescent="0.2">
      <c r="A70" s="1"/>
      <c r="B70" s="1"/>
      <c r="C70" s="1"/>
      <c r="D70" s="1"/>
      <c r="E70" s="5"/>
      <c r="F70" s="5"/>
      <c r="G70" s="5"/>
      <c r="H70" s="5"/>
      <c r="I70" s="5"/>
      <c r="J70" s="5"/>
      <c r="K70" s="5"/>
      <c r="L70" s="5"/>
    </row>
    <row r="71" spans="1:12" ht="15.95" customHeight="1" x14ac:dyDescent="0.2">
      <c r="A71" s="1"/>
      <c r="B71" s="1"/>
      <c r="C71" s="1"/>
      <c r="D71" s="1"/>
      <c r="E71" s="5"/>
      <c r="F71" s="5"/>
      <c r="G71" s="5"/>
      <c r="H71" s="5"/>
      <c r="I71" s="5"/>
      <c r="J71" s="5"/>
      <c r="K71" s="5"/>
      <c r="L71" s="5"/>
    </row>
    <row r="72" spans="1:12" ht="15.95" customHeight="1" x14ac:dyDescent="0.2">
      <c r="A72" s="1"/>
      <c r="B72" s="1"/>
      <c r="C72" s="1"/>
      <c r="D72" s="1"/>
      <c r="E72" s="5"/>
      <c r="F72" s="5"/>
      <c r="G72" s="5"/>
      <c r="H72" s="5"/>
      <c r="I72" s="5"/>
      <c r="J72" s="5"/>
      <c r="K72" s="5"/>
      <c r="L72" s="5"/>
    </row>
    <row r="73" spans="1:12" ht="15.95" customHeight="1" x14ac:dyDescent="0.2">
      <c r="A73" s="1"/>
      <c r="B73" s="1"/>
      <c r="C73" s="1"/>
      <c r="D73" s="1"/>
      <c r="E73" s="5"/>
      <c r="F73" s="5"/>
      <c r="G73" s="5"/>
      <c r="H73" s="5"/>
      <c r="I73" s="5"/>
      <c r="J73" s="5"/>
      <c r="K73" s="5"/>
      <c r="L73" s="5"/>
    </row>
    <row r="74" spans="1:12" ht="15.95" customHeight="1" x14ac:dyDescent="0.2">
      <c r="A74" s="1"/>
      <c r="B74" s="1"/>
      <c r="C74" s="1"/>
      <c r="D74" s="1"/>
      <c r="E74" s="5"/>
      <c r="F74" s="5"/>
      <c r="G74" s="5"/>
      <c r="H74" s="5"/>
      <c r="I74" s="5"/>
      <c r="J74" s="5"/>
      <c r="K74" s="5"/>
      <c r="L74" s="5"/>
    </row>
    <row r="75" spans="1:12" ht="15.95" customHeight="1" x14ac:dyDescent="0.2">
      <c r="A75" s="1"/>
      <c r="B75" s="1"/>
      <c r="C75" s="1"/>
      <c r="D75" s="1"/>
      <c r="E75" s="5"/>
      <c r="F75" s="5"/>
      <c r="G75" s="5"/>
      <c r="H75" s="5"/>
      <c r="I75" s="5"/>
      <c r="J75" s="5"/>
      <c r="K75" s="5"/>
      <c r="L75" s="5"/>
    </row>
    <row r="76" spans="1:12" ht="15.95" customHeight="1" x14ac:dyDescent="0.2">
      <c r="A76" s="1"/>
      <c r="B76" s="1"/>
      <c r="C76" s="1"/>
      <c r="D76" s="1"/>
      <c r="E76" s="5"/>
      <c r="F76" s="5"/>
      <c r="G76" s="5"/>
      <c r="H76" s="5"/>
      <c r="I76" s="5"/>
      <c r="J76" s="5"/>
      <c r="K76" s="5"/>
      <c r="L76" s="5"/>
    </row>
    <row r="77" spans="1:12" ht="15.95" customHeight="1" x14ac:dyDescent="0.2">
      <c r="A77" s="1"/>
      <c r="B77" s="1"/>
      <c r="C77" s="1"/>
      <c r="D77" s="1"/>
      <c r="E77" s="5"/>
      <c r="F77" s="5"/>
      <c r="G77" s="5"/>
      <c r="H77" s="5"/>
      <c r="I77" s="5"/>
      <c r="J77" s="5"/>
      <c r="K77" s="5"/>
      <c r="L77" s="5"/>
    </row>
    <row r="78" spans="1:12" ht="15.95" customHeight="1" x14ac:dyDescent="0.2">
      <c r="A78" s="1"/>
      <c r="B78" s="1"/>
      <c r="C78" s="1"/>
      <c r="D78" s="1"/>
      <c r="E78" s="5"/>
      <c r="F78" s="5"/>
      <c r="G78" s="5"/>
      <c r="H78" s="5"/>
      <c r="I78" s="5"/>
      <c r="J78" s="5"/>
      <c r="K78" s="5"/>
      <c r="L78" s="5"/>
    </row>
    <row r="79" spans="1:12" ht="15.95" customHeight="1" x14ac:dyDescent="0.2">
      <c r="A79" s="1"/>
      <c r="B79" s="1"/>
      <c r="C79" s="1"/>
      <c r="D79" s="1"/>
      <c r="E79" s="5"/>
      <c r="F79" s="5"/>
      <c r="G79" s="5"/>
      <c r="H79" s="5"/>
      <c r="I79" s="5"/>
      <c r="J79" s="5"/>
      <c r="K79" s="5"/>
      <c r="L79" s="5"/>
    </row>
    <row r="80" spans="1:12" ht="15.95" customHeight="1" x14ac:dyDescent="0.2">
      <c r="A80" s="1"/>
      <c r="B80" s="1"/>
      <c r="C80" s="1"/>
      <c r="D80" s="1"/>
      <c r="E80" s="5"/>
      <c r="F80" s="5"/>
      <c r="G80" s="5"/>
      <c r="H80" s="5"/>
      <c r="I80" s="5"/>
      <c r="J80" s="5"/>
      <c r="K80" s="5"/>
      <c r="L80" s="5"/>
    </row>
    <row r="81" spans="1:12" ht="15.95" customHeight="1" x14ac:dyDescent="0.2">
      <c r="A81" s="1"/>
      <c r="B81" s="1"/>
      <c r="C81" s="1"/>
      <c r="D81" s="1"/>
      <c r="E81" s="5"/>
      <c r="F81" s="5"/>
      <c r="G81" s="5"/>
      <c r="H81" s="5"/>
      <c r="I81" s="5"/>
      <c r="J81" s="5"/>
      <c r="K81" s="5"/>
      <c r="L81" s="5"/>
    </row>
    <row r="82" spans="1:12" ht="15.95" customHeight="1" x14ac:dyDescent="0.2">
      <c r="A82" s="1"/>
      <c r="B82" s="1"/>
      <c r="C82" s="1"/>
      <c r="D82" s="1"/>
      <c r="E82" s="5"/>
      <c r="F82" s="5"/>
      <c r="G82" s="5"/>
      <c r="H82" s="5"/>
      <c r="I82" s="5"/>
      <c r="J82" s="5"/>
      <c r="K82" s="5"/>
      <c r="L82" s="5"/>
    </row>
    <row r="83" spans="1:12" ht="15.95" customHeight="1" x14ac:dyDescent="0.2">
      <c r="A83" s="1"/>
      <c r="B83" s="1"/>
      <c r="C83" s="1"/>
      <c r="D83" s="1"/>
      <c r="E83" s="5"/>
      <c r="F83" s="5"/>
      <c r="G83" s="5"/>
      <c r="H83" s="5"/>
      <c r="I83" s="5"/>
      <c r="J83" s="5"/>
      <c r="K83" s="5"/>
      <c r="L83" s="5"/>
    </row>
    <row r="84" spans="1:12" ht="15.95" customHeight="1" x14ac:dyDescent="0.2">
      <c r="A84" s="1"/>
      <c r="B84" s="1"/>
      <c r="C84" s="1"/>
      <c r="D84" s="1"/>
      <c r="E84" s="5"/>
      <c r="F84" s="5"/>
      <c r="G84" s="5"/>
      <c r="H84" s="5"/>
      <c r="I84" s="5"/>
      <c r="J84" s="5"/>
      <c r="K84" s="5"/>
      <c r="L84" s="5"/>
    </row>
    <row r="85" spans="1:12" ht="15.95" customHeight="1" x14ac:dyDescent="0.2">
      <c r="A85" s="1"/>
      <c r="B85" s="1"/>
      <c r="C85" s="1"/>
      <c r="D85" s="1"/>
      <c r="E85" s="5"/>
      <c r="F85" s="5"/>
      <c r="G85" s="5"/>
      <c r="H85" s="5"/>
      <c r="I85" s="5"/>
      <c r="J85" s="5"/>
      <c r="K85" s="5"/>
      <c r="L85" s="5"/>
    </row>
    <row r="86" spans="1:12" ht="15.95" customHeight="1" x14ac:dyDescent="0.2">
      <c r="A86" s="1"/>
      <c r="B86" s="1"/>
      <c r="C86" s="1"/>
      <c r="D86" s="1"/>
      <c r="E86" s="5"/>
      <c r="F86" s="5"/>
      <c r="G86" s="5"/>
      <c r="H86" s="5"/>
      <c r="I86" s="5"/>
      <c r="J86" s="5"/>
      <c r="K86" s="5"/>
      <c r="L86" s="5"/>
    </row>
    <row r="87" spans="1:12" ht="15.95" customHeight="1" x14ac:dyDescent="0.2">
      <c r="A87" s="1"/>
      <c r="B87" s="1"/>
      <c r="C87" s="1"/>
      <c r="D87" s="1"/>
      <c r="E87" s="5"/>
      <c r="F87" s="5"/>
      <c r="G87" s="5"/>
      <c r="H87" s="5"/>
      <c r="I87" s="5"/>
      <c r="J87" s="5"/>
      <c r="K87" s="5"/>
      <c r="L87" s="5"/>
    </row>
    <row r="88" spans="1:12" ht="15.95" customHeight="1" x14ac:dyDescent="0.2">
      <c r="A88" s="1"/>
      <c r="B88" s="1"/>
      <c r="C88" s="1"/>
      <c r="D88" s="1"/>
      <c r="E88" s="5"/>
      <c r="F88" s="5"/>
      <c r="G88" s="5"/>
      <c r="H88" s="5"/>
      <c r="I88" s="5"/>
      <c r="J88" s="5"/>
      <c r="K88" s="5"/>
      <c r="L88" s="5"/>
    </row>
    <row r="89" spans="1:12" ht="15.95" customHeight="1" x14ac:dyDescent="0.2">
      <c r="A89" s="1"/>
      <c r="B89" s="1"/>
      <c r="C89" s="1"/>
      <c r="D89" s="1"/>
      <c r="E89" s="5"/>
      <c r="F89" s="5"/>
      <c r="G89" s="5"/>
      <c r="H89" s="5"/>
      <c r="I89" s="5"/>
      <c r="J89" s="5"/>
      <c r="K89" s="5"/>
      <c r="L89" s="5"/>
    </row>
    <row r="90" spans="1:12" ht="15.95" customHeight="1" x14ac:dyDescent="0.2">
      <c r="A90" s="1"/>
      <c r="B90" s="1"/>
      <c r="C90" s="1"/>
      <c r="D90" s="1"/>
      <c r="E90" s="5"/>
      <c r="F90" s="5"/>
      <c r="G90" s="5"/>
      <c r="H90" s="5"/>
      <c r="I90" s="5"/>
      <c r="J90" s="5"/>
      <c r="K90" s="5"/>
      <c r="L90" s="5"/>
    </row>
    <row r="91" spans="1:12" ht="15.95" customHeight="1" x14ac:dyDescent="0.2">
      <c r="A91" s="1"/>
      <c r="B91" s="1"/>
      <c r="C91" s="1"/>
      <c r="D91" s="1"/>
      <c r="E91" s="5"/>
      <c r="F91" s="5"/>
      <c r="G91" s="5"/>
      <c r="H91" s="5"/>
      <c r="I91" s="5"/>
      <c r="J91" s="5"/>
      <c r="K91" s="5"/>
      <c r="L91" s="5"/>
    </row>
    <row r="92" spans="1:12" ht="15.95" customHeight="1" x14ac:dyDescent="0.2">
      <c r="A92" s="1"/>
      <c r="B92" s="1"/>
      <c r="C92" s="1"/>
      <c r="D92" s="1"/>
      <c r="E92" s="5"/>
      <c r="F92" s="5"/>
      <c r="G92" s="5"/>
      <c r="H92" s="5"/>
      <c r="I92" s="5"/>
      <c r="J92" s="5"/>
      <c r="K92" s="5"/>
      <c r="L92" s="5"/>
    </row>
    <row r="93" spans="1:12" ht="15.95" customHeight="1" x14ac:dyDescent="0.2">
      <c r="A93" s="1"/>
      <c r="B93" s="1"/>
      <c r="C93" s="1"/>
      <c r="D93" s="1"/>
      <c r="E93" s="5"/>
      <c r="F93" s="5"/>
      <c r="G93" s="5"/>
      <c r="H93" s="5"/>
      <c r="I93" s="5"/>
      <c r="J93" s="5"/>
      <c r="K93" s="5"/>
      <c r="L93" s="5"/>
    </row>
    <row r="94" spans="1:12" ht="15.95" customHeight="1" x14ac:dyDescent="0.2">
      <c r="A94" s="1"/>
      <c r="B94" s="1"/>
      <c r="C94" s="1"/>
      <c r="D94" s="1"/>
      <c r="E94" s="5"/>
      <c r="F94" s="5"/>
      <c r="G94" s="5"/>
      <c r="H94" s="5"/>
      <c r="I94" s="5"/>
      <c r="J94" s="5"/>
      <c r="K94" s="5"/>
      <c r="L94" s="5"/>
    </row>
    <row r="95" spans="1:12" ht="15.95" customHeight="1" x14ac:dyDescent="0.2">
      <c r="A95" s="1"/>
      <c r="B95" s="1"/>
      <c r="C95" s="1"/>
      <c r="D95" s="1"/>
      <c r="E95" s="5"/>
      <c r="F95" s="5"/>
      <c r="G95" s="5"/>
      <c r="H95" s="5"/>
      <c r="I95" s="5"/>
      <c r="J95" s="5"/>
      <c r="K95" s="5"/>
      <c r="L95" s="5"/>
    </row>
    <row r="96" spans="1:12" ht="15.95" customHeight="1" x14ac:dyDescent="0.2">
      <c r="A96" s="1"/>
      <c r="B96" s="1"/>
      <c r="C96" s="1"/>
      <c r="D96" s="1"/>
      <c r="E96" s="5"/>
      <c r="F96" s="5"/>
      <c r="G96" s="5"/>
      <c r="H96" s="5"/>
      <c r="I96" s="5"/>
      <c r="J96" s="5"/>
      <c r="K96" s="5"/>
      <c r="L96" s="5"/>
    </row>
    <row r="97" spans="1:12" ht="15.95" customHeight="1" x14ac:dyDescent="0.2">
      <c r="A97" s="1"/>
      <c r="B97" s="1"/>
      <c r="C97" s="1"/>
      <c r="D97" s="1"/>
      <c r="E97" s="5"/>
      <c r="F97" s="5"/>
      <c r="G97" s="5"/>
      <c r="H97" s="5"/>
      <c r="I97" s="5"/>
      <c r="J97" s="5"/>
      <c r="K97" s="5"/>
      <c r="L97" s="5"/>
    </row>
    <row r="98" spans="1:12" ht="15.95" customHeight="1" x14ac:dyDescent="0.2">
      <c r="A98" s="1"/>
      <c r="B98" s="1"/>
      <c r="C98" s="1"/>
      <c r="D98" s="1"/>
      <c r="E98" s="5"/>
      <c r="F98" s="5"/>
      <c r="G98" s="5"/>
      <c r="H98" s="5"/>
      <c r="I98" s="5"/>
      <c r="J98" s="5"/>
      <c r="K98" s="5"/>
      <c r="L98" s="5"/>
    </row>
    <row r="99" spans="1:12" ht="15.95" customHeight="1" x14ac:dyDescent="0.2">
      <c r="A99" s="1"/>
      <c r="B99" s="1"/>
      <c r="C99" s="1"/>
      <c r="D99" s="1"/>
      <c r="E99" s="5"/>
      <c r="F99" s="5"/>
      <c r="G99" s="5"/>
      <c r="H99" s="5"/>
      <c r="I99" s="5"/>
      <c r="J99" s="5"/>
      <c r="K99" s="5"/>
      <c r="L99" s="5"/>
    </row>
    <row r="100" spans="1:12" ht="15.95" customHeight="1" x14ac:dyDescent="0.2">
      <c r="A100" s="1"/>
      <c r="B100" s="1"/>
      <c r="C100" s="1"/>
      <c r="D100" s="1"/>
      <c r="E100" s="5"/>
      <c r="F100" s="5"/>
      <c r="G100" s="5"/>
      <c r="H100" s="5"/>
      <c r="I100" s="5"/>
      <c r="J100" s="5"/>
      <c r="K100" s="5"/>
      <c r="L100" s="5"/>
    </row>
    <row r="101" spans="1:12" ht="15.95" customHeight="1" x14ac:dyDescent="0.2">
      <c r="A101" s="1"/>
      <c r="B101" s="1"/>
      <c r="C101" s="1"/>
      <c r="D101" s="1"/>
      <c r="E101" s="5"/>
      <c r="F101" s="5"/>
      <c r="G101" s="5"/>
      <c r="H101" s="5"/>
      <c r="I101" s="5"/>
      <c r="J101" s="5"/>
      <c r="K101" s="5"/>
      <c r="L101" s="5"/>
    </row>
    <row r="102" spans="1:12" ht="15.95" customHeight="1" x14ac:dyDescent="0.2">
      <c r="A102" s="1"/>
      <c r="B102" s="1"/>
      <c r="C102" s="1"/>
      <c r="D102" s="1"/>
      <c r="E102" s="5"/>
      <c r="F102" s="5"/>
      <c r="G102" s="5"/>
      <c r="H102" s="5"/>
      <c r="I102" s="5"/>
      <c r="J102" s="5"/>
      <c r="K102" s="5"/>
      <c r="L102" s="5"/>
    </row>
    <row r="103" spans="1:12" ht="15.95" customHeight="1" x14ac:dyDescent="0.2">
      <c r="A103" s="1"/>
      <c r="B103" s="1"/>
      <c r="C103" s="1"/>
      <c r="D103" s="1"/>
      <c r="E103" s="5"/>
      <c r="F103" s="5"/>
      <c r="G103" s="5"/>
      <c r="H103" s="5"/>
      <c r="I103" s="5"/>
      <c r="J103" s="5"/>
      <c r="K103" s="5"/>
      <c r="L103" s="5"/>
    </row>
    <row r="104" spans="1:12" ht="15.95" customHeight="1" x14ac:dyDescent="0.2">
      <c r="A104" s="1"/>
      <c r="B104" s="1"/>
      <c r="C104" s="1"/>
      <c r="D104" s="1"/>
      <c r="E104" s="5"/>
      <c r="F104" s="5"/>
      <c r="G104" s="5"/>
      <c r="H104" s="5"/>
      <c r="I104" s="5"/>
      <c r="J104" s="5"/>
      <c r="K104" s="5"/>
      <c r="L104" s="5"/>
    </row>
    <row r="105" spans="1:12" ht="15.95" customHeight="1" x14ac:dyDescent="0.2">
      <c r="A105" s="1"/>
      <c r="B105" s="1"/>
      <c r="C105" s="1"/>
      <c r="D105" s="1"/>
      <c r="E105" s="5"/>
      <c r="F105" s="5"/>
      <c r="G105" s="5"/>
      <c r="H105" s="5"/>
      <c r="I105" s="5"/>
      <c r="J105" s="5"/>
      <c r="K105" s="5"/>
      <c r="L105" s="5"/>
    </row>
    <row r="106" spans="1:12" ht="15.95" customHeight="1" x14ac:dyDescent="0.2">
      <c r="A106" s="1"/>
      <c r="B106" s="1"/>
      <c r="C106" s="1"/>
      <c r="D106" s="1"/>
      <c r="E106" s="5"/>
      <c r="F106" s="5"/>
      <c r="G106" s="5"/>
      <c r="H106" s="5"/>
      <c r="I106" s="5"/>
      <c r="J106" s="5"/>
      <c r="K106" s="5"/>
      <c r="L106" s="5"/>
    </row>
    <row r="107" spans="1:12" ht="15.95" customHeight="1" x14ac:dyDescent="0.2">
      <c r="A107" s="1"/>
      <c r="B107" s="1"/>
      <c r="C107" s="1"/>
      <c r="D107" s="1"/>
      <c r="E107" s="5"/>
      <c r="F107" s="5"/>
      <c r="G107" s="5"/>
      <c r="H107" s="5"/>
      <c r="I107" s="5"/>
      <c r="J107" s="5"/>
      <c r="K107" s="5"/>
      <c r="L107" s="5"/>
    </row>
    <row r="108" spans="1:12" ht="15.95" customHeight="1" x14ac:dyDescent="0.2">
      <c r="A108" s="1"/>
      <c r="B108" s="1"/>
      <c r="C108" s="1"/>
      <c r="D108" s="1"/>
      <c r="E108" s="5"/>
      <c r="F108" s="5"/>
      <c r="G108" s="5"/>
      <c r="H108" s="5"/>
      <c r="I108" s="5"/>
      <c r="J108" s="5"/>
      <c r="K108" s="5"/>
      <c r="L108" s="5"/>
    </row>
    <row r="109" spans="1:12" ht="15.95" customHeight="1" x14ac:dyDescent="0.2">
      <c r="A109" s="1"/>
      <c r="B109" s="1"/>
      <c r="C109" s="1"/>
      <c r="D109" s="1"/>
      <c r="E109" s="5"/>
      <c r="F109" s="5"/>
      <c r="G109" s="5"/>
      <c r="H109" s="5"/>
      <c r="I109" s="5"/>
      <c r="J109" s="5"/>
      <c r="K109" s="5"/>
      <c r="L109" s="5"/>
    </row>
    <row r="110" spans="1:12" ht="15.95" customHeight="1" x14ac:dyDescent="0.2">
      <c r="A110" s="1"/>
      <c r="B110" s="1"/>
      <c r="C110" s="1"/>
      <c r="D110" s="1"/>
      <c r="E110" s="5"/>
      <c r="F110" s="5"/>
      <c r="G110" s="5"/>
      <c r="H110" s="5"/>
      <c r="I110" s="5"/>
      <c r="J110" s="5"/>
      <c r="K110" s="5"/>
      <c r="L110" s="5"/>
    </row>
    <row r="111" spans="1:12" ht="15.95" customHeight="1" x14ac:dyDescent="0.2">
      <c r="A111" s="1"/>
      <c r="B111" s="1"/>
      <c r="C111" s="1"/>
      <c r="D111" s="1"/>
      <c r="E111" s="5"/>
      <c r="F111" s="5"/>
      <c r="G111" s="5"/>
      <c r="H111" s="5"/>
      <c r="I111" s="5"/>
      <c r="J111" s="5"/>
      <c r="K111" s="5"/>
      <c r="L111" s="5"/>
    </row>
    <row r="112" spans="1:12" ht="15.95" customHeight="1" x14ac:dyDescent="0.2">
      <c r="A112" s="1"/>
      <c r="B112" s="1"/>
      <c r="C112" s="1"/>
      <c r="D112" s="1"/>
      <c r="E112" s="5"/>
      <c r="F112" s="5"/>
      <c r="G112" s="5"/>
      <c r="H112" s="5"/>
      <c r="I112" s="5"/>
      <c r="J112" s="5"/>
      <c r="K112" s="5"/>
      <c r="L112" s="5"/>
    </row>
    <row r="113" spans="1:12" ht="15.95" customHeight="1" x14ac:dyDescent="0.2">
      <c r="A113" s="1"/>
      <c r="B113" s="1"/>
      <c r="C113" s="1"/>
      <c r="D113" s="1"/>
      <c r="E113" s="5"/>
      <c r="F113" s="5"/>
      <c r="G113" s="5"/>
      <c r="H113" s="5"/>
      <c r="I113" s="5"/>
      <c r="J113" s="5"/>
      <c r="K113" s="5"/>
      <c r="L113" s="5"/>
    </row>
    <row r="114" spans="1:12" ht="15.95" customHeight="1" x14ac:dyDescent="0.2">
      <c r="A114" s="1"/>
      <c r="B114" s="1"/>
      <c r="C114" s="1"/>
      <c r="D114" s="1"/>
      <c r="E114" s="5"/>
      <c r="F114" s="5"/>
      <c r="G114" s="5"/>
      <c r="H114" s="5"/>
      <c r="I114" s="5"/>
      <c r="J114" s="5"/>
      <c r="K114" s="5"/>
      <c r="L114" s="5"/>
    </row>
    <row r="115" spans="1:12" ht="15.95" customHeight="1" x14ac:dyDescent="0.2">
      <c r="A115" s="1"/>
      <c r="B115" s="1"/>
      <c r="C115" s="1"/>
      <c r="D115" s="1"/>
      <c r="E115" s="5"/>
      <c r="F115" s="5"/>
      <c r="G115" s="5"/>
      <c r="H115" s="5"/>
      <c r="I115" s="5"/>
      <c r="J115" s="5"/>
      <c r="K115" s="5"/>
      <c r="L115" s="5"/>
    </row>
    <row r="116" spans="1:12" ht="15.95" customHeight="1" x14ac:dyDescent="0.2">
      <c r="A116" s="1"/>
      <c r="B116" s="1"/>
      <c r="C116" s="1"/>
      <c r="D116" s="1"/>
      <c r="E116" s="5"/>
      <c r="F116" s="5"/>
      <c r="G116" s="5"/>
      <c r="H116" s="5"/>
      <c r="I116" s="5"/>
      <c r="J116" s="5"/>
      <c r="K116" s="5"/>
      <c r="L116" s="5"/>
    </row>
    <row r="117" spans="1:12" ht="15.95" customHeight="1" x14ac:dyDescent="0.2">
      <c r="A117" s="1"/>
      <c r="B117" s="1"/>
      <c r="C117" s="1"/>
      <c r="D117" s="1"/>
      <c r="E117" s="5"/>
      <c r="F117" s="5"/>
      <c r="G117" s="5"/>
      <c r="H117" s="5"/>
      <c r="I117" s="5"/>
      <c r="J117" s="5"/>
      <c r="K117" s="5"/>
      <c r="L117" s="5"/>
    </row>
    <row r="118" spans="1:12" ht="15.95" customHeight="1" x14ac:dyDescent="0.2">
      <c r="A118" s="1"/>
      <c r="B118" s="1"/>
      <c r="C118" s="1"/>
      <c r="D118" s="1"/>
      <c r="E118" s="5"/>
      <c r="F118" s="5"/>
      <c r="G118" s="5"/>
      <c r="H118" s="5"/>
      <c r="I118" s="5"/>
      <c r="J118" s="5"/>
      <c r="K118" s="5"/>
      <c r="L118" s="5"/>
    </row>
    <row r="119" spans="1:12" ht="15.95" customHeight="1" x14ac:dyDescent="0.2">
      <c r="A119" s="1"/>
      <c r="B119" s="1"/>
      <c r="C119" s="1"/>
      <c r="D119" s="1"/>
      <c r="E119" s="5"/>
      <c r="F119" s="5"/>
      <c r="G119" s="5"/>
      <c r="H119" s="5"/>
      <c r="I119" s="5"/>
      <c r="J119" s="5"/>
      <c r="K119" s="5"/>
      <c r="L119" s="5"/>
    </row>
    <row r="120" spans="1:12" ht="15.95" customHeight="1" x14ac:dyDescent="0.2">
      <c r="A120" s="1"/>
      <c r="B120" s="1"/>
      <c r="C120" s="1"/>
      <c r="D120" s="1"/>
      <c r="E120" s="5"/>
      <c r="F120" s="5"/>
      <c r="G120" s="5"/>
      <c r="H120" s="5"/>
      <c r="I120" s="5"/>
      <c r="J120" s="5"/>
      <c r="K120" s="5"/>
      <c r="L120" s="5"/>
    </row>
    <row r="121" spans="1:12" ht="15.95" customHeight="1" x14ac:dyDescent="0.2">
      <c r="A121" s="1"/>
      <c r="B121" s="1"/>
      <c r="C121" s="1"/>
      <c r="D121" s="1"/>
      <c r="E121" s="5"/>
      <c r="F121" s="5"/>
      <c r="G121" s="5"/>
      <c r="H121" s="5"/>
      <c r="I121" s="5"/>
      <c r="J121" s="5"/>
      <c r="K121" s="5"/>
      <c r="L121" s="5"/>
    </row>
    <row r="122" spans="1:12" ht="15.95" customHeight="1" x14ac:dyDescent="0.2">
      <c r="A122" s="1"/>
      <c r="B122" s="1"/>
      <c r="C122" s="1"/>
      <c r="D122" s="1"/>
      <c r="E122" s="5"/>
      <c r="F122" s="5"/>
      <c r="G122" s="5"/>
      <c r="H122" s="5"/>
      <c r="I122" s="5"/>
      <c r="J122" s="5"/>
      <c r="K122" s="5"/>
      <c r="L122" s="5"/>
    </row>
    <row r="123" spans="1:12" ht="15.95" customHeight="1" x14ac:dyDescent="0.2">
      <c r="A123" s="1"/>
      <c r="B123" s="1"/>
      <c r="C123" s="1"/>
      <c r="D123" s="1"/>
      <c r="E123" s="5"/>
      <c r="F123" s="5"/>
      <c r="G123" s="5"/>
      <c r="H123" s="5"/>
      <c r="I123" s="5"/>
      <c r="J123" s="5"/>
      <c r="K123" s="5"/>
      <c r="L123" s="5"/>
    </row>
    <row r="124" spans="1:12" ht="15.95" customHeight="1" x14ac:dyDescent="0.2">
      <c r="A124" s="1"/>
      <c r="B124" s="1"/>
      <c r="C124" s="1"/>
      <c r="D124" s="1"/>
      <c r="E124" s="5"/>
      <c r="F124" s="5"/>
      <c r="G124" s="5"/>
      <c r="H124" s="5"/>
      <c r="I124" s="5"/>
      <c r="J124" s="5"/>
      <c r="K124" s="5"/>
      <c r="L124" s="5"/>
    </row>
    <row r="125" spans="1:12" ht="15.95" customHeight="1" x14ac:dyDescent="0.2">
      <c r="A125" s="1"/>
      <c r="B125" s="1"/>
      <c r="C125" s="1"/>
      <c r="D125" s="1"/>
      <c r="E125" s="5"/>
      <c r="F125" s="5"/>
      <c r="G125" s="5"/>
      <c r="H125" s="5"/>
      <c r="I125" s="5"/>
      <c r="J125" s="5"/>
      <c r="K125" s="5"/>
      <c r="L125" s="5"/>
    </row>
    <row r="126" spans="1:12" ht="15.95" customHeight="1" x14ac:dyDescent="0.2">
      <c r="A126" s="1"/>
      <c r="B126" s="1"/>
      <c r="C126" s="1"/>
      <c r="D126" s="1"/>
      <c r="E126" s="5"/>
      <c r="F126" s="5"/>
      <c r="G126" s="5"/>
      <c r="H126" s="5"/>
      <c r="I126" s="5"/>
      <c r="J126" s="5"/>
      <c r="K126" s="5"/>
      <c r="L126" s="5"/>
    </row>
    <row r="127" spans="1:12" ht="15.95" customHeight="1" x14ac:dyDescent="0.2">
      <c r="A127" s="1"/>
      <c r="B127" s="1"/>
      <c r="C127" s="1"/>
      <c r="D127" s="1"/>
      <c r="E127" s="5"/>
      <c r="F127" s="5"/>
      <c r="G127" s="5"/>
      <c r="H127" s="5"/>
      <c r="I127" s="5"/>
      <c r="J127" s="5"/>
      <c r="K127" s="5"/>
      <c r="L127" s="5"/>
    </row>
    <row r="128" spans="1:12" ht="15.95" customHeight="1" x14ac:dyDescent="0.2">
      <c r="A128" s="1"/>
      <c r="B128" s="1"/>
      <c r="C128" s="1"/>
      <c r="D128" s="1"/>
      <c r="E128" s="5"/>
      <c r="F128" s="5"/>
      <c r="G128" s="5"/>
      <c r="H128" s="5"/>
      <c r="I128" s="5"/>
      <c r="J128" s="5"/>
      <c r="K128" s="5"/>
      <c r="L128" s="5"/>
    </row>
    <row r="129" spans="1:12" ht="15.95" customHeight="1" x14ac:dyDescent="0.2">
      <c r="A129" s="1"/>
      <c r="B129" s="1"/>
      <c r="C129" s="1"/>
      <c r="D129" s="1"/>
      <c r="E129" s="5"/>
      <c r="F129" s="5"/>
      <c r="G129" s="5"/>
      <c r="H129" s="5"/>
      <c r="I129" s="5"/>
      <c r="J129" s="5"/>
      <c r="K129" s="5"/>
      <c r="L129" s="5"/>
    </row>
    <row r="130" spans="1:12" ht="15.95" customHeight="1" x14ac:dyDescent="0.2">
      <c r="A130" s="1"/>
      <c r="B130" s="1"/>
      <c r="C130" s="1"/>
      <c r="D130" s="1"/>
      <c r="E130" s="5"/>
      <c r="F130" s="5"/>
      <c r="G130" s="5"/>
      <c r="H130" s="5"/>
      <c r="I130" s="5"/>
      <c r="J130" s="5"/>
      <c r="K130" s="5"/>
      <c r="L130" s="5"/>
    </row>
    <row r="131" spans="1:12" ht="15.95" customHeight="1" x14ac:dyDescent="0.2">
      <c r="A131" s="1"/>
      <c r="B131" s="1"/>
      <c r="C131" s="1"/>
      <c r="D131" s="1"/>
      <c r="E131" s="5"/>
      <c r="F131" s="5"/>
      <c r="G131" s="5"/>
      <c r="H131" s="5"/>
      <c r="I131" s="5"/>
      <c r="J131" s="5"/>
      <c r="K131" s="5"/>
      <c r="L131" s="5"/>
    </row>
    <row r="132" spans="1:12" ht="15.95" customHeight="1" x14ac:dyDescent="0.2">
      <c r="A132" s="1"/>
      <c r="B132" s="1"/>
      <c r="C132" s="1"/>
      <c r="D132" s="1"/>
      <c r="E132" s="5"/>
      <c r="F132" s="5"/>
      <c r="G132" s="5"/>
      <c r="H132" s="5"/>
      <c r="I132" s="5"/>
      <c r="J132" s="5"/>
      <c r="K132" s="5"/>
      <c r="L132" s="5"/>
    </row>
    <row r="133" spans="1:12" ht="15.95" customHeight="1" x14ac:dyDescent="0.2">
      <c r="A133" s="1"/>
      <c r="B133" s="1"/>
      <c r="C133" s="1"/>
      <c r="D133" s="1"/>
      <c r="E133" s="5"/>
      <c r="F133" s="5"/>
      <c r="G133" s="5"/>
      <c r="H133" s="5"/>
      <c r="I133" s="5"/>
      <c r="J133" s="5"/>
      <c r="K133" s="5"/>
      <c r="L133" s="5"/>
    </row>
    <row r="134" spans="1:12" ht="15.95" customHeight="1" x14ac:dyDescent="0.2">
      <c r="A134" s="1"/>
      <c r="B134" s="1"/>
      <c r="C134" s="1"/>
      <c r="D134" s="1"/>
      <c r="E134" s="5"/>
      <c r="F134" s="5"/>
      <c r="G134" s="5"/>
      <c r="H134" s="5"/>
      <c r="I134" s="5"/>
      <c r="J134" s="5"/>
      <c r="K134" s="5"/>
      <c r="L134" s="5"/>
    </row>
    <row r="135" spans="1:12" ht="15.95" customHeight="1" x14ac:dyDescent="0.2">
      <c r="A135" s="1"/>
      <c r="B135" s="1"/>
      <c r="C135" s="1"/>
      <c r="D135" s="1"/>
      <c r="E135" s="5"/>
      <c r="F135" s="5"/>
      <c r="G135" s="5"/>
      <c r="H135" s="5"/>
      <c r="I135" s="5"/>
      <c r="J135" s="5"/>
      <c r="K135" s="5"/>
      <c r="L135" s="5"/>
    </row>
    <row r="136" spans="1:12" ht="15.95" customHeight="1" x14ac:dyDescent="0.2">
      <c r="A136" s="1"/>
      <c r="B136" s="1"/>
      <c r="C136" s="1"/>
      <c r="D136" s="1"/>
      <c r="E136" s="5"/>
      <c r="F136" s="5"/>
      <c r="G136" s="5"/>
      <c r="H136" s="5"/>
      <c r="I136" s="5"/>
      <c r="J136" s="5"/>
      <c r="K136" s="5"/>
      <c r="L136" s="5"/>
    </row>
    <row r="137" spans="1:12" ht="15.95" customHeight="1" x14ac:dyDescent="0.2">
      <c r="A137" s="1"/>
      <c r="B137" s="1"/>
      <c r="C137" s="1"/>
      <c r="D137" s="1"/>
      <c r="E137" s="5"/>
      <c r="F137" s="5"/>
      <c r="G137" s="5"/>
      <c r="H137" s="5"/>
      <c r="I137" s="5"/>
      <c r="J137" s="5"/>
      <c r="K137" s="5"/>
      <c r="L137" s="5"/>
    </row>
    <row r="138" spans="1:12" ht="15.95" customHeight="1" x14ac:dyDescent="0.2">
      <c r="A138" s="1"/>
      <c r="B138" s="1"/>
      <c r="C138" s="1"/>
      <c r="D138" s="1"/>
      <c r="E138" s="5"/>
      <c r="F138" s="5"/>
      <c r="G138" s="5"/>
      <c r="H138" s="5"/>
      <c r="I138" s="5"/>
      <c r="J138" s="5"/>
      <c r="K138" s="5"/>
      <c r="L138" s="5"/>
    </row>
    <row r="139" spans="1:12" ht="15.95" customHeight="1" x14ac:dyDescent="0.2">
      <c r="A139" s="1"/>
      <c r="B139" s="1"/>
      <c r="C139" s="1"/>
      <c r="D139" s="1"/>
      <c r="E139" s="5"/>
      <c r="F139" s="5"/>
      <c r="G139" s="5"/>
      <c r="H139" s="5"/>
      <c r="I139" s="5"/>
      <c r="J139" s="5"/>
      <c r="K139" s="5"/>
      <c r="L139" s="5"/>
    </row>
    <row r="140" spans="1:12" ht="15.95" customHeight="1" x14ac:dyDescent="0.2">
      <c r="A140" s="1"/>
      <c r="B140" s="1"/>
      <c r="C140" s="1"/>
      <c r="D140" s="1"/>
      <c r="E140" s="5"/>
      <c r="F140" s="5"/>
      <c r="G140" s="5"/>
      <c r="H140" s="5"/>
      <c r="I140" s="5"/>
      <c r="J140" s="5"/>
      <c r="K140" s="5"/>
      <c r="L140" s="5"/>
    </row>
    <row r="141" spans="1:12" ht="15.95" customHeight="1" x14ac:dyDescent="0.2">
      <c r="A141" s="1"/>
      <c r="B141" s="1"/>
      <c r="C141" s="1"/>
      <c r="D141" s="1"/>
      <c r="E141" s="5"/>
      <c r="F141" s="5"/>
      <c r="G141" s="5"/>
      <c r="H141" s="5"/>
      <c r="I141" s="5"/>
      <c r="J141" s="5"/>
      <c r="K141" s="5"/>
      <c r="L141" s="5"/>
    </row>
    <row r="142" spans="1:12" ht="15.95" customHeight="1" x14ac:dyDescent="0.2">
      <c r="A142" s="1"/>
      <c r="B142" s="1"/>
      <c r="C142" s="1"/>
      <c r="D142" s="1"/>
      <c r="E142" s="5"/>
      <c r="F142" s="5"/>
      <c r="G142" s="5"/>
      <c r="H142" s="5"/>
      <c r="I142" s="5"/>
      <c r="J142" s="5"/>
      <c r="K142" s="5"/>
      <c r="L142" s="5"/>
    </row>
    <row r="143" spans="1:12" ht="15.95" customHeight="1" x14ac:dyDescent="0.2">
      <c r="A143" s="1"/>
      <c r="B143" s="1"/>
      <c r="C143" s="1"/>
      <c r="D143" s="1"/>
      <c r="E143" s="5"/>
      <c r="F143" s="5"/>
      <c r="G143" s="5"/>
      <c r="H143" s="5"/>
      <c r="I143" s="5"/>
      <c r="J143" s="5"/>
      <c r="K143" s="5"/>
      <c r="L143" s="5"/>
    </row>
    <row r="144" spans="1:12" ht="15.95" customHeight="1" x14ac:dyDescent="0.2">
      <c r="A144" s="1"/>
      <c r="B144" s="1"/>
      <c r="C144" s="1"/>
      <c r="D144" s="1"/>
      <c r="E144" s="5"/>
      <c r="F144" s="5"/>
      <c r="G144" s="5"/>
      <c r="H144" s="5"/>
      <c r="I144" s="5"/>
      <c r="J144" s="5"/>
      <c r="K144" s="5"/>
      <c r="L144" s="5"/>
    </row>
    <row r="145" spans="1:12" ht="15.95" customHeight="1" x14ac:dyDescent="0.2">
      <c r="A145" s="1"/>
      <c r="B145" s="1"/>
      <c r="C145" s="1"/>
      <c r="D145" s="1"/>
      <c r="E145" s="5"/>
      <c r="F145" s="5"/>
      <c r="G145" s="5"/>
      <c r="H145" s="5"/>
      <c r="I145" s="5"/>
      <c r="J145" s="5"/>
      <c r="K145" s="5"/>
      <c r="L145" s="5"/>
    </row>
    <row r="146" spans="1:12" ht="15.95" customHeight="1" x14ac:dyDescent="0.2">
      <c r="A146" s="1"/>
      <c r="B146" s="1"/>
      <c r="C146" s="1"/>
      <c r="D146" s="1"/>
      <c r="E146" s="5"/>
      <c r="F146" s="5"/>
      <c r="G146" s="5"/>
      <c r="H146" s="5"/>
      <c r="I146" s="5"/>
      <c r="J146" s="5"/>
      <c r="K146" s="5"/>
      <c r="L146" s="5"/>
    </row>
    <row r="147" spans="1:12" ht="15.95" customHeight="1" x14ac:dyDescent="0.2">
      <c r="A147" s="1"/>
      <c r="B147" s="1"/>
      <c r="C147" s="1"/>
      <c r="D147" s="1"/>
      <c r="E147" s="5"/>
      <c r="F147" s="5"/>
      <c r="G147" s="5"/>
      <c r="H147" s="5"/>
      <c r="I147" s="5"/>
      <c r="J147" s="5"/>
      <c r="K147" s="5"/>
      <c r="L147" s="5"/>
    </row>
    <row r="148" spans="1:12" ht="15.95" customHeight="1" x14ac:dyDescent="0.2">
      <c r="A148" s="1"/>
      <c r="B148" s="1"/>
      <c r="C148" s="1"/>
      <c r="D148" s="1"/>
      <c r="E148" s="5"/>
      <c r="F148" s="5"/>
      <c r="G148" s="5"/>
      <c r="H148" s="5"/>
      <c r="I148" s="5"/>
      <c r="J148" s="5"/>
      <c r="K148" s="5"/>
      <c r="L148" s="5"/>
    </row>
    <row r="149" spans="1:12" ht="15.95" customHeight="1" x14ac:dyDescent="0.2">
      <c r="A149" s="1"/>
      <c r="B149" s="1"/>
      <c r="C149" s="1"/>
      <c r="D149" s="1"/>
      <c r="E149" s="5"/>
      <c r="F149" s="5"/>
      <c r="G149" s="5"/>
      <c r="H149" s="5"/>
      <c r="I149" s="5"/>
      <c r="J149" s="5"/>
      <c r="K149" s="5"/>
      <c r="L149" s="5"/>
    </row>
    <row r="150" spans="1:12" ht="15.95" customHeight="1" x14ac:dyDescent="0.2">
      <c r="A150" s="1"/>
      <c r="B150" s="1"/>
      <c r="C150" s="1"/>
      <c r="D150" s="1"/>
      <c r="E150" s="5"/>
      <c r="F150" s="5"/>
      <c r="G150" s="5"/>
      <c r="H150" s="5"/>
      <c r="I150" s="5"/>
      <c r="J150" s="5"/>
      <c r="K150" s="5"/>
      <c r="L150" s="5"/>
    </row>
    <row r="151" spans="1:12" ht="15.95" customHeight="1" x14ac:dyDescent="0.2">
      <c r="A151" s="1"/>
      <c r="B151" s="1"/>
      <c r="C151" s="1"/>
      <c r="D151" s="1"/>
      <c r="E151" s="5"/>
      <c r="F151" s="5"/>
      <c r="G151" s="5"/>
      <c r="H151" s="5"/>
      <c r="I151" s="5"/>
      <c r="J151" s="5"/>
      <c r="K151" s="5"/>
      <c r="L151" s="5"/>
    </row>
    <row r="152" spans="1:12" ht="15.95" customHeight="1" x14ac:dyDescent="0.2">
      <c r="A152" s="1"/>
      <c r="B152" s="1"/>
      <c r="C152" s="1"/>
      <c r="D152" s="1"/>
      <c r="E152" s="5"/>
      <c r="F152" s="5"/>
      <c r="G152" s="5"/>
      <c r="H152" s="5"/>
      <c r="I152" s="5"/>
      <c r="J152" s="5"/>
      <c r="K152" s="5"/>
      <c r="L152" s="5"/>
    </row>
    <row r="153" spans="1:12" ht="15.95" customHeight="1" x14ac:dyDescent="0.2">
      <c r="A153" s="1"/>
      <c r="B153" s="1"/>
      <c r="C153" s="1"/>
      <c r="D153" s="1"/>
      <c r="E153" s="5"/>
      <c r="F153" s="5"/>
      <c r="G153" s="5"/>
      <c r="H153" s="5"/>
      <c r="I153" s="5"/>
      <c r="J153" s="5"/>
      <c r="K153" s="5"/>
      <c r="L153" s="5"/>
    </row>
    <row r="154" spans="1:12" ht="15.95" customHeight="1" x14ac:dyDescent="0.2">
      <c r="A154" s="1"/>
      <c r="B154" s="1"/>
      <c r="C154" s="1"/>
      <c r="D154" s="1"/>
      <c r="E154" s="5"/>
      <c r="F154" s="5"/>
      <c r="G154" s="5"/>
      <c r="H154" s="5"/>
      <c r="I154" s="5"/>
      <c r="J154" s="5"/>
      <c r="K154" s="5"/>
      <c r="L154" s="5"/>
    </row>
    <row r="155" spans="1:12" ht="15.95" customHeight="1" x14ac:dyDescent="0.2">
      <c r="A155" s="1"/>
      <c r="B155" s="1"/>
      <c r="C155" s="1"/>
      <c r="D155" s="1"/>
      <c r="E155" s="5"/>
      <c r="F155" s="5"/>
      <c r="G155" s="5"/>
      <c r="H155" s="5"/>
      <c r="I155" s="5"/>
      <c r="J155" s="5"/>
      <c r="K155" s="5"/>
      <c r="L155" s="5"/>
    </row>
    <row r="156" spans="1:12" ht="15.95" customHeight="1" x14ac:dyDescent="0.2">
      <c r="A156" s="1"/>
      <c r="B156" s="1"/>
      <c r="C156" s="1"/>
      <c r="D156" s="1"/>
      <c r="E156" s="5"/>
      <c r="F156" s="5"/>
      <c r="G156" s="5"/>
      <c r="H156" s="5"/>
      <c r="I156" s="5"/>
      <c r="J156" s="5"/>
      <c r="K156" s="5"/>
      <c r="L156" s="5"/>
    </row>
    <row r="157" spans="1:12" ht="15.95" customHeight="1" x14ac:dyDescent="0.2">
      <c r="A157" s="1"/>
      <c r="B157" s="1"/>
      <c r="C157" s="1"/>
      <c r="D157" s="1"/>
      <c r="E157" s="5"/>
      <c r="F157" s="5"/>
      <c r="G157" s="5"/>
      <c r="H157" s="5"/>
      <c r="I157" s="5"/>
      <c r="J157" s="5"/>
      <c r="K157" s="5"/>
      <c r="L157" s="5"/>
    </row>
    <row r="158" spans="1:12" ht="15.95" customHeight="1" x14ac:dyDescent="0.2">
      <c r="A158" s="1"/>
      <c r="B158" s="1"/>
      <c r="C158" s="1"/>
      <c r="D158" s="1"/>
      <c r="E158" s="5"/>
      <c r="F158" s="5"/>
      <c r="G158" s="5"/>
      <c r="H158" s="5"/>
      <c r="I158" s="5"/>
      <c r="J158" s="5"/>
      <c r="K158" s="5"/>
      <c r="L158" s="5"/>
    </row>
    <row r="159" spans="1:12" ht="15.95" customHeight="1" x14ac:dyDescent="0.2">
      <c r="A159" s="1"/>
      <c r="B159" s="1"/>
      <c r="C159" s="1"/>
      <c r="D159" s="1"/>
      <c r="E159" s="5"/>
      <c r="F159" s="5"/>
      <c r="G159" s="5"/>
      <c r="H159" s="5"/>
      <c r="I159" s="5"/>
      <c r="J159" s="5"/>
      <c r="K159" s="5"/>
      <c r="L159" s="5"/>
    </row>
    <row r="160" spans="1:12" ht="15.95" customHeight="1" x14ac:dyDescent="0.2">
      <c r="A160" s="1"/>
      <c r="B160" s="1"/>
      <c r="C160" s="1"/>
      <c r="D160" s="1"/>
      <c r="E160" s="5"/>
      <c r="F160" s="5"/>
      <c r="G160" s="5"/>
      <c r="H160" s="5"/>
      <c r="I160" s="5"/>
      <c r="J160" s="5"/>
      <c r="K160" s="5"/>
      <c r="L160" s="5"/>
    </row>
    <row r="161" spans="1:12" ht="15.95" customHeight="1" x14ac:dyDescent="0.2">
      <c r="A161" s="1"/>
      <c r="B161" s="1"/>
      <c r="C161" s="1"/>
      <c r="D161" s="1"/>
      <c r="E161" s="5"/>
      <c r="F161" s="5"/>
      <c r="G161" s="5"/>
      <c r="H161" s="5"/>
      <c r="I161" s="5"/>
      <c r="J161" s="5"/>
      <c r="K161" s="5"/>
      <c r="L161" s="5"/>
    </row>
    <row r="162" spans="1:12" ht="15.95" customHeight="1" x14ac:dyDescent="0.2">
      <c r="A162" s="1"/>
      <c r="B162" s="1"/>
      <c r="C162" s="1"/>
      <c r="D162" s="1"/>
      <c r="E162" s="5"/>
      <c r="F162" s="5"/>
      <c r="G162" s="5"/>
      <c r="H162" s="5"/>
      <c r="I162" s="5"/>
      <c r="J162" s="5"/>
      <c r="K162" s="5"/>
      <c r="L162" s="5"/>
    </row>
    <row r="163" spans="1:12" ht="15.95" customHeight="1" x14ac:dyDescent="0.2">
      <c r="A163" s="1"/>
      <c r="B163" s="1"/>
      <c r="C163" s="1"/>
      <c r="D163" s="1"/>
      <c r="E163" s="5"/>
      <c r="F163" s="5"/>
      <c r="G163" s="5"/>
      <c r="H163" s="5"/>
      <c r="I163" s="5"/>
      <c r="J163" s="5"/>
      <c r="K163" s="5"/>
      <c r="L163" s="5"/>
    </row>
    <row r="164" spans="1:12" ht="15.95" customHeight="1" x14ac:dyDescent="0.2">
      <c r="A164" s="1"/>
      <c r="B164" s="1"/>
      <c r="C164" s="1"/>
      <c r="D164" s="1"/>
      <c r="E164" s="5"/>
      <c r="F164" s="5"/>
      <c r="G164" s="5"/>
      <c r="H164" s="5"/>
      <c r="I164" s="5"/>
      <c r="J164" s="5"/>
      <c r="K164" s="5"/>
      <c r="L164" s="5"/>
    </row>
    <row r="165" spans="1:12" ht="15.95" customHeight="1" x14ac:dyDescent="0.2">
      <c r="A165" s="1"/>
      <c r="B165" s="1"/>
      <c r="C165" s="1"/>
      <c r="D165" s="1"/>
      <c r="E165" s="5"/>
      <c r="F165" s="5"/>
      <c r="G165" s="5"/>
      <c r="H165" s="5"/>
      <c r="I165" s="5"/>
      <c r="J165" s="5"/>
      <c r="K165" s="5"/>
      <c r="L165" s="5"/>
    </row>
    <row r="166" spans="1:12" ht="15.95" customHeight="1" x14ac:dyDescent="0.2">
      <c r="A166" s="1"/>
      <c r="B166" s="1"/>
      <c r="C166" s="1"/>
      <c r="D166" s="1"/>
      <c r="E166" s="5"/>
      <c r="F166" s="5"/>
      <c r="G166" s="5"/>
      <c r="H166" s="5"/>
      <c r="I166" s="5"/>
      <c r="J166" s="5"/>
      <c r="K166" s="5"/>
      <c r="L166" s="5"/>
    </row>
    <row r="167" spans="1:12" ht="15.95" customHeight="1" x14ac:dyDescent="0.2">
      <c r="A167" s="1"/>
      <c r="B167" s="1"/>
      <c r="C167" s="1"/>
      <c r="D167" s="1"/>
      <c r="E167" s="5"/>
      <c r="F167" s="5"/>
      <c r="G167" s="5"/>
      <c r="H167" s="5"/>
      <c r="I167" s="5"/>
      <c r="J167" s="5"/>
      <c r="K167" s="5"/>
      <c r="L167" s="5"/>
    </row>
    <row r="168" spans="1:12" ht="15.95" customHeight="1" x14ac:dyDescent="0.2">
      <c r="A168" s="1"/>
      <c r="B168" s="1"/>
      <c r="C168" s="1"/>
      <c r="D168" s="1"/>
      <c r="E168" s="5"/>
      <c r="F168" s="5"/>
      <c r="G168" s="5"/>
      <c r="H168" s="5"/>
      <c r="I168" s="5"/>
      <c r="J168" s="5"/>
      <c r="K168" s="5"/>
      <c r="L168" s="5"/>
    </row>
    <row r="169" spans="1:12" ht="15.95" customHeight="1" x14ac:dyDescent="0.2">
      <c r="A169" s="1"/>
      <c r="B169" s="1"/>
      <c r="C169" s="1"/>
      <c r="D169" s="1"/>
      <c r="E169" s="5"/>
      <c r="F169" s="5"/>
      <c r="G169" s="5"/>
      <c r="H169" s="5"/>
      <c r="I169" s="5"/>
      <c r="J169" s="5"/>
      <c r="K169" s="5"/>
      <c r="L169" s="5"/>
    </row>
    <row r="170" spans="1:12" ht="15.95" customHeight="1" x14ac:dyDescent="0.2">
      <c r="A170" s="1"/>
      <c r="B170" s="1"/>
      <c r="C170" s="1"/>
      <c r="D170" s="1"/>
      <c r="E170" s="5"/>
      <c r="F170" s="5"/>
      <c r="G170" s="5"/>
      <c r="H170" s="5"/>
      <c r="I170" s="5"/>
      <c r="J170" s="5"/>
      <c r="K170" s="5"/>
      <c r="L170" s="5"/>
    </row>
    <row r="171" spans="1:12" ht="15.95" customHeight="1" x14ac:dyDescent="0.2">
      <c r="A171" s="1"/>
      <c r="B171" s="1"/>
      <c r="C171" s="1"/>
      <c r="D171" s="1"/>
      <c r="E171" s="5"/>
      <c r="F171" s="5"/>
      <c r="G171" s="5"/>
      <c r="H171" s="5"/>
      <c r="I171" s="5"/>
      <c r="J171" s="5"/>
      <c r="K171" s="5"/>
      <c r="L171" s="5"/>
    </row>
    <row r="172" spans="1:12" x14ac:dyDescent="0.2">
      <c r="A172" s="1"/>
      <c r="B172" s="1"/>
      <c r="C172" s="1"/>
      <c r="D172" s="1"/>
      <c r="E172" s="5"/>
      <c r="F172" s="5"/>
      <c r="G172" s="5"/>
      <c r="H172" s="5"/>
      <c r="I172" s="5"/>
      <c r="J172" s="5"/>
      <c r="K172" s="5"/>
      <c r="L172" s="5"/>
    </row>
    <row r="173" spans="1:12" x14ac:dyDescent="0.2">
      <c r="A173" s="1"/>
      <c r="B173" s="1"/>
      <c r="C173" s="1"/>
      <c r="D173" s="1"/>
      <c r="E173" s="5"/>
      <c r="F173" s="5"/>
      <c r="G173" s="5"/>
      <c r="H173" s="5"/>
      <c r="I173" s="5"/>
      <c r="J173" s="5"/>
      <c r="K173" s="5"/>
      <c r="L173" s="5"/>
    </row>
    <row r="174" spans="1:12" x14ac:dyDescent="0.2">
      <c r="A174" s="1"/>
      <c r="B174" s="1"/>
      <c r="C174" s="1"/>
      <c r="D174" s="1"/>
      <c r="E174" s="5"/>
      <c r="F174" s="5"/>
      <c r="G174" s="5"/>
      <c r="H174" s="5"/>
      <c r="I174" s="5"/>
      <c r="J174" s="5"/>
      <c r="K174" s="5"/>
      <c r="L174" s="5"/>
    </row>
    <row r="175" spans="1:12" x14ac:dyDescent="0.2">
      <c r="A175" s="1"/>
      <c r="B175" s="1"/>
      <c r="C175" s="1"/>
      <c r="D175" s="1"/>
      <c r="E175" s="5"/>
      <c r="F175" s="5"/>
      <c r="G175" s="5"/>
      <c r="H175" s="5"/>
      <c r="I175" s="5"/>
      <c r="J175" s="5"/>
      <c r="K175" s="5"/>
      <c r="L175" s="5"/>
    </row>
    <row r="176" spans="1:12" x14ac:dyDescent="0.2">
      <c r="A176" s="1"/>
      <c r="B176" s="1"/>
      <c r="C176" s="1"/>
      <c r="D176" s="1"/>
      <c r="E176" s="5"/>
      <c r="F176" s="5"/>
      <c r="G176" s="5"/>
      <c r="H176" s="5"/>
      <c r="I176" s="5"/>
      <c r="J176" s="5"/>
      <c r="K176" s="5"/>
      <c r="L176" s="5"/>
    </row>
    <row r="177" spans="1:12" x14ac:dyDescent="0.2">
      <c r="A177" s="1"/>
      <c r="B177" s="1"/>
      <c r="C177" s="1"/>
      <c r="D177" s="1"/>
      <c r="E177" s="5"/>
      <c r="F177" s="5"/>
      <c r="G177" s="5"/>
      <c r="H177" s="5"/>
      <c r="I177" s="5"/>
      <c r="J177" s="5"/>
      <c r="K177" s="5"/>
      <c r="L177" s="5"/>
    </row>
    <row r="178" spans="1:12" x14ac:dyDescent="0.2">
      <c r="A178" s="1"/>
      <c r="B178" s="1"/>
      <c r="C178" s="1"/>
      <c r="D178" s="1"/>
      <c r="E178" s="5"/>
      <c r="F178" s="5"/>
      <c r="G178" s="5"/>
      <c r="H178" s="5"/>
      <c r="I178" s="5"/>
      <c r="J178" s="5"/>
      <c r="K178" s="5"/>
      <c r="L178" s="5"/>
    </row>
    <row r="179" spans="1:12" x14ac:dyDescent="0.2">
      <c r="A179" s="1"/>
      <c r="B179" s="1"/>
      <c r="C179" s="1"/>
      <c r="D179" s="1"/>
      <c r="E179" s="5"/>
      <c r="F179" s="5"/>
      <c r="G179" s="5"/>
      <c r="H179" s="5"/>
      <c r="I179" s="5"/>
      <c r="J179" s="5"/>
      <c r="K179" s="5"/>
      <c r="L179" s="5"/>
    </row>
    <row r="180" spans="1:12" x14ac:dyDescent="0.2">
      <c r="A180" s="1"/>
      <c r="B180" s="1"/>
      <c r="C180" s="1"/>
      <c r="D180" s="1"/>
      <c r="E180" s="5"/>
      <c r="F180" s="5"/>
      <c r="G180" s="5"/>
      <c r="H180" s="5"/>
      <c r="I180" s="5"/>
      <c r="J180" s="5"/>
      <c r="K180" s="5"/>
      <c r="L180" s="5"/>
    </row>
    <row r="181" spans="1:12" x14ac:dyDescent="0.2">
      <c r="A181" s="1"/>
      <c r="B181" s="1"/>
      <c r="C181" s="1"/>
      <c r="D181" s="1"/>
      <c r="E181" s="5"/>
      <c r="F181" s="5"/>
      <c r="G181" s="5"/>
      <c r="H181" s="5"/>
      <c r="I181" s="5"/>
      <c r="J181" s="5"/>
      <c r="K181" s="5"/>
      <c r="L181" s="5"/>
    </row>
    <row r="182" spans="1:12" x14ac:dyDescent="0.2">
      <c r="A182" s="1"/>
      <c r="B182" s="1"/>
      <c r="C182" s="1"/>
      <c r="D182" s="1"/>
      <c r="E182" s="5"/>
      <c r="F182" s="5"/>
      <c r="G182" s="5"/>
      <c r="H182" s="5"/>
      <c r="I182" s="5"/>
      <c r="J182" s="5"/>
      <c r="K182" s="5"/>
      <c r="L182" s="5"/>
    </row>
    <row r="183" spans="1:12" x14ac:dyDescent="0.2">
      <c r="A183" s="1"/>
      <c r="B183" s="1"/>
      <c r="C183" s="1"/>
      <c r="D183" s="1"/>
      <c r="E183" s="5"/>
      <c r="F183" s="5"/>
      <c r="G183" s="5"/>
      <c r="H183" s="5"/>
      <c r="I183" s="5"/>
      <c r="J183" s="5"/>
      <c r="K183" s="5"/>
      <c r="L183" s="5"/>
    </row>
    <row r="184" spans="1:12" x14ac:dyDescent="0.2">
      <c r="A184" s="1"/>
      <c r="B184" s="1"/>
      <c r="C184" s="1"/>
      <c r="D184" s="1"/>
      <c r="E184" s="5"/>
      <c r="F184" s="5"/>
      <c r="G184" s="5"/>
      <c r="H184" s="5"/>
      <c r="I184" s="5"/>
      <c r="J184" s="5"/>
      <c r="K184" s="5"/>
      <c r="L184" s="5"/>
    </row>
    <row r="185" spans="1:12" x14ac:dyDescent="0.2">
      <c r="A185" s="1"/>
      <c r="B185" s="1"/>
      <c r="C185" s="1"/>
      <c r="D185" s="1"/>
      <c r="E185" s="5"/>
      <c r="F185" s="5"/>
      <c r="G185" s="5"/>
      <c r="H185" s="5"/>
      <c r="I185" s="5"/>
      <c r="J185" s="5"/>
      <c r="K185" s="5"/>
      <c r="L185" s="5"/>
    </row>
    <row r="186" spans="1:12" x14ac:dyDescent="0.2">
      <c r="A186" s="1"/>
      <c r="B186" s="1"/>
      <c r="C186" s="1"/>
      <c r="D186" s="1"/>
      <c r="E186" s="5"/>
      <c r="F186" s="5"/>
      <c r="G186" s="5"/>
      <c r="H186" s="5"/>
      <c r="I186" s="5"/>
      <c r="J186" s="5"/>
      <c r="K186" s="5"/>
      <c r="L186" s="5"/>
    </row>
    <row r="187" spans="1:12" x14ac:dyDescent="0.2">
      <c r="A187" s="1"/>
      <c r="B187" s="1"/>
      <c r="C187" s="1"/>
      <c r="D187" s="1"/>
      <c r="E187" s="5"/>
      <c r="F187" s="5"/>
      <c r="G187" s="5"/>
      <c r="H187" s="5"/>
      <c r="I187" s="5"/>
      <c r="J187" s="5"/>
      <c r="K187" s="5"/>
      <c r="L187" s="5"/>
    </row>
    <row r="188" spans="1:12" x14ac:dyDescent="0.2">
      <c r="A188" s="1"/>
      <c r="B188" s="1"/>
      <c r="C188" s="1"/>
      <c r="D188" s="1"/>
      <c r="E188" s="5"/>
      <c r="F188" s="5"/>
      <c r="G188" s="5"/>
      <c r="H188" s="5"/>
      <c r="I188" s="5"/>
      <c r="J188" s="5"/>
      <c r="K188" s="5"/>
      <c r="L188" s="5"/>
    </row>
    <row r="189" spans="1:12" x14ac:dyDescent="0.2">
      <c r="A189" s="1"/>
      <c r="B189" s="1"/>
      <c r="C189" s="1"/>
      <c r="D189" s="1"/>
      <c r="E189" s="5"/>
      <c r="F189" s="5"/>
      <c r="G189" s="5"/>
      <c r="H189" s="5"/>
      <c r="I189" s="5"/>
      <c r="J189" s="5"/>
      <c r="K189" s="5"/>
      <c r="L189" s="5"/>
    </row>
    <row r="190" spans="1:12" x14ac:dyDescent="0.2">
      <c r="A190" s="1"/>
      <c r="B190" s="1"/>
      <c r="C190" s="1"/>
      <c r="D190" s="1"/>
      <c r="E190" s="5"/>
      <c r="F190" s="5"/>
      <c r="G190" s="5"/>
      <c r="H190" s="5"/>
      <c r="I190" s="5"/>
      <c r="J190" s="5"/>
      <c r="K190" s="5"/>
      <c r="L190" s="5"/>
    </row>
    <row r="191" spans="1:12" x14ac:dyDescent="0.2">
      <c r="A191" s="1"/>
      <c r="B191" s="1"/>
      <c r="C191" s="1"/>
      <c r="D191" s="1"/>
      <c r="E191" s="5"/>
      <c r="F191" s="5"/>
      <c r="G191" s="5"/>
      <c r="H191" s="5"/>
      <c r="I191" s="5"/>
      <c r="J191" s="5"/>
      <c r="K191" s="5"/>
      <c r="L191" s="5"/>
    </row>
    <row r="192" spans="1:12" x14ac:dyDescent="0.2">
      <c r="A192" s="1"/>
      <c r="B192" s="1"/>
      <c r="C192" s="1"/>
      <c r="D192" s="1"/>
      <c r="E192" s="5"/>
      <c r="F192" s="5"/>
      <c r="G192" s="5"/>
      <c r="H192" s="5"/>
      <c r="I192" s="5"/>
      <c r="J192" s="5"/>
      <c r="K192" s="5"/>
      <c r="L192" s="5"/>
    </row>
    <row r="193" spans="1:12" x14ac:dyDescent="0.2">
      <c r="A193" s="1"/>
      <c r="B193" s="1"/>
      <c r="C193" s="1"/>
      <c r="D193" s="1"/>
      <c r="E193" s="5"/>
      <c r="F193" s="5"/>
      <c r="G193" s="5"/>
      <c r="H193" s="5"/>
      <c r="I193" s="5"/>
      <c r="J193" s="5"/>
      <c r="K193" s="5"/>
      <c r="L193" s="5"/>
    </row>
    <row r="194" spans="1:12" x14ac:dyDescent="0.2">
      <c r="A194" s="1"/>
      <c r="B194" s="1"/>
      <c r="C194" s="1"/>
      <c r="D194" s="1"/>
      <c r="E194" s="5"/>
      <c r="F194" s="5"/>
      <c r="G194" s="5"/>
      <c r="H194" s="5"/>
      <c r="I194" s="5"/>
      <c r="J194" s="5"/>
      <c r="K194" s="5"/>
      <c r="L194" s="5"/>
    </row>
    <row r="195" spans="1:12" x14ac:dyDescent="0.2">
      <c r="A195" s="1"/>
      <c r="B195" s="1"/>
      <c r="C195" s="1"/>
      <c r="D195" s="1"/>
      <c r="E195" s="5"/>
      <c r="F195" s="5"/>
      <c r="G195" s="5"/>
      <c r="H195" s="5"/>
      <c r="I195" s="5"/>
      <c r="J195" s="5"/>
      <c r="K195" s="5"/>
      <c r="L195" s="5"/>
    </row>
    <row r="196" spans="1:12" x14ac:dyDescent="0.2">
      <c r="A196" s="1"/>
      <c r="B196" s="1"/>
      <c r="C196" s="1"/>
      <c r="D196" s="1"/>
      <c r="E196" s="5"/>
      <c r="F196" s="5"/>
      <c r="G196" s="5"/>
      <c r="H196" s="5"/>
      <c r="I196" s="5"/>
      <c r="J196" s="5"/>
      <c r="K196" s="5"/>
      <c r="L196" s="5"/>
    </row>
    <row r="197" spans="1:12" x14ac:dyDescent="0.2">
      <c r="A197" s="1"/>
      <c r="B197" s="1"/>
      <c r="C197" s="1"/>
      <c r="D197" s="1"/>
      <c r="E197" s="5"/>
      <c r="F197" s="5"/>
      <c r="G197" s="5"/>
      <c r="H197" s="5"/>
      <c r="I197" s="5"/>
      <c r="J197" s="5"/>
      <c r="K197" s="5"/>
      <c r="L197" s="5"/>
    </row>
    <row r="198" spans="1:12" x14ac:dyDescent="0.2">
      <c r="A198" s="1"/>
      <c r="B198" s="1"/>
      <c r="C198" s="1"/>
      <c r="D198" s="1"/>
      <c r="E198" s="5"/>
      <c r="F198" s="5"/>
      <c r="G198" s="5"/>
      <c r="H198" s="5"/>
      <c r="I198" s="5"/>
      <c r="J198" s="5"/>
      <c r="K198" s="5"/>
      <c r="L198" s="5"/>
    </row>
    <row r="199" spans="1:12" x14ac:dyDescent="0.2">
      <c r="A199" s="1"/>
      <c r="B199" s="1"/>
      <c r="C199" s="1"/>
      <c r="D199" s="1"/>
      <c r="E199" s="5"/>
      <c r="F199" s="5"/>
      <c r="G199" s="5"/>
      <c r="H199" s="5"/>
      <c r="I199" s="5"/>
      <c r="J199" s="5"/>
      <c r="K199" s="5"/>
      <c r="L199" s="5"/>
    </row>
    <row r="200" spans="1:12" x14ac:dyDescent="0.2">
      <c r="A200" s="1"/>
      <c r="B200" s="1"/>
      <c r="C200" s="1"/>
      <c r="D200" s="1"/>
      <c r="E200" s="5"/>
      <c r="F200" s="5"/>
      <c r="G200" s="5"/>
      <c r="H200" s="5"/>
      <c r="I200" s="5"/>
      <c r="J200" s="5"/>
      <c r="K200" s="5"/>
      <c r="L200" s="5"/>
    </row>
    <row r="201" spans="1:12" x14ac:dyDescent="0.2">
      <c r="A201" s="1"/>
      <c r="B201" s="1"/>
      <c r="C201" s="1"/>
      <c r="D201" s="1"/>
      <c r="E201" s="5"/>
      <c r="F201" s="5"/>
      <c r="G201" s="5"/>
      <c r="H201" s="5"/>
      <c r="I201" s="5"/>
      <c r="J201" s="5"/>
      <c r="K201" s="5"/>
      <c r="L201" s="5"/>
    </row>
    <row r="202" spans="1:12" x14ac:dyDescent="0.2">
      <c r="A202" s="1"/>
      <c r="B202" s="1"/>
      <c r="C202" s="1"/>
      <c r="D202" s="1"/>
      <c r="E202" s="5"/>
      <c r="F202" s="5"/>
      <c r="G202" s="5"/>
      <c r="H202" s="5"/>
      <c r="I202" s="5"/>
      <c r="J202" s="5"/>
      <c r="K202" s="5"/>
      <c r="L202" s="5"/>
    </row>
    <row r="203" spans="1:12" x14ac:dyDescent="0.2">
      <c r="A203" s="1"/>
      <c r="B203" s="1"/>
      <c r="C203" s="1"/>
      <c r="D203" s="1"/>
      <c r="E203" s="5"/>
      <c r="F203" s="5"/>
      <c r="G203" s="5"/>
      <c r="H203" s="5"/>
      <c r="I203" s="5"/>
      <c r="J203" s="5"/>
      <c r="K203" s="5"/>
      <c r="L203" s="5"/>
    </row>
    <row r="204" spans="1:12" x14ac:dyDescent="0.2">
      <c r="A204" s="1"/>
      <c r="B204" s="1"/>
      <c r="C204" s="1"/>
      <c r="D204" s="1"/>
      <c r="E204" s="5"/>
      <c r="F204" s="5"/>
      <c r="G204" s="5"/>
      <c r="H204" s="5"/>
      <c r="I204" s="5"/>
      <c r="J204" s="5"/>
      <c r="K204" s="5"/>
      <c r="L204" s="5"/>
    </row>
    <row r="205" spans="1:12" x14ac:dyDescent="0.2">
      <c r="A205" s="1"/>
      <c r="B205" s="1"/>
      <c r="C205" s="1"/>
      <c r="D205" s="1"/>
      <c r="E205" s="5"/>
      <c r="F205" s="5"/>
      <c r="G205" s="5"/>
      <c r="H205" s="5"/>
      <c r="I205" s="5"/>
      <c r="J205" s="5"/>
      <c r="K205" s="5"/>
      <c r="L205" s="5"/>
    </row>
    <row r="206" spans="1:12" x14ac:dyDescent="0.2">
      <c r="A206" s="1"/>
      <c r="B206" s="1"/>
      <c r="C206" s="1"/>
      <c r="D206" s="1"/>
      <c r="E206" s="5"/>
      <c r="F206" s="5"/>
      <c r="G206" s="5"/>
      <c r="H206" s="5"/>
      <c r="I206" s="5"/>
      <c r="J206" s="5"/>
      <c r="K206" s="5"/>
      <c r="L206" s="5"/>
    </row>
    <row r="207" spans="1:12" x14ac:dyDescent="0.2">
      <c r="A207" s="1"/>
      <c r="B207" s="1"/>
      <c r="C207" s="1"/>
      <c r="D207" s="1"/>
      <c r="E207" s="5"/>
      <c r="F207" s="5"/>
      <c r="G207" s="5"/>
      <c r="H207" s="5"/>
      <c r="I207" s="5"/>
      <c r="J207" s="5"/>
      <c r="K207" s="5"/>
      <c r="L207" s="5"/>
    </row>
    <row r="208" spans="1:12" x14ac:dyDescent="0.2">
      <c r="A208" s="1"/>
      <c r="B208" s="1"/>
      <c r="C208" s="1"/>
      <c r="D208" s="1"/>
      <c r="E208" s="5"/>
      <c r="F208" s="5"/>
      <c r="G208" s="5"/>
      <c r="H208" s="5"/>
      <c r="I208" s="5"/>
      <c r="J208" s="5"/>
      <c r="K208" s="5"/>
      <c r="L208" s="5"/>
    </row>
    <row r="209" spans="1:12" x14ac:dyDescent="0.2">
      <c r="A209" s="1"/>
      <c r="B209" s="1"/>
      <c r="C209" s="1"/>
      <c r="D209" s="1"/>
      <c r="E209" s="5"/>
      <c r="F209" s="5"/>
      <c r="G209" s="5"/>
      <c r="H209" s="5"/>
      <c r="I209" s="5"/>
      <c r="J209" s="5"/>
      <c r="K209" s="5"/>
      <c r="L209" s="5"/>
    </row>
    <row r="210" spans="1:12" x14ac:dyDescent="0.2">
      <c r="A210" s="1"/>
      <c r="B210" s="1"/>
      <c r="C210" s="1"/>
      <c r="D210" s="1"/>
      <c r="E210" s="5"/>
      <c r="F210" s="5"/>
      <c r="G210" s="5"/>
      <c r="H210" s="5"/>
      <c r="I210" s="5"/>
      <c r="J210" s="5"/>
      <c r="K210" s="5"/>
      <c r="L210" s="5"/>
    </row>
    <row r="211" spans="1:12" x14ac:dyDescent="0.2">
      <c r="A211" s="1"/>
      <c r="B211" s="1"/>
      <c r="C211" s="1"/>
      <c r="D211" s="1"/>
      <c r="E211" s="5"/>
      <c r="F211" s="5"/>
      <c r="G211" s="5"/>
      <c r="H211" s="5"/>
      <c r="I211" s="5"/>
      <c r="J211" s="5"/>
      <c r="K211" s="5"/>
      <c r="L211" s="5"/>
    </row>
    <row r="212" spans="1:12" x14ac:dyDescent="0.2">
      <c r="A212" s="1"/>
      <c r="B212" s="1"/>
      <c r="C212" s="1"/>
      <c r="D212" s="1"/>
      <c r="E212" s="5"/>
      <c r="F212" s="5"/>
      <c r="G212" s="5"/>
      <c r="H212" s="5"/>
      <c r="I212" s="5"/>
      <c r="J212" s="5"/>
      <c r="K212" s="5"/>
      <c r="L212" s="5"/>
    </row>
    <row r="213" spans="1:12" x14ac:dyDescent="0.2">
      <c r="A213" s="1"/>
      <c r="B213" s="1"/>
      <c r="C213" s="1"/>
      <c r="D213" s="1"/>
      <c r="E213" s="5"/>
      <c r="F213" s="5"/>
      <c r="G213" s="5"/>
      <c r="H213" s="5"/>
      <c r="I213" s="5"/>
      <c r="J213" s="5"/>
      <c r="K213" s="5"/>
      <c r="L213" s="5"/>
    </row>
    <row r="214" spans="1:12" x14ac:dyDescent="0.2">
      <c r="A214" s="1"/>
      <c r="B214" s="1"/>
      <c r="C214" s="1"/>
      <c r="D214" s="1"/>
      <c r="E214" s="5"/>
      <c r="F214" s="5"/>
      <c r="G214" s="5"/>
      <c r="H214" s="5"/>
      <c r="I214" s="5"/>
      <c r="J214" s="5"/>
      <c r="K214" s="5"/>
      <c r="L214" s="5"/>
    </row>
    <row r="215" spans="1:12" x14ac:dyDescent="0.2">
      <c r="A215" s="1"/>
      <c r="B215" s="1"/>
      <c r="C215" s="1"/>
      <c r="D215" s="1"/>
      <c r="E215" s="5"/>
      <c r="F215" s="5"/>
      <c r="G215" s="5"/>
      <c r="H215" s="5"/>
      <c r="I215" s="5"/>
      <c r="J215" s="5"/>
      <c r="K215" s="5"/>
      <c r="L215" s="5"/>
    </row>
    <row r="216" spans="1:12" x14ac:dyDescent="0.2">
      <c r="A216" s="1"/>
      <c r="B216" s="1"/>
      <c r="C216" s="1"/>
      <c r="D216" s="1"/>
      <c r="E216" s="5"/>
      <c r="F216" s="5"/>
      <c r="G216" s="5"/>
      <c r="H216" s="5"/>
      <c r="I216" s="5"/>
      <c r="J216" s="5"/>
      <c r="K216" s="5"/>
      <c r="L216" s="5"/>
    </row>
    <row r="217" spans="1:12" x14ac:dyDescent="0.2">
      <c r="A217" s="1"/>
      <c r="B217" s="1"/>
      <c r="C217" s="1"/>
      <c r="D217" s="1"/>
      <c r="E217" s="5"/>
      <c r="F217" s="5"/>
      <c r="G217" s="5"/>
      <c r="H217" s="5"/>
      <c r="I217" s="5"/>
      <c r="J217" s="5"/>
      <c r="K217" s="5"/>
      <c r="L217" s="5"/>
    </row>
    <row r="218" spans="1:12" x14ac:dyDescent="0.2">
      <c r="A218" s="1"/>
      <c r="B218" s="1"/>
      <c r="C218" s="1"/>
      <c r="D218" s="1"/>
      <c r="E218" s="5"/>
      <c r="F218" s="5"/>
      <c r="G218" s="5"/>
      <c r="H218" s="5"/>
      <c r="I218" s="5"/>
      <c r="J218" s="5"/>
      <c r="K218" s="5"/>
      <c r="L218" s="5"/>
    </row>
    <row r="219" spans="1:12" x14ac:dyDescent="0.2">
      <c r="A219" s="1"/>
      <c r="B219" s="1"/>
      <c r="C219" s="1"/>
      <c r="D219" s="1"/>
      <c r="E219" s="5"/>
      <c r="F219" s="5"/>
      <c r="G219" s="5"/>
      <c r="H219" s="5"/>
      <c r="I219" s="5"/>
      <c r="J219" s="5"/>
      <c r="K219" s="5"/>
      <c r="L219" s="5"/>
    </row>
    <row r="220" spans="1:12" x14ac:dyDescent="0.2">
      <c r="A220" s="1"/>
      <c r="B220" s="1"/>
      <c r="C220" s="1"/>
      <c r="D220" s="1"/>
      <c r="E220" s="5"/>
      <c r="F220" s="5"/>
      <c r="G220" s="5"/>
      <c r="H220" s="5"/>
      <c r="I220" s="5"/>
      <c r="J220" s="5"/>
      <c r="K220" s="5"/>
      <c r="L220" s="5"/>
    </row>
    <row r="221" spans="1:12" x14ac:dyDescent="0.2">
      <c r="A221" s="1"/>
      <c r="B221" s="1"/>
      <c r="C221" s="1"/>
      <c r="D221" s="1"/>
      <c r="E221" s="5"/>
      <c r="F221" s="5"/>
      <c r="G221" s="5"/>
      <c r="H221" s="5"/>
      <c r="I221" s="5"/>
      <c r="J221" s="5"/>
      <c r="K221" s="5"/>
      <c r="L221" s="5"/>
    </row>
    <row r="222" spans="1:12" x14ac:dyDescent="0.2">
      <c r="A222" s="1"/>
      <c r="B222" s="1"/>
      <c r="C222" s="1"/>
      <c r="D222" s="1"/>
      <c r="E222" s="5"/>
      <c r="F222" s="5"/>
      <c r="G222" s="5"/>
      <c r="H222" s="5"/>
      <c r="I222" s="5"/>
      <c r="J222" s="5"/>
      <c r="K222" s="5"/>
      <c r="L222" s="5"/>
    </row>
    <row r="223" spans="1:12" x14ac:dyDescent="0.2">
      <c r="A223" s="1"/>
      <c r="B223" s="1"/>
      <c r="C223" s="1"/>
      <c r="D223" s="1"/>
      <c r="E223" s="5"/>
      <c r="F223" s="5"/>
      <c r="G223" s="5"/>
      <c r="H223" s="5"/>
      <c r="I223" s="5"/>
      <c r="J223" s="5"/>
      <c r="K223" s="5"/>
      <c r="L223" s="5"/>
    </row>
    <row r="224" spans="1:12" x14ac:dyDescent="0.2">
      <c r="A224" s="1"/>
      <c r="B224" s="1"/>
      <c r="C224" s="1"/>
      <c r="D224" s="1"/>
      <c r="E224" s="5"/>
      <c r="F224" s="5"/>
      <c r="G224" s="5"/>
      <c r="H224" s="5"/>
      <c r="I224" s="5"/>
      <c r="J224" s="5"/>
      <c r="K224" s="5"/>
      <c r="L224" s="5"/>
    </row>
    <row r="225" spans="1:12" x14ac:dyDescent="0.2">
      <c r="A225" s="1"/>
      <c r="B225" s="1"/>
      <c r="C225" s="1"/>
      <c r="D225" s="1"/>
      <c r="E225" s="5"/>
      <c r="F225" s="5"/>
      <c r="G225" s="5"/>
      <c r="H225" s="5"/>
      <c r="I225" s="5"/>
      <c r="J225" s="5"/>
      <c r="K225" s="5"/>
      <c r="L225" s="5"/>
    </row>
    <row r="226" spans="1:12" x14ac:dyDescent="0.2">
      <c r="A226" s="1"/>
      <c r="B226" s="1"/>
      <c r="C226" s="1"/>
      <c r="D226" s="1"/>
      <c r="E226" s="5"/>
      <c r="F226" s="5"/>
      <c r="G226" s="5"/>
      <c r="H226" s="5"/>
      <c r="I226" s="5"/>
      <c r="J226" s="5"/>
      <c r="K226" s="5"/>
      <c r="L226" s="5"/>
    </row>
    <row r="227" spans="1:12" x14ac:dyDescent="0.2">
      <c r="A227" s="1"/>
      <c r="B227" s="1"/>
      <c r="C227" s="1"/>
      <c r="D227" s="1"/>
      <c r="E227" s="5"/>
      <c r="F227" s="5"/>
      <c r="G227" s="5"/>
      <c r="H227" s="5"/>
      <c r="I227" s="5"/>
      <c r="J227" s="5"/>
      <c r="K227" s="5"/>
      <c r="L227" s="5"/>
    </row>
    <row r="228" spans="1:12" x14ac:dyDescent="0.2">
      <c r="A228" s="1"/>
      <c r="B228" s="1"/>
      <c r="C228" s="1"/>
      <c r="D228" s="1"/>
      <c r="E228" s="5"/>
      <c r="F228" s="5"/>
      <c r="G228" s="5"/>
      <c r="H228" s="5"/>
      <c r="I228" s="5"/>
      <c r="J228" s="5"/>
      <c r="K228" s="5"/>
      <c r="L228" s="5"/>
    </row>
    <row r="229" spans="1:12" x14ac:dyDescent="0.2">
      <c r="A229" s="1"/>
      <c r="B229" s="1"/>
      <c r="C229" s="1"/>
      <c r="D229" s="1"/>
      <c r="E229" s="5"/>
      <c r="F229" s="5"/>
      <c r="G229" s="5"/>
      <c r="H229" s="5"/>
      <c r="I229" s="5"/>
      <c r="J229" s="5"/>
      <c r="K229" s="5"/>
      <c r="L229" s="5"/>
    </row>
    <row r="230" spans="1:12" x14ac:dyDescent="0.2">
      <c r="A230" s="1"/>
      <c r="B230" s="1"/>
      <c r="C230" s="1"/>
      <c r="D230" s="1"/>
      <c r="E230" s="5"/>
      <c r="F230" s="5"/>
      <c r="G230" s="5"/>
      <c r="H230" s="5"/>
      <c r="I230" s="5"/>
      <c r="J230" s="5"/>
      <c r="K230" s="5"/>
      <c r="L230" s="5"/>
    </row>
    <row r="231" spans="1:12" x14ac:dyDescent="0.2">
      <c r="A231" s="1"/>
      <c r="B231" s="1"/>
      <c r="C231" s="1"/>
      <c r="D231" s="1"/>
      <c r="E231" s="5"/>
      <c r="F231" s="5"/>
      <c r="G231" s="5"/>
      <c r="H231" s="5"/>
      <c r="I231" s="5"/>
      <c r="J231" s="5"/>
      <c r="K231" s="5"/>
      <c r="L231" s="5"/>
    </row>
    <row r="232" spans="1:12" x14ac:dyDescent="0.2">
      <c r="A232" s="1"/>
      <c r="B232" s="1"/>
      <c r="C232" s="1"/>
      <c r="D232" s="1"/>
      <c r="E232" s="5"/>
      <c r="F232" s="5"/>
      <c r="G232" s="5"/>
      <c r="H232" s="5"/>
      <c r="I232" s="5"/>
      <c r="J232" s="5"/>
      <c r="K232" s="5"/>
      <c r="L232" s="5"/>
    </row>
    <row r="233" spans="1:12" x14ac:dyDescent="0.2">
      <c r="A233" s="1"/>
      <c r="B233" s="1"/>
      <c r="C233" s="1"/>
      <c r="D233" s="1"/>
      <c r="E233" s="5"/>
      <c r="F233" s="5"/>
      <c r="G233" s="5"/>
      <c r="H233" s="5"/>
      <c r="I233" s="5"/>
      <c r="J233" s="5"/>
      <c r="K233" s="5"/>
      <c r="L233" s="5"/>
    </row>
    <row r="234" spans="1:12" x14ac:dyDescent="0.2">
      <c r="A234" s="1"/>
      <c r="B234" s="1"/>
      <c r="C234" s="1"/>
      <c r="D234" s="1"/>
      <c r="E234" s="5"/>
      <c r="F234" s="5"/>
      <c r="G234" s="5"/>
      <c r="H234" s="5"/>
      <c r="I234" s="5"/>
      <c r="J234" s="5"/>
      <c r="K234" s="5"/>
      <c r="L234" s="5"/>
    </row>
    <row r="235" spans="1:12" x14ac:dyDescent="0.2">
      <c r="A235" s="1"/>
      <c r="B235" s="1"/>
      <c r="C235" s="1"/>
      <c r="D235" s="1"/>
      <c r="E235" s="5"/>
      <c r="F235" s="5"/>
      <c r="G235" s="5"/>
      <c r="H235" s="5"/>
      <c r="I235" s="5"/>
      <c r="J235" s="5"/>
      <c r="K235" s="5"/>
      <c r="L235" s="5"/>
    </row>
    <row r="236" spans="1:12" x14ac:dyDescent="0.2">
      <c r="A236" s="1"/>
      <c r="B236" s="1"/>
      <c r="C236" s="1"/>
      <c r="D236" s="1"/>
      <c r="E236" s="5"/>
      <c r="F236" s="5"/>
      <c r="G236" s="5"/>
      <c r="H236" s="5"/>
      <c r="I236" s="5"/>
      <c r="J236" s="5"/>
      <c r="K236" s="5"/>
      <c r="L236" s="5"/>
    </row>
    <row r="237" spans="1:12" x14ac:dyDescent="0.2">
      <c r="A237" s="1"/>
      <c r="B237" s="1"/>
      <c r="C237" s="1"/>
      <c r="D237" s="1"/>
      <c r="E237" s="5"/>
      <c r="F237" s="5"/>
      <c r="G237" s="5"/>
      <c r="H237" s="5"/>
      <c r="I237" s="5"/>
      <c r="J237" s="5"/>
      <c r="K237" s="5"/>
      <c r="L237" s="5"/>
    </row>
    <row r="238" spans="1:12" x14ac:dyDescent="0.2">
      <c r="A238" s="1"/>
      <c r="B238" s="1"/>
      <c r="C238" s="1"/>
      <c r="D238" s="1"/>
      <c r="E238" s="5"/>
      <c r="F238" s="5"/>
      <c r="G238" s="5"/>
      <c r="H238" s="5"/>
      <c r="I238" s="5"/>
      <c r="J238" s="5"/>
      <c r="K238" s="5"/>
      <c r="L238" s="5"/>
    </row>
    <row r="239" spans="1:12" x14ac:dyDescent="0.2">
      <c r="A239" s="1"/>
      <c r="B239" s="1"/>
      <c r="C239" s="1"/>
      <c r="D239" s="1"/>
      <c r="E239" s="5"/>
      <c r="F239" s="5"/>
      <c r="G239" s="5"/>
      <c r="H239" s="5"/>
      <c r="I239" s="5"/>
      <c r="J239" s="5"/>
      <c r="K239" s="5"/>
      <c r="L239" s="5"/>
    </row>
    <row r="240" spans="1:12" x14ac:dyDescent="0.2">
      <c r="A240" s="1"/>
      <c r="B240" s="1"/>
      <c r="C240" s="1"/>
      <c r="D240" s="1"/>
      <c r="E240" s="5"/>
      <c r="F240" s="5"/>
      <c r="G240" s="5"/>
      <c r="H240" s="5"/>
      <c r="I240" s="5"/>
      <c r="J240" s="5"/>
      <c r="K240" s="5"/>
      <c r="L240" s="5"/>
    </row>
    <row r="241" spans="1:12" x14ac:dyDescent="0.2">
      <c r="A241" s="1"/>
      <c r="B241" s="1"/>
      <c r="C241" s="1"/>
      <c r="D241" s="1"/>
      <c r="E241" s="5"/>
      <c r="F241" s="5"/>
      <c r="G241" s="5"/>
      <c r="H241" s="5"/>
      <c r="I241" s="5"/>
      <c r="J241" s="5"/>
      <c r="K241" s="5"/>
      <c r="L241" s="5"/>
    </row>
    <row r="242" spans="1:12" x14ac:dyDescent="0.2">
      <c r="A242" s="1"/>
      <c r="B242" s="1"/>
      <c r="C242" s="1"/>
      <c r="D242" s="1"/>
      <c r="E242" s="5"/>
      <c r="F242" s="5"/>
      <c r="G242" s="5"/>
      <c r="H242" s="5"/>
      <c r="I242" s="5"/>
      <c r="J242" s="5"/>
      <c r="K242" s="5"/>
      <c r="L242" s="5"/>
    </row>
    <row r="243" spans="1:12" x14ac:dyDescent="0.2">
      <c r="A243" s="1"/>
      <c r="B243" s="1"/>
      <c r="C243" s="1"/>
      <c r="D243" s="1"/>
      <c r="E243" s="5"/>
      <c r="F243" s="5"/>
      <c r="G243" s="5"/>
      <c r="H243" s="5"/>
      <c r="I243" s="5"/>
      <c r="J243" s="5"/>
      <c r="K243" s="5"/>
      <c r="L243" s="5"/>
    </row>
    <row r="244" spans="1:12" x14ac:dyDescent="0.2">
      <c r="A244" s="1"/>
      <c r="B244" s="1"/>
      <c r="C244" s="1"/>
      <c r="D244" s="1"/>
      <c r="E244" s="5"/>
      <c r="F244" s="5"/>
      <c r="G244" s="5"/>
      <c r="H244" s="5"/>
      <c r="I244" s="5"/>
      <c r="J244" s="5"/>
      <c r="K244" s="5"/>
      <c r="L244" s="5"/>
    </row>
    <row r="245" spans="1:12" x14ac:dyDescent="0.2">
      <c r="A245" s="1"/>
      <c r="B245" s="1"/>
      <c r="C245" s="1"/>
      <c r="D245" s="1"/>
      <c r="E245" s="5"/>
      <c r="F245" s="5"/>
      <c r="G245" s="5"/>
      <c r="H245" s="5"/>
      <c r="I245" s="5"/>
      <c r="J245" s="5"/>
      <c r="K245" s="5"/>
      <c r="L245" s="5"/>
    </row>
    <row r="246" spans="1:12" x14ac:dyDescent="0.2">
      <c r="A246" s="1"/>
      <c r="B246" s="1"/>
      <c r="C246" s="1"/>
      <c r="D246" s="1"/>
      <c r="E246" s="5"/>
      <c r="F246" s="5"/>
      <c r="G246" s="5"/>
      <c r="H246" s="5"/>
      <c r="I246" s="5"/>
      <c r="J246" s="5"/>
      <c r="K246" s="5"/>
      <c r="L246" s="5"/>
    </row>
    <row r="247" spans="1:12" x14ac:dyDescent="0.2">
      <c r="A247" s="1"/>
      <c r="B247" s="1"/>
      <c r="C247" s="1"/>
      <c r="D247" s="1"/>
      <c r="E247" s="5"/>
      <c r="F247" s="5"/>
      <c r="G247" s="5"/>
      <c r="H247" s="5"/>
      <c r="I247" s="5"/>
      <c r="J247" s="5"/>
      <c r="K247" s="5"/>
      <c r="L247" s="5"/>
    </row>
    <row r="248" spans="1:12" x14ac:dyDescent="0.2">
      <c r="A248" s="1"/>
      <c r="B248" s="1"/>
      <c r="C248" s="1"/>
      <c r="D248" s="1"/>
      <c r="E248" s="5"/>
      <c r="F248" s="5"/>
      <c r="G248" s="5"/>
      <c r="H248" s="5"/>
      <c r="I248" s="5"/>
      <c r="J248" s="5"/>
      <c r="K248" s="5"/>
      <c r="L248" s="5"/>
    </row>
    <row r="249" spans="1:12" x14ac:dyDescent="0.2">
      <c r="A249" s="1"/>
      <c r="B249" s="1"/>
      <c r="C249" s="1"/>
      <c r="D249" s="1"/>
      <c r="E249" s="5"/>
      <c r="F249" s="5"/>
      <c r="G249" s="5"/>
      <c r="H249" s="5"/>
      <c r="I249" s="5"/>
      <c r="J249" s="5"/>
      <c r="K249" s="5"/>
      <c r="L249" s="5"/>
    </row>
    <row r="250" spans="1:12" x14ac:dyDescent="0.2">
      <c r="A250" s="1"/>
      <c r="B250" s="1"/>
      <c r="C250" s="1"/>
      <c r="D250" s="1"/>
      <c r="E250" s="5"/>
      <c r="F250" s="5"/>
      <c r="G250" s="5"/>
      <c r="H250" s="5"/>
      <c r="I250" s="5"/>
      <c r="J250" s="5"/>
      <c r="K250" s="5"/>
      <c r="L250" s="5"/>
    </row>
    <row r="251" spans="1:12" x14ac:dyDescent="0.2">
      <c r="A251" s="1"/>
      <c r="B251" s="1"/>
      <c r="C251" s="1"/>
      <c r="D251" s="1"/>
      <c r="E251" s="5"/>
      <c r="F251" s="5"/>
      <c r="G251" s="5"/>
      <c r="H251" s="5"/>
      <c r="I251" s="5"/>
      <c r="J251" s="5"/>
      <c r="K251" s="5"/>
      <c r="L251" s="5"/>
    </row>
    <row r="252" spans="1:12" x14ac:dyDescent="0.2">
      <c r="A252" s="1"/>
      <c r="B252" s="1"/>
      <c r="C252" s="1"/>
      <c r="D252" s="1"/>
      <c r="E252" s="5"/>
      <c r="F252" s="5"/>
      <c r="G252" s="5"/>
      <c r="H252" s="5"/>
      <c r="I252" s="5"/>
      <c r="J252" s="5"/>
      <c r="K252" s="5"/>
      <c r="L252" s="5"/>
    </row>
    <row r="253" spans="1:12" x14ac:dyDescent="0.2">
      <c r="A253" s="1"/>
      <c r="B253" s="1"/>
      <c r="C253" s="1"/>
      <c r="D253" s="1"/>
      <c r="E253" s="5"/>
      <c r="F253" s="5"/>
      <c r="G253" s="5"/>
      <c r="H253" s="5"/>
      <c r="I253" s="5"/>
      <c r="J253" s="5"/>
      <c r="K253" s="5"/>
      <c r="L253" s="5"/>
    </row>
  </sheetData>
  <mergeCells count="8">
    <mergeCell ref="A31:D31"/>
    <mergeCell ref="A3:D3"/>
    <mergeCell ref="A20:D20"/>
    <mergeCell ref="A28:D28"/>
    <mergeCell ref="A5:D5"/>
    <mergeCell ref="A7:D7"/>
    <mergeCell ref="A9:B9"/>
    <mergeCell ref="C9:D9"/>
  </mergeCells>
  <printOptions horizontalCentered="1"/>
  <pageMargins left="0.51181102362204722" right="0.51181102362204722" top="1.1023622047244095" bottom="0.78740157480314965" header="0.31496062992125984" footer="0.31496062992125984"/>
  <pageSetup paperSize="9" orientation="portrait" r:id="rId1"/>
  <headerFooter>
    <oddHeader>&amp;L&amp;G&amp;R&amp;G</oddHeader>
    <oddFooter xml:space="preserve">&amp;CAv. Pres. Tancredo Neves, 3557 sala 306 – Bairro Castelo CEP 31.330-430 – Belo Horizonte / Minas Gerais.
Endereço Eletrônico: ottawaeng@terra.com.br – Telefax (31) 3418-2175 – CNPJ: 04.472.311/0001-04
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9"/>
  <sheetViews>
    <sheetView topLeftCell="C131" workbookViewId="0">
      <selection activeCell="E124" sqref="E124"/>
    </sheetView>
  </sheetViews>
  <sheetFormatPr defaultRowHeight="12.75" x14ac:dyDescent="0.2"/>
  <cols>
    <col min="1" max="1" width="18.7109375" hidden="1" customWidth="1"/>
    <col min="2" max="2" width="0" hidden="1" customWidth="1"/>
    <col min="4" max="4" width="13" customWidth="1"/>
    <col min="5" max="5" width="12.42578125" customWidth="1"/>
    <col min="7" max="7" width="21" customWidth="1"/>
    <col min="8" max="8" width="13.7109375" customWidth="1"/>
    <col min="10" max="10" width="15.140625" customWidth="1"/>
    <col min="11" max="11" width="17.28515625" customWidth="1"/>
    <col min="13" max="13" width="12.7109375" customWidth="1"/>
    <col min="14" max="14" width="15.140625" customWidth="1"/>
    <col min="16" max="16" width="12.140625" customWidth="1"/>
    <col min="17" max="17" width="13" customWidth="1"/>
    <col min="18" max="18" width="14.28515625" customWidth="1"/>
    <col min="20" max="20" width="9" customWidth="1"/>
    <col min="21" max="21" width="17" customWidth="1"/>
  </cols>
  <sheetData>
    <row r="2" spans="1:17" ht="15.75" x14ac:dyDescent="0.25">
      <c r="D2" s="709" t="s">
        <v>872</v>
      </c>
      <c r="E2" s="709"/>
      <c r="F2" s="709"/>
      <c r="G2" s="709"/>
      <c r="H2" s="709"/>
    </row>
    <row r="3" spans="1:17" ht="15" x14ac:dyDescent="0.25">
      <c r="A3" s="710" t="s">
        <v>825</v>
      </c>
      <c r="B3" s="710"/>
      <c r="D3" s="711" t="s">
        <v>826</v>
      </c>
      <c r="E3" s="711"/>
      <c r="G3" s="711" t="s">
        <v>827</v>
      </c>
      <c r="H3" s="711"/>
    </row>
    <row r="4" spans="1:17" x14ac:dyDescent="0.2">
      <c r="A4" s="322" t="s">
        <v>828</v>
      </c>
      <c r="B4" s="323">
        <v>82</v>
      </c>
      <c r="D4" s="324" t="s">
        <v>829</v>
      </c>
      <c r="E4" s="325">
        <v>0</v>
      </c>
      <c r="G4" s="708" t="s">
        <v>830</v>
      </c>
      <c r="H4" s="708"/>
      <c r="P4" s="326">
        <v>0.85</v>
      </c>
      <c r="Q4" s="326">
        <v>0.15</v>
      </c>
    </row>
    <row r="5" spans="1:17" ht="15" x14ac:dyDescent="0.25">
      <c r="A5" s="322" t="s">
        <v>831</v>
      </c>
      <c r="B5" s="323">
        <v>8</v>
      </c>
      <c r="D5" s="327" t="s">
        <v>832</v>
      </c>
      <c r="E5" s="361">
        <v>17</v>
      </c>
      <c r="G5" s="322" t="s">
        <v>833</v>
      </c>
      <c r="H5" s="328">
        <v>2822.17</v>
      </c>
      <c r="I5" t="s">
        <v>107</v>
      </c>
      <c r="K5" s="329">
        <v>1.5</v>
      </c>
      <c r="L5" s="329">
        <f>E5+E6+E7</f>
        <v>22</v>
      </c>
      <c r="M5" s="326">
        <f>L5/L$8</f>
        <v>0.55000000000000004</v>
      </c>
      <c r="N5" s="330">
        <f>H$22*M5</f>
        <v>2678.28</v>
      </c>
      <c r="P5" s="330">
        <f>N5*P$4</f>
        <v>2276.538</v>
      </c>
      <c r="Q5" s="330">
        <f>N5*Q$4</f>
        <v>401.74200000000002</v>
      </c>
    </row>
    <row r="6" spans="1:17" ht="15" x14ac:dyDescent="0.25">
      <c r="A6" s="322" t="s">
        <v>834</v>
      </c>
      <c r="B6" s="323">
        <v>17</v>
      </c>
      <c r="D6" s="327" t="s">
        <v>835</v>
      </c>
      <c r="E6" s="361">
        <v>4</v>
      </c>
      <c r="G6" s="322" t="s">
        <v>836</v>
      </c>
      <c r="H6" s="328">
        <v>0</v>
      </c>
      <c r="I6" t="s">
        <v>107</v>
      </c>
      <c r="K6" s="329" t="s">
        <v>837</v>
      </c>
      <c r="L6" s="329">
        <f>E8+E9+E10+E11+E12</f>
        <v>18</v>
      </c>
      <c r="M6" s="326">
        <f>L6/L$8</f>
        <v>0.45</v>
      </c>
      <c r="N6" s="330">
        <f>H$22*M6</f>
        <v>2191.3200000000002</v>
      </c>
      <c r="P6" s="330">
        <f>N6*P$4</f>
        <v>1862.6220000000001</v>
      </c>
      <c r="Q6" s="330">
        <f>N6*Q$4</f>
        <v>328.69800000000004</v>
      </c>
    </row>
    <row r="7" spans="1:17" ht="15" x14ac:dyDescent="0.25">
      <c r="A7" s="331" t="s">
        <v>838</v>
      </c>
      <c r="B7" s="323">
        <v>3</v>
      </c>
      <c r="D7" s="327" t="s">
        <v>839</v>
      </c>
      <c r="E7" s="361">
        <v>1</v>
      </c>
      <c r="G7" s="322" t="s">
        <v>840</v>
      </c>
      <c r="H7" s="328">
        <v>0</v>
      </c>
      <c r="K7" s="329" t="s">
        <v>841</v>
      </c>
      <c r="L7" s="329">
        <v>0</v>
      </c>
      <c r="M7" s="326">
        <f>L7/L$8</f>
        <v>0</v>
      </c>
      <c r="N7" s="330">
        <f>H$22*M7</f>
        <v>0</v>
      </c>
      <c r="P7" s="330">
        <f>N7*P$4</f>
        <v>0</v>
      </c>
      <c r="Q7" s="330">
        <f>N7*Q$4</f>
        <v>0</v>
      </c>
    </row>
    <row r="8" spans="1:17" ht="15" x14ac:dyDescent="0.25">
      <c r="A8" s="332"/>
      <c r="B8" s="333"/>
      <c r="D8" s="334" t="s">
        <v>842</v>
      </c>
      <c r="E8" s="361">
        <v>3</v>
      </c>
      <c r="G8" s="322" t="s">
        <v>843</v>
      </c>
      <c r="H8" s="328">
        <v>0</v>
      </c>
      <c r="K8" s="335" t="s">
        <v>844</v>
      </c>
      <c r="L8" s="335">
        <f>SUM(L5:L7)</f>
        <v>40</v>
      </c>
      <c r="M8" s="336">
        <f>SUM(M5:M7)</f>
        <v>1</v>
      </c>
      <c r="N8" s="337">
        <f>SUM(N5:N7)</f>
        <v>4869.6000000000004</v>
      </c>
      <c r="P8" s="337">
        <f>SUM(P5:P7)</f>
        <v>4139.16</v>
      </c>
      <c r="Q8" s="337">
        <f>SUM(Q5:Q7)</f>
        <v>730.44</v>
      </c>
    </row>
    <row r="9" spans="1:17" x14ac:dyDescent="0.2">
      <c r="A9" s="338" t="s">
        <v>845</v>
      </c>
      <c r="B9" s="339">
        <v>6</v>
      </c>
      <c r="D9" s="334" t="s">
        <v>846</v>
      </c>
      <c r="E9" s="361">
        <v>3</v>
      </c>
      <c r="G9" s="708" t="s">
        <v>847</v>
      </c>
      <c r="H9" s="708"/>
    </row>
    <row r="10" spans="1:17" ht="15" x14ac:dyDescent="0.25">
      <c r="A10" s="338" t="s">
        <v>848</v>
      </c>
      <c r="B10" s="339">
        <v>4</v>
      </c>
      <c r="D10" s="334" t="s">
        <v>849</v>
      </c>
      <c r="E10" s="361">
        <v>4</v>
      </c>
      <c r="G10" s="331" t="s">
        <v>844</v>
      </c>
      <c r="H10" s="340">
        <v>2832</v>
      </c>
      <c r="I10" t="s">
        <v>101</v>
      </c>
      <c r="N10" s="330">
        <v>6262.8960000000015</v>
      </c>
    </row>
    <row r="11" spans="1:17" x14ac:dyDescent="0.2">
      <c r="D11" s="334" t="s">
        <v>850</v>
      </c>
      <c r="E11" s="361">
        <v>5</v>
      </c>
      <c r="G11" s="712" t="s">
        <v>851</v>
      </c>
      <c r="H11" s="713"/>
    </row>
    <row r="12" spans="1:17" ht="15" x14ac:dyDescent="0.25">
      <c r="D12" s="334" t="s">
        <v>852</v>
      </c>
      <c r="E12" s="361">
        <v>3</v>
      </c>
      <c r="G12" s="331" t="s">
        <v>853</v>
      </c>
      <c r="H12" s="341">
        <v>0</v>
      </c>
      <c r="I12" t="s">
        <v>101</v>
      </c>
      <c r="K12" s="714"/>
      <c r="L12" s="715"/>
      <c r="M12" s="715"/>
    </row>
    <row r="13" spans="1:17" ht="15" x14ac:dyDescent="0.25">
      <c r="D13" s="334" t="s">
        <v>854</v>
      </c>
      <c r="E13" s="361">
        <v>2</v>
      </c>
      <c r="G13" s="331" t="s">
        <v>855</v>
      </c>
      <c r="H13" s="340">
        <v>0</v>
      </c>
      <c r="I13" t="s">
        <v>101</v>
      </c>
      <c r="K13" s="342"/>
      <c r="L13" s="330"/>
    </row>
    <row r="14" spans="1:17" ht="15" x14ac:dyDescent="0.25">
      <c r="D14" s="324" t="s">
        <v>856</v>
      </c>
      <c r="E14" s="361">
        <v>0</v>
      </c>
      <c r="G14" s="331" t="s">
        <v>857</v>
      </c>
      <c r="H14" s="340">
        <v>0</v>
      </c>
      <c r="K14" s="342"/>
      <c r="L14" s="330"/>
    </row>
    <row r="15" spans="1:17" x14ac:dyDescent="0.2">
      <c r="D15" s="324" t="s">
        <v>858</v>
      </c>
      <c r="E15" s="361">
        <v>1</v>
      </c>
      <c r="G15" s="708" t="s">
        <v>859</v>
      </c>
      <c r="H15" s="708"/>
    </row>
    <row r="16" spans="1:17" ht="15" x14ac:dyDescent="0.25">
      <c r="D16" s="324" t="s">
        <v>860</v>
      </c>
      <c r="E16" s="361">
        <v>0</v>
      </c>
      <c r="G16" s="331" t="s">
        <v>853</v>
      </c>
      <c r="H16" s="341">
        <v>0</v>
      </c>
      <c r="I16" t="s">
        <v>101</v>
      </c>
    </row>
    <row r="17" spans="4:17" ht="15" x14ac:dyDescent="0.25">
      <c r="D17" s="324" t="s">
        <v>861</v>
      </c>
      <c r="E17" s="361">
        <v>1</v>
      </c>
      <c r="G17" s="331" t="s">
        <v>855</v>
      </c>
      <c r="H17" s="340">
        <v>0</v>
      </c>
      <c r="I17" t="s">
        <v>101</v>
      </c>
    </row>
    <row r="18" spans="4:17" ht="15" x14ac:dyDescent="0.25">
      <c r="D18" s="324" t="s">
        <v>862</v>
      </c>
      <c r="E18" s="361">
        <v>1</v>
      </c>
      <c r="G18" s="331" t="s">
        <v>857</v>
      </c>
      <c r="H18" s="340">
        <v>0</v>
      </c>
    </row>
    <row r="19" spans="4:17" x14ac:dyDescent="0.2">
      <c r="D19" s="324" t="s">
        <v>863</v>
      </c>
      <c r="E19" s="361">
        <v>0</v>
      </c>
      <c r="G19" s="708" t="s">
        <v>864</v>
      </c>
      <c r="H19" s="708"/>
    </row>
    <row r="20" spans="4:17" ht="15" x14ac:dyDescent="0.25">
      <c r="D20" s="324" t="s">
        <v>865</v>
      </c>
      <c r="E20" s="361">
        <v>0</v>
      </c>
      <c r="G20" s="331" t="s">
        <v>844</v>
      </c>
      <c r="H20" s="341">
        <v>7142.96</v>
      </c>
      <c r="I20" t="s">
        <v>101</v>
      </c>
    </row>
    <row r="21" spans="4:17" ht="15" x14ac:dyDescent="0.25">
      <c r="D21" s="343" t="s">
        <v>844</v>
      </c>
      <c r="E21" s="344">
        <f>SUM(E4:E20)</f>
        <v>45</v>
      </c>
      <c r="G21" s="708" t="s">
        <v>866</v>
      </c>
      <c r="H21" s="708"/>
    </row>
    <row r="22" spans="4:17" ht="15" x14ac:dyDescent="0.25">
      <c r="G22" s="331" t="s">
        <v>844</v>
      </c>
      <c r="H22" s="341">
        <v>4869.6000000000004</v>
      </c>
      <c r="I22" t="s">
        <v>113</v>
      </c>
    </row>
    <row r="23" spans="4:17" x14ac:dyDescent="0.2">
      <c r="G23" s="708" t="s">
        <v>867</v>
      </c>
      <c r="H23" s="708"/>
    </row>
    <row r="24" spans="4:17" ht="15" x14ac:dyDescent="0.25">
      <c r="G24" s="338" t="s">
        <v>844</v>
      </c>
      <c r="H24" s="340">
        <v>4816</v>
      </c>
      <c r="I24" t="s">
        <v>113</v>
      </c>
    </row>
    <row r="30" spans="4:17" ht="15.75" x14ac:dyDescent="0.25">
      <c r="D30" s="709" t="s">
        <v>873</v>
      </c>
      <c r="E30" s="709"/>
      <c r="F30" s="709"/>
      <c r="G30" s="709"/>
      <c r="H30" s="709"/>
    </row>
    <row r="31" spans="4:17" ht="15" x14ac:dyDescent="0.25">
      <c r="D31" s="711" t="s">
        <v>826</v>
      </c>
      <c r="E31" s="711"/>
      <c r="G31" s="711" t="s">
        <v>827</v>
      </c>
      <c r="H31" s="711"/>
    </row>
    <row r="32" spans="4:17" x14ac:dyDescent="0.2">
      <c r="D32" s="324" t="s">
        <v>829</v>
      </c>
      <c r="E32" s="325">
        <v>0</v>
      </c>
      <c r="G32" s="708" t="s">
        <v>830</v>
      </c>
      <c r="H32" s="708"/>
      <c r="P32" s="326">
        <v>0.85</v>
      </c>
      <c r="Q32" s="326">
        <v>0.15</v>
      </c>
    </row>
    <row r="33" spans="4:17" ht="15" x14ac:dyDescent="0.25">
      <c r="D33" s="327" t="s">
        <v>832</v>
      </c>
      <c r="E33" s="325">
        <v>39</v>
      </c>
      <c r="G33" s="322" t="s">
        <v>833</v>
      </c>
      <c r="H33" s="328">
        <v>6275.08</v>
      </c>
      <c r="I33" t="s">
        <v>107</v>
      </c>
      <c r="K33" s="329">
        <v>1.5</v>
      </c>
      <c r="L33" s="329">
        <f>E33+E34+E35</f>
        <v>53</v>
      </c>
      <c r="M33" s="326">
        <f>29/36</f>
        <v>0.80555555555555558</v>
      </c>
      <c r="N33" s="330">
        <f>H$50*M33</f>
        <v>9398.2475000000013</v>
      </c>
      <c r="P33" s="330">
        <f>N33*P$4</f>
        <v>7988.5103750000007</v>
      </c>
      <c r="Q33" s="330">
        <f>N33*Q$4</f>
        <v>1409.7371250000001</v>
      </c>
    </row>
    <row r="34" spans="4:17" ht="15" x14ac:dyDescent="0.25">
      <c r="D34" s="327" t="s">
        <v>835</v>
      </c>
      <c r="E34" s="325">
        <v>10</v>
      </c>
      <c r="G34" s="322" t="s">
        <v>836</v>
      </c>
      <c r="H34" s="328">
        <v>0</v>
      </c>
      <c r="I34" t="s">
        <v>107</v>
      </c>
      <c r="K34" s="329" t="s">
        <v>837</v>
      </c>
      <c r="L34" s="329">
        <f>E36+E37+E38+E39+E40+E41</f>
        <v>38</v>
      </c>
      <c r="M34" s="326">
        <f>7/36</f>
        <v>0.19444444444444445</v>
      </c>
      <c r="N34" s="330">
        <f>H$50*M34</f>
        <v>2268.5425</v>
      </c>
      <c r="P34" s="330">
        <f>N34*P$4</f>
        <v>1928.261125</v>
      </c>
      <c r="Q34" s="330">
        <f>N34*Q$4</f>
        <v>340.28137499999997</v>
      </c>
    </row>
    <row r="35" spans="4:17" ht="15" x14ac:dyDescent="0.25">
      <c r="D35" s="327" t="s">
        <v>839</v>
      </c>
      <c r="E35" s="325">
        <v>4</v>
      </c>
      <c r="G35" s="322" t="s">
        <v>840</v>
      </c>
      <c r="H35" s="328">
        <v>0</v>
      </c>
      <c r="K35" s="335" t="s">
        <v>844</v>
      </c>
      <c r="L35" s="335">
        <f>SUM(L33:L34)</f>
        <v>91</v>
      </c>
      <c r="M35" s="336">
        <f>SUM(M33:M34)</f>
        <v>1</v>
      </c>
      <c r="N35" s="337">
        <f>SUM(N33:N34)</f>
        <v>11666.79</v>
      </c>
      <c r="P35" s="337">
        <f>SUM(P33:P34)</f>
        <v>9916.7715000000007</v>
      </c>
      <c r="Q35" s="337">
        <f>SUM(Q33:Q34)</f>
        <v>1750.0185000000001</v>
      </c>
    </row>
    <row r="36" spans="4:17" ht="15" x14ac:dyDescent="0.25">
      <c r="D36" s="334" t="s">
        <v>842</v>
      </c>
      <c r="E36" s="325">
        <v>6</v>
      </c>
      <c r="G36" s="322" t="s">
        <v>843</v>
      </c>
      <c r="H36" s="328">
        <v>0</v>
      </c>
    </row>
    <row r="37" spans="4:17" x14ac:dyDescent="0.2">
      <c r="D37" s="334" t="s">
        <v>846</v>
      </c>
      <c r="E37" s="325">
        <v>5</v>
      </c>
      <c r="G37" s="708" t="s">
        <v>847</v>
      </c>
      <c r="H37" s="708"/>
    </row>
    <row r="38" spans="4:17" ht="15" x14ac:dyDescent="0.25">
      <c r="D38" s="334" t="s">
        <v>849</v>
      </c>
      <c r="E38" s="325">
        <v>6</v>
      </c>
      <c r="G38" s="331" t="s">
        <v>844</v>
      </c>
      <c r="H38" s="340">
        <v>6297</v>
      </c>
      <c r="I38" t="s">
        <v>101</v>
      </c>
    </row>
    <row r="39" spans="4:17" x14ac:dyDescent="0.2">
      <c r="D39" s="334" t="s">
        <v>850</v>
      </c>
      <c r="E39" s="325">
        <v>5</v>
      </c>
      <c r="G39" s="712" t="s">
        <v>851</v>
      </c>
      <c r="H39" s="713"/>
    </row>
    <row r="40" spans="4:17" ht="15" x14ac:dyDescent="0.25">
      <c r="D40" s="334" t="s">
        <v>852</v>
      </c>
      <c r="E40" s="325">
        <v>9</v>
      </c>
      <c r="G40" s="331" t="s">
        <v>853</v>
      </c>
      <c r="H40" s="341">
        <v>0</v>
      </c>
      <c r="I40" t="s">
        <v>101</v>
      </c>
    </row>
    <row r="41" spans="4:17" ht="15" x14ac:dyDescent="0.25">
      <c r="D41" s="334" t="s">
        <v>854</v>
      </c>
      <c r="E41" s="325">
        <v>7</v>
      </c>
      <c r="G41" s="331" t="s">
        <v>855</v>
      </c>
      <c r="H41" s="341">
        <v>0</v>
      </c>
      <c r="I41" t="s">
        <v>101</v>
      </c>
    </row>
    <row r="42" spans="4:17" ht="15" x14ac:dyDescent="0.25">
      <c r="D42" s="324" t="s">
        <v>856</v>
      </c>
      <c r="E42" s="325">
        <v>4</v>
      </c>
      <c r="G42" s="331" t="s">
        <v>857</v>
      </c>
      <c r="H42" s="341">
        <v>0</v>
      </c>
    </row>
    <row r="43" spans="4:17" x14ac:dyDescent="0.2">
      <c r="D43" s="324" t="s">
        <v>858</v>
      </c>
      <c r="E43" s="325">
        <v>6</v>
      </c>
      <c r="G43" s="708" t="s">
        <v>859</v>
      </c>
      <c r="H43" s="708"/>
    </row>
    <row r="44" spans="4:17" ht="15" x14ac:dyDescent="0.25">
      <c r="D44" s="324" t="s">
        <v>860</v>
      </c>
      <c r="E44" s="325">
        <v>0</v>
      </c>
      <c r="G44" s="331" t="s">
        <v>853</v>
      </c>
      <c r="H44" s="341">
        <v>0</v>
      </c>
      <c r="I44" t="s">
        <v>101</v>
      </c>
    </row>
    <row r="45" spans="4:17" ht="15" x14ac:dyDescent="0.25">
      <c r="D45" s="324" t="s">
        <v>861</v>
      </c>
      <c r="E45" s="325">
        <v>0</v>
      </c>
      <c r="G45" s="331" t="s">
        <v>855</v>
      </c>
      <c r="H45" s="341">
        <v>0</v>
      </c>
      <c r="I45" t="s">
        <v>101</v>
      </c>
    </row>
    <row r="46" spans="4:17" ht="15" x14ac:dyDescent="0.25">
      <c r="D46" s="324" t="s">
        <v>862</v>
      </c>
      <c r="E46" s="325">
        <v>1</v>
      </c>
      <c r="G46" s="331" t="s">
        <v>857</v>
      </c>
      <c r="H46" s="341">
        <v>0</v>
      </c>
    </row>
    <row r="47" spans="4:17" x14ac:dyDescent="0.2">
      <c r="D47" s="324" t="s">
        <v>863</v>
      </c>
      <c r="E47" s="325">
        <v>1</v>
      </c>
      <c r="G47" s="708" t="s">
        <v>864</v>
      </c>
      <c r="H47" s="708"/>
    </row>
    <row r="48" spans="4:17" ht="15" x14ac:dyDescent="0.25">
      <c r="D48" s="324" t="s">
        <v>865</v>
      </c>
      <c r="E48" s="325">
        <v>0</v>
      </c>
      <c r="G48" s="331" t="s">
        <v>844</v>
      </c>
      <c r="H48" s="341">
        <v>17666.79</v>
      </c>
      <c r="I48" t="s">
        <v>101</v>
      </c>
    </row>
    <row r="49" spans="4:17" ht="15" x14ac:dyDescent="0.25">
      <c r="D49" s="343" t="s">
        <v>844</v>
      </c>
      <c r="E49" s="344">
        <f>SUM(E32:E48)</f>
        <v>103</v>
      </c>
      <c r="G49" s="708" t="s">
        <v>866</v>
      </c>
      <c r="H49" s="708"/>
    </row>
    <row r="50" spans="4:17" ht="15" x14ac:dyDescent="0.25">
      <c r="G50" s="331" t="s">
        <v>844</v>
      </c>
      <c r="H50" s="340">
        <v>11666.79</v>
      </c>
      <c r="I50" t="s">
        <v>113</v>
      </c>
    </row>
    <row r="51" spans="4:17" x14ac:dyDescent="0.2">
      <c r="G51" s="708" t="s">
        <v>867</v>
      </c>
      <c r="H51" s="708"/>
    </row>
    <row r="52" spans="4:17" ht="15" x14ac:dyDescent="0.25">
      <c r="G52" s="338" t="s">
        <v>844</v>
      </c>
      <c r="H52" s="340">
        <v>11547</v>
      </c>
      <c r="I52" t="s">
        <v>113</v>
      </c>
    </row>
    <row r="60" spans="4:17" ht="15.75" x14ac:dyDescent="0.25">
      <c r="D60" s="709" t="s">
        <v>874</v>
      </c>
      <c r="E60" s="709"/>
      <c r="F60" s="709"/>
      <c r="G60" s="709"/>
      <c r="H60" s="709"/>
    </row>
    <row r="61" spans="4:17" ht="15" x14ac:dyDescent="0.25">
      <c r="D61" s="711" t="s">
        <v>826</v>
      </c>
      <c r="E61" s="711"/>
      <c r="G61" s="711" t="s">
        <v>827</v>
      </c>
      <c r="H61" s="711"/>
    </row>
    <row r="62" spans="4:17" x14ac:dyDescent="0.2">
      <c r="D62" s="324" t="s">
        <v>829</v>
      </c>
      <c r="E62" s="325">
        <v>0</v>
      </c>
      <c r="G62" s="708" t="s">
        <v>830</v>
      </c>
      <c r="H62" s="708"/>
      <c r="P62" s="326">
        <v>0.85</v>
      </c>
      <c r="Q62" s="326">
        <v>0.15</v>
      </c>
    </row>
    <row r="63" spans="4:17" ht="15" x14ac:dyDescent="0.25">
      <c r="D63" s="327" t="s">
        <v>832</v>
      </c>
      <c r="E63" s="325">
        <v>12</v>
      </c>
      <c r="G63" s="355" t="s">
        <v>833</v>
      </c>
      <c r="H63" s="328">
        <v>2358.02</v>
      </c>
      <c r="I63" t="s">
        <v>107</v>
      </c>
      <c r="K63" s="329">
        <v>1.5</v>
      </c>
      <c r="L63" s="329">
        <f>E63+E64+E65</f>
        <v>23</v>
      </c>
      <c r="M63" s="326">
        <f ca="1">L63/L65</f>
        <v>0.9509803921568627</v>
      </c>
      <c r="N63" s="330">
        <f ca="1">H$82*M63</f>
        <v>8601.2943137254897</v>
      </c>
      <c r="P63" s="330">
        <f ca="1">N63*P$4</f>
        <v>7311.1001666666662</v>
      </c>
      <c r="Q63" s="330">
        <f ca="1">N63*Q$4</f>
        <v>1290.1941470588233</v>
      </c>
    </row>
    <row r="64" spans="4:17" ht="15" x14ac:dyDescent="0.25">
      <c r="D64" s="327" t="s">
        <v>835</v>
      </c>
      <c r="E64" s="325">
        <v>7</v>
      </c>
      <c r="G64" s="322" t="s">
        <v>836</v>
      </c>
      <c r="H64" s="328">
        <v>0</v>
      </c>
      <c r="I64" t="s">
        <v>107</v>
      </c>
      <c r="K64" s="329" t="s">
        <v>837</v>
      </c>
      <c r="L64" s="329">
        <f>E66+E67+E68+E69+E70+E71</f>
        <v>17</v>
      </c>
      <c r="M64" s="326">
        <f ca="1">L64/L65</f>
        <v>4.9019607843137254E-2</v>
      </c>
      <c r="N64" s="330">
        <f ca="1">H$82*M64</f>
        <v>443.36568627450981</v>
      </c>
      <c r="P64" s="330">
        <f ca="1">N64*P$4</f>
        <v>376.86083333333335</v>
      </c>
      <c r="Q64" s="330">
        <f ca="1">N64*Q$4</f>
        <v>66.504852941176466</v>
      </c>
    </row>
    <row r="65" spans="4:17" ht="15" x14ac:dyDescent="0.25">
      <c r="D65" s="327" t="s">
        <v>839</v>
      </c>
      <c r="E65" s="325">
        <v>4</v>
      </c>
      <c r="G65" s="322" t="s">
        <v>868</v>
      </c>
      <c r="H65" s="328">
        <v>0</v>
      </c>
      <c r="K65" s="335" t="s">
        <v>844</v>
      </c>
      <c r="L65" s="335">
        <f ca="1">SUM(L63:L65)</f>
        <v>204</v>
      </c>
      <c r="M65" s="336">
        <f ca="1">SUM(M63:M64)</f>
        <v>1</v>
      </c>
      <c r="N65" s="337">
        <f ca="1">SUM(N63:N65)</f>
        <v>9044.66</v>
      </c>
      <c r="P65" s="337">
        <f ca="1">SUM(P63:P65)</f>
        <v>7687.9609999999993</v>
      </c>
      <c r="Q65" s="337">
        <f ca="1">SUM(Q63:Q65)</f>
        <v>1356.6989999999998</v>
      </c>
    </row>
    <row r="66" spans="4:17" ht="15" x14ac:dyDescent="0.25">
      <c r="D66" s="334" t="s">
        <v>842</v>
      </c>
      <c r="E66" s="325">
        <v>2</v>
      </c>
      <c r="G66" s="322" t="s">
        <v>869</v>
      </c>
      <c r="H66" s="328">
        <v>0</v>
      </c>
    </row>
    <row r="67" spans="4:17" ht="15" x14ac:dyDescent="0.25">
      <c r="D67" s="334" t="s">
        <v>846</v>
      </c>
      <c r="E67" s="325">
        <v>4</v>
      </c>
      <c r="G67" s="322" t="s">
        <v>870</v>
      </c>
      <c r="H67" s="328">
        <v>0</v>
      </c>
    </row>
    <row r="68" spans="4:17" ht="15" x14ac:dyDescent="0.25">
      <c r="D68" s="334" t="s">
        <v>849</v>
      </c>
      <c r="E68" s="325">
        <v>5</v>
      </c>
      <c r="G68" s="322" t="s">
        <v>871</v>
      </c>
      <c r="H68" s="328">
        <v>0</v>
      </c>
    </row>
    <row r="69" spans="4:17" x14ac:dyDescent="0.2">
      <c r="D69" s="334" t="s">
        <v>850</v>
      </c>
      <c r="E69" s="325">
        <v>1</v>
      </c>
      <c r="G69" s="708" t="s">
        <v>847</v>
      </c>
      <c r="H69" s="708"/>
    </row>
    <row r="70" spans="4:17" ht="15" x14ac:dyDescent="0.25">
      <c r="D70" s="334" t="s">
        <v>852</v>
      </c>
      <c r="E70" s="325">
        <v>4</v>
      </c>
      <c r="G70" s="331" t="s">
        <v>844</v>
      </c>
      <c r="H70" s="340">
        <v>2358</v>
      </c>
      <c r="I70" t="s">
        <v>101</v>
      </c>
    </row>
    <row r="71" spans="4:17" x14ac:dyDescent="0.2">
      <c r="D71" s="334" t="s">
        <v>854</v>
      </c>
      <c r="E71" s="325">
        <v>1</v>
      </c>
      <c r="G71" s="345" t="s">
        <v>851</v>
      </c>
      <c r="H71" s="346"/>
      <c r="I71" t="s">
        <v>101</v>
      </c>
    </row>
    <row r="72" spans="4:17" ht="15" x14ac:dyDescent="0.25">
      <c r="D72" s="324" t="s">
        <v>856</v>
      </c>
      <c r="E72" s="325">
        <v>0</v>
      </c>
      <c r="G72" s="331" t="s">
        <v>853</v>
      </c>
      <c r="H72" s="340">
        <v>0</v>
      </c>
      <c r="K72" s="330"/>
    </row>
    <row r="73" spans="4:17" ht="15" x14ac:dyDescent="0.25">
      <c r="D73" s="324" t="s">
        <v>858</v>
      </c>
      <c r="E73" s="325">
        <v>0</v>
      </c>
      <c r="G73" s="331" t="s">
        <v>855</v>
      </c>
      <c r="H73" s="341">
        <v>0</v>
      </c>
      <c r="K73" s="330"/>
    </row>
    <row r="74" spans="4:17" ht="15" x14ac:dyDescent="0.25">
      <c r="D74" s="324" t="s">
        <v>860</v>
      </c>
      <c r="E74" s="325">
        <v>0</v>
      </c>
      <c r="G74" s="331" t="s">
        <v>857</v>
      </c>
      <c r="H74" s="341">
        <v>0</v>
      </c>
      <c r="I74" t="s">
        <v>101</v>
      </c>
    </row>
    <row r="75" spans="4:17" x14ac:dyDescent="0.2">
      <c r="D75" s="324" t="s">
        <v>861</v>
      </c>
      <c r="E75" s="325">
        <v>0</v>
      </c>
      <c r="G75" s="347" t="s">
        <v>859</v>
      </c>
      <c r="H75" s="347"/>
      <c r="I75" t="s">
        <v>101</v>
      </c>
      <c r="K75" s="330"/>
    </row>
    <row r="76" spans="4:17" ht="15" x14ac:dyDescent="0.25">
      <c r="D76" s="324" t="s">
        <v>862</v>
      </c>
      <c r="E76" s="325">
        <v>0</v>
      </c>
      <c r="G76" s="331" t="s">
        <v>853</v>
      </c>
      <c r="H76" s="340">
        <v>0</v>
      </c>
    </row>
    <row r="77" spans="4:17" ht="15" x14ac:dyDescent="0.25">
      <c r="D77" s="324" t="s">
        <v>863</v>
      </c>
      <c r="E77" s="325">
        <v>0</v>
      </c>
      <c r="G77" s="331" t="s">
        <v>855</v>
      </c>
      <c r="H77" s="341">
        <v>0</v>
      </c>
    </row>
    <row r="78" spans="4:17" ht="15" x14ac:dyDescent="0.25">
      <c r="D78" s="324" t="s">
        <v>865</v>
      </c>
      <c r="E78" s="325">
        <v>0</v>
      </c>
      <c r="G78" s="331" t="s">
        <v>857</v>
      </c>
      <c r="H78" s="341">
        <v>0</v>
      </c>
      <c r="I78" t="s">
        <v>101</v>
      </c>
    </row>
    <row r="79" spans="4:17" ht="15" x14ac:dyDescent="0.25">
      <c r="D79" s="343" t="s">
        <v>844</v>
      </c>
      <c r="E79" s="344">
        <f>SUM(E62:E78)</f>
        <v>40</v>
      </c>
      <c r="G79" s="347" t="s">
        <v>864</v>
      </c>
      <c r="H79" s="347"/>
      <c r="K79" s="330"/>
    </row>
    <row r="80" spans="4:17" ht="15" x14ac:dyDescent="0.25">
      <c r="G80" s="331" t="s">
        <v>844</v>
      </c>
      <c r="H80" s="341">
        <v>6339.59</v>
      </c>
      <c r="I80" t="s">
        <v>113</v>
      </c>
      <c r="K80" s="330"/>
    </row>
    <row r="81" spans="4:17" x14ac:dyDescent="0.2">
      <c r="G81" s="347" t="s">
        <v>866</v>
      </c>
      <c r="H81" s="347"/>
      <c r="K81" s="330"/>
    </row>
    <row r="82" spans="4:17" ht="15" x14ac:dyDescent="0.25">
      <c r="G82" s="331" t="s">
        <v>844</v>
      </c>
      <c r="H82" s="340">
        <v>3887.19</v>
      </c>
      <c r="I82" t="s">
        <v>113</v>
      </c>
      <c r="K82" s="330"/>
    </row>
    <row r="83" spans="4:17" x14ac:dyDescent="0.2">
      <c r="G83" s="347" t="s">
        <v>867</v>
      </c>
      <c r="H83" s="347"/>
      <c r="K83" s="330"/>
    </row>
    <row r="84" spans="4:17" ht="15" x14ac:dyDescent="0.25">
      <c r="G84" s="338" t="s">
        <v>844</v>
      </c>
      <c r="H84" s="340">
        <v>3842</v>
      </c>
    </row>
    <row r="85" spans="4:17" ht="15" x14ac:dyDescent="0.25">
      <c r="G85" s="348"/>
      <c r="H85" s="349"/>
    </row>
    <row r="86" spans="4:17" ht="15" x14ac:dyDescent="0.25">
      <c r="G86" s="348"/>
      <c r="H86" s="349"/>
    </row>
    <row r="87" spans="4:17" ht="15" x14ac:dyDescent="0.25">
      <c r="G87" s="348"/>
      <c r="H87" s="349"/>
    </row>
    <row r="88" spans="4:17" ht="15" x14ac:dyDescent="0.25">
      <c r="G88" s="348"/>
      <c r="H88" s="349"/>
    </row>
    <row r="89" spans="4:17" x14ac:dyDescent="0.2">
      <c r="K89" s="330"/>
    </row>
    <row r="91" spans="4:17" ht="15.75" x14ac:dyDescent="0.25">
      <c r="D91" s="709" t="s">
        <v>875</v>
      </c>
      <c r="E91" s="709"/>
      <c r="F91" s="709"/>
      <c r="G91" s="709"/>
      <c r="H91" s="709"/>
    </row>
    <row r="92" spans="4:17" ht="15" x14ac:dyDescent="0.25">
      <c r="D92" s="711" t="s">
        <v>826</v>
      </c>
      <c r="E92" s="711"/>
      <c r="G92" s="711" t="s">
        <v>827</v>
      </c>
      <c r="H92" s="711"/>
    </row>
    <row r="93" spans="4:17" x14ac:dyDescent="0.2">
      <c r="D93" s="324" t="s">
        <v>829</v>
      </c>
      <c r="E93" s="325">
        <v>0</v>
      </c>
      <c r="G93" s="708" t="s">
        <v>830</v>
      </c>
      <c r="H93" s="708"/>
      <c r="P93" s="326">
        <v>0.85</v>
      </c>
      <c r="Q93" s="326">
        <v>0.15</v>
      </c>
    </row>
    <row r="94" spans="4:17" ht="15" x14ac:dyDescent="0.25">
      <c r="D94" s="327" t="s">
        <v>832</v>
      </c>
      <c r="E94" s="325">
        <v>18</v>
      </c>
      <c r="G94" s="322" t="s">
        <v>833</v>
      </c>
      <c r="H94" s="328">
        <v>3209.94</v>
      </c>
      <c r="I94" t="s">
        <v>107</v>
      </c>
      <c r="K94" s="329">
        <v>1.5</v>
      </c>
      <c r="L94" s="329">
        <f>E94+E95+E96</f>
        <v>24</v>
      </c>
      <c r="M94" s="326">
        <f>L94/L96</f>
        <v>0.55813953488372092</v>
      </c>
      <c r="N94" s="330">
        <f>H111*M94</f>
        <v>3355.7190697674419</v>
      </c>
      <c r="P94" s="330">
        <f>N94*P$4</f>
        <v>2852.3612093023253</v>
      </c>
      <c r="Q94" s="330">
        <f>N94*Q$4</f>
        <v>503.35786046511623</v>
      </c>
    </row>
    <row r="95" spans="4:17" ht="15" x14ac:dyDescent="0.25">
      <c r="D95" s="327" t="s">
        <v>835</v>
      </c>
      <c r="E95" s="325">
        <v>3</v>
      </c>
      <c r="G95" s="322" t="s">
        <v>836</v>
      </c>
      <c r="H95" s="328" t="e">
        <f>#REF!</f>
        <v>#REF!</v>
      </c>
      <c r="I95" t="s">
        <v>107</v>
      </c>
      <c r="K95" s="329" t="s">
        <v>837</v>
      </c>
      <c r="L95" s="329">
        <f>E97+E98+E99+E100+E101</f>
        <v>19</v>
      </c>
      <c r="M95" s="326">
        <f>L95/L96</f>
        <v>0.44186046511627908</v>
      </c>
      <c r="N95" s="330">
        <f>H111*M95</f>
        <v>2656.6109302325581</v>
      </c>
      <c r="P95" s="330">
        <f>N95*P$4</f>
        <v>2258.1192906976744</v>
      </c>
      <c r="Q95" s="330">
        <f>N95*Q$4</f>
        <v>398.49163953488369</v>
      </c>
    </row>
    <row r="96" spans="4:17" ht="15" x14ac:dyDescent="0.25">
      <c r="D96" s="327" t="s">
        <v>839</v>
      </c>
      <c r="E96" s="325">
        <v>3</v>
      </c>
      <c r="G96" s="322" t="s">
        <v>840</v>
      </c>
      <c r="H96" s="328">
        <v>0</v>
      </c>
      <c r="K96" s="335" t="s">
        <v>844</v>
      </c>
      <c r="L96" s="335">
        <f>SUM(L94:L95)</f>
        <v>43</v>
      </c>
      <c r="M96" s="336">
        <f>SUM(M94:M95)</f>
        <v>1</v>
      </c>
      <c r="N96" s="337">
        <f>SUM(N94:N95)</f>
        <v>6012.33</v>
      </c>
      <c r="P96" s="337">
        <f>SUM(P94:P95)</f>
        <v>5110.4804999999997</v>
      </c>
      <c r="Q96" s="337">
        <f>SUM(Q94:Q95)</f>
        <v>901.84949999999992</v>
      </c>
    </row>
    <row r="97" spans="4:11" ht="15" x14ac:dyDescent="0.25">
      <c r="D97" s="334" t="s">
        <v>842</v>
      </c>
      <c r="E97" s="325">
        <v>2</v>
      </c>
      <c r="G97" s="322" t="s">
        <v>843</v>
      </c>
      <c r="H97" s="328" t="e">
        <f>#REF!</f>
        <v>#REF!</v>
      </c>
    </row>
    <row r="98" spans="4:11" x14ac:dyDescent="0.2">
      <c r="D98" s="334" t="s">
        <v>846</v>
      </c>
      <c r="E98" s="325">
        <v>3</v>
      </c>
      <c r="G98" s="708" t="s">
        <v>847</v>
      </c>
      <c r="H98" s="708"/>
    </row>
    <row r="99" spans="4:11" ht="15" x14ac:dyDescent="0.25">
      <c r="D99" s="334" t="s">
        <v>849</v>
      </c>
      <c r="E99" s="325">
        <v>4</v>
      </c>
      <c r="G99" s="331" t="s">
        <v>844</v>
      </c>
      <c r="H99" s="340">
        <v>3232</v>
      </c>
      <c r="I99" t="s">
        <v>101</v>
      </c>
    </row>
    <row r="100" spans="4:11" x14ac:dyDescent="0.2">
      <c r="D100" s="334" t="s">
        <v>850</v>
      </c>
      <c r="E100" s="325">
        <v>5</v>
      </c>
      <c r="G100" s="712" t="s">
        <v>851</v>
      </c>
      <c r="H100" s="713"/>
    </row>
    <row r="101" spans="4:11" ht="15" x14ac:dyDescent="0.25">
      <c r="D101" s="334" t="s">
        <v>852</v>
      </c>
      <c r="E101" s="325">
        <v>5</v>
      </c>
      <c r="G101" s="331" t="s">
        <v>853</v>
      </c>
      <c r="H101" s="341">
        <v>0</v>
      </c>
      <c r="I101" t="s">
        <v>101</v>
      </c>
    </row>
    <row r="102" spans="4:11" ht="15" x14ac:dyDescent="0.25">
      <c r="D102" s="334" t="s">
        <v>854</v>
      </c>
      <c r="E102" s="325">
        <v>4</v>
      </c>
      <c r="G102" s="331" t="s">
        <v>855</v>
      </c>
      <c r="H102" s="341">
        <v>0</v>
      </c>
      <c r="I102" t="s">
        <v>101</v>
      </c>
      <c r="K102" s="330"/>
    </row>
    <row r="103" spans="4:11" ht="15" x14ac:dyDescent="0.25">
      <c r="D103" s="324" t="s">
        <v>856</v>
      </c>
      <c r="E103" s="325">
        <v>2</v>
      </c>
      <c r="G103" s="331" t="s">
        <v>857</v>
      </c>
      <c r="H103" s="341">
        <v>0</v>
      </c>
      <c r="K103" s="330"/>
    </row>
    <row r="104" spans="4:11" x14ac:dyDescent="0.2">
      <c r="D104" s="324" t="s">
        <v>858</v>
      </c>
      <c r="E104" s="325">
        <v>4</v>
      </c>
      <c r="G104" s="708" t="s">
        <v>859</v>
      </c>
      <c r="H104" s="708"/>
    </row>
    <row r="105" spans="4:11" ht="15" x14ac:dyDescent="0.25">
      <c r="D105" s="324" t="s">
        <v>860</v>
      </c>
      <c r="E105" s="325">
        <v>0</v>
      </c>
      <c r="G105" s="331" t="s">
        <v>853</v>
      </c>
      <c r="H105" s="341">
        <v>0</v>
      </c>
      <c r="I105" t="s">
        <v>101</v>
      </c>
    </row>
    <row r="106" spans="4:11" ht="15" x14ac:dyDescent="0.25">
      <c r="D106" s="324" t="s">
        <v>861</v>
      </c>
      <c r="E106" s="325">
        <v>0</v>
      </c>
      <c r="G106" s="331" t="s">
        <v>855</v>
      </c>
      <c r="H106" s="341">
        <v>0</v>
      </c>
      <c r="I106" t="s">
        <v>101</v>
      </c>
    </row>
    <row r="107" spans="4:11" ht="15" x14ac:dyDescent="0.25">
      <c r="D107" s="324" t="s">
        <v>862</v>
      </c>
      <c r="E107" s="325">
        <v>0</v>
      </c>
      <c r="G107" s="331" t="s">
        <v>857</v>
      </c>
      <c r="H107" s="341">
        <v>0</v>
      </c>
    </row>
    <row r="108" spans="4:11" x14ac:dyDescent="0.2">
      <c r="D108" s="324" t="s">
        <v>863</v>
      </c>
      <c r="E108" s="325">
        <v>0</v>
      </c>
      <c r="G108" s="708" t="s">
        <v>864</v>
      </c>
      <c r="H108" s="708"/>
    </row>
    <row r="109" spans="4:11" ht="15" x14ac:dyDescent="0.25">
      <c r="D109" s="324" t="s">
        <v>865</v>
      </c>
      <c r="E109" s="325">
        <v>0</v>
      </c>
      <c r="G109" s="331" t="s">
        <v>844</v>
      </c>
      <c r="H109" s="341">
        <v>10059.24</v>
      </c>
      <c r="I109" t="s">
        <v>101</v>
      </c>
    </row>
    <row r="110" spans="4:11" ht="15" x14ac:dyDescent="0.25">
      <c r="D110" s="343" t="s">
        <v>844</v>
      </c>
      <c r="E110" s="344">
        <f>SUM(E93:E109)</f>
        <v>53</v>
      </c>
      <c r="G110" s="708" t="s">
        <v>866</v>
      </c>
      <c r="H110" s="708"/>
    </row>
    <row r="111" spans="4:11" ht="15" x14ac:dyDescent="0.25">
      <c r="G111" s="331" t="s">
        <v>844</v>
      </c>
      <c r="H111" s="340">
        <v>6012.33</v>
      </c>
      <c r="I111" t="s">
        <v>113</v>
      </c>
    </row>
    <row r="112" spans="4:11" x14ac:dyDescent="0.2">
      <c r="G112" s="708" t="s">
        <v>867</v>
      </c>
      <c r="H112" s="708"/>
    </row>
    <row r="113" spans="4:13" ht="15" x14ac:dyDescent="0.25">
      <c r="G113" s="338" t="s">
        <v>844</v>
      </c>
      <c r="H113" s="340">
        <v>5945</v>
      </c>
      <c r="I113" t="s">
        <v>113</v>
      </c>
    </row>
    <row r="118" spans="4:13" ht="15" x14ac:dyDescent="0.25">
      <c r="D118" s="356"/>
      <c r="E118" s="357"/>
      <c r="F118" s="348"/>
      <c r="G118" s="348"/>
      <c r="H118" s="358"/>
      <c r="I118" s="348"/>
      <c r="K118" s="330"/>
    </row>
    <row r="119" spans="4:13" x14ac:dyDescent="0.2">
      <c r="D119" s="356"/>
      <c r="E119" s="357"/>
      <c r="F119" s="348"/>
      <c r="G119" s="716"/>
      <c r="H119" s="716"/>
      <c r="I119" s="348"/>
      <c r="K119" s="350" t="s">
        <v>876</v>
      </c>
      <c r="L119" s="350"/>
      <c r="M119" s="351">
        <f>H5+H33+H63+H94</f>
        <v>14665.210000000001</v>
      </c>
    </row>
    <row r="120" spans="4:13" ht="15" x14ac:dyDescent="0.25">
      <c r="D120" s="356"/>
      <c r="E120" s="357"/>
      <c r="F120" s="348"/>
      <c r="G120" s="348"/>
      <c r="H120" s="349"/>
      <c r="I120" s="348"/>
    </row>
    <row r="121" spans="4:13" ht="15" x14ac:dyDescent="0.25">
      <c r="D121" s="356"/>
      <c r="E121" s="357"/>
      <c r="F121" s="348"/>
      <c r="G121" s="348"/>
      <c r="H121" s="358"/>
      <c r="I121" s="348"/>
      <c r="K121" s="352" t="s">
        <v>832</v>
      </c>
      <c r="L121" s="352">
        <f t="shared" ref="L121:L131" si="0">E5+E33+E63+E94</f>
        <v>86</v>
      </c>
    </row>
    <row r="122" spans="4:13" ht="15" x14ac:dyDescent="0.25">
      <c r="D122" s="356"/>
      <c r="E122" s="357"/>
      <c r="F122" s="348"/>
      <c r="G122" s="348"/>
      <c r="H122" s="358"/>
      <c r="I122" s="348"/>
      <c r="K122" s="352" t="s">
        <v>835</v>
      </c>
      <c r="L122" s="352">
        <f t="shared" si="0"/>
        <v>24</v>
      </c>
    </row>
    <row r="123" spans="4:13" x14ac:dyDescent="0.2">
      <c r="D123" s="356"/>
      <c r="E123" s="357"/>
      <c r="F123" s="348"/>
      <c r="G123" s="716"/>
      <c r="H123" s="716"/>
      <c r="I123" s="348"/>
      <c r="K123" s="352" t="s">
        <v>839</v>
      </c>
      <c r="L123" s="352">
        <f t="shared" si="0"/>
        <v>12</v>
      </c>
    </row>
    <row r="124" spans="4:13" ht="15" x14ac:dyDescent="0.25">
      <c r="D124" s="356"/>
      <c r="E124" s="357"/>
      <c r="F124" s="348"/>
      <c r="G124" s="348"/>
      <c r="H124" s="358"/>
      <c r="I124" s="348"/>
      <c r="K124" s="352" t="s">
        <v>842</v>
      </c>
      <c r="L124" s="352">
        <f t="shared" si="0"/>
        <v>13</v>
      </c>
    </row>
    <row r="125" spans="4:13" ht="15" x14ac:dyDescent="0.25">
      <c r="D125" s="359"/>
      <c r="E125" s="360"/>
      <c r="F125" s="348"/>
      <c r="G125" s="716"/>
      <c r="H125" s="716"/>
      <c r="I125" s="348"/>
      <c r="K125" s="352" t="s">
        <v>846</v>
      </c>
      <c r="L125" s="352">
        <f t="shared" si="0"/>
        <v>15</v>
      </c>
    </row>
    <row r="126" spans="4:13" ht="15" x14ac:dyDescent="0.25">
      <c r="D126" s="348"/>
      <c r="E126" s="348"/>
      <c r="F126" s="348"/>
      <c r="G126" s="348"/>
      <c r="H126" s="349"/>
      <c r="I126" s="348"/>
      <c r="K126" s="352" t="s">
        <v>849</v>
      </c>
      <c r="L126" s="352">
        <f t="shared" si="0"/>
        <v>19</v>
      </c>
    </row>
    <row r="127" spans="4:13" x14ac:dyDescent="0.2">
      <c r="D127" s="348"/>
      <c r="E127" s="348"/>
      <c r="F127" s="348"/>
      <c r="G127" s="716"/>
      <c r="H127" s="716"/>
      <c r="I127" s="348"/>
      <c r="K127" s="352" t="s">
        <v>850</v>
      </c>
      <c r="L127" s="352">
        <f t="shared" si="0"/>
        <v>16</v>
      </c>
    </row>
    <row r="128" spans="4:13" ht="15" x14ac:dyDescent="0.25">
      <c r="D128" s="348"/>
      <c r="E128" s="348"/>
      <c r="F128" s="348"/>
      <c r="G128" s="348"/>
      <c r="H128" s="349"/>
      <c r="I128" s="348"/>
      <c r="K128" s="352" t="s">
        <v>852</v>
      </c>
      <c r="L128" s="352">
        <f t="shared" si="0"/>
        <v>21</v>
      </c>
    </row>
    <row r="129" spans="4:16" x14ac:dyDescent="0.2">
      <c r="D129" s="348"/>
      <c r="E129" s="348"/>
      <c r="F129" s="348"/>
      <c r="G129" s="348"/>
      <c r="H129" s="348"/>
      <c r="I129" s="348"/>
      <c r="K129" s="352" t="s">
        <v>854</v>
      </c>
      <c r="L129" s="352">
        <f t="shared" si="0"/>
        <v>14</v>
      </c>
    </row>
    <row r="130" spans="4:16" x14ac:dyDescent="0.2">
      <c r="K130" s="352" t="s">
        <v>856</v>
      </c>
      <c r="L130" s="352">
        <f t="shared" si="0"/>
        <v>6</v>
      </c>
    </row>
    <row r="131" spans="4:16" x14ac:dyDescent="0.2">
      <c r="E131" t="s">
        <v>877</v>
      </c>
      <c r="G131" t="s">
        <v>877</v>
      </c>
      <c r="K131" s="352" t="s">
        <v>858</v>
      </c>
      <c r="L131" s="352">
        <f t="shared" si="0"/>
        <v>11</v>
      </c>
    </row>
    <row r="132" spans="4:16" x14ac:dyDescent="0.2">
      <c r="E132" t="s">
        <v>882</v>
      </c>
      <c r="F132">
        <v>2507.9341985454598</v>
      </c>
      <c r="G132" t="s">
        <v>882</v>
      </c>
      <c r="H132">
        <v>5665.6631740377306</v>
      </c>
      <c r="K132" s="362" t="s">
        <v>861</v>
      </c>
      <c r="L132" s="352">
        <f>E17+E45+E75+E106</f>
        <v>1</v>
      </c>
    </row>
    <row r="133" spans="4:16" x14ac:dyDescent="0.2">
      <c r="E133" t="s">
        <v>888</v>
      </c>
      <c r="F133">
        <v>2022.7809402666685</v>
      </c>
      <c r="G133" t="s">
        <v>888</v>
      </c>
      <c r="H133">
        <v>3931.3437123106796</v>
      </c>
      <c r="K133" s="362" t="s">
        <v>862</v>
      </c>
      <c r="L133" s="352">
        <f>E18+E46+E76+E107</f>
        <v>2</v>
      </c>
    </row>
    <row r="134" spans="4:16" x14ac:dyDescent="0.2">
      <c r="E134" t="s">
        <v>889</v>
      </c>
      <c r="F134">
        <v>576.07388337777786</v>
      </c>
      <c r="G134" t="s">
        <v>889</v>
      </c>
      <c r="H134">
        <v>2010.4137857864077</v>
      </c>
      <c r="K134" s="362" t="s">
        <v>863</v>
      </c>
      <c r="L134" s="352">
        <f>E47+E77+E108+E19</f>
        <v>1</v>
      </c>
      <c r="N134" s="330"/>
    </row>
    <row r="135" spans="4:16" x14ac:dyDescent="0.2">
      <c r="K135" s="717" t="s">
        <v>877</v>
      </c>
      <c r="L135" s="717"/>
      <c r="M135" s="717"/>
      <c r="N135" s="717"/>
      <c r="O135" s="717"/>
      <c r="P135" s="717"/>
    </row>
    <row r="136" spans="4:16" x14ac:dyDescent="0.2">
      <c r="L136" s="342" t="s">
        <v>844</v>
      </c>
      <c r="M136" s="342" t="s">
        <v>878</v>
      </c>
      <c r="N136" s="342" t="s">
        <v>879</v>
      </c>
      <c r="O136" s="342" t="s">
        <v>880</v>
      </c>
      <c r="P136" s="342" t="s">
        <v>881</v>
      </c>
    </row>
    <row r="137" spans="4:16" x14ac:dyDescent="0.2">
      <c r="E137" t="s">
        <v>877</v>
      </c>
      <c r="G137" t="s">
        <v>877</v>
      </c>
      <c r="K137" s="353" t="s">
        <v>882</v>
      </c>
      <c r="L137" s="330">
        <f>F132+H132+F138+H138</f>
        <v>13397.547767626667</v>
      </c>
      <c r="M137">
        <f>L137*0.83</f>
        <v>11119.964647130133</v>
      </c>
      <c r="N137">
        <f>L137*0.1</f>
        <v>1339.7547767626668</v>
      </c>
      <c r="O137">
        <f>L137*0.05</f>
        <v>669.87738838133339</v>
      </c>
      <c r="P137" s="330">
        <f>L137*0.02</f>
        <v>267.95095535253336</v>
      </c>
    </row>
    <row r="138" spans="4:16" x14ac:dyDescent="0.2">
      <c r="E138" t="s">
        <v>882</v>
      </c>
      <c r="F138">
        <v>2253.3649210434869</v>
      </c>
      <c r="G138" t="s">
        <v>882</v>
      </c>
      <c r="H138">
        <v>2970.5854739999913</v>
      </c>
      <c r="K138" s="353" t="s">
        <v>883</v>
      </c>
      <c r="L138">
        <f>F133+H133+F139+H139</f>
        <v>9933.3833426226302</v>
      </c>
      <c r="M138">
        <f>L138*0.85</f>
        <v>8443.3758412292354</v>
      </c>
      <c r="N138">
        <f>L138*0.1</f>
        <v>993.33833426226306</v>
      </c>
      <c r="O138">
        <f>L138*0.05</f>
        <v>496.66916713113153</v>
      </c>
    </row>
    <row r="139" spans="4:16" x14ac:dyDescent="0.2">
      <c r="E139" t="s">
        <v>888</v>
      </c>
      <c r="F139">
        <v>1590.5788108000004</v>
      </c>
      <c r="G139" t="s">
        <v>888</v>
      </c>
      <c r="H139">
        <v>2388.6798792452823</v>
      </c>
      <c r="K139" s="354" t="s">
        <v>884</v>
      </c>
      <c r="M139">
        <f>L140*0.85</f>
        <v>3006.8767372348416</v>
      </c>
    </row>
    <row r="140" spans="4:16" x14ac:dyDescent="0.2">
      <c r="E140" t="s">
        <v>889</v>
      </c>
      <c r="F140" t="e">
        <v>#REF!</v>
      </c>
      <c r="G140" t="s">
        <v>889</v>
      </c>
      <c r="H140">
        <v>951.01437464151013</v>
      </c>
      <c r="K140" s="354" t="s">
        <v>885</v>
      </c>
      <c r="L140">
        <f>F134+H134+H140</f>
        <v>3537.5020438056958</v>
      </c>
      <c r="N140">
        <f>L140*0.15</f>
        <v>530.62530657085438</v>
      </c>
    </row>
    <row r="143" spans="4:16" x14ac:dyDescent="0.2">
      <c r="K143" s="354" t="s">
        <v>864</v>
      </c>
    </row>
    <row r="145" spans="5:11" x14ac:dyDescent="0.2">
      <c r="K145">
        <f>H20+H48+H80+H109</f>
        <v>41208.58</v>
      </c>
    </row>
    <row r="147" spans="5:11" x14ac:dyDescent="0.2">
      <c r="K147" s="342" t="s">
        <v>867</v>
      </c>
    </row>
    <row r="148" spans="5:11" x14ac:dyDescent="0.2">
      <c r="K148" s="330">
        <f>H24+H52+H84+H113</f>
        <v>26150</v>
      </c>
    </row>
    <row r="150" spans="5:11" x14ac:dyDescent="0.2">
      <c r="K150" t="s">
        <v>851</v>
      </c>
    </row>
    <row r="151" spans="5:11" x14ac:dyDescent="0.2">
      <c r="K151" s="330">
        <f>((M119*3255.33)/2822.17)/2</f>
        <v>8458.0478974158195</v>
      </c>
    </row>
    <row r="153" spans="5:11" x14ac:dyDescent="0.2">
      <c r="K153" t="s">
        <v>859</v>
      </c>
    </row>
    <row r="154" spans="5:11" x14ac:dyDescent="0.2">
      <c r="K154" s="330">
        <f>((M119*3678.66)/2822.17)/2</f>
        <v>9557.9503393842333</v>
      </c>
    </row>
    <row r="156" spans="5:11" x14ac:dyDescent="0.2">
      <c r="E156" t="s">
        <v>886</v>
      </c>
      <c r="K156" t="s">
        <v>866</v>
      </c>
    </row>
    <row r="157" spans="5:11" x14ac:dyDescent="0.2">
      <c r="E157" t="s">
        <v>877</v>
      </c>
      <c r="K157" s="330">
        <f>H22+H50+H82+H111</f>
        <v>26435.909999999996</v>
      </c>
    </row>
    <row r="158" spans="5:11" x14ac:dyDescent="0.2">
      <c r="E158" t="s">
        <v>844</v>
      </c>
      <c r="F158" t="s">
        <v>887</v>
      </c>
      <c r="G158" t="s">
        <v>879</v>
      </c>
    </row>
    <row r="159" spans="5:11" x14ac:dyDescent="0.2">
      <c r="E159">
        <f>861*1*0.9</f>
        <v>774.9</v>
      </c>
      <c r="F159">
        <f>E159*0.85</f>
        <v>658.66499999999996</v>
      </c>
      <c r="G159">
        <f>E159*0.15</f>
        <v>116.23499999999999</v>
      </c>
    </row>
  </sheetData>
  <mergeCells count="42">
    <mergeCell ref="G127:H127"/>
    <mergeCell ref="K135:P135"/>
    <mergeCell ref="G119:H119"/>
    <mergeCell ref="G123:H123"/>
    <mergeCell ref="G125:H125"/>
    <mergeCell ref="D60:H60"/>
    <mergeCell ref="G112:H112"/>
    <mergeCell ref="G62:H62"/>
    <mergeCell ref="G69:H69"/>
    <mergeCell ref="D91:H91"/>
    <mergeCell ref="D92:E92"/>
    <mergeCell ref="G92:H92"/>
    <mergeCell ref="G93:H93"/>
    <mergeCell ref="G98:H98"/>
    <mergeCell ref="G100:H100"/>
    <mergeCell ref="G104:H104"/>
    <mergeCell ref="G108:H108"/>
    <mergeCell ref="G110:H110"/>
    <mergeCell ref="K12:M12"/>
    <mergeCell ref="G15:H15"/>
    <mergeCell ref="G19:H19"/>
    <mergeCell ref="G21:H21"/>
    <mergeCell ref="D61:E61"/>
    <mergeCell ref="G61:H61"/>
    <mergeCell ref="D30:H30"/>
    <mergeCell ref="D31:E31"/>
    <mergeCell ref="G31:H31"/>
    <mergeCell ref="G32:H32"/>
    <mergeCell ref="G37:H37"/>
    <mergeCell ref="G39:H39"/>
    <mergeCell ref="G43:H43"/>
    <mergeCell ref="G47:H47"/>
    <mergeCell ref="G49:H49"/>
    <mergeCell ref="G51:H51"/>
    <mergeCell ref="G23:H23"/>
    <mergeCell ref="D2:H2"/>
    <mergeCell ref="A3:B3"/>
    <mergeCell ref="D3:E3"/>
    <mergeCell ref="G3:H3"/>
    <mergeCell ref="G4:H4"/>
    <mergeCell ref="G9:H9"/>
    <mergeCell ref="G11:H1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11</vt:i4>
      </vt:variant>
    </vt:vector>
  </HeadingPairs>
  <TitlesOfParts>
    <vt:vector size="20" baseType="lpstr">
      <vt:lpstr>ORÇAMENTO</vt:lpstr>
      <vt:lpstr>COMPOSIÇÕES DE CUSTO</vt:lpstr>
      <vt:lpstr>CRONOGRAMA</vt:lpstr>
      <vt:lpstr>INSTALAÇÕES ELÉTRICAS ELT-001</vt:lpstr>
      <vt:lpstr>INSTALAÇÕES ELÉTRICAS ELT-002</vt:lpstr>
      <vt:lpstr>INSTALAÇÕES ELÉTRICAS ELT-003</vt:lpstr>
      <vt:lpstr>BDI'S</vt:lpstr>
      <vt:lpstr>BDI'M</vt:lpstr>
      <vt:lpstr>QUANTITATIVOS DE REDE</vt:lpstr>
      <vt:lpstr>'BDI''M'!Area_de_impressao</vt:lpstr>
      <vt:lpstr>'BDI''S'!Area_de_impressao</vt:lpstr>
      <vt:lpstr>'COMPOSIÇÕES DE CUSTO'!Area_de_impressao</vt:lpstr>
      <vt:lpstr>CRONOGRAMA!Area_de_impressao</vt:lpstr>
      <vt:lpstr>'INSTALAÇÕES ELÉTRICAS ELT-001'!Area_de_impressao</vt:lpstr>
      <vt:lpstr>'INSTALAÇÕES ELÉTRICAS ELT-002'!Area_de_impressao</vt:lpstr>
      <vt:lpstr>'INSTALAÇÕES ELÉTRICAS ELT-003'!Area_de_impressao</vt:lpstr>
      <vt:lpstr>ORÇAMENTO!Area_de_impressao</vt:lpstr>
      <vt:lpstr>'COMPOSIÇÕES DE CUSTO'!Titulos_de_impressao</vt:lpstr>
      <vt:lpstr>'INSTALAÇÕES ELÉTRICAS ELT-001'!Titulos_de_impressao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</dc:creator>
  <cp:lastModifiedBy>Dacio</cp:lastModifiedBy>
  <cp:lastPrinted>2016-02-05T11:52:57Z</cp:lastPrinted>
  <dcterms:created xsi:type="dcterms:W3CDTF">2011-04-01T04:23:17Z</dcterms:created>
  <dcterms:modified xsi:type="dcterms:W3CDTF">2016-02-05T11:54:40Z</dcterms:modified>
</cp:coreProperties>
</file>