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45" windowWidth="10575" windowHeight="7845"/>
  </bookViews>
  <sheets>
    <sheet name="ORÇAMENTO" sheetId="2" r:id="rId1"/>
    <sheet name="CRONOGRAMA" sheetId="3" r:id="rId2"/>
    <sheet name="COMPOSIÇÕES" sheetId="4" r:id="rId3"/>
    <sheet name="BDI S" sheetId="16" r:id="rId4"/>
    <sheet name="BDI M" sheetId="17" r:id="rId5"/>
    <sheet name="EEE01" sheetId="13" r:id="rId6"/>
    <sheet name="EEEF" sheetId="14" r:id="rId7"/>
    <sheet name="ETE" sheetId="15" r:id="rId8"/>
    <sheet name="planilha auxiliar" sheetId="9" r:id="rId9"/>
    <sheet name="ESC." sheetId="10" r:id="rId10"/>
    <sheet name="PV'S" sheetId="11" r:id="rId11"/>
    <sheet name="BDI-S" sheetId="6" r:id="rId12"/>
    <sheet name="BDI-M" sheetId="7" r:id="rId13"/>
    <sheet name="Plan1" sheetId="12" r:id="rId14"/>
  </sheets>
  <definedNames>
    <definedName name="_xlnm._FilterDatabase" localSheetId="0" hidden="1">ORÇAMENTO!$A$12:$I$471</definedName>
    <definedName name="_xlnm.Print_Area" localSheetId="12">'BDI-M'!$A$1:$D$39</definedName>
    <definedName name="_xlnm.Print_Area" localSheetId="11">'BDI-S'!$A$1:$D$39</definedName>
    <definedName name="_xlnm.Print_Area" localSheetId="2">COMPOSIÇÕES!$A$1:$I$808</definedName>
    <definedName name="_xlnm.Print_Area" localSheetId="1">CRONOGRAMA!$A$1:$P$39</definedName>
    <definedName name="_xlnm.Print_Area" localSheetId="5">'EEE01'!$A$1:$K$114</definedName>
    <definedName name="_xlnm.Print_Area" localSheetId="6">EEEF!$A$1:$K$113</definedName>
    <definedName name="_xlnm.Print_Area" localSheetId="7">ETE!$A$1:$K$306</definedName>
    <definedName name="_xlnm.Print_Area" localSheetId="0">ORÇAMENTO!$A$1:$I$655</definedName>
    <definedName name="INTERCEPTOR_A" localSheetId="10">'PV''S'!#REF!</definedName>
    <definedName name="INTERCEPTOR_B" localSheetId="10">'PV''S'!#REF!</definedName>
    <definedName name="INTERCEPTOR_C" localSheetId="10">'PV''S'!#REF!</definedName>
    <definedName name="INTERCEPTOR_COLETORA" localSheetId="8">'planilha auxiliar'!$A$21:$L$362947</definedName>
    <definedName name="INTERCEPTOR_D" localSheetId="10">'PV''S'!#REF!</definedName>
    <definedName name="INTERCEPTOR_E" localSheetId="10">'PV''S'!#REF!</definedName>
    <definedName name="INTERCEPTOR_F" localSheetId="10">'PV''S'!#REF!</definedName>
    <definedName name="INTERCEPTOR_G" localSheetId="10">'PV''S'!#REF!</definedName>
    <definedName name="INTERCEPTOR_H" localSheetId="10">'PV''S'!#REF!</definedName>
    <definedName name="INTERCEPTOR_I" localSheetId="10">'PV''S'!#REF!</definedName>
    <definedName name="INTERCEPTOR_J" localSheetId="10">'PV''S'!#REF!</definedName>
    <definedName name="INTERCEPTOR_M" localSheetId="10">'PV''S'!#REF!</definedName>
    <definedName name="INTPARTEA" localSheetId="10">'PV''S'!$A$1:$Y$25</definedName>
    <definedName name="INTPARTEB" localSheetId="10">'PV''S'!$A$26:$Z$33</definedName>
    <definedName name="INTPARTEC" localSheetId="10">'PV''S'!$A$34:$Z$41</definedName>
    <definedName name="INTPARTEC_1" localSheetId="10">'PV''S'!#REF!</definedName>
    <definedName name="INTPARTED" localSheetId="10">'PV''S'!$A$42:$Z$61</definedName>
    <definedName name="_xlnm.Print_Titles" localSheetId="2">COMPOSIÇÕES!$1:$11</definedName>
    <definedName name="_xlnm.Print_Titles" localSheetId="0">ORÇAMENTO!$1:$11</definedName>
  </definedNames>
  <calcPr calcId="145621"/>
</workbook>
</file>

<file path=xl/calcChain.xml><?xml version="1.0" encoding="utf-8"?>
<calcChain xmlns="http://schemas.openxmlformats.org/spreadsheetml/2006/main">
  <c r="L16" i="2" l="1"/>
  <c r="K16" i="2"/>
  <c r="C31" i="17"/>
  <c r="C29" i="17"/>
  <c r="D25" i="17"/>
  <c r="D24" i="17"/>
  <c r="D23" i="17"/>
  <c r="D22" i="17"/>
  <c r="D21" i="17"/>
  <c r="E23" i="17" s="1"/>
  <c r="E24" i="17" s="1"/>
  <c r="C34" i="16"/>
  <c r="C32" i="16"/>
  <c r="D30" i="16"/>
  <c r="D29" i="16"/>
  <c r="D26" i="16"/>
  <c r="D25" i="16"/>
  <c r="D24" i="16"/>
  <c r="D23" i="16"/>
  <c r="D22" i="16"/>
  <c r="E24" i="16" s="1"/>
  <c r="E25" i="16" s="1"/>
  <c r="F435" i="2" l="1"/>
  <c r="F432" i="2"/>
  <c r="F402" i="2" l="1"/>
  <c r="F399" i="2"/>
  <c r="F398" i="2"/>
  <c r="F627" i="2" l="1"/>
  <c r="F589" i="2"/>
  <c r="F581" i="2"/>
  <c r="F580" i="2"/>
  <c r="H581" i="2"/>
  <c r="H580" i="2"/>
  <c r="F578" i="2"/>
  <c r="F579" i="2" s="1"/>
  <c r="H579" i="2"/>
  <c r="H578" i="2"/>
  <c r="I580" i="2" l="1"/>
  <c r="I581" i="2"/>
  <c r="I579" i="2"/>
  <c r="I578" i="2"/>
  <c r="F576" i="2" l="1"/>
  <c r="F577" i="2"/>
  <c r="F525" i="2" l="1"/>
  <c r="F466" i="2" l="1"/>
  <c r="F63" i="2"/>
  <c r="H617" i="2"/>
  <c r="I617" i="2" s="1"/>
  <c r="H431" i="2" l="1"/>
  <c r="H485" i="2"/>
  <c r="H546" i="2"/>
  <c r="H573" i="2"/>
  <c r="H399" i="2"/>
  <c r="H435" i="2"/>
  <c r="H509" i="2"/>
  <c r="H544" i="2"/>
  <c r="H571" i="2"/>
  <c r="H398" i="2"/>
  <c r="H459" i="2"/>
  <c r="H545" i="2"/>
  <c r="H434" i="2"/>
  <c r="H462" i="2"/>
  <c r="H510" i="2"/>
  <c r="H543" i="2"/>
  <c r="H432" i="2"/>
  <c r="H460" i="2"/>
  <c r="H541" i="2"/>
  <c r="H570" i="2"/>
  <c r="H430" i="2"/>
  <c r="H436" i="2"/>
  <c r="H486" i="2"/>
  <c r="H572" i="2"/>
  <c r="H402" i="2"/>
  <c r="H463" i="2"/>
  <c r="H401" i="2"/>
  <c r="H400" i="2"/>
  <c r="H433" i="2"/>
  <c r="H461" i="2"/>
  <c r="H542" i="2"/>
  <c r="H120" i="2"/>
  <c r="I120" i="2" s="1"/>
  <c r="H295" i="2"/>
  <c r="I295" i="2" s="1"/>
  <c r="F405" i="2" l="1"/>
  <c r="D507" i="2" l="1"/>
  <c r="C507" i="2"/>
  <c r="H509" i="4"/>
  <c r="I509" i="4" s="1"/>
  <c r="H508" i="4"/>
  <c r="I508" i="4" s="1"/>
  <c r="H507" i="4"/>
  <c r="I507" i="4" s="1"/>
  <c r="H506" i="4"/>
  <c r="I506" i="4" s="1"/>
  <c r="H505" i="4"/>
  <c r="I505" i="4" s="1"/>
  <c r="H504" i="4"/>
  <c r="I504" i="4" s="1"/>
  <c r="F240" i="2"/>
  <c r="R29" i="3"/>
  <c r="D52" i="2"/>
  <c r="B29" i="3" s="1"/>
  <c r="A52" i="2"/>
  <c r="A29" i="3" s="1"/>
  <c r="G616" i="2"/>
  <c r="G615" i="2"/>
  <c r="G614" i="2"/>
  <c r="G613" i="2"/>
  <c r="G612" i="2"/>
  <c r="G611" i="2"/>
  <c r="G610" i="2"/>
  <c r="D616" i="2"/>
  <c r="D615" i="2"/>
  <c r="D614" i="2"/>
  <c r="D613" i="2"/>
  <c r="D612" i="2"/>
  <c r="D611" i="2"/>
  <c r="D610" i="2"/>
  <c r="C616" i="2"/>
  <c r="C615" i="2"/>
  <c r="C614" i="2"/>
  <c r="C613" i="2"/>
  <c r="C612" i="2"/>
  <c r="C611" i="2"/>
  <c r="C610" i="2"/>
  <c r="G294" i="2"/>
  <c r="G293" i="2"/>
  <c r="G292" i="2"/>
  <c r="D294" i="2"/>
  <c r="D293" i="2"/>
  <c r="D292" i="2"/>
  <c r="C294" i="2"/>
  <c r="C293" i="2"/>
  <c r="C292" i="2"/>
  <c r="G119" i="2"/>
  <c r="G118" i="2"/>
  <c r="G117" i="2"/>
  <c r="D119" i="2"/>
  <c r="D118" i="2"/>
  <c r="D117" i="2"/>
  <c r="C119" i="2"/>
  <c r="C118" i="2"/>
  <c r="C117" i="2"/>
  <c r="H77" i="14"/>
  <c r="H39" i="14"/>
  <c r="H78" i="13"/>
  <c r="H40" i="13"/>
  <c r="H40" i="15"/>
  <c r="H76" i="15"/>
  <c r="H115" i="15"/>
  <c r="H154" i="15"/>
  <c r="H192" i="15"/>
  <c r="H231" i="15"/>
  <c r="H270" i="15"/>
  <c r="K300" i="15"/>
  <c r="K299" i="15"/>
  <c r="K287" i="15"/>
  <c r="K285" i="15"/>
  <c r="K283" i="15"/>
  <c r="K281" i="15"/>
  <c r="K279" i="15"/>
  <c r="K265" i="15"/>
  <c r="K264" i="15"/>
  <c r="K259" i="15"/>
  <c r="K257" i="15"/>
  <c r="K255" i="15"/>
  <c r="K253" i="15"/>
  <c r="K251" i="15"/>
  <c r="K249" i="15"/>
  <c r="K247" i="15"/>
  <c r="K245" i="15"/>
  <c r="K243" i="15"/>
  <c r="K241" i="15"/>
  <c r="K239" i="15"/>
  <c r="K228" i="15"/>
  <c r="K227" i="15"/>
  <c r="K223" i="15"/>
  <c r="K221" i="15"/>
  <c r="K220" i="15"/>
  <c r="K219" i="15"/>
  <c r="K218" i="15"/>
  <c r="K216" i="15"/>
  <c r="K213" i="15"/>
  <c r="K212" i="15"/>
  <c r="K211" i="15"/>
  <c r="K210" i="15"/>
  <c r="K208" i="15"/>
  <c r="K206" i="15"/>
  <c r="K205" i="15"/>
  <c r="K203" i="15"/>
  <c r="K202" i="15"/>
  <c r="K184" i="15"/>
  <c r="K183" i="15"/>
  <c r="K185" i="15" s="1"/>
  <c r="K172" i="15"/>
  <c r="K169" i="15"/>
  <c r="K168" i="15"/>
  <c r="K167" i="15"/>
  <c r="K166" i="15"/>
  <c r="K163" i="15"/>
  <c r="K149" i="15"/>
  <c r="K148" i="15"/>
  <c r="K143" i="15"/>
  <c r="K142" i="15"/>
  <c r="K141" i="15"/>
  <c r="K140" i="15"/>
  <c r="K138" i="15"/>
  <c r="K136" i="15"/>
  <c r="K134" i="15"/>
  <c r="K132" i="15"/>
  <c r="K130" i="15"/>
  <c r="K128" i="15"/>
  <c r="K126" i="15"/>
  <c r="K101" i="15"/>
  <c r="K100" i="15"/>
  <c r="K84" i="15"/>
  <c r="K82" i="15"/>
  <c r="K73" i="15"/>
  <c r="K72" i="15"/>
  <c r="K71" i="15"/>
  <c r="K69" i="15"/>
  <c r="K68" i="15"/>
  <c r="K66" i="15"/>
  <c r="K65" i="15"/>
  <c r="K64" i="15"/>
  <c r="K63" i="15"/>
  <c r="K62" i="15"/>
  <c r="K61" i="15"/>
  <c r="K60" i="15"/>
  <c r="K59" i="15"/>
  <c r="K57" i="15"/>
  <c r="K56" i="15"/>
  <c r="K55" i="15"/>
  <c r="K53" i="15"/>
  <c r="K52" i="15"/>
  <c r="K51" i="15"/>
  <c r="K48" i="15"/>
  <c r="K31" i="15"/>
  <c r="K30" i="15"/>
  <c r="K29" i="15"/>
  <c r="K22" i="15"/>
  <c r="K20" i="15"/>
  <c r="K17" i="15"/>
  <c r="K16" i="15"/>
  <c r="K12" i="15"/>
  <c r="I503" i="4" l="1"/>
  <c r="G507" i="2" s="1"/>
  <c r="K144" i="15"/>
  <c r="K102" i="15"/>
  <c r="K108" i="15" s="1"/>
  <c r="K151" i="15"/>
  <c r="K224" i="15"/>
  <c r="K229" i="15" s="1"/>
  <c r="K180" i="15"/>
  <c r="K188" i="15" s="1"/>
  <c r="K32" i="15"/>
  <c r="K25" i="15"/>
  <c r="K261" i="15"/>
  <c r="K267" i="15" s="1"/>
  <c r="K303" i="15"/>
  <c r="K152" i="15" l="1"/>
  <c r="K35" i="15"/>
  <c r="K106" i="14" l="1"/>
  <c r="K105" i="14"/>
  <c r="K108" i="14" s="1"/>
  <c r="K95" i="14"/>
  <c r="K91" i="14"/>
  <c r="K89" i="14"/>
  <c r="K87" i="14"/>
  <c r="K71" i="14"/>
  <c r="K70" i="14"/>
  <c r="K72" i="14" s="1"/>
  <c r="K64" i="14"/>
  <c r="K63" i="14"/>
  <c r="K62" i="14"/>
  <c r="K61" i="14"/>
  <c r="K60" i="14"/>
  <c r="K58" i="14"/>
  <c r="K56" i="14"/>
  <c r="K54" i="14"/>
  <c r="K52" i="14"/>
  <c r="K50" i="14"/>
  <c r="K48" i="14"/>
  <c r="K32" i="14"/>
  <c r="K31" i="14"/>
  <c r="K24" i="14"/>
  <c r="K22" i="14"/>
  <c r="K21" i="14"/>
  <c r="K20" i="14"/>
  <c r="K19" i="14"/>
  <c r="K17" i="14"/>
  <c r="K16" i="14"/>
  <c r="K15" i="14"/>
  <c r="K14" i="14"/>
  <c r="K13" i="14"/>
  <c r="K11" i="14"/>
  <c r="K10" i="14"/>
  <c r="K107" i="13"/>
  <c r="K106" i="13"/>
  <c r="K109" i="13" s="1"/>
  <c r="K96" i="13"/>
  <c r="K92" i="13"/>
  <c r="K90" i="13"/>
  <c r="K88" i="13"/>
  <c r="K94" i="13" s="1"/>
  <c r="K102" i="13" s="1"/>
  <c r="K72" i="13"/>
  <c r="K71" i="13"/>
  <c r="K65" i="13"/>
  <c r="K64" i="13"/>
  <c r="K63" i="13"/>
  <c r="K62" i="13"/>
  <c r="K61" i="13"/>
  <c r="K59" i="13"/>
  <c r="K57" i="13"/>
  <c r="K55" i="13"/>
  <c r="K53" i="13"/>
  <c r="K51" i="13"/>
  <c r="K49" i="13"/>
  <c r="K33" i="13"/>
  <c r="K32" i="13"/>
  <c r="K24" i="13"/>
  <c r="K22" i="13"/>
  <c r="K21" i="13"/>
  <c r="K20" i="13"/>
  <c r="K19" i="13"/>
  <c r="K17" i="13"/>
  <c r="K15" i="13"/>
  <c r="K14" i="13"/>
  <c r="K13" i="13"/>
  <c r="K11" i="13"/>
  <c r="K10" i="13"/>
  <c r="F190" i="2"/>
  <c r="F189" i="2"/>
  <c r="K66" i="14" l="1"/>
  <c r="K74" i="14" s="1"/>
  <c r="K34" i="14"/>
  <c r="K93" i="14"/>
  <c r="K101" i="14" s="1"/>
  <c r="K111" i="14" s="1"/>
  <c r="K67" i="13"/>
  <c r="K73" i="13"/>
  <c r="K35" i="13"/>
  <c r="K112" i="13"/>
  <c r="K75" i="13" l="1"/>
  <c r="F568" i="2" l="1"/>
  <c r="D566" i="2"/>
  <c r="C566" i="2"/>
  <c r="H574" i="4"/>
  <c r="I574" i="4" s="1"/>
  <c r="H573" i="4"/>
  <c r="I573" i="4" s="1"/>
  <c r="H572" i="4"/>
  <c r="F572" i="4"/>
  <c r="H571" i="4"/>
  <c r="I571" i="4" s="1"/>
  <c r="H570" i="4"/>
  <c r="F570" i="4"/>
  <c r="H569" i="4"/>
  <c r="I569" i="4" s="1"/>
  <c r="F547" i="2"/>
  <c r="D481" i="2"/>
  <c r="C481" i="2"/>
  <c r="H431" i="4"/>
  <c r="I431" i="4" s="1"/>
  <c r="H430" i="4"/>
  <c r="I430" i="4" s="1"/>
  <c r="H429" i="4"/>
  <c r="F429" i="4"/>
  <c r="H428" i="4"/>
  <c r="I428" i="4" s="1"/>
  <c r="H427" i="4"/>
  <c r="F427" i="4"/>
  <c r="H426" i="4"/>
  <c r="I426" i="4" s="1"/>
  <c r="D456" i="2"/>
  <c r="F488" i="2"/>
  <c r="F484" i="2"/>
  <c r="F483" i="2" s="1"/>
  <c r="F461" i="2"/>
  <c r="F460" i="2"/>
  <c r="F433" i="2"/>
  <c r="F431" i="2"/>
  <c r="F401" i="2"/>
  <c r="F400" i="2"/>
  <c r="F101" i="2"/>
  <c r="G494" i="2"/>
  <c r="G284" i="2"/>
  <c r="G110" i="2"/>
  <c r="I572" i="4" l="1"/>
  <c r="I429" i="4"/>
  <c r="I427" i="4"/>
  <c r="I570" i="4"/>
  <c r="I568" i="4" s="1"/>
  <c r="G566" i="2" s="1"/>
  <c r="I425" i="4"/>
  <c r="G481" i="2" s="1"/>
  <c r="G518" i="2"/>
  <c r="H518" i="2" s="1"/>
  <c r="H526" i="4"/>
  <c r="I526" i="4" s="1"/>
  <c r="H527" i="4"/>
  <c r="I527" i="4" s="1"/>
  <c r="H528" i="4"/>
  <c r="I528" i="4" s="1"/>
  <c r="H807" i="4" l="1"/>
  <c r="I807" i="4" s="1"/>
  <c r="H806" i="4"/>
  <c r="I806" i="4" s="1"/>
  <c r="H805" i="4"/>
  <c r="I805" i="4" s="1"/>
  <c r="H804" i="4"/>
  <c r="I804" i="4" s="1"/>
  <c r="D352" i="2"/>
  <c r="C352" i="2"/>
  <c r="D351" i="2"/>
  <c r="C351" i="2"/>
  <c r="H803" i="4" l="1"/>
  <c r="I803" i="4" s="1"/>
  <c r="H802" i="4"/>
  <c r="I802" i="4" s="1"/>
  <c r="H801" i="4"/>
  <c r="I801" i="4" s="1"/>
  <c r="H800" i="4"/>
  <c r="I800" i="4" s="1"/>
  <c r="H799" i="4"/>
  <c r="I799" i="4" s="1"/>
  <c r="H798" i="4"/>
  <c r="H797" i="4"/>
  <c r="I797" i="4" s="1"/>
  <c r="H788" i="4"/>
  <c r="H789" i="4"/>
  <c r="H790" i="4"/>
  <c r="H791" i="4"/>
  <c r="I791" i="4" s="1"/>
  <c r="H792" i="4"/>
  <c r="I792" i="4" s="1"/>
  <c r="H793" i="4"/>
  <c r="I793" i="4" s="1"/>
  <c r="H794" i="4"/>
  <c r="F790" i="4"/>
  <c r="F794" i="4"/>
  <c r="H787" i="4"/>
  <c r="F787" i="4"/>
  <c r="F788" i="4" s="1"/>
  <c r="I794" i="4" l="1"/>
  <c r="I788" i="4"/>
  <c r="I798" i="4"/>
  <c r="I796" i="4" s="1"/>
  <c r="G352" i="2" s="1"/>
  <c r="I790" i="4"/>
  <c r="F789" i="4"/>
  <c r="I789" i="4" s="1"/>
  <c r="I787" i="4"/>
  <c r="I786" i="4" l="1"/>
  <c r="G351" i="2" s="1"/>
  <c r="U17" i="3" l="1"/>
  <c r="V17" i="3"/>
  <c r="W17" i="3"/>
  <c r="X17" i="3"/>
  <c r="Y17" i="3"/>
  <c r="Z17" i="3"/>
  <c r="AA17" i="3"/>
  <c r="AB17" i="3"/>
  <c r="AC17" i="3"/>
  <c r="AD17" i="3"/>
  <c r="AE17" i="3"/>
  <c r="T17" i="3"/>
  <c r="R24" i="3"/>
  <c r="R25" i="3"/>
  <c r="R11" i="3" l="1"/>
  <c r="R12" i="3"/>
  <c r="R13" i="3"/>
  <c r="R14" i="3"/>
  <c r="R15" i="3"/>
  <c r="R16" i="3"/>
  <c r="R17" i="3"/>
  <c r="H519" i="4" l="1"/>
  <c r="I519" i="4"/>
  <c r="F145" i="4"/>
  <c r="H664" i="4"/>
  <c r="I664" i="4" s="1"/>
  <c r="H665" i="4"/>
  <c r="I665" i="4" s="1"/>
  <c r="H666" i="4"/>
  <c r="I666" i="4" s="1"/>
  <c r="H667" i="4"/>
  <c r="I667" i="4" s="1"/>
  <c r="H668" i="4"/>
  <c r="I668" i="4" s="1"/>
  <c r="H669" i="4"/>
  <c r="I669" i="4" s="1"/>
  <c r="H670" i="4"/>
  <c r="I670" i="4" s="1"/>
  <c r="H671" i="4"/>
  <c r="I671" i="4" s="1"/>
  <c r="H672" i="4"/>
  <c r="I672" i="4" s="1"/>
  <c r="H673" i="4"/>
  <c r="I673" i="4" s="1"/>
  <c r="H674" i="4"/>
  <c r="I674" i="4" s="1"/>
  <c r="H675" i="4"/>
  <c r="I675" i="4" s="1"/>
  <c r="H676" i="4"/>
  <c r="I676" i="4" s="1"/>
  <c r="H677" i="4"/>
  <c r="I677" i="4" s="1"/>
  <c r="H678" i="4"/>
  <c r="I678" i="4" s="1"/>
  <c r="H679" i="4"/>
  <c r="I679" i="4" s="1"/>
  <c r="H680" i="4"/>
  <c r="I680" i="4" s="1"/>
  <c r="H650" i="4"/>
  <c r="I650" i="4" s="1"/>
  <c r="H651" i="4"/>
  <c r="I651" i="4" s="1"/>
  <c r="H652" i="4"/>
  <c r="I652" i="4" s="1"/>
  <c r="H653" i="4"/>
  <c r="I653" i="4" s="1"/>
  <c r="H654" i="4"/>
  <c r="I654" i="4" s="1"/>
  <c r="H655" i="4"/>
  <c r="I655" i="4" s="1"/>
  <c r="H656" i="4"/>
  <c r="I656" i="4" s="1"/>
  <c r="H657" i="4"/>
  <c r="I657" i="4" s="1"/>
  <c r="H658" i="4"/>
  <c r="I658" i="4" s="1"/>
  <c r="H659" i="4"/>
  <c r="I659" i="4" s="1"/>
  <c r="H660" i="4"/>
  <c r="I660" i="4" s="1"/>
  <c r="H661" i="4"/>
  <c r="I661" i="4" s="1"/>
  <c r="H662" i="4"/>
  <c r="I662" i="4" s="1"/>
  <c r="H663" i="4"/>
  <c r="I663" i="4" s="1"/>
  <c r="H624" i="4"/>
  <c r="I624" i="4" s="1"/>
  <c r="H625" i="4"/>
  <c r="I625" i="4" s="1"/>
  <c r="H626" i="4"/>
  <c r="I626" i="4" s="1"/>
  <c r="H627" i="4"/>
  <c r="I627" i="4" s="1"/>
  <c r="H628" i="4"/>
  <c r="I628" i="4" s="1"/>
  <c r="H629" i="4"/>
  <c r="I629" i="4" s="1"/>
  <c r="H630" i="4"/>
  <c r="I630" i="4" s="1"/>
  <c r="H631" i="4"/>
  <c r="I631" i="4" s="1"/>
  <c r="H632" i="4"/>
  <c r="I632" i="4" s="1"/>
  <c r="H633" i="4"/>
  <c r="I633" i="4" s="1"/>
  <c r="H634" i="4"/>
  <c r="I634" i="4" s="1"/>
  <c r="H635" i="4"/>
  <c r="I635" i="4" s="1"/>
  <c r="H636" i="4"/>
  <c r="I636" i="4" s="1"/>
  <c r="H637" i="4"/>
  <c r="I637" i="4" s="1"/>
  <c r="H638" i="4"/>
  <c r="I638" i="4" s="1"/>
  <c r="H639" i="4"/>
  <c r="I639" i="4" s="1"/>
  <c r="H640" i="4"/>
  <c r="I640" i="4" s="1"/>
  <c r="H641" i="4"/>
  <c r="I641" i="4" s="1"/>
  <c r="H642" i="4"/>
  <c r="I642" i="4" s="1"/>
  <c r="H643" i="4"/>
  <c r="I643" i="4" s="1"/>
  <c r="H644" i="4"/>
  <c r="I644" i="4" s="1"/>
  <c r="H645" i="4"/>
  <c r="I645" i="4" s="1"/>
  <c r="H646" i="4"/>
  <c r="I646" i="4" s="1"/>
  <c r="H647" i="4"/>
  <c r="I647" i="4" s="1"/>
  <c r="H648" i="4"/>
  <c r="I648" i="4" s="1"/>
  <c r="H649" i="4"/>
  <c r="I649" i="4" s="1"/>
  <c r="H618" i="4"/>
  <c r="I618" i="4" s="1"/>
  <c r="H619" i="4"/>
  <c r="I619" i="4" s="1"/>
  <c r="H620" i="4"/>
  <c r="I620" i="4" s="1"/>
  <c r="H621" i="4"/>
  <c r="I621" i="4" s="1"/>
  <c r="H622" i="4"/>
  <c r="I622" i="4" s="1"/>
  <c r="H623" i="4"/>
  <c r="I623" i="4" s="1"/>
  <c r="H601" i="4"/>
  <c r="I601" i="4" s="1"/>
  <c r="H602" i="4"/>
  <c r="I602" i="4" s="1"/>
  <c r="H603" i="4"/>
  <c r="I603" i="4" s="1"/>
  <c r="H604" i="4"/>
  <c r="I604" i="4" s="1"/>
  <c r="H605" i="4"/>
  <c r="I605" i="4" s="1"/>
  <c r="H606" i="4"/>
  <c r="I606" i="4" s="1"/>
  <c r="H607" i="4"/>
  <c r="I607" i="4" s="1"/>
  <c r="H608" i="4"/>
  <c r="I608" i="4" s="1"/>
  <c r="H609" i="4"/>
  <c r="I609" i="4" s="1"/>
  <c r="H610" i="4"/>
  <c r="I610" i="4" s="1"/>
  <c r="H611" i="4"/>
  <c r="I611" i="4" s="1"/>
  <c r="H612" i="4"/>
  <c r="I612" i="4" s="1"/>
  <c r="H613" i="4"/>
  <c r="I613" i="4" s="1"/>
  <c r="H614" i="4"/>
  <c r="I614" i="4" s="1"/>
  <c r="H615" i="4"/>
  <c r="I615" i="4" s="1"/>
  <c r="H616" i="4"/>
  <c r="I616" i="4" s="1"/>
  <c r="H617" i="4"/>
  <c r="I617" i="4" s="1"/>
  <c r="F472" i="4" l="1"/>
  <c r="H471" i="4"/>
  <c r="H472" i="4"/>
  <c r="H473" i="4"/>
  <c r="H474" i="4"/>
  <c r="H475" i="4"/>
  <c r="H476" i="4"/>
  <c r="H467" i="4"/>
  <c r="I467" i="4" s="1"/>
  <c r="H468" i="4"/>
  <c r="I468" i="4" s="1"/>
  <c r="H469" i="4"/>
  <c r="I469" i="4" s="1"/>
  <c r="H470" i="4"/>
  <c r="H102" i="4"/>
  <c r="I102" i="4" s="1"/>
  <c r="F461" i="4"/>
  <c r="F454" i="4"/>
  <c r="H455" i="4"/>
  <c r="I455" i="4" s="1"/>
  <c r="H454" i="4"/>
  <c r="H453" i="4"/>
  <c r="I453" i="4" s="1"/>
  <c r="H452" i="4"/>
  <c r="I452" i="4" s="1"/>
  <c r="H451" i="4"/>
  <c r="H450" i="4"/>
  <c r="I450" i="4" s="1"/>
  <c r="F470" i="4"/>
  <c r="F471" i="4" s="1"/>
  <c r="I471" i="4" s="1"/>
  <c r="F448" i="4"/>
  <c r="F456" i="4" s="1"/>
  <c r="F447" i="4"/>
  <c r="F457" i="4" s="1"/>
  <c r="F475" i="4"/>
  <c r="F474" i="4"/>
  <c r="F476" i="4"/>
  <c r="H466" i="4"/>
  <c r="I466" i="4" s="1"/>
  <c r="H465" i="4"/>
  <c r="I465" i="4" s="1"/>
  <c r="H464" i="4"/>
  <c r="I464" i="4" s="1"/>
  <c r="H463" i="4"/>
  <c r="I463" i="4" s="1"/>
  <c r="H462" i="4"/>
  <c r="I462" i="4" s="1"/>
  <c r="H461" i="4"/>
  <c r="H460" i="4"/>
  <c r="I460" i="4" s="1"/>
  <c r="H459" i="4"/>
  <c r="I459" i="4" s="1"/>
  <c r="H458" i="4"/>
  <c r="I458" i="4" s="1"/>
  <c r="H457" i="4"/>
  <c r="H456" i="4"/>
  <c r="H449" i="4"/>
  <c r="H448" i="4"/>
  <c r="H447" i="4"/>
  <c r="H91" i="4"/>
  <c r="F87" i="4"/>
  <c r="F91" i="4" s="1"/>
  <c r="F88" i="4"/>
  <c r="F90" i="4" s="1"/>
  <c r="H103" i="4"/>
  <c r="H104" i="4"/>
  <c r="F103" i="4"/>
  <c r="F104" i="4" s="1"/>
  <c r="F108" i="4"/>
  <c r="F107" i="4"/>
  <c r="I476" i="4" l="1"/>
  <c r="I454" i="4"/>
  <c r="I474" i="4"/>
  <c r="I470" i="4"/>
  <c r="I475" i="4"/>
  <c r="I472" i="4"/>
  <c r="I447" i="4"/>
  <c r="F449" i="4"/>
  <c r="I449" i="4" s="1"/>
  <c r="F473" i="4"/>
  <c r="I473" i="4" s="1"/>
  <c r="I91" i="4"/>
  <c r="I451" i="4"/>
  <c r="I103" i="4"/>
  <c r="I457" i="4"/>
  <c r="I461" i="4"/>
  <c r="I104" i="4"/>
  <c r="I456" i="4"/>
  <c r="I448" i="4"/>
  <c r="D538" i="2"/>
  <c r="C538" i="2"/>
  <c r="H539" i="4"/>
  <c r="I539" i="4" s="1"/>
  <c r="H538" i="4"/>
  <c r="I538" i="4" s="1"/>
  <c r="H537" i="4"/>
  <c r="F537" i="4"/>
  <c r="H536" i="4"/>
  <c r="I536" i="4" s="1"/>
  <c r="H535" i="4"/>
  <c r="F535" i="4"/>
  <c r="H534" i="4"/>
  <c r="I534" i="4" s="1"/>
  <c r="C456" i="2"/>
  <c r="H393" i="4"/>
  <c r="I393" i="4" s="1"/>
  <c r="H392" i="4"/>
  <c r="I392" i="4" s="1"/>
  <c r="H391" i="4"/>
  <c r="F391" i="4"/>
  <c r="H390" i="4"/>
  <c r="I390" i="4" s="1"/>
  <c r="H389" i="4"/>
  <c r="F389" i="4"/>
  <c r="H388" i="4"/>
  <c r="I388" i="4" s="1"/>
  <c r="D291" i="2"/>
  <c r="C291" i="2"/>
  <c r="F105" i="4"/>
  <c r="F109" i="4" s="1"/>
  <c r="H95" i="4"/>
  <c r="H96" i="4"/>
  <c r="I96" i="4" s="1"/>
  <c r="H97" i="4"/>
  <c r="I97" i="4" s="1"/>
  <c r="H98" i="4"/>
  <c r="I98" i="4" s="1"/>
  <c r="H99" i="4"/>
  <c r="I99" i="4" s="1"/>
  <c r="H100" i="4"/>
  <c r="I100" i="4" s="1"/>
  <c r="H94" i="4"/>
  <c r="I94" i="4" s="1"/>
  <c r="H93" i="4"/>
  <c r="I93" i="4" s="1"/>
  <c r="F95" i="4"/>
  <c r="F429" i="2"/>
  <c r="F428" i="2" s="1"/>
  <c r="F439" i="2" s="1"/>
  <c r="D426" i="2"/>
  <c r="C426" i="2"/>
  <c r="H362" i="4"/>
  <c r="I362" i="4" s="1"/>
  <c r="H361" i="4"/>
  <c r="H360" i="4"/>
  <c r="F360" i="4"/>
  <c r="H359" i="4"/>
  <c r="I359" i="4" s="1"/>
  <c r="H358" i="4"/>
  <c r="F358" i="4"/>
  <c r="H357" i="4"/>
  <c r="I357" i="4" s="1"/>
  <c r="D393" i="2"/>
  <c r="C393" i="2"/>
  <c r="H249" i="4"/>
  <c r="I249" i="4" s="1"/>
  <c r="H248" i="4"/>
  <c r="H247" i="4"/>
  <c r="F247" i="4"/>
  <c r="H246" i="4"/>
  <c r="I246" i="4" s="1"/>
  <c r="H245" i="4"/>
  <c r="F245" i="4"/>
  <c r="H244" i="4"/>
  <c r="I244" i="4" s="1"/>
  <c r="F396" i="2"/>
  <c r="F395" i="2"/>
  <c r="M397" i="2"/>
  <c r="M396" i="2"/>
  <c r="M395" i="2"/>
  <c r="F397" i="2"/>
  <c r="L397" i="2"/>
  <c r="F381" i="2"/>
  <c r="F373" i="2"/>
  <c r="F375" i="2"/>
  <c r="F374" i="2"/>
  <c r="F239" i="4"/>
  <c r="F370" i="2"/>
  <c r="I446" i="4" l="1"/>
  <c r="I95" i="4"/>
  <c r="I360" i="4"/>
  <c r="I389" i="4"/>
  <c r="I391" i="4"/>
  <c r="I537" i="4"/>
  <c r="I535" i="4"/>
  <c r="I361" i="4"/>
  <c r="I247" i="4"/>
  <c r="I358" i="4"/>
  <c r="I248" i="4"/>
  <c r="I245" i="4"/>
  <c r="K395" i="2"/>
  <c r="K397" i="2" s="1"/>
  <c r="K398" i="2" s="1"/>
  <c r="F269" i="2"/>
  <c r="F95" i="2"/>
  <c r="F260" i="2"/>
  <c r="F259" i="2"/>
  <c r="F257" i="2"/>
  <c r="F256" i="2"/>
  <c r="D257" i="2"/>
  <c r="C257" i="2"/>
  <c r="F255" i="2"/>
  <c r="K259" i="2"/>
  <c r="F86" i="2"/>
  <c r="F85" i="2"/>
  <c r="F83" i="2"/>
  <c r="F97" i="2"/>
  <c r="K85" i="2"/>
  <c r="F81" i="2"/>
  <c r="F82" i="2"/>
  <c r="D83" i="2"/>
  <c r="C83" i="2"/>
  <c r="H47" i="4"/>
  <c r="I47" i="4" s="1"/>
  <c r="H46" i="4"/>
  <c r="I46" i="4" s="1"/>
  <c r="K273" i="2"/>
  <c r="K272" i="2"/>
  <c r="K100" i="2"/>
  <c r="K99" i="2"/>
  <c r="H151" i="4"/>
  <c r="I151" i="4" s="1"/>
  <c r="H144" i="4"/>
  <c r="I144" i="4" s="1"/>
  <c r="F148" i="4"/>
  <c r="F147" i="4"/>
  <c r="F143" i="4"/>
  <c r="J145" i="4"/>
  <c r="F146" i="4"/>
  <c r="I533" i="4" l="1"/>
  <c r="G538" i="2" s="1"/>
  <c r="I387" i="4"/>
  <c r="G456" i="2" s="1"/>
  <c r="I356" i="4"/>
  <c r="G426" i="2" s="1"/>
  <c r="I243" i="4"/>
  <c r="G393" i="2" s="1"/>
  <c r="F263" i="2"/>
  <c r="F261" i="2"/>
  <c r="F262" i="2" s="1"/>
  <c r="F258" i="2"/>
  <c r="F89" i="2"/>
  <c r="F84" i="2"/>
  <c r="I45" i="4"/>
  <c r="G257" i="2" s="1"/>
  <c r="H236" i="4"/>
  <c r="H237" i="4"/>
  <c r="I237" i="4" s="1"/>
  <c r="H238" i="4"/>
  <c r="H239" i="4"/>
  <c r="H240" i="4"/>
  <c r="I240" i="4" s="1"/>
  <c r="H235" i="4"/>
  <c r="I235" i="4" s="1"/>
  <c r="H81" i="4"/>
  <c r="H76" i="4"/>
  <c r="H77" i="4"/>
  <c r="I77" i="4" s="1"/>
  <c r="H78" i="4"/>
  <c r="I78" i="4" s="1"/>
  <c r="G83" i="2" s="1"/>
  <c r="H75" i="4"/>
  <c r="H58" i="4"/>
  <c r="I58" i="4" s="1"/>
  <c r="H59" i="4"/>
  <c r="I59" i="4" s="1"/>
  <c r="H60" i="4"/>
  <c r="H61" i="4"/>
  <c r="I61" i="4" s="1"/>
  <c r="H62" i="4"/>
  <c r="I62" i="4" s="1"/>
  <c r="H63" i="4"/>
  <c r="I63" i="4" s="1"/>
  <c r="H64" i="4"/>
  <c r="I64" i="4" s="1"/>
  <c r="H65" i="4"/>
  <c r="I65" i="4" s="1"/>
  <c r="H66" i="4"/>
  <c r="I66" i="4" s="1"/>
  <c r="H57" i="4"/>
  <c r="I57" i="4" s="1"/>
  <c r="H51" i="4"/>
  <c r="I51" i="4" s="1"/>
  <c r="H52" i="4"/>
  <c r="I52" i="4" s="1"/>
  <c r="H53" i="4"/>
  <c r="I53" i="4" s="1"/>
  <c r="H54" i="4"/>
  <c r="I54" i="4" s="1"/>
  <c r="H50" i="4"/>
  <c r="H42" i="4"/>
  <c r="I42" i="4" s="1"/>
  <c r="H43" i="4"/>
  <c r="I43" i="4" s="1"/>
  <c r="H41" i="4"/>
  <c r="I41" i="4" s="1"/>
  <c r="H33" i="4"/>
  <c r="I33" i="4" s="1"/>
  <c r="H34" i="4"/>
  <c r="I34" i="4" s="1"/>
  <c r="H35" i="4"/>
  <c r="I35" i="4" s="1"/>
  <c r="H36" i="4"/>
  <c r="I36" i="4" s="1"/>
  <c r="H37" i="4"/>
  <c r="I37" i="4" s="1"/>
  <c r="H38" i="4"/>
  <c r="I38" i="4" s="1"/>
  <c r="H32" i="4"/>
  <c r="I32" i="4" s="1"/>
  <c r="H17" i="4"/>
  <c r="I17" i="4" s="1"/>
  <c r="H18" i="4"/>
  <c r="I18" i="4" s="1"/>
  <c r="H19" i="4"/>
  <c r="I19" i="4" s="1"/>
  <c r="H20" i="4"/>
  <c r="I20" i="4" s="1"/>
  <c r="H21" i="4"/>
  <c r="I21" i="4" s="1"/>
  <c r="H22" i="4"/>
  <c r="I22" i="4" s="1"/>
  <c r="H23" i="4"/>
  <c r="I23" i="4" s="1"/>
  <c r="H24" i="4"/>
  <c r="I24" i="4" s="1"/>
  <c r="H25" i="4"/>
  <c r="I25" i="4" s="1"/>
  <c r="H26" i="4"/>
  <c r="I26" i="4" s="1"/>
  <c r="H27" i="4"/>
  <c r="I27" i="4" s="1"/>
  <c r="H28" i="4"/>
  <c r="I28" i="4" s="1"/>
  <c r="H29" i="4"/>
  <c r="I29" i="4" s="1"/>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H16" i="4"/>
  <c r="I16" i="4" s="1"/>
  <c r="I15" i="4" l="1"/>
  <c r="I31" i="4"/>
  <c r="I40" i="4"/>
  <c r="I13" i="4" l="1"/>
  <c r="D519" i="2" l="1"/>
  <c r="C519" i="2"/>
  <c r="C607" i="2"/>
  <c r="C606" i="2"/>
  <c r="C605" i="2"/>
  <c r="C590" i="2"/>
  <c r="C588" i="2"/>
  <c r="C587" i="2"/>
  <c r="C556" i="2"/>
  <c r="C555" i="2"/>
  <c r="C554" i="2"/>
  <c r="C496" i="2"/>
  <c r="C495" i="2"/>
  <c r="C471" i="2"/>
  <c r="C470" i="2"/>
  <c r="C445" i="2"/>
  <c r="C418" i="2"/>
  <c r="C417" i="2"/>
  <c r="C416" i="2"/>
  <c r="C414" i="2"/>
  <c r="C413" i="2"/>
  <c r="C412" i="2"/>
  <c r="C411" i="2"/>
  <c r="C71" i="2" l="1"/>
  <c r="H566" i="4" l="1"/>
  <c r="I566" i="4" s="1"/>
  <c r="H565" i="4"/>
  <c r="I565" i="4" s="1"/>
  <c r="H564" i="4"/>
  <c r="I564" i="4" s="1"/>
  <c r="H555" i="4"/>
  <c r="H556" i="4"/>
  <c r="H557" i="4"/>
  <c r="H558" i="4"/>
  <c r="H559" i="4"/>
  <c r="H560" i="4"/>
  <c r="H561" i="4"/>
  <c r="H562" i="4"/>
  <c r="H563" i="4"/>
  <c r="H703" i="4"/>
  <c r="I703" i="4" s="1"/>
  <c r="H704" i="4"/>
  <c r="I704" i="4" s="1"/>
  <c r="H705" i="4"/>
  <c r="I705" i="4" s="1"/>
  <c r="H706" i="4"/>
  <c r="I706" i="4" s="1"/>
  <c r="H710" i="4"/>
  <c r="I710" i="4" s="1"/>
  <c r="H711" i="4"/>
  <c r="I711" i="4" s="1"/>
  <c r="H712" i="4"/>
  <c r="I712" i="4" s="1"/>
  <c r="H713" i="4"/>
  <c r="I713" i="4" s="1"/>
  <c r="H716" i="4"/>
  <c r="I716" i="4" s="1"/>
  <c r="H720" i="4"/>
  <c r="I720" i="4" s="1"/>
  <c r="H721" i="4"/>
  <c r="I721" i="4" s="1"/>
  <c r="H724" i="4"/>
  <c r="I724" i="4" s="1"/>
  <c r="H725" i="4"/>
  <c r="I725" i="4" s="1"/>
  <c r="H728" i="4"/>
  <c r="I728" i="4" s="1"/>
  <c r="H731" i="4"/>
  <c r="I731" i="4" s="1"/>
  <c r="H735" i="4"/>
  <c r="I735" i="4" s="1"/>
  <c r="H736" i="4"/>
  <c r="I736" i="4" s="1"/>
  <c r="H739" i="4"/>
  <c r="I739" i="4" s="1"/>
  <c r="H742" i="4"/>
  <c r="I742" i="4" s="1"/>
  <c r="H745" i="4"/>
  <c r="I745" i="4" s="1"/>
  <c r="H746" i="4"/>
  <c r="I746" i="4" s="1"/>
  <c r="H749" i="4"/>
  <c r="I749" i="4" s="1"/>
  <c r="H752" i="4"/>
  <c r="I752" i="4" s="1"/>
  <c r="H753" i="4"/>
  <c r="I753" i="4" s="1"/>
  <c r="H754" i="4"/>
  <c r="I754" i="4" s="1"/>
  <c r="H755" i="4"/>
  <c r="I755" i="4" s="1"/>
  <c r="H756" i="4"/>
  <c r="I756" i="4" s="1"/>
  <c r="H759" i="4"/>
  <c r="I759" i="4" s="1"/>
  <c r="H760" i="4"/>
  <c r="I760" i="4" s="1"/>
  <c r="H761" i="4"/>
  <c r="I761" i="4" s="1"/>
  <c r="H762" i="4"/>
  <c r="I762" i="4" s="1"/>
  <c r="H763" i="4"/>
  <c r="I763" i="4" s="1"/>
  <c r="H764" i="4"/>
  <c r="I764" i="4" s="1"/>
  <c r="H765" i="4"/>
  <c r="I765" i="4" s="1"/>
  <c r="H766" i="4"/>
  <c r="I766" i="4" s="1"/>
  <c r="H767" i="4"/>
  <c r="I767" i="4" s="1"/>
  <c r="H768" i="4"/>
  <c r="I768" i="4" s="1"/>
  <c r="H769" i="4"/>
  <c r="I769" i="4" s="1"/>
  <c r="H770" i="4"/>
  <c r="I770" i="4" s="1"/>
  <c r="H771" i="4"/>
  <c r="I771" i="4" s="1"/>
  <c r="H772" i="4"/>
  <c r="I772" i="4" s="1"/>
  <c r="H773" i="4"/>
  <c r="I773" i="4" s="1"/>
  <c r="H774" i="4"/>
  <c r="I774" i="4" s="1"/>
  <c r="H775" i="4"/>
  <c r="I775" i="4" s="1"/>
  <c r="H776" i="4"/>
  <c r="I776" i="4" s="1"/>
  <c r="H777" i="4"/>
  <c r="I777" i="4" s="1"/>
  <c r="H778" i="4"/>
  <c r="I778" i="4" s="1"/>
  <c r="H702" i="4"/>
  <c r="I702" i="4" s="1"/>
  <c r="H501" i="4"/>
  <c r="I501" i="4" s="1"/>
  <c r="H500" i="4"/>
  <c r="I500" i="4" s="1"/>
  <c r="H499" i="4"/>
  <c r="I499" i="4" s="1"/>
  <c r="H531" i="4"/>
  <c r="I531" i="4" s="1"/>
  <c r="H530" i="4"/>
  <c r="I530" i="4" s="1"/>
  <c r="H529" i="4"/>
  <c r="I529" i="4" s="1"/>
  <c r="H520" i="4"/>
  <c r="I520" i="4" s="1"/>
  <c r="H521" i="4"/>
  <c r="I521" i="4" s="1"/>
  <c r="H522" i="4"/>
  <c r="I522" i="4" s="1"/>
  <c r="H523" i="4"/>
  <c r="I523" i="4" s="1"/>
  <c r="H524" i="4"/>
  <c r="I524" i="4" s="1"/>
  <c r="H525" i="4"/>
  <c r="I525" i="4" s="1"/>
  <c r="H423" i="4"/>
  <c r="I423" i="4" s="1"/>
  <c r="H422" i="4"/>
  <c r="I422" i="4" s="1"/>
  <c r="H421" i="4"/>
  <c r="I421" i="4" s="1"/>
  <c r="H403" i="4"/>
  <c r="I403" i="4" s="1"/>
  <c r="H404" i="4"/>
  <c r="I404" i="4" s="1"/>
  <c r="H405" i="4"/>
  <c r="I405" i="4" s="1"/>
  <c r="H406" i="4"/>
  <c r="I406" i="4" s="1"/>
  <c r="H407" i="4"/>
  <c r="I407" i="4" s="1"/>
  <c r="H408" i="4"/>
  <c r="I408" i="4" s="1"/>
  <c r="H409" i="4"/>
  <c r="I409" i="4" s="1"/>
  <c r="H410" i="4"/>
  <c r="I410" i="4" s="1"/>
  <c r="H411" i="4"/>
  <c r="I411" i="4" s="1"/>
  <c r="H412" i="4"/>
  <c r="I412" i="4" s="1"/>
  <c r="H413" i="4"/>
  <c r="I413" i="4" s="1"/>
  <c r="H414" i="4"/>
  <c r="I414" i="4" s="1"/>
  <c r="H415" i="4"/>
  <c r="I415" i="4" s="1"/>
  <c r="H416" i="4"/>
  <c r="I416" i="4" s="1"/>
  <c r="H417" i="4"/>
  <c r="I417" i="4" s="1"/>
  <c r="H418" i="4"/>
  <c r="I418" i="4" s="1"/>
  <c r="H419" i="4"/>
  <c r="I419" i="4" s="1"/>
  <c r="H420" i="4"/>
  <c r="I420" i="4" s="1"/>
  <c r="H385" i="4"/>
  <c r="I385" i="4" s="1"/>
  <c r="H384" i="4"/>
  <c r="I384" i="4" s="1"/>
  <c r="H383" i="4"/>
  <c r="I383" i="4" s="1"/>
  <c r="H380" i="4"/>
  <c r="I380" i="4" s="1"/>
  <c r="H381" i="4"/>
  <c r="I381" i="4" s="1"/>
  <c r="H382" i="4"/>
  <c r="I382" i="4" s="1"/>
  <c r="H366" i="4"/>
  <c r="I366" i="4" s="1"/>
  <c r="H367" i="4"/>
  <c r="I367" i="4" s="1"/>
  <c r="H368" i="4"/>
  <c r="I368" i="4" s="1"/>
  <c r="H369" i="4"/>
  <c r="I369" i="4" s="1"/>
  <c r="H370" i="4"/>
  <c r="I370" i="4" s="1"/>
  <c r="H371" i="4"/>
  <c r="I371" i="4" s="1"/>
  <c r="H372" i="4"/>
  <c r="I372" i="4" s="1"/>
  <c r="H373" i="4"/>
  <c r="I373" i="4" s="1"/>
  <c r="H374" i="4"/>
  <c r="I374" i="4" s="1"/>
  <c r="H375" i="4"/>
  <c r="I375" i="4" s="1"/>
  <c r="H376" i="4"/>
  <c r="I376" i="4" s="1"/>
  <c r="H377" i="4"/>
  <c r="I377" i="4" s="1"/>
  <c r="H378" i="4"/>
  <c r="I378" i="4" s="1"/>
  <c r="H379" i="4"/>
  <c r="I379" i="4" s="1"/>
  <c r="H354" i="4"/>
  <c r="I354" i="4" s="1"/>
  <c r="H353" i="4"/>
  <c r="I353" i="4" s="1"/>
  <c r="H352" i="4"/>
  <c r="I352" i="4" s="1"/>
  <c r="H299" i="4"/>
  <c r="I299" i="4" s="1"/>
  <c r="H300" i="4"/>
  <c r="I300" i="4" s="1"/>
  <c r="H301" i="4"/>
  <c r="I301" i="4" s="1"/>
  <c r="H302" i="4"/>
  <c r="I302" i="4" s="1"/>
  <c r="H303" i="4"/>
  <c r="I303" i="4" s="1"/>
  <c r="H304" i="4"/>
  <c r="I304" i="4" s="1"/>
  <c r="H305" i="4"/>
  <c r="I305" i="4" s="1"/>
  <c r="H306" i="4"/>
  <c r="I306" i="4" s="1"/>
  <c r="H307" i="4"/>
  <c r="I307" i="4" s="1"/>
  <c r="H308" i="4"/>
  <c r="I308" i="4" s="1"/>
  <c r="H309" i="4"/>
  <c r="I309" i="4" s="1"/>
  <c r="H310" i="4"/>
  <c r="I310" i="4" s="1"/>
  <c r="H311" i="4"/>
  <c r="I311" i="4" s="1"/>
  <c r="H312" i="4"/>
  <c r="I312" i="4" s="1"/>
  <c r="H313" i="4"/>
  <c r="I313" i="4" s="1"/>
  <c r="H314" i="4"/>
  <c r="I314" i="4" s="1"/>
  <c r="H315" i="4"/>
  <c r="I315" i="4" s="1"/>
  <c r="H316" i="4"/>
  <c r="I316" i="4" s="1"/>
  <c r="H317" i="4"/>
  <c r="I317" i="4" s="1"/>
  <c r="H318" i="4"/>
  <c r="I318" i="4" s="1"/>
  <c r="H319" i="4"/>
  <c r="I319" i="4" s="1"/>
  <c r="H320" i="4"/>
  <c r="I320" i="4" s="1"/>
  <c r="H321" i="4"/>
  <c r="I321" i="4" s="1"/>
  <c r="H322" i="4"/>
  <c r="I322" i="4" s="1"/>
  <c r="H323" i="4"/>
  <c r="I323" i="4" s="1"/>
  <c r="H324" i="4"/>
  <c r="I324" i="4" s="1"/>
  <c r="H325" i="4"/>
  <c r="I325" i="4" s="1"/>
  <c r="H326" i="4"/>
  <c r="I326" i="4" s="1"/>
  <c r="H327" i="4"/>
  <c r="I327" i="4" s="1"/>
  <c r="H328" i="4"/>
  <c r="I328" i="4" s="1"/>
  <c r="H329" i="4"/>
  <c r="I329" i="4" s="1"/>
  <c r="H330" i="4"/>
  <c r="I330" i="4" s="1"/>
  <c r="H331" i="4"/>
  <c r="I331" i="4" s="1"/>
  <c r="H332" i="4"/>
  <c r="I332" i="4" s="1"/>
  <c r="H333" i="4"/>
  <c r="I333" i="4" s="1"/>
  <c r="H334" i="4"/>
  <c r="I334" i="4" s="1"/>
  <c r="H335" i="4"/>
  <c r="I335" i="4" s="1"/>
  <c r="H336" i="4"/>
  <c r="I336" i="4" s="1"/>
  <c r="H337" i="4"/>
  <c r="I337" i="4" s="1"/>
  <c r="H338" i="4"/>
  <c r="I338" i="4" s="1"/>
  <c r="H339" i="4"/>
  <c r="I339" i="4" s="1"/>
  <c r="H340" i="4"/>
  <c r="I340" i="4" s="1"/>
  <c r="H341" i="4"/>
  <c r="I341" i="4" s="1"/>
  <c r="H342" i="4"/>
  <c r="I342" i="4" s="1"/>
  <c r="H343" i="4"/>
  <c r="I343" i="4" s="1"/>
  <c r="H344" i="4"/>
  <c r="I344" i="4" s="1"/>
  <c r="H345" i="4"/>
  <c r="I345" i="4" s="1"/>
  <c r="H346" i="4"/>
  <c r="I346" i="4" s="1"/>
  <c r="H347" i="4"/>
  <c r="I347" i="4" s="1"/>
  <c r="H348" i="4"/>
  <c r="I348" i="4" s="1"/>
  <c r="H349" i="4"/>
  <c r="I349" i="4" s="1"/>
  <c r="H350" i="4"/>
  <c r="I350" i="4" s="1"/>
  <c r="H351" i="4"/>
  <c r="I351" i="4" s="1"/>
  <c r="H298" i="4"/>
  <c r="I298" i="4" s="1"/>
  <c r="H228" i="4"/>
  <c r="I228" i="4" s="1"/>
  <c r="H227" i="4"/>
  <c r="I227" i="4" s="1"/>
  <c r="H226" i="4"/>
  <c r="I226" i="4" s="1"/>
  <c r="H198" i="4"/>
  <c r="I198" i="4" s="1"/>
  <c r="H199" i="4"/>
  <c r="I199" i="4" s="1"/>
  <c r="H200" i="4"/>
  <c r="I200" i="4" s="1"/>
  <c r="H201" i="4"/>
  <c r="I201" i="4" s="1"/>
  <c r="H202" i="4"/>
  <c r="I202" i="4" s="1"/>
  <c r="H203" i="4"/>
  <c r="I203" i="4" s="1"/>
  <c r="H204" i="4"/>
  <c r="I204" i="4" s="1"/>
  <c r="H205" i="4"/>
  <c r="I205" i="4" s="1"/>
  <c r="H206" i="4"/>
  <c r="I206" i="4" s="1"/>
  <c r="H207" i="4"/>
  <c r="I207" i="4" s="1"/>
  <c r="H208" i="4"/>
  <c r="I208" i="4" s="1"/>
  <c r="H209" i="4"/>
  <c r="I209" i="4" s="1"/>
  <c r="H210" i="4"/>
  <c r="I210" i="4" s="1"/>
  <c r="H211" i="4"/>
  <c r="I211" i="4" s="1"/>
  <c r="H212" i="4"/>
  <c r="I212" i="4" s="1"/>
  <c r="H213" i="4"/>
  <c r="I213" i="4" s="1"/>
  <c r="H214" i="4"/>
  <c r="I214" i="4" s="1"/>
  <c r="H215" i="4"/>
  <c r="I215" i="4" s="1"/>
  <c r="H216" i="4"/>
  <c r="I216" i="4" s="1"/>
  <c r="H217" i="4"/>
  <c r="I217" i="4" s="1"/>
  <c r="H218" i="4"/>
  <c r="I218" i="4" s="1"/>
  <c r="H219" i="4"/>
  <c r="I219" i="4" s="1"/>
  <c r="H220" i="4"/>
  <c r="I220" i="4" s="1"/>
  <c r="H221" i="4"/>
  <c r="I221" i="4" s="1"/>
  <c r="H222" i="4"/>
  <c r="I222" i="4" s="1"/>
  <c r="H223" i="4"/>
  <c r="I223" i="4" s="1"/>
  <c r="H224" i="4"/>
  <c r="I224" i="4" s="1"/>
  <c r="H225" i="4"/>
  <c r="I225" i="4" s="1"/>
  <c r="I518" i="4" l="1"/>
  <c r="G519" i="2" s="1"/>
  <c r="I297" i="4"/>
  <c r="H114" i="4"/>
  <c r="I114" i="4" s="1"/>
  <c r="H115" i="4"/>
  <c r="I115" i="4" s="1"/>
  <c r="H116" i="4"/>
  <c r="I116" i="4" s="1"/>
  <c r="H117" i="4"/>
  <c r="I117" i="4" s="1"/>
  <c r="H118" i="4"/>
  <c r="I118" i="4" s="1"/>
  <c r="H119" i="4"/>
  <c r="I119" i="4" s="1"/>
  <c r="H120" i="4"/>
  <c r="I120" i="4" s="1"/>
  <c r="H121" i="4"/>
  <c r="I121" i="4" s="1"/>
  <c r="H122" i="4"/>
  <c r="I122" i="4" s="1"/>
  <c r="D42" i="2" l="1"/>
  <c r="B24" i="3" s="1"/>
  <c r="A42" i="2"/>
  <c r="A24" i="3" s="1"/>
  <c r="F631" i="2" l="1"/>
  <c r="H697" i="4" l="1"/>
  <c r="I697" i="4" s="1"/>
  <c r="H696" i="4"/>
  <c r="I696" i="4" s="1"/>
  <c r="H695" i="4"/>
  <c r="I695" i="4" s="1"/>
  <c r="H694" i="4"/>
  <c r="I694" i="4" s="1"/>
  <c r="H693" i="4"/>
  <c r="I693" i="4" s="1"/>
  <c r="H692" i="4"/>
  <c r="I692" i="4" s="1"/>
  <c r="H691" i="4"/>
  <c r="I691" i="4" s="1"/>
  <c r="H690" i="4"/>
  <c r="I690" i="4" s="1"/>
  <c r="F603" i="2" l="1"/>
  <c r="F220" i="2"/>
  <c r="F593" i="2"/>
  <c r="F595" i="2" s="1"/>
  <c r="F594" i="2" l="1"/>
  <c r="F596" i="2" s="1"/>
  <c r="H782" i="4"/>
  <c r="I782" i="4" s="1"/>
  <c r="H783" i="4"/>
  <c r="I783" i="4" s="1"/>
  <c r="H784" i="4"/>
  <c r="I784" i="4" s="1"/>
  <c r="F550" i="2" l="1"/>
  <c r="F515" i="2"/>
  <c r="F514" i="2"/>
  <c r="D511" i="4"/>
  <c r="C513" i="2"/>
  <c r="F512" i="4"/>
  <c r="I516" i="4"/>
  <c r="H516" i="4"/>
  <c r="I515" i="4"/>
  <c r="H515" i="4"/>
  <c r="I514" i="4"/>
  <c r="H514" i="4"/>
  <c r="I513" i="4"/>
  <c r="H513" i="4"/>
  <c r="H512" i="4"/>
  <c r="F511" i="2"/>
  <c r="F506" i="2"/>
  <c r="F582" i="2" l="1"/>
  <c r="F583" i="2" s="1"/>
  <c r="F584" i="2" s="1"/>
  <c r="I512" i="4"/>
  <c r="I511" i="4" s="1"/>
  <c r="G513" i="2" s="1"/>
  <c r="K499" i="2"/>
  <c r="F501" i="2"/>
  <c r="F500" i="2"/>
  <c r="K474" i="2"/>
  <c r="F499" i="2"/>
  <c r="D495" i="2"/>
  <c r="F502" i="2" l="1"/>
  <c r="F503" i="2" s="1"/>
  <c r="D492" i="2"/>
  <c r="C492" i="2"/>
  <c r="F442" i="4"/>
  <c r="F441" i="4"/>
  <c r="H444" i="4"/>
  <c r="I444" i="4" s="1"/>
  <c r="H443" i="4"/>
  <c r="I443" i="4" s="1"/>
  <c r="H442" i="4"/>
  <c r="H441" i="4"/>
  <c r="F434" i="4"/>
  <c r="D491" i="2"/>
  <c r="C491" i="2"/>
  <c r="I438" i="4"/>
  <c r="H438" i="4"/>
  <c r="I437" i="4"/>
  <c r="H437" i="4"/>
  <c r="I436" i="4"/>
  <c r="H436" i="4"/>
  <c r="I435" i="4"/>
  <c r="H435" i="4"/>
  <c r="H434" i="4"/>
  <c r="F489" i="2"/>
  <c r="F482" i="2"/>
  <c r="F475" i="2"/>
  <c r="F476" i="2"/>
  <c r="I441" i="4" l="1"/>
  <c r="I442" i="4"/>
  <c r="I434" i="4"/>
  <c r="I433" i="4" s="1"/>
  <c r="G491" i="2" s="1"/>
  <c r="F477" i="2"/>
  <c r="F478" i="2" s="1"/>
  <c r="F505" i="2"/>
  <c r="F504" i="2"/>
  <c r="F533" i="2"/>
  <c r="F532" i="2"/>
  <c r="F474" i="2"/>
  <c r="F548" i="4"/>
  <c r="D554" i="2"/>
  <c r="H543" i="4"/>
  <c r="H544" i="4"/>
  <c r="I544" i="4" s="1"/>
  <c r="H545" i="4"/>
  <c r="I545" i="4" s="1"/>
  <c r="F543" i="4"/>
  <c r="H542" i="4"/>
  <c r="F542" i="4"/>
  <c r="F553" i="2"/>
  <c r="F552" i="2"/>
  <c r="F563" i="4"/>
  <c r="I563" i="4" s="1"/>
  <c r="F562" i="4"/>
  <c r="I562" i="4" s="1"/>
  <c r="F561" i="4"/>
  <c r="I561" i="4" s="1"/>
  <c r="F560" i="4"/>
  <c r="I560" i="4" s="1"/>
  <c r="F559" i="4"/>
  <c r="I559" i="4" s="1"/>
  <c r="F558" i="4"/>
  <c r="I558" i="4" s="1"/>
  <c r="F557" i="4"/>
  <c r="I557" i="4" s="1"/>
  <c r="F556" i="4"/>
  <c r="I556" i="4" s="1"/>
  <c r="F555" i="4"/>
  <c r="I555" i="4" s="1"/>
  <c r="F554" i="4"/>
  <c r="F551" i="2"/>
  <c r="F549" i="2"/>
  <c r="F548" i="2"/>
  <c r="F539" i="2"/>
  <c r="F534" i="2"/>
  <c r="F531" i="2"/>
  <c r="I543" i="4" l="1"/>
  <c r="I440" i="4"/>
  <c r="G492" i="2" s="1"/>
  <c r="I542" i="4"/>
  <c r="F479" i="2"/>
  <c r="F480" i="2"/>
  <c r="F535" i="2"/>
  <c r="F537" i="2" s="1"/>
  <c r="F469" i="2"/>
  <c r="F467" i="2"/>
  <c r="F465" i="2"/>
  <c r="F457" i="2"/>
  <c r="F452" i="2"/>
  <c r="F451" i="2"/>
  <c r="F450" i="2"/>
  <c r="F449" i="2"/>
  <c r="F448" i="2"/>
  <c r="F444" i="2"/>
  <c r="F443" i="2"/>
  <c r="I541" i="4" l="1"/>
  <c r="G554" i="2" s="1"/>
  <c r="F536" i="2"/>
  <c r="F453" i="2"/>
  <c r="F454" i="2" s="1"/>
  <c r="F440" i="2"/>
  <c r="F438" i="2"/>
  <c r="F427" i="2"/>
  <c r="F422" i="2"/>
  <c r="F423" i="2" s="1"/>
  <c r="F421" i="2"/>
  <c r="F455" i="2" l="1"/>
  <c r="F425" i="2"/>
  <c r="F424" i="2"/>
  <c r="F279" i="4"/>
  <c r="D479" i="4"/>
  <c r="F285" i="4" l="1"/>
  <c r="F291" i="4"/>
  <c r="H292" i="4"/>
  <c r="H293" i="4"/>
  <c r="I293" i="4" s="1"/>
  <c r="H294" i="4"/>
  <c r="I294" i="4" s="1"/>
  <c r="H295" i="4"/>
  <c r="I295" i="4" s="1"/>
  <c r="F292" i="4"/>
  <c r="F265" i="4"/>
  <c r="F264" i="4"/>
  <c r="F261" i="4"/>
  <c r="F262" i="4"/>
  <c r="F260" i="4"/>
  <c r="H260" i="4"/>
  <c r="H261" i="4"/>
  <c r="H262" i="4"/>
  <c r="H263" i="4"/>
  <c r="I263" i="4" s="1"/>
  <c r="H264" i="4"/>
  <c r="H265" i="4"/>
  <c r="H266" i="4"/>
  <c r="I266" i="4" s="1"/>
  <c r="F267" i="4"/>
  <c r="H267" i="4"/>
  <c r="F268" i="4"/>
  <c r="H268" i="4"/>
  <c r="F269" i="4"/>
  <c r="H269" i="4"/>
  <c r="F270" i="4"/>
  <c r="H270" i="4"/>
  <c r="H257" i="4"/>
  <c r="I257" i="4" s="1"/>
  <c r="H256" i="4"/>
  <c r="I256" i="4" s="1"/>
  <c r="H255" i="4"/>
  <c r="I255" i="4" s="1"/>
  <c r="H254" i="4"/>
  <c r="I254" i="4" s="1"/>
  <c r="H253" i="4"/>
  <c r="I253" i="4" s="1"/>
  <c r="H252" i="4"/>
  <c r="I252" i="4" s="1"/>
  <c r="F408" i="2"/>
  <c r="F407" i="2"/>
  <c r="F406" i="2"/>
  <c r="I251" i="4" l="1"/>
  <c r="I292" i="4"/>
  <c r="I268" i="4"/>
  <c r="I265" i="4"/>
  <c r="I264" i="4"/>
  <c r="I262" i="4"/>
  <c r="I260" i="4"/>
  <c r="I270" i="4"/>
  <c r="I269" i="4"/>
  <c r="I267" i="4"/>
  <c r="I261" i="4"/>
  <c r="F409" i="2"/>
  <c r="F410" i="2" s="1"/>
  <c r="F404" i="2" l="1"/>
  <c r="F394" i="2" l="1"/>
  <c r="F389" i="2"/>
  <c r="F390" i="2" s="1"/>
  <c r="F388" i="2"/>
  <c r="F392" i="2" l="1"/>
  <c r="F391" i="2"/>
  <c r="D290" i="2"/>
  <c r="C290" i="2"/>
  <c r="F191" i="4"/>
  <c r="F185" i="4"/>
  <c r="H194" i="4"/>
  <c r="I194" i="4" s="1"/>
  <c r="H193" i="4"/>
  <c r="I193" i="4" s="1"/>
  <c r="H192" i="4"/>
  <c r="F192" i="4"/>
  <c r="H191" i="4"/>
  <c r="F143" i="2"/>
  <c r="F142" i="2"/>
  <c r="F154" i="2" s="1"/>
  <c r="F159" i="2" s="1"/>
  <c r="F160" i="2" s="1"/>
  <c r="D142" i="2"/>
  <c r="C142" i="2"/>
  <c r="I192" i="4" l="1"/>
  <c r="I191" i="4"/>
  <c r="I190" i="4" s="1"/>
  <c r="F161" i="2"/>
  <c r="F155" i="2"/>
  <c r="G290" i="2" l="1"/>
  <c r="F156" i="2"/>
  <c r="F383" i="2" l="1"/>
  <c r="F238" i="4" l="1"/>
  <c r="I238" i="4" s="1"/>
  <c r="F236" i="4"/>
  <c r="I236" i="4" s="1"/>
  <c r="D372" i="2"/>
  <c r="C372" i="2"/>
  <c r="I239" i="4"/>
  <c r="F371" i="2"/>
  <c r="F369" i="2"/>
  <c r="I234" i="4" l="1"/>
  <c r="G372" i="2" s="1"/>
  <c r="F365" i="2" l="1"/>
  <c r="F363" i="2"/>
  <c r="F364" i="2" s="1"/>
  <c r="F358" i="2"/>
  <c r="F360" i="2" s="1"/>
  <c r="F366" i="2" l="1"/>
  <c r="D26" i="2"/>
  <c r="B16" i="3" s="1"/>
  <c r="A26" i="2"/>
  <c r="A16" i="3" s="1"/>
  <c r="H150" i="4" l="1"/>
  <c r="I150" i="4" s="1"/>
  <c r="H231" i="4"/>
  <c r="I231" i="4" s="1"/>
  <c r="C347" i="2"/>
  <c r="D347" i="2"/>
  <c r="H232" i="4"/>
  <c r="I232" i="4" s="1"/>
  <c r="F348" i="2"/>
  <c r="F227" i="2"/>
  <c r="F228" i="2"/>
  <c r="F226" i="2"/>
  <c r="F337" i="2"/>
  <c r="F202" i="2"/>
  <c r="D313" i="2"/>
  <c r="C313" i="2"/>
  <c r="H140" i="4"/>
  <c r="I140" i="4" s="1"/>
  <c r="H139" i="4"/>
  <c r="I139" i="4" s="1"/>
  <c r="I230" i="4" l="1"/>
  <c r="G347" i="2" s="1"/>
  <c r="I138" i="4"/>
  <c r="G142" i="2" s="1"/>
  <c r="G313" i="2" l="1"/>
  <c r="F309" i="2"/>
  <c r="F308" i="2"/>
  <c r="F307" i="2"/>
  <c r="F314" i="2" l="1"/>
  <c r="F338" i="2"/>
  <c r="F313" i="2"/>
  <c r="F322" i="2"/>
  <c r="F318" i="2"/>
  <c r="F315" i="2"/>
  <c r="F310" i="2"/>
  <c r="F341" i="2" l="1"/>
  <c r="F340" i="2"/>
  <c r="F339" i="2"/>
  <c r="F326" i="2"/>
  <c r="F347" i="2"/>
  <c r="F323" i="2"/>
  <c r="D24" i="2"/>
  <c r="B15" i="3" s="1"/>
  <c r="A24" i="2"/>
  <c r="A15" i="3" s="1"/>
  <c r="D22" i="2"/>
  <c r="B14" i="3" s="1"/>
  <c r="A22" i="2"/>
  <c r="A14" i="3" s="1"/>
  <c r="D18" i="2"/>
  <c r="A18" i="2"/>
  <c r="D20" i="2"/>
  <c r="B13" i="3" s="1"/>
  <c r="A20" i="2"/>
  <c r="A13" i="3" s="1"/>
  <c r="D196" i="4"/>
  <c r="C296" i="2"/>
  <c r="H197" i="4"/>
  <c r="I197" i="4" s="1"/>
  <c r="I196" i="4" s="1"/>
  <c r="F327" i="2" l="1"/>
  <c r="F331" i="2"/>
  <c r="G296" i="2"/>
  <c r="F332" i="2" l="1"/>
  <c r="F328" i="2"/>
  <c r="D289" i="2"/>
  <c r="C289" i="2"/>
  <c r="D288" i="2"/>
  <c r="C288" i="2"/>
  <c r="D287" i="2"/>
  <c r="C287" i="2"/>
  <c r="C286" i="2"/>
  <c r="F174" i="4"/>
  <c r="F186" i="4"/>
  <c r="F173" i="4"/>
  <c r="F164" i="4"/>
  <c r="C282" i="2"/>
  <c r="F154" i="4"/>
  <c r="H188" i="4"/>
  <c r="I188" i="4" s="1"/>
  <c r="H187" i="4"/>
  <c r="I187" i="4" s="1"/>
  <c r="H186" i="4"/>
  <c r="H185" i="4"/>
  <c r="H182" i="4"/>
  <c r="I182" i="4" s="1"/>
  <c r="H181" i="4"/>
  <c r="I181" i="4" s="1"/>
  <c r="H180" i="4"/>
  <c r="F180" i="4"/>
  <c r="H179" i="4"/>
  <c r="F179" i="4"/>
  <c r="H176" i="4"/>
  <c r="I176" i="4" s="1"/>
  <c r="H175" i="4"/>
  <c r="I175" i="4" s="1"/>
  <c r="H174" i="4"/>
  <c r="H173" i="4"/>
  <c r="H170" i="4"/>
  <c r="I170" i="4" s="1"/>
  <c r="H169" i="4"/>
  <c r="I169" i="4" s="1"/>
  <c r="H168" i="4"/>
  <c r="I168" i="4" s="1"/>
  <c r="H167" i="4"/>
  <c r="I167" i="4" s="1"/>
  <c r="H166" i="4"/>
  <c r="I166" i="4" s="1"/>
  <c r="H165" i="4"/>
  <c r="I165" i="4" s="1"/>
  <c r="H164" i="4"/>
  <c r="H163" i="4"/>
  <c r="I163" i="4" s="1"/>
  <c r="H162" i="4"/>
  <c r="I162" i="4" s="1"/>
  <c r="H161" i="4"/>
  <c r="I161" i="4" s="1"/>
  <c r="I158" i="4"/>
  <c r="H158" i="4"/>
  <c r="I157" i="4"/>
  <c r="H157" i="4"/>
  <c r="I156" i="4"/>
  <c r="H156" i="4"/>
  <c r="I155" i="4"/>
  <c r="H155" i="4"/>
  <c r="H154" i="4"/>
  <c r="F279" i="2"/>
  <c r="F271" i="2"/>
  <c r="F272" i="2"/>
  <c r="F273" i="2" s="1"/>
  <c r="F264" i="2"/>
  <c r="F238" i="2"/>
  <c r="F239" i="2"/>
  <c r="F247" i="2"/>
  <c r="F248" i="2" s="1"/>
  <c r="F299" i="2"/>
  <c r="F278" i="2"/>
  <c r="F266" i="2" l="1"/>
  <c r="F265" i="2"/>
  <c r="I164" i="4"/>
  <c r="I160" i="4" s="1"/>
  <c r="G286" i="2" s="1"/>
  <c r="I186" i="4"/>
  <c r="I174" i="4"/>
  <c r="F333" i="2"/>
  <c r="F334" i="2"/>
  <c r="I185" i="4"/>
  <c r="I180" i="4"/>
  <c r="I173" i="4"/>
  <c r="I179" i="4"/>
  <c r="I154" i="4"/>
  <c r="I153" i="4" s="1"/>
  <c r="G282" i="2" s="1"/>
  <c r="F243" i="2"/>
  <c r="F249" i="2"/>
  <c r="I184" i="4" l="1"/>
  <c r="G289" i="2" s="1"/>
  <c r="I172" i="4"/>
  <c r="G287" i="2" s="1"/>
  <c r="I178" i="4"/>
  <c r="G288" i="2" s="1"/>
  <c r="F241" i="2"/>
  <c r="F242" i="2" l="1"/>
  <c r="D65" i="11" l="1"/>
  <c r="Q2" i="11"/>
  <c r="Q3" i="11"/>
  <c r="Q4" i="11"/>
  <c r="Q5" i="11"/>
  <c r="Q6" i="11"/>
  <c r="Q7" i="11"/>
  <c r="Q8" i="1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1" i="11"/>
  <c r="D77" i="11" s="1"/>
  <c r="D84" i="11"/>
  <c r="D83" i="11"/>
  <c r="D82" i="11"/>
  <c r="D81" i="11"/>
  <c r="D80" i="11"/>
  <c r="D79" i="11"/>
  <c r="D72" i="11" l="1"/>
  <c r="D73" i="11"/>
  <c r="D74" i="11"/>
  <c r="D75" i="11"/>
  <c r="D76" i="11"/>
  <c r="D69" i="11"/>
  <c r="D67" i="11"/>
  <c r="D68" i="11"/>
  <c r="D66" i="11"/>
  <c r="D70" i="11"/>
  <c r="D78" i="11"/>
  <c r="D71" i="11"/>
  <c r="D85" i="11" l="1"/>
  <c r="D234" i="2"/>
  <c r="C234" i="2"/>
  <c r="H149" i="4"/>
  <c r="I149" i="4" s="1"/>
  <c r="H148" i="4"/>
  <c r="I148" i="4" s="1"/>
  <c r="H147" i="4"/>
  <c r="H146" i="4"/>
  <c r="H145" i="4"/>
  <c r="H143" i="4"/>
  <c r="I143" i="4" s="1"/>
  <c r="I147" i="4" l="1"/>
  <c r="I146" i="4"/>
  <c r="I145" i="4"/>
  <c r="I142" i="4" l="1"/>
  <c r="G234" i="2" s="1"/>
  <c r="F198" i="2"/>
  <c r="O74" i="9"/>
  <c r="O73" i="9"/>
  <c r="Q73" i="9" s="1"/>
  <c r="O56" i="9"/>
  <c r="P56" i="9" s="1"/>
  <c r="Q56" i="9" s="1"/>
  <c r="R56" i="9" s="1"/>
  <c r="O57" i="9"/>
  <c r="O58" i="9"/>
  <c r="O59" i="9"/>
  <c r="P59" i="9" s="1"/>
  <c r="Q59" i="9" s="1"/>
  <c r="R59" i="9" s="1"/>
  <c r="O60" i="9"/>
  <c r="P60" i="9" s="1"/>
  <c r="Q60" i="9" s="1"/>
  <c r="R60" i="9" s="1"/>
  <c r="O61" i="9"/>
  <c r="P61" i="9" s="1"/>
  <c r="Q61" i="9" s="1"/>
  <c r="R61" i="9" s="1"/>
  <c r="O62" i="9"/>
  <c r="P62" i="9" s="1"/>
  <c r="Q62" i="9" s="1"/>
  <c r="R62" i="9" s="1"/>
  <c r="O63" i="9"/>
  <c r="O64" i="9"/>
  <c r="O55" i="9"/>
  <c r="O48" i="9"/>
  <c r="O49" i="9"/>
  <c r="P49" i="9" s="1"/>
  <c r="Q49" i="9" s="1"/>
  <c r="R49" i="9" s="1"/>
  <c r="O50" i="9"/>
  <c r="P50" i="9" s="1"/>
  <c r="Q50" i="9" s="1"/>
  <c r="R50" i="9" s="1"/>
  <c r="O51" i="9"/>
  <c r="O52" i="9"/>
  <c r="O53" i="9"/>
  <c r="O47" i="9"/>
  <c r="O40" i="9"/>
  <c r="P40" i="9" s="1"/>
  <c r="Q40" i="9" s="1"/>
  <c r="R40" i="9" s="1"/>
  <c r="O41" i="9"/>
  <c r="P41" i="9" s="1"/>
  <c r="Q41" i="9" s="1"/>
  <c r="R41" i="9" s="1"/>
  <c r="O39" i="9"/>
  <c r="O35" i="9"/>
  <c r="O36" i="9"/>
  <c r="O34" i="9"/>
  <c r="O15" i="9"/>
  <c r="O16" i="9"/>
  <c r="P16" i="9" s="1"/>
  <c r="O17" i="9"/>
  <c r="O18" i="9"/>
  <c r="O19" i="9"/>
  <c r="O20" i="9"/>
  <c r="O21" i="9"/>
  <c r="O22" i="9"/>
  <c r="O23" i="9"/>
  <c r="P23" i="9" s="1"/>
  <c r="O24" i="9"/>
  <c r="P24" i="9" s="1"/>
  <c r="O25" i="9"/>
  <c r="O26" i="9"/>
  <c r="O27" i="9"/>
  <c r="P27" i="9" s="1"/>
  <c r="O28" i="9"/>
  <c r="P28" i="9" s="1"/>
  <c r="O29" i="9"/>
  <c r="O30" i="9"/>
  <c r="O31" i="9"/>
  <c r="O14" i="9"/>
  <c r="O33" i="9"/>
  <c r="P33" i="9" s="1"/>
  <c r="Q33" i="9" s="1"/>
  <c r="R33" i="9" s="1"/>
  <c r="O37" i="9"/>
  <c r="O38" i="9"/>
  <c r="O42" i="9"/>
  <c r="P42" i="9" s="1"/>
  <c r="O43" i="9"/>
  <c r="O44" i="9"/>
  <c r="O45" i="9"/>
  <c r="P45" i="9" s="1"/>
  <c r="Q45" i="9" s="1"/>
  <c r="R45" i="9" s="1"/>
  <c r="O46" i="9"/>
  <c r="P46" i="9" s="1"/>
  <c r="Q46" i="9" s="1"/>
  <c r="R46" i="9" s="1"/>
  <c r="P48" i="9"/>
  <c r="Q48" i="9" s="1"/>
  <c r="R48" i="9" s="1"/>
  <c r="O54" i="9"/>
  <c r="O65" i="9"/>
  <c r="O66" i="9"/>
  <c r="P66" i="9" s="1"/>
  <c r="Q66" i="9" s="1"/>
  <c r="R66" i="9" s="1"/>
  <c r="O67" i="9"/>
  <c r="P67" i="9" s="1"/>
  <c r="Q67" i="9" s="1"/>
  <c r="R67" i="9" s="1"/>
  <c r="O68" i="9"/>
  <c r="P68" i="9" s="1"/>
  <c r="Q68" i="9" s="1"/>
  <c r="R68" i="9" s="1"/>
  <c r="O69" i="9"/>
  <c r="O70" i="9"/>
  <c r="O71" i="9"/>
  <c r="O72" i="9"/>
  <c r="P72" i="9" s="1"/>
  <c r="Q72" i="9" s="1"/>
  <c r="R72" i="9" s="1"/>
  <c r="Q74" i="9"/>
  <c r="P18" i="9"/>
  <c r="P30" i="9"/>
  <c r="P63" i="9"/>
  <c r="Q63" i="9" s="1"/>
  <c r="R63" i="9" s="1"/>
  <c r="N75" i="9"/>
  <c r="R15" i="9"/>
  <c r="R16" i="9"/>
  <c r="R17" i="9"/>
  <c r="R18" i="9"/>
  <c r="R19" i="9"/>
  <c r="R20" i="9"/>
  <c r="R21" i="9"/>
  <c r="R22" i="9"/>
  <c r="R23" i="9"/>
  <c r="R24" i="9"/>
  <c r="R25" i="9"/>
  <c r="R26" i="9"/>
  <c r="R27" i="9"/>
  <c r="R28" i="9"/>
  <c r="R29" i="9"/>
  <c r="R30" i="9"/>
  <c r="R31" i="9"/>
  <c r="R14" i="9"/>
  <c r="O32" i="9"/>
  <c r="P32" i="9" s="1"/>
  <c r="Q32" i="9" s="1"/>
  <c r="R32" i="9" s="1"/>
  <c r="P15" i="9"/>
  <c r="P17" i="9"/>
  <c r="P19" i="9"/>
  <c r="P20" i="9"/>
  <c r="P21" i="9"/>
  <c r="P22" i="9"/>
  <c r="P25" i="9"/>
  <c r="P26" i="9"/>
  <c r="P29" i="9"/>
  <c r="P31" i="9"/>
  <c r="P34" i="9"/>
  <c r="Q34" i="9" s="1"/>
  <c r="R34" i="9" s="1"/>
  <c r="P35" i="9"/>
  <c r="Q35" i="9" s="1"/>
  <c r="R35" i="9" s="1"/>
  <c r="P36" i="9"/>
  <c r="Q36" i="9" s="1"/>
  <c r="R36" i="9" s="1"/>
  <c r="P37" i="9"/>
  <c r="Q37" i="9" s="1"/>
  <c r="R37" i="9" s="1"/>
  <c r="P38" i="9"/>
  <c r="Q38" i="9" s="1"/>
  <c r="R38" i="9" s="1"/>
  <c r="P39" i="9"/>
  <c r="Q39" i="9" s="1"/>
  <c r="R39" i="9" s="1"/>
  <c r="P43" i="9"/>
  <c r="Q43" i="9" s="1"/>
  <c r="R43" i="9" s="1"/>
  <c r="P44" i="9"/>
  <c r="Q44" i="9" s="1"/>
  <c r="R44" i="9" s="1"/>
  <c r="P47" i="9"/>
  <c r="Q47" i="9" s="1"/>
  <c r="R47" i="9" s="1"/>
  <c r="P51" i="9"/>
  <c r="Q51" i="9" s="1"/>
  <c r="R51" i="9" s="1"/>
  <c r="P52" i="9"/>
  <c r="Q52" i="9" s="1"/>
  <c r="R52" i="9" s="1"/>
  <c r="P53" i="9"/>
  <c r="Q53" i="9" s="1"/>
  <c r="R53" i="9" s="1"/>
  <c r="P55" i="9"/>
  <c r="Q55" i="9" s="1"/>
  <c r="R55" i="9" s="1"/>
  <c r="P57" i="9"/>
  <c r="Q57" i="9" s="1"/>
  <c r="R57" i="9" s="1"/>
  <c r="P58" i="9"/>
  <c r="Q58" i="9" s="1"/>
  <c r="R58" i="9" s="1"/>
  <c r="P64" i="9"/>
  <c r="Q64" i="9" s="1"/>
  <c r="R64" i="9" s="1"/>
  <c r="P65" i="9"/>
  <c r="Q65" i="9" s="1"/>
  <c r="R65" i="9" s="1"/>
  <c r="P69" i="9"/>
  <c r="Q69" i="9" s="1"/>
  <c r="R69" i="9" s="1"/>
  <c r="P70" i="9"/>
  <c r="Q70" i="9" s="1"/>
  <c r="R70" i="9" s="1"/>
  <c r="P71" i="9"/>
  <c r="Q71" i="9" s="1"/>
  <c r="R71" i="9" s="1"/>
  <c r="I77" i="9"/>
  <c r="O75" i="9" l="1"/>
  <c r="F194" i="2" s="1"/>
  <c r="Q42" i="9"/>
  <c r="R42" i="9" s="1"/>
  <c r="P54" i="9"/>
  <c r="Q54" i="9" s="1"/>
  <c r="I65" i="9"/>
  <c r="I33" i="9"/>
  <c r="I32" i="9"/>
  <c r="I38" i="9"/>
  <c r="I37" i="9"/>
  <c r="I68" i="9"/>
  <c r="I67" i="9"/>
  <c r="I66" i="9"/>
  <c r="I45" i="9"/>
  <c r="I46" i="9"/>
  <c r="I44" i="9"/>
  <c r="I43" i="9"/>
  <c r="I42" i="9"/>
  <c r="I54" i="9"/>
  <c r="R54" i="9" l="1"/>
  <c r="Q75" i="9"/>
  <c r="J66" i="9"/>
  <c r="I69" i="9"/>
  <c r="J69" i="9" s="1"/>
  <c r="I70" i="9"/>
  <c r="J70" i="9" s="1"/>
  <c r="I71" i="9"/>
  <c r="J71" i="9" s="1"/>
  <c r="I72" i="9"/>
  <c r="J72" i="9" s="1"/>
  <c r="J68" i="9"/>
  <c r="L65" i="9"/>
  <c r="L66" i="9"/>
  <c r="L67" i="9"/>
  <c r="L68" i="9"/>
  <c r="L69" i="9"/>
  <c r="L70" i="9"/>
  <c r="L71" i="9"/>
  <c r="L72" i="9"/>
  <c r="J55" i="9"/>
  <c r="J56" i="9"/>
  <c r="J57" i="9"/>
  <c r="J58" i="9"/>
  <c r="J59" i="9"/>
  <c r="J60" i="9"/>
  <c r="J61" i="9"/>
  <c r="J62" i="9"/>
  <c r="J63" i="9"/>
  <c r="J64" i="9"/>
  <c r="J67" i="9"/>
  <c r="J73" i="9"/>
  <c r="J74" i="9" l="1"/>
  <c r="L54" i="9"/>
  <c r="J54" i="9"/>
  <c r="J53" i="9"/>
  <c r="J52" i="9"/>
  <c r="J51" i="9"/>
  <c r="J50" i="9"/>
  <c r="J49" i="9"/>
  <c r="J48" i="9"/>
  <c r="J47" i="9"/>
  <c r="L46" i="9"/>
  <c r="J46" i="9"/>
  <c r="L45" i="9"/>
  <c r="J45" i="9"/>
  <c r="L44" i="9"/>
  <c r="J44" i="9"/>
  <c r="L43" i="9"/>
  <c r="J43" i="9"/>
  <c r="L42" i="9"/>
  <c r="J42" i="9"/>
  <c r="J41" i="9"/>
  <c r="J40" i="9"/>
  <c r="J39" i="9"/>
  <c r="L38" i="9"/>
  <c r="J38" i="9"/>
  <c r="L37" i="9"/>
  <c r="J37" i="9"/>
  <c r="J36" i="9"/>
  <c r="J35" i="9"/>
  <c r="J34" i="9"/>
  <c r="L33" i="9"/>
  <c r="J33" i="9"/>
  <c r="L32" i="9"/>
  <c r="J32" i="9"/>
  <c r="J31" i="9"/>
  <c r="J30" i="9"/>
  <c r="J29" i="9"/>
  <c r="J28" i="9"/>
  <c r="J27" i="9"/>
  <c r="J26" i="9"/>
  <c r="J25" i="9"/>
  <c r="J24" i="9"/>
  <c r="J23" i="9"/>
  <c r="J22" i="9"/>
  <c r="J21" i="9"/>
  <c r="J20" i="9"/>
  <c r="J19" i="9"/>
  <c r="J18" i="9"/>
  <c r="J17" i="9"/>
  <c r="J16" i="9"/>
  <c r="J15" i="9"/>
  <c r="P14" i="9"/>
  <c r="J14" i="9"/>
  <c r="L75" i="9" l="1"/>
  <c r="P75" i="9"/>
  <c r="F195" i="2" s="1"/>
  <c r="F185" i="2" l="1"/>
  <c r="F184" i="2"/>
  <c r="F181" i="2"/>
  <c r="F178" i="2"/>
  <c r="F138" i="2"/>
  <c r="F137" i="2"/>
  <c r="F134" i="2"/>
  <c r="F203" i="2" l="1"/>
  <c r="F204" i="2" s="1"/>
  <c r="F179" i="2"/>
  <c r="F182" i="2"/>
  <c r="F183" i="2" s="1"/>
  <c r="F186" i="2"/>
  <c r="C121" i="2"/>
  <c r="C116" i="2"/>
  <c r="C115" i="2"/>
  <c r="C114" i="2"/>
  <c r="C113" i="2"/>
  <c r="C108" i="2"/>
  <c r="C112" i="2"/>
  <c r="F70" i="4"/>
  <c r="F69" i="4"/>
  <c r="H72" i="4"/>
  <c r="I72" i="4" s="1"/>
  <c r="H71" i="4"/>
  <c r="I71" i="4" s="1"/>
  <c r="H70" i="4"/>
  <c r="H69" i="4"/>
  <c r="F206" i="2" l="1"/>
  <c r="F205" i="2"/>
  <c r="I70" i="4"/>
  <c r="I69" i="4"/>
  <c r="F75" i="4"/>
  <c r="I75" i="4" s="1"/>
  <c r="F76" i="4"/>
  <c r="I76" i="4" s="1"/>
  <c r="I68" i="4" l="1"/>
  <c r="G113" i="2" s="1"/>
  <c r="F50" i="4"/>
  <c r="I50" i="4" s="1"/>
  <c r="F96" i="2" l="1"/>
  <c r="F105" i="2"/>
  <c r="F99" i="2" l="1"/>
  <c r="F100" i="2" s="1"/>
  <c r="F98" i="2" l="1"/>
  <c r="F124" i="2"/>
  <c r="F75" i="2"/>
  <c r="F76" i="2" s="1"/>
  <c r="F87" i="2" l="1"/>
  <c r="F88" i="2" s="1"/>
  <c r="F90" i="2"/>
  <c r="F77" i="2"/>
  <c r="F104" i="2"/>
  <c r="F92" i="2" l="1"/>
  <c r="F91" i="2"/>
  <c r="K150" i="2" l="1"/>
  <c r="K322" i="2"/>
  <c r="K172" i="2" l="1"/>
  <c r="K241" i="2"/>
  <c r="K198" i="2"/>
  <c r="K342" i="2" l="1"/>
  <c r="H136" i="4" l="1"/>
  <c r="I136" i="4" s="1"/>
  <c r="H135" i="4"/>
  <c r="I135" i="4" s="1"/>
  <c r="H134" i="4"/>
  <c r="I134" i="4" s="1"/>
  <c r="H133" i="4"/>
  <c r="I133" i="4" s="1"/>
  <c r="H132" i="4"/>
  <c r="I132" i="4" s="1"/>
  <c r="H131" i="4"/>
  <c r="I131" i="4" s="1"/>
  <c r="H130" i="4"/>
  <c r="I130" i="4" s="1"/>
  <c r="H129" i="4"/>
  <c r="I129" i="4" s="1"/>
  <c r="H128" i="4"/>
  <c r="I128" i="4" s="1"/>
  <c r="H127" i="4"/>
  <c r="I127" i="4" s="1"/>
  <c r="H126" i="4"/>
  <c r="I126" i="4" s="1"/>
  <c r="H125" i="4"/>
  <c r="I125" i="4" s="1"/>
  <c r="H124" i="4"/>
  <c r="I124" i="4" s="1"/>
  <c r="H123" i="4"/>
  <c r="I123" i="4" s="1"/>
  <c r="H113" i="4"/>
  <c r="I113" i="4" s="1"/>
  <c r="H112" i="4"/>
  <c r="I112" i="4" s="1"/>
  <c r="H109" i="4"/>
  <c r="H108" i="4"/>
  <c r="I108" i="4" s="1"/>
  <c r="H107" i="4"/>
  <c r="I107" i="4" s="1"/>
  <c r="H106" i="4"/>
  <c r="H105" i="4"/>
  <c r="F106" i="4"/>
  <c r="H92" i="4"/>
  <c r="I92" i="4" s="1"/>
  <c r="H101" i="4"/>
  <c r="I101" i="4" s="1"/>
  <c r="H90" i="4"/>
  <c r="H89" i="4"/>
  <c r="F89" i="4"/>
  <c r="H88" i="4"/>
  <c r="I88" i="4" s="1"/>
  <c r="H87" i="4"/>
  <c r="I87" i="4" s="1"/>
  <c r="H84" i="4"/>
  <c r="I84" i="4" s="1"/>
  <c r="H83" i="4"/>
  <c r="I83" i="4" s="1"/>
  <c r="H82" i="4"/>
  <c r="F82" i="4"/>
  <c r="F81" i="4"/>
  <c r="I81" i="4" s="1"/>
  <c r="F60" i="4"/>
  <c r="I60" i="4" s="1"/>
  <c r="I105" i="4" l="1"/>
  <c r="I109" i="4"/>
  <c r="I106" i="4"/>
  <c r="I90" i="4"/>
  <c r="I89" i="4"/>
  <c r="I82" i="4"/>
  <c r="I74" i="4"/>
  <c r="G114" i="2" s="1"/>
  <c r="I56" i="4"/>
  <c r="G112" i="2" s="1"/>
  <c r="I49" i="4"/>
  <c r="G108" i="2" s="1"/>
  <c r="I111" i="4"/>
  <c r="G121" i="2" s="1"/>
  <c r="I80" i="4" l="1"/>
  <c r="G115" i="2" s="1"/>
  <c r="I86" i="4"/>
  <c r="G116" i="2" l="1"/>
  <c r="G291" i="2"/>
  <c r="F359" i="2"/>
  <c r="H481" i="4" l="1"/>
  <c r="I481" i="4" s="1"/>
  <c r="H482" i="4"/>
  <c r="I482" i="4" s="1"/>
  <c r="H483" i="4"/>
  <c r="I483" i="4" s="1"/>
  <c r="H484" i="4"/>
  <c r="I484" i="4" s="1"/>
  <c r="H485" i="4"/>
  <c r="I485" i="4" s="1"/>
  <c r="H486" i="4"/>
  <c r="I486" i="4" s="1"/>
  <c r="H487" i="4"/>
  <c r="I487" i="4" s="1"/>
  <c r="H488" i="4"/>
  <c r="I488" i="4" s="1"/>
  <c r="H489" i="4"/>
  <c r="I489" i="4" s="1"/>
  <c r="H490" i="4"/>
  <c r="I490" i="4" s="1"/>
  <c r="H491" i="4"/>
  <c r="I491" i="4" s="1"/>
  <c r="H492" i="4"/>
  <c r="I492" i="4" s="1"/>
  <c r="H493" i="4"/>
  <c r="I493" i="4" s="1"/>
  <c r="H494" i="4"/>
  <c r="I494" i="4" s="1"/>
  <c r="H495" i="4"/>
  <c r="I495" i="4" s="1"/>
  <c r="H496" i="4"/>
  <c r="I496" i="4" s="1"/>
  <c r="H497" i="4"/>
  <c r="I497" i="4" s="1"/>
  <c r="H498" i="4"/>
  <c r="I498" i="4" s="1"/>
  <c r="F622" i="2" l="1"/>
  <c r="F624" i="2" s="1"/>
  <c r="F621" i="2" l="1"/>
  <c r="F623" i="2"/>
  <c r="H6" i="12" l="1"/>
  <c r="H7" i="12"/>
  <c r="H8" i="12"/>
  <c r="H9" i="12"/>
  <c r="H5" i="12"/>
  <c r="G6" i="12"/>
  <c r="G7" i="12"/>
  <c r="G8" i="12"/>
  <c r="G9" i="12"/>
  <c r="G5" i="12"/>
  <c r="H11" i="12" l="1"/>
  <c r="H13" i="12" s="1"/>
  <c r="G11" i="12"/>
  <c r="G13" i="12" s="1"/>
  <c r="H15" i="12" s="1"/>
  <c r="N8" i="10" l="1"/>
  <c r="N9" i="10"/>
  <c r="N10" i="10"/>
  <c r="N11" i="10"/>
  <c r="N12" i="10"/>
  <c r="N13" i="10"/>
  <c r="M7" i="10"/>
  <c r="L7" i="10"/>
  <c r="K7" i="10"/>
  <c r="J7" i="10"/>
  <c r="I7" i="10"/>
  <c r="H7" i="10"/>
  <c r="G7" i="10"/>
  <c r="F7" i="10"/>
  <c r="E7" i="10"/>
  <c r="D7" i="10"/>
  <c r="C7" i="10"/>
  <c r="N7" i="10" s="1"/>
  <c r="R30" i="3" l="1"/>
  <c r="H685" i="4" l="1"/>
  <c r="I685" i="4" s="1"/>
  <c r="H686" i="4"/>
  <c r="I686" i="4" s="1"/>
  <c r="H684" i="4"/>
  <c r="I684" i="4" s="1"/>
  <c r="H683" i="4"/>
  <c r="I683" i="4" s="1"/>
  <c r="I682" i="4" l="1"/>
  <c r="G605" i="2" s="1"/>
  <c r="G495" i="2" l="1"/>
  <c r="H402" i="4" l="1"/>
  <c r="I402" i="4" s="1"/>
  <c r="I401" i="4" s="1"/>
  <c r="H291" i="4" l="1"/>
  <c r="I291" i="4" s="1"/>
  <c r="I290" i="4" s="1"/>
  <c r="D412" i="2"/>
  <c r="G417" i="2" l="1"/>
  <c r="I259" i="4" l="1"/>
  <c r="D44" i="2"/>
  <c r="B25" i="3" s="1"/>
  <c r="D54" i="2"/>
  <c r="B30" i="3" s="1"/>
  <c r="A54" i="2"/>
  <c r="A30" i="3" s="1"/>
  <c r="A44" i="2"/>
  <c r="A25" i="3" s="1"/>
  <c r="G412" i="2" l="1"/>
  <c r="C24" i="6"/>
  <c r="C36" i="6" s="1"/>
  <c r="H576" i="2" l="1"/>
  <c r="I576" i="2" s="1"/>
  <c r="H528" i="2"/>
  <c r="H577" i="2"/>
  <c r="I577" i="2" s="1"/>
  <c r="H452" i="2"/>
  <c r="I452" i="2" s="1"/>
  <c r="H507" i="2"/>
  <c r="I507" i="2" s="1"/>
  <c r="H393" i="2"/>
  <c r="I393" i="2" s="1"/>
  <c r="H426" i="2"/>
  <c r="I426" i="2" s="1"/>
  <c r="H372" i="2"/>
  <c r="I372" i="2" s="1"/>
  <c r="H352" i="2"/>
  <c r="I352" i="2" s="1"/>
  <c r="H351" i="2"/>
  <c r="I351" i="2" s="1"/>
  <c r="H616" i="2"/>
  <c r="I616" i="2" s="1"/>
  <c r="H615" i="2"/>
  <c r="I615" i="2" s="1"/>
  <c r="H612" i="2"/>
  <c r="I612" i="2" s="1"/>
  <c r="H613" i="2"/>
  <c r="I613" i="2" s="1"/>
  <c r="H614" i="2"/>
  <c r="I614" i="2" s="1"/>
  <c r="H610" i="2"/>
  <c r="I610" i="2" s="1"/>
  <c r="H611" i="2"/>
  <c r="I611" i="2" s="1"/>
  <c r="H294" i="2"/>
  <c r="I294" i="2" s="1"/>
  <c r="H293" i="2"/>
  <c r="I293" i="2" s="1"/>
  <c r="H292" i="2"/>
  <c r="I292" i="2" s="1"/>
  <c r="H566" i="2"/>
  <c r="I566" i="2" s="1"/>
  <c r="H117" i="2"/>
  <c r="I117" i="2" s="1"/>
  <c r="H118" i="2"/>
  <c r="I118" i="2" s="1"/>
  <c r="H119" i="2"/>
  <c r="I119" i="2" s="1"/>
  <c r="I571" i="2"/>
  <c r="I570" i="2"/>
  <c r="I573" i="2"/>
  <c r="I572" i="2"/>
  <c r="H481" i="2"/>
  <c r="I481" i="2" s="1"/>
  <c r="I545" i="2"/>
  <c r="I544" i="2"/>
  <c r="I542" i="2"/>
  <c r="I546" i="2"/>
  <c r="I543" i="2"/>
  <c r="I541" i="2"/>
  <c r="I430" i="2"/>
  <c r="I436" i="2"/>
  <c r="H488" i="2"/>
  <c r="I488" i="2" s="1"/>
  <c r="H487" i="2"/>
  <c r="I487" i="2" s="1"/>
  <c r="H517" i="2"/>
  <c r="I518" i="2"/>
  <c r="H381" i="2"/>
  <c r="I381" i="2" s="1"/>
  <c r="H538" i="2"/>
  <c r="I538" i="2" s="1"/>
  <c r="H456" i="2"/>
  <c r="I456" i="2" s="1"/>
  <c r="H270" i="2"/>
  <c r="I270" i="2" s="1"/>
  <c r="H269" i="2"/>
  <c r="I269" i="2" s="1"/>
  <c r="H95" i="2"/>
  <c r="I95" i="2" s="1"/>
  <c r="H86" i="2"/>
  <c r="I86" i="2" s="1"/>
  <c r="H266" i="2"/>
  <c r="I266" i="2" s="1"/>
  <c r="H264" i="2"/>
  <c r="I264" i="2" s="1"/>
  <c r="H262" i="2"/>
  <c r="I262" i="2" s="1"/>
  <c r="H260" i="2"/>
  <c r="I260" i="2" s="1"/>
  <c r="H256" i="2"/>
  <c r="I256" i="2" s="1"/>
  <c r="H258" i="2"/>
  <c r="I258" i="2" s="1"/>
  <c r="H255" i="2"/>
  <c r="I255" i="2" s="1"/>
  <c r="H257" i="2"/>
  <c r="I257" i="2" s="1"/>
  <c r="H265" i="2"/>
  <c r="I265" i="2" s="1"/>
  <c r="H263" i="2"/>
  <c r="I263" i="2" s="1"/>
  <c r="H261" i="2"/>
  <c r="I261" i="2" s="1"/>
  <c r="H259" i="2"/>
  <c r="I259" i="2" s="1"/>
  <c r="H92" i="2"/>
  <c r="I92" i="2" s="1"/>
  <c r="H90" i="2"/>
  <c r="I90" i="2" s="1"/>
  <c r="H88" i="2"/>
  <c r="I88" i="2" s="1"/>
  <c r="H91" i="2"/>
  <c r="I91" i="2" s="1"/>
  <c r="H89" i="2"/>
  <c r="I89" i="2" s="1"/>
  <c r="H87" i="2"/>
  <c r="I87" i="2" s="1"/>
  <c r="H83" i="2"/>
  <c r="I83" i="2" s="1"/>
  <c r="H97" i="2"/>
  <c r="I97" i="2" s="1"/>
  <c r="H348" i="2"/>
  <c r="I348" i="2" s="1"/>
  <c r="H519" i="2"/>
  <c r="I519" i="2" s="1"/>
  <c r="H59" i="2"/>
  <c r="I59" i="2" s="1"/>
  <c r="H64" i="2"/>
  <c r="I64" i="2" s="1"/>
  <c r="H65" i="2"/>
  <c r="I65" i="2" s="1"/>
  <c r="H66" i="2"/>
  <c r="I66" i="2" s="1"/>
  <c r="H68" i="2"/>
  <c r="I68" i="2" s="1"/>
  <c r="H60" i="2"/>
  <c r="I60" i="2" s="1"/>
  <c r="H61" i="2"/>
  <c r="I61" i="2" s="1"/>
  <c r="H63" i="2"/>
  <c r="I63" i="2" s="1"/>
  <c r="H67" i="2"/>
  <c r="I67" i="2" s="1"/>
  <c r="H62" i="2"/>
  <c r="I62" i="2" s="1"/>
  <c r="H602" i="2"/>
  <c r="I602" i="2" s="1"/>
  <c r="H621" i="2"/>
  <c r="I621" i="2" s="1"/>
  <c r="H599" i="2"/>
  <c r="I599" i="2" s="1"/>
  <c r="H597" i="2"/>
  <c r="I597" i="2" s="1"/>
  <c r="H601" i="2"/>
  <c r="I601" i="2" s="1"/>
  <c r="H598" i="2"/>
  <c r="I598" i="2" s="1"/>
  <c r="H600" i="2"/>
  <c r="I600" i="2" s="1"/>
  <c r="H595" i="2"/>
  <c r="I595" i="2" s="1"/>
  <c r="H596" i="2"/>
  <c r="I596" i="2" s="1"/>
  <c r="H568" i="2"/>
  <c r="I568" i="2" s="1"/>
  <c r="H563" i="2"/>
  <c r="I563" i="2" s="1"/>
  <c r="H514" i="2"/>
  <c r="I514" i="2" s="1"/>
  <c r="H515" i="2"/>
  <c r="I515" i="2" s="1"/>
  <c r="H502" i="2"/>
  <c r="I502" i="2" s="1"/>
  <c r="H477" i="2"/>
  <c r="I477" i="2" s="1"/>
  <c r="H504" i="2"/>
  <c r="I504" i="2" s="1"/>
  <c r="H503" i="2"/>
  <c r="I503" i="2" s="1"/>
  <c r="H500" i="2"/>
  <c r="I500" i="2" s="1"/>
  <c r="H505" i="2"/>
  <c r="I505" i="2" s="1"/>
  <c r="H501" i="2"/>
  <c r="I501" i="2" s="1"/>
  <c r="H480" i="2"/>
  <c r="I480" i="2" s="1"/>
  <c r="H479" i="2"/>
  <c r="I479" i="2" s="1"/>
  <c r="H478" i="2"/>
  <c r="I478" i="2" s="1"/>
  <c r="H511" i="2"/>
  <c r="I511" i="2" s="1"/>
  <c r="H499" i="2"/>
  <c r="I499" i="2" s="1"/>
  <c r="H512" i="2"/>
  <c r="I512" i="2" s="1"/>
  <c r="H508" i="2"/>
  <c r="I508" i="2" s="1"/>
  <c r="I509" i="2"/>
  <c r="H506" i="2"/>
  <c r="I506" i="2" s="1"/>
  <c r="I510" i="2"/>
  <c r="H513" i="2"/>
  <c r="I513" i="2" s="1"/>
  <c r="H495" i="2"/>
  <c r="I495" i="2" s="1"/>
  <c r="H492" i="2"/>
  <c r="I492" i="2" s="1"/>
  <c r="I486" i="2"/>
  <c r="I485" i="2"/>
  <c r="H484" i="2"/>
  <c r="I484" i="2" s="1"/>
  <c r="H483" i="2"/>
  <c r="I483" i="2" s="1"/>
  <c r="H482" i="2"/>
  <c r="I482" i="2" s="1"/>
  <c r="H476" i="2"/>
  <c r="I476" i="2" s="1"/>
  <c r="H549" i="2"/>
  <c r="I549" i="2" s="1"/>
  <c r="H533" i="2"/>
  <c r="I533" i="2" s="1"/>
  <c r="H550" i="2"/>
  <c r="I550" i="2" s="1"/>
  <c r="H540" i="2"/>
  <c r="I540" i="2" s="1"/>
  <c r="H539" i="2"/>
  <c r="I539" i="2" s="1"/>
  <c r="H469" i="2"/>
  <c r="I469" i="2" s="1"/>
  <c r="H450" i="2"/>
  <c r="I450" i="2" s="1"/>
  <c r="I463" i="2"/>
  <c r="I460" i="2"/>
  <c r="H465" i="2"/>
  <c r="I465" i="2" s="1"/>
  <c r="H458" i="2"/>
  <c r="I458" i="2" s="1"/>
  <c r="H457" i="2"/>
  <c r="I457" i="2" s="1"/>
  <c r="I462" i="2"/>
  <c r="I459" i="2"/>
  <c r="H466" i="2"/>
  <c r="I466" i="2" s="1"/>
  <c r="H464" i="2"/>
  <c r="I464" i="2" s="1"/>
  <c r="I461" i="2"/>
  <c r="H407" i="2"/>
  <c r="I407" i="2" s="1"/>
  <c r="H455" i="2"/>
  <c r="I455" i="2" s="1"/>
  <c r="H453" i="2"/>
  <c r="I453" i="2" s="1"/>
  <c r="H454" i="2"/>
  <c r="I454" i="2" s="1"/>
  <c r="H439" i="2"/>
  <c r="I439" i="2" s="1"/>
  <c r="H437" i="2"/>
  <c r="I437" i="2" s="1"/>
  <c r="I433" i="2"/>
  <c r="H429" i="2"/>
  <c r="I429" i="2" s="1"/>
  <c r="H428" i="2"/>
  <c r="I428" i="2" s="1"/>
  <c r="I435" i="2"/>
  <c r="I432" i="2"/>
  <c r="H440" i="2"/>
  <c r="I440" i="2" s="1"/>
  <c r="H438" i="2"/>
  <c r="I438" i="2" s="1"/>
  <c r="I434" i="2"/>
  <c r="I431" i="2"/>
  <c r="H427" i="2"/>
  <c r="I427" i="2" s="1"/>
  <c r="H425" i="2"/>
  <c r="I425" i="2" s="1"/>
  <c r="H423" i="2"/>
  <c r="I423" i="2" s="1"/>
  <c r="H424" i="2"/>
  <c r="I424" i="2" s="1"/>
  <c r="H392" i="2"/>
  <c r="I392" i="2" s="1"/>
  <c r="H390" i="2"/>
  <c r="I390" i="2" s="1"/>
  <c r="H391" i="2"/>
  <c r="I391" i="2" s="1"/>
  <c r="I398" i="2"/>
  <c r="I399" i="2"/>
  <c r="I400" i="2"/>
  <c r="I402" i="2"/>
  <c r="I401" i="2"/>
  <c r="H404" i="2"/>
  <c r="I404" i="2" s="1"/>
  <c r="H396" i="2"/>
  <c r="I396" i="2" s="1"/>
  <c r="H397" i="2"/>
  <c r="I397" i="2" s="1"/>
  <c r="H395" i="2"/>
  <c r="I395" i="2" s="1"/>
  <c r="H403" i="2"/>
  <c r="I403" i="2" s="1"/>
  <c r="H290" i="2"/>
  <c r="I290" i="2" s="1"/>
  <c r="H160" i="2"/>
  <c r="I160" i="2" s="1"/>
  <c r="H161" i="2"/>
  <c r="I161" i="2" s="1"/>
  <c r="H159" i="2"/>
  <c r="I159" i="2" s="1"/>
  <c r="H142" i="2"/>
  <c r="I142" i="2" s="1"/>
  <c r="H156" i="2"/>
  <c r="I156" i="2" s="1"/>
  <c r="H154" i="2"/>
  <c r="I154" i="2" s="1"/>
  <c r="H155" i="2"/>
  <c r="I155" i="2" s="1"/>
  <c r="H382" i="2"/>
  <c r="I382" i="2" s="1"/>
  <c r="H374" i="2"/>
  <c r="I374" i="2" s="1"/>
  <c r="H375" i="2"/>
  <c r="I375" i="2" s="1"/>
  <c r="H373" i="2"/>
  <c r="I373" i="2" s="1"/>
  <c r="H384" i="2"/>
  <c r="I384" i="2" s="1"/>
  <c r="H385" i="2"/>
  <c r="I385" i="2" s="1"/>
  <c r="H366" i="2"/>
  <c r="I366" i="2" s="1"/>
  <c r="H363" i="2"/>
  <c r="I363" i="2" s="1"/>
  <c r="H358" i="2"/>
  <c r="I358" i="2" s="1"/>
  <c r="H359" i="2"/>
  <c r="I359" i="2" s="1"/>
  <c r="H364" i="2"/>
  <c r="I364" i="2" s="1"/>
  <c r="H360" i="2"/>
  <c r="I360" i="2" s="1"/>
  <c r="H365" i="2"/>
  <c r="I365" i="2" s="1"/>
  <c r="H357" i="2"/>
  <c r="I357" i="2" s="1"/>
  <c r="H340" i="2"/>
  <c r="I340" i="2" s="1"/>
  <c r="H331" i="2"/>
  <c r="I331" i="2" s="1"/>
  <c r="H318" i="2"/>
  <c r="I318" i="2" s="1"/>
  <c r="I317" i="2" s="1"/>
  <c r="H310" i="2"/>
  <c r="I310" i="2" s="1"/>
  <c r="H287" i="2"/>
  <c r="I287" i="2" s="1"/>
  <c r="H238" i="2"/>
  <c r="I238" i="2" s="1"/>
  <c r="H237" i="2"/>
  <c r="I237" i="2" s="1"/>
  <c r="H229" i="2"/>
  <c r="I229" i="2" s="1"/>
  <c r="H212" i="2"/>
  <c r="I212" i="2" s="1"/>
  <c r="H218" i="2"/>
  <c r="I218" i="2" s="1"/>
  <c r="H204" i="2"/>
  <c r="I204" i="2" s="1"/>
  <c r="H195" i="2"/>
  <c r="I195" i="2" s="1"/>
  <c r="H135" i="2"/>
  <c r="H179" i="2"/>
  <c r="I179" i="2" s="1"/>
  <c r="H170" i="2"/>
  <c r="H165" i="2"/>
  <c r="H143" i="2"/>
  <c r="H121" i="2"/>
  <c r="I121" i="2" s="1"/>
  <c r="H104" i="2"/>
  <c r="I104" i="2" s="1"/>
  <c r="H84" i="2"/>
  <c r="I84" i="2" s="1"/>
  <c r="H98" i="2"/>
  <c r="I98" i="2" s="1"/>
  <c r="H108" i="2"/>
  <c r="I108" i="2" s="1"/>
  <c r="H271" i="2"/>
  <c r="I271" i="2" s="1"/>
  <c r="H282" i="2"/>
  <c r="I282" i="2" s="1"/>
  <c r="H369" i="2"/>
  <c r="H389" i="2"/>
  <c r="H406" i="2"/>
  <c r="H444" i="2"/>
  <c r="H534" i="2"/>
  <c r="H554" i="2"/>
  <c r="H475" i="2"/>
  <c r="H489" i="2"/>
  <c r="H564" i="2"/>
  <c r="H586" i="2"/>
  <c r="H525" i="2"/>
  <c r="H624" i="2"/>
  <c r="I624" i="2" s="1"/>
  <c r="H630" i="2"/>
  <c r="H347" i="2"/>
  <c r="I347" i="2" s="1"/>
  <c r="H341" i="2"/>
  <c r="I341" i="2" s="1"/>
  <c r="H327" i="2"/>
  <c r="I327" i="2" s="1"/>
  <c r="H314" i="2"/>
  <c r="I314" i="2" s="1"/>
  <c r="H307" i="2"/>
  <c r="I307" i="2" s="1"/>
  <c r="H288" i="2"/>
  <c r="I288" i="2" s="1"/>
  <c r="H239" i="2"/>
  <c r="I239" i="2" s="1"/>
  <c r="H224" i="2"/>
  <c r="I224" i="2" s="1"/>
  <c r="H213" i="2"/>
  <c r="I213" i="2" s="1"/>
  <c r="H219" i="2"/>
  <c r="I219" i="2" s="1"/>
  <c r="H205" i="2"/>
  <c r="I205" i="2" s="1"/>
  <c r="H194" i="2"/>
  <c r="I194" i="2" s="1"/>
  <c r="H138" i="2"/>
  <c r="I138" i="2" s="1"/>
  <c r="H132" i="2"/>
  <c r="I132" i="2" s="1"/>
  <c r="H180" i="2"/>
  <c r="I180" i="2" s="1"/>
  <c r="H171" i="2"/>
  <c r="H125" i="2"/>
  <c r="I125" i="2" s="1"/>
  <c r="H112" i="2"/>
  <c r="I112" i="2" s="1"/>
  <c r="H105" i="2"/>
  <c r="I105" i="2" s="1"/>
  <c r="H85" i="2"/>
  <c r="I85" i="2" s="1"/>
  <c r="H99" i="2"/>
  <c r="I99" i="2" s="1"/>
  <c r="H109" i="2"/>
  <c r="I109" i="2" s="1"/>
  <c r="H272" i="2"/>
  <c r="I272" i="2" s="1"/>
  <c r="H299" i="2"/>
  <c r="I299" i="2" s="1"/>
  <c r="H370" i="2"/>
  <c r="H394" i="2"/>
  <c r="H535" i="2"/>
  <c r="H551" i="2"/>
  <c r="H490" i="2"/>
  <c r="H565" i="2"/>
  <c r="H574" i="2"/>
  <c r="H593" i="2"/>
  <c r="H604" i="2"/>
  <c r="H526" i="2"/>
  <c r="H625" i="2"/>
  <c r="I625" i="2" s="1"/>
  <c r="H631" i="2"/>
  <c r="H338" i="2"/>
  <c r="I338" i="2" s="1"/>
  <c r="H333" i="2"/>
  <c r="I333" i="2" s="1"/>
  <c r="H323" i="2"/>
  <c r="I323" i="2" s="1"/>
  <c r="H308" i="2"/>
  <c r="I308" i="2" s="1"/>
  <c r="H337" i="2"/>
  <c r="I337" i="2" s="1"/>
  <c r="H328" i="2"/>
  <c r="I328" i="2" s="1"/>
  <c r="H315" i="2"/>
  <c r="I315" i="2" s="1"/>
  <c r="H283" i="2"/>
  <c r="I283" i="2" s="1"/>
  <c r="H289" i="2"/>
  <c r="I289" i="2" s="1"/>
  <c r="H248" i="2"/>
  <c r="I248" i="2" s="1"/>
  <c r="H240" i="2"/>
  <c r="I240" i="2" s="1"/>
  <c r="H225" i="2"/>
  <c r="I225" i="2" s="1"/>
  <c r="H214" i="2"/>
  <c r="I214" i="2" s="1"/>
  <c r="H209" i="2"/>
  <c r="I209" i="2" s="1"/>
  <c r="H206" i="2"/>
  <c r="I206" i="2" s="1"/>
  <c r="H190" i="2"/>
  <c r="H139" i="2"/>
  <c r="H181" i="2"/>
  <c r="I181" i="2" s="1"/>
  <c r="H172" i="2"/>
  <c r="H151" i="2"/>
  <c r="H126" i="2"/>
  <c r="I126" i="2" s="1"/>
  <c r="H113" i="2"/>
  <c r="I113" i="2" s="1"/>
  <c r="H81" i="2"/>
  <c r="I81" i="2" s="1"/>
  <c r="H273" i="2"/>
  <c r="I273" i="2" s="1"/>
  <c r="H300" i="2"/>
  <c r="I300" i="2" s="1"/>
  <c r="H408" i="2"/>
  <c r="H415" i="2"/>
  <c r="H421" i="2"/>
  <c r="H441" i="2"/>
  <c r="H467" i="2"/>
  <c r="H536" i="2"/>
  <c r="H575" i="2"/>
  <c r="H582" i="2"/>
  <c r="H594" i="2"/>
  <c r="H522" i="2"/>
  <c r="H620" i="2"/>
  <c r="H626" i="2"/>
  <c r="I626" i="2" s="1"/>
  <c r="H632" i="2"/>
  <c r="H332" i="2"/>
  <c r="I332" i="2" s="1"/>
  <c r="H326" i="2"/>
  <c r="I326" i="2" s="1"/>
  <c r="H313" i="2"/>
  <c r="I313" i="2" s="1"/>
  <c r="H291" i="2"/>
  <c r="I291" i="2" s="1"/>
  <c r="H249" i="2"/>
  <c r="I249" i="2" s="1"/>
  <c r="H241" i="2"/>
  <c r="I241" i="2" s="1"/>
  <c r="H223" i="2"/>
  <c r="I223" i="2" s="1"/>
  <c r="H215" i="2"/>
  <c r="I215" i="2" s="1"/>
  <c r="H202" i="2"/>
  <c r="I202" i="2" s="1"/>
  <c r="H191" i="2"/>
  <c r="H137" i="2"/>
  <c r="I137" i="2" s="1"/>
  <c r="H185" i="2"/>
  <c r="I185" i="2" s="1"/>
  <c r="H182" i="2"/>
  <c r="I182" i="2" s="1"/>
  <c r="H173" i="2"/>
  <c r="H150" i="2"/>
  <c r="H127" i="2"/>
  <c r="I127" i="2" s="1"/>
  <c r="H114" i="2"/>
  <c r="I114" i="2" s="1"/>
  <c r="H76" i="2"/>
  <c r="I76" i="2" s="1"/>
  <c r="H111" i="2"/>
  <c r="I111" i="2" s="1"/>
  <c r="H277" i="2"/>
  <c r="I277" i="2" s="1"/>
  <c r="H301" i="2"/>
  <c r="I301" i="2" s="1"/>
  <c r="H383" i="2"/>
  <c r="H409" i="2"/>
  <c r="H422" i="2"/>
  <c r="H448" i="2"/>
  <c r="H537" i="2"/>
  <c r="H561" i="2"/>
  <c r="H567" i="2"/>
  <c r="H583" i="2"/>
  <c r="H589" i="2"/>
  <c r="H523" i="2"/>
  <c r="H527" i="2"/>
  <c r="H627" i="2"/>
  <c r="H322" i="2"/>
  <c r="I322" i="2" s="1"/>
  <c r="H247" i="2"/>
  <c r="I247" i="2" s="1"/>
  <c r="H211" i="2"/>
  <c r="I211" i="2" s="1"/>
  <c r="H134" i="2"/>
  <c r="I134" i="2" s="1"/>
  <c r="H168" i="2"/>
  <c r="H116" i="2"/>
  <c r="I116" i="2" s="1"/>
  <c r="H78" i="2"/>
  <c r="I78" i="2" s="1"/>
  <c r="H303" i="2"/>
  <c r="I303" i="2" s="1"/>
  <c r="H410" i="2"/>
  <c r="H547" i="2"/>
  <c r="H562" i="2"/>
  <c r="H584" i="2"/>
  <c r="H622" i="2"/>
  <c r="I622" i="2" s="1"/>
  <c r="H623" i="2"/>
  <c r="I623" i="2" s="1"/>
  <c r="H309" i="2"/>
  <c r="I309" i="2" s="1"/>
  <c r="H242" i="2"/>
  <c r="I242" i="2" s="1"/>
  <c r="H216" i="2"/>
  <c r="I216" i="2" s="1"/>
  <c r="H199" i="2"/>
  <c r="H186" i="2"/>
  <c r="I186" i="2" s="1"/>
  <c r="H147" i="2"/>
  <c r="H100" i="2"/>
  <c r="I100" i="2" s="1"/>
  <c r="H388" i="2"/>
  <c r="H548" i="2"/>
  <c r="H585" i="2"/>
  <c r="H285" i="2"/>
  <c r="I285" i="2" s="1"/>
  <c r="H243" i="2"/>
  <c r="I243" i="2" s="1"/>
  <c r="H217" i="2"/>
  <c r="I217" i="2" s="1"/>
  <c r="H198" i="2"/>
  <c r="I198" i="2" s="1"/>
  <c r="H184" i="2"/>
  <c r="I184" i="2" s="1"/>
  <c r="H144" i="2"/>
  <c r="H82" i="2"/>
  <c r="I82" i="2" s="1"/>
  <c r="H552" i="2"/>
  <c r="H569" i="2"/>
  <c r="H628" i="2"/>
  <c r="H286" i="2"/>
  <c r="I286" i="2" s="1"/>
  <c r="H230" i="2"/>
  <c r="I230" i="2" s="1"/>
  <c r="H234" i="2"/>
  <c r="I234" i="2" s="1"/>
  <c r="H178" i="2"/>
  <c r="I178" i="2" s="1"/>
  <c r="H128" i="2"/>
  <c r="I128" i="2" s="1"/>
  <c r="H75" i="2"/>
  <c r="I75" i="2" s="1"/>
  <c r="H278" i="2"/>
  <c r="I278" i="2" s="1"/>
  <c r="H371" i="2"/>
  <c r="H553" i="2"/>
  <c r="H524" i="2"/>
  <c r="H629" i="2"/>
  <c r="H339" i="2"/>
  <c r="I339" i="2" s="1"/>
  <c r="H296" i="2"/>
  <c r="I296" i="2" s="1"/>
  <c r="H231" i="2"/>
  <c r="I231" i="2" s="1"/>
  <c r="H203" i="2"/>
  <c r="I203" i="2" s="1"/>
  <c r="H189" i="2"/>
  <c r="H169" i="2"/>
  <c r="H96" i="2"/>
  <c r="I96" i="2" s="1"/>
  <c r="H103" i="2"/>
  <c r="I103" i="2" s="1"/>
  <c r="H279" i="2"/>
  <c r="I279" i="2" s="1"/>
  <c r="H449" i="2"/>
  <c r="H531" i="2"/>
  <c r="H493" i="2"/>
  <c r="H334" i="2"/>
  <c r="I334" i="2" s="1"/>
  <c r="H250" i="2"/>
  <c r="I250" i="2" s="1"/>
  <c r="H210" i="2"/>
  <c r="I210" i="2" s="1"/>
  <c r="H133" i="2"/>
  <c r="I133" i="2" s="1"/>
  <c r="H174" i="2"/>
  <c r="H115" i="2"/>
  <c r="I115" i="2" s="1"/>
  <c r="H77" i="2"/>
  <c r="I77" i="2" s="1"/>
  <c r="H124" i="2"/>
  <c r="I124" i="2" s="1"/>
  <c r="H302" i="2"/>
  <c r="I302" i="2" s="1"/>
  <c r="H405" i="2"/>
  <c r="H451" i="2"/>
  <c r="H532" i="2"/>
  <c r="H474" i="2"/>
  <c r="H605" i="2"/>
  <c r="H417" i="2"/>
  <c r="H412" i="2"/>
  <c r="I609" i="2" l="1"/>
  <c r="I52" i="2" s="1"/>
  <c r="P29" i="3" s="1"/>
  <c r="I254" i="2"/>
  <c r="I80" i="2"/>
  <c r="I158" i="2"/>
  <c r="I153" i="2"/>
  <c r="I193" i="2"/>
  <c r="I362" i="2"/>
  <c r="I356" i="2"/>
  <c r="I233" i="2"/>
  <c r="I321" i="2"/>
  <c r="I330" i="2"/>
  <c r="I312" i="2"/>
  <c r="I306" i="2"/>
  <c r="I201" i="2"/>
  <c r="I325" i="2"/>
  <c r="I336" i="2"/>
  <c r="I236" i="2"/>
  <c r="I246" i="2"/>
  <c r="I298" i="2"/>
  <c r="I123" i="2"/>
  <c r="I74" i="2"/>
  <c r="X29" i="3" l="1"/>
  <c r="V29" i="3"/>
  <c r="W29" i="3"/>
  <c r="AE29" i="3"/>
  <c r="Y29" i="3"/>
  <c r="Z29" i="3"/>
  <c r="AC29" i="3"/>
  <c r="AA29" i="3"/>
  <c r="AB29" i="3"/>
  <c r="AD29" i="3"/>
  <c r="U29" i="3"/>
  <c r="T29" i="3"/>
  <c r="I355" i="2"/>
  <c r="H698" i="4" l="1"/>
  <c r="H689" i="4"/>
  <c r="H781" i="4"/>
  <c r="H600" i="4"/>
  <c r="R18" i="3" l="1"/>
  <c r="R19" i="3"/>
  <c r="R20" i="3"/>
  <c r="R21" i="3"/>
  <c r="R22" i="3"/>
  <c r="R26" i="3"/>
  <c r="R23" i="3"/>
  <c r="R27" i="3"/>
  <c r="R28" i="3"/>
  <c r="A28" i="2"/>
  <c r="A17" i="3" s="1"/>
  <c r="I781" i="4" l="1"/>
  <c r="D606" i="2"/>
  <c r="F689" i="4"/>
  <c r="I700" i="4" l="1"/>
  <c r="G607" i="2" s="1"/>
  <c r="H607" i="2" s="1"/>
  <c r="I689" i="4"/>
  <c r="F698" i="4"/>
  <c r="I698" i="4" s="1"/>
  <c r="I688" i="4" l="1"/>
  <c r="G606" i="2" l="1"/>
  <c r="H606" i="2" s="1"/>
  <c r="D700" i="4" l="1"/>
  <c r="D599" i="4"/>
  <c r="I600" i="4"/>
  <c r="D553" i="4"/>
  <c r="D401" i="4"/>
  <c r="D364" i="4"/>
  <c r="D297" i="4"/>
  <c r="F522" i="2"/>
  <c r="I599" i="4" l="1"/>
  <c r="G590" i="2" s="1"/>
  <c r="H590" i="2" s="1"/>
  <c r="H554" i="4"/>
  <c r="I554" i="4" s="1"/>
  <c r="I553" i="4" s="1"/>
  <c r="H480" i="4" l="1"/>
  <c r="I480" i="4" s="1"/>
  <c r="I479" i="4" s="1"/>
  <c r="A30" i="2"/>
  <c r="A18" i="3" s="1"/>
  <c r="H365" i="4" l="1"/>
  <c r="I365" i="4" s="1"/>
  <c r="I364" i="4" s="1"/>
  <c r="G496" i="2" l="1"/>
  <c r="H496" i="2" s="1"/>
  <c r="G556" i="2"/>
  <c r="H556" i="2" s="1"/>
  <c r="G471" i="2"/>
  <c r="H471" i="2" s="1"/>
  <c r="G445" i="2"/>
  <c r="H445" i="2" s="1"/>
  <c r="G418" i="2"/>
  <c r="H418" i="2" s="1"/>
  <c r="C24" i="7" l="1"/>
  <c r="C35" i="7" s="1"/>
  <c r="C14" i="7"/>
  <c r="C14" i="6"/>
  <c r="H274" i="2" l="1"/>
  <c r="I274" i="2" s="1"/>
  <c r="H379" i="2"/>
  <c r="I379" i="2" s="1"/>
  <c r="H376" i="2"/>
  <c r="I376" i="2" s="1"/>
  <c r="H377" i="2"/>
  <c r="I377" i="2" s="1"/>
  <c r="H380" i="2"/>
  <c r="I380" i="2" s="1"/>
  <c r="H101" i="2"/>
  <c r="I101" i="2" s="1"/>
  <c r="H110" i="2"/>
  <c r="I110" i="2" s="1"/>
  <c r="I107" i="2" s="1"/>
  <c r="H494" i="2"/>
  <c r="I494" i="2" s="1"/>
  <c r="H284" i="2"/>
  <c r="I284" i="2" s="1"/>
  <c r="I281" i="2" s="1"/>
  <c r="H350" i="2"/>
  <c r="I350" i="2" s="1"/>
  <c r="H346" i="2"/>
  <c r="I346" i="2" s="1"/>
  <c r="H349" i="2"/>
  <c r="I349" i="2" s="1"/>
  <c r="H220" i="2"/>
  <c r="I220" i="2" s="1"/>
  <c r="I208" i="2" s="1"/>
  <c r="H603" i="2"/>
  <c r="I603" i="2" s="1"/>
  <c r="H516" i="2"/>
  <c r="I516" i="2" s="1"/>
  <c r="I517" i="2"/>
  <c r="H378" i="2"/>
  <c r="I378" i="2" s="1"/>
  <c r="I556" i="2"/>
  <c r="H345" i="2"/>
  <c r="I345" i="2" s="1"/>
  <c r="H164" i="2"/>
  <c r="H276" i="2"/>
  <c r="I276" i="2" s="1"/>
  <c r="H136" i="2"/>
  <c r="H275" i="2"/>
  <c r="I275" i="2" s="1"/>
  <c r="H227" i="2"/>
  <c r="I227" i="2" s="1"/>
  <c r="H228" i="2"/>
  <c r="I228" i="2" s="1"/>
  <c r="H183" i="2"/>
  <c r="I183" i="2" s="1"/>
  <c r="I177" i="2" s="1"/>
  <c r="H102" i="2"/>
  <c r="I102" i="2" s="1"/>
  <c r="H226" i="2"/>
  <c r="I226" i="2" s="1"/>
  <c r="H442" i="2"/>
  <c r="I442" i="2" s="1"/>
  <c r="H468" i="2"/>
  <c r="I468" i="2" s="1"/>
  <c r="I528" i="2"/>
  <c r="I607" i="2"/>
  <c r="I590" i="2"/>
  <c r="I496" i="2"/>
  <c r="I471" i="2"/>
  <c r="I445" i="2"/>
  <c r="I418" i="2"/>
  <c r="I474" i="2"/>
  <c r="I408" i="2"/>
  <c r="I417" i="2"/>
  <c r="I410" i="2"/>
  <c r="I489" i="2"/>
  <c r="I409" i="2"/>
  <c r="I605" i="2"/>
  <c r="I412" i="2"/>
  <c r="I490" i="2"/>
  <c r="I475" i="2"/>
  <c r="I467" i="2"/>
  <c r="I406" i="2"/>
  <c r="I383" i="2"/>
  <c r="I536" i="2"/>
  <c r="I371" i="2"/>
  <c r="I524" i="2"/>
  <c r="I493" i="2"/>
  <c r="I525" i="2"/>
  <c r="I526" i="2"/>
  <c r="I527" i="2"/>
  <c r="I415" i="2"/>
  <c r="I523" i="2"/>
  <c r="I522" i="2"/>
  <c r="I606" i="2"/>
  <c r="I569" i="2"/>
  <c r="I441" i="2"/>
  <c r="I604" i="2"/>
  <c r="I593" i="2"/>
  <c r="I589" i="2"/>
  <c r="I586" i="2"/>
  <c r="I585" i="2"/>
  <c r="I584" i="2"/>
  <c r="I583" i="2"/>
  <c r="I582" i="2"/>
  <c r="I575" i="2"/>
  <c r="I574" i="2"/>
  <c r="I567" i="2"/>
  <c r="I565" i="2"/>
  <c r="I564" i="2"/>
  <c r="I562" i="2"/>
  <c r="I561" i="2"/>
  <c r="I554" i="2"/>
  <c r="I553" i="2"/>
  <c r="I552" i="2"/>
  <c r="I551" i="2"/>
  <c r="I548" i="2"/>
  <c r="I547" i="2"/>
  <c r="I537" i="2"/>
  <c r="I535" i="2"/>
  <c r="I534" i="2"/>
  <c r="I532" i="2"/>
  <c r="I531" i="2"/>
  <c r="I451" i="2"/>
  <c r="I449" i="2"/>
  <c r="I448" i="2"/>
  <c r="I344" i="2" l="1"/>
  <c r="I498" i="2"/>
  <c r="I42" i="2" s="1"/>
  <c r="P24" i="3" s="1"/>
  <c r="I94" i="2"/>
  <c r="I73" i="2" s="1"/>
  <c r="I222" i="2"/>
  <c r="I268" i="2"/>
  <c r="I245" i="2" s="1"/>
  <c r="I521" i="2"/>
  <c r="I44" i="2" s="1"/>
  <c r="P25" i="3" s="1"/>
  <c r="I594" i="2"/>
  <c r="X25" i="3" l="1"/>
  <c r="AD25" i="3"/>
  <c r="AB25" i="3"/>
  <c r="W25" i="3"/>
  <c r="Y25" i="3"/>
  <c r="AE25" i="3"/>
  <c r="AC25" i="3"/>
  <c r="Z25" i="3"/>
  <c r="U25" i="3"/>
  <c r="AA25" i="3"/>
  <c r="T25" i="3"/>
  <c r="V25" i="3"/>
  <c r="W24" i="3"/>
  <c r="AC24" i="3"/>
  <c r="AB24" i="3"/>
  <c r="X24" i="3"/>
  <c r="AD24" i="3"/>
  <c r="U24" i="3"/>
  <c r="V24" i="3"/>
  <c r="Y24" i="3"/>
  <c r="AE24" i="3"/>
  <c r="Z24" i="3"/>
  <c r="AA24" i="3"/>
  <c r="T24" i="3"/>
  <c r="I305" i="2"/>
  <c r="I26" i="2" s="1"/>
  <c r="P16" i="3" s="1"/>
  <c r="I24" i="2"/>
  <c r="P15" i="3" s="1"/>
  <c r="I592" i="2"/>
  <c r="I50" i="2" s="1"/>
  <c r="Z15" i="3" l="1"/>
  <c r="AD15" i="3"/>
  <c r="AE15" i="3"/>
  <c r="U15" i="3"/>
  <c r="AA15" i="3"/>
  <c r="V15" i="3"/>
  <c r="AB15" i="3"/>
  <c r="T15" i="3"/>
  <c r="W15" i="3"/>
  <c r="AC15" i="3"/>
  <c r="X15" i="3"/>
  <c r="Y15" i="3"/>
  <c r="U16" i="3"/>
  <c r="AA16" i="3"/>
  <c r="AE16" i="3"/>
  <c r="V16" i="3"/>
  <c r="AB16" i="3"/>
  <c r="Y16" i="3"/>
  <c r="Z16" i="3"/>
  <c r="W16" i="3"/>
  <c r="AC16" i="3"/>
  <c r="X16" i="3"/>
  <c r="AD16" i="3"/>
  <c r="T16" i="3"/>
  <c r="H58" i="2"/>
  <c r="I58" i="2" s="1"/>
  <c r="D50" i="2"/>
  <c r="B28" i="3" s="1"/>
  <c r="A50" i="2"/>
  <c r="A28" i="3" s="1"/>
  <c r="D48" i="2"/>
  <c r="B27" i="3" s="1"/>
  <c r="A48" i="2"/>
  <c r="A27" i="3" s="1"/>
  <c r="D40" i="2"/>
  <c r="B23" i="3" s="1"/>
  <c r="A40" i="2"/>
  <c r="A23" i="3" s="1"/>
  <c r="D46" i="2"/>
  <c r="B26" i="3" s="1"/>
  <c r="A46" i="2"/>
  <c r="A26" i="3" s="1"/>
  <c r="D38" i="2"/>
  <c r="B22" i="3" s="1"/>
  <c r="A38" i="2"/>
  <c r="A22" i="3" s="1"/>
  <c r="D36" i="2"/>
  <c r="B21" i="3" s="1"/>
  <c r="A36" i="2"/>
  <c r="A21" i="3" s="1"/>
  <c r="D34" i="2"/>
  <c r="B20" i="3" s="1"/>
  <c r="A34" i="2"/>
  <c r="A20" i="3" s="1"/>
  <c r="D32" i="2"/>
  <c r="B19" i="3" s="1"/>
  <c r="A32" i="2"/>
  <c r="A19" i="3" s="1"/>
  <c r="D30" i="2"/>
  <c r="B18" i="3" s="1"/>
  <c r="D28" i="2"/>
  <c r="B17" i="3" s="1"/>
  <c r="A12" i="3"/>
  <c r="D16" i="2"/>
  <c r="A16" i="2"/>
  <c r="A11" i="3" s="1"/>
  <c r="D14" i="2"/>
  <c r="A14" i="2"/>
  <c r="A10" i="3" s="1"/>
  <c r="O14" i="2" l="1"/>
  <c r="I57" i="2"/>
  <c r="I14" i="2" l="1"/>
  <c r="H597" i="4" l="1"/>
  <c r="I597" i="4" s="1"/>
  <c r="H596" i="4"/>
  <c r="I596" i="4" s="1"/>
  <c r="H595" i="4"/>
  <c r="I595" i="4" s="1"/>
  <c r="H594" i="4"/>
  <c r="I594" i="4" s="1"/>
  <c r="H593" i="4"/>
  <c r="I593" i="4" s="1"/>
  <c r="H592" i="4"/>
  <c r="I592" i="4" s="1"/>
  <c r="H591" i="4"/>
  <c r="I591" i="4" s="1"/>
  <c r="H590" i="4"/>
  <c r="I590" i="4" s="1"/>
  <c r="H589" i="4"/>
  <c r="I589" i="4" s="1"/>
  <c r="H586" i="4"/>
  <c r="I586" i="4" s="1"/>
  <c r="H585" i="4"/>
  <c r="I585" i="4" s="1"/>
  <c r="H584" i="4"/>
  <c r="I584" i="4" s="1"/>
  <c r="H583" i="4"/>
  <c r="I583" i="4" s="1"/>
  <c r="H582" i="4"/>
  <c r="I582" i="4" s="1"/>
  <c r="H581" i="4"/>
  <c r="I581" i="4" s="1"/>
  <c r="H580" i="4"/>
  <c r="I580" i="4" s="1"/>
  <c r="H579" i="4"/>
  <c r="I579" i="4" s="1"/>
  <c r="H578" i="4"/>
  <c r="F578" i="4"/>
  <c r="H577" i="4"/>
  <c r="F577" i="4"/>
  <c r="H551" i="4"/>
  <c r="I551" i="4" s="1"/>
  <c r="H550" i="4"/>
  <c r="I550" i="4" s="1"/>
  <c r="H549" i="4"/>
  <c r="I549" i="4" s="1"/>
  <c r="H548" i="4"/>
  <c r="H399" i="4"/>
  <c r="I399" i="4" s="1"/>
  <c r="H398" i="4"/>
  <c r="I398" i="4" s="1"/>
  <c r="H397" i="4"/>
  <c r="I397" i="4" s="1"/>
  <c r="H396" i="4"/>
  <c r="F396" i="4"/>
  <c r="H288" i="4"/>
  <c r="I288" i="4" s="1"/>
  <c r="H287" i="4"/>
  <c r="I287" i="4" s="1"/>
  <c r="H286" i="4"/>
  <c r="I286" i="4" s="1"/>
  <c r="H285" i="4"/>
  <c r="H282" i="4"/>
  <c r="I282" i="4" s="1"/>
  <c r="H281" i="4"/>
  <c r="I281" i="4" s="1"/>
  <c r="H280" i="4"/>
  <c r="I280" i="4" s="1"/>
  <c r="H279" i="4"/>
  <c r="H276" i="4"/>
  <c r="I276" i="4" s="1"/>
  <c r="H275" i="4"/>
  <c r="I275" i="4" s="1"/>
  <c r="H274" i="4"/>
  <c r="I274" i="4" s="1"/>
  <c r="H273" i="4"/>
  <c r="F273" i="4"/>
  <c r="G411" i="2" l="1"/>
  <c r="H411" i="2" s="1"/>
  <c r="I285" i="4"/>
  <c r="I548" i="4"/>
  <c r="I273" i="4"/>
  <c r="I577" i="4"/>
  <c r="I396" i="4"/>
  <c r="I279" i="4"/>
  <c r="I578" i="4"/>
  <c r="I588" i="4"/>
  <c r="G588" i="2" s="1"/>
  <c r="H588" i="2" l="1"/>
  <c r="I588" i="2" s="1"/>
  <c r="I272" i="4"/>
  <c r="G413" i="2" s="1"/>
  <c r="H413" i="2" s="1"/>
  <c r="I547" i="4"/>
  <c r="G555" i="2" s="1"/>
  <c r="H555" i="2" s="1"/>
  <c r="H443" i="2"/>
  <c r="I284" i="4"/>
  <c r="I576" i="4"/>
  <c r="I278" i="4"/>
  <c r="G414" i="2" s="1"/>
  <c r="H414" i="2" s="1"/>
  <c r="I395" i="4"/>
  <c r="G470" i="2" s="1"/>
  <c r="H470" i="2" s="1"/>
  <c r="I470" i="2" s="1"/>
  <c r="G587" i="2" l="1"/>
  <c r="H587" i="2" s="1"/>
  <c r="I587" i="2" s="1"/>
  <c r="I560" i="2" s="1"/>
  <c r="I48" i="2" s="1"/>
  <c r="G71" i="2"/>
  <c r="H71" i="2" s="1"/>
  <c r="G416" i="2"/>
  <c r="I555" i="2"/>
  <c r="I530" i="2" s="1"/>
  <c r="I443" i="2"/>
  <c r="I414" i="2"/>
  <c r="I413" i="2"/>
  <c r="I627" i="2"/>
  <c r="I628" i="2"/>
  <c r="I620" i="2"/>
  <c r="I629" i="2"/>
  <c r="I630" i="2"/>
  <c r="I631" i="2"/>
  <c r="I632" i="2"/>
  <c r="I369" i="2"/>
  <c r="I370" i="2"/>
  <c r="I388" i="2"/>
  <c r="I389" i="2"/>
  <c r="I394" i="2"/>
  <c r="I405" i="2"/>
  <c r="I421" i="2"/>
  <c r="I422" i="2"/>
  <c r="I444" i="2"/>
  <c r="B11" i="3"/>
  <c r="R10" i="3"/>
  <c r="B12" i="3"/>
  <c r="B10" i="3"/>
  <c r="I368" i="2" l="1"/>
  <c r="H491" i="2"/>
  <c r="I491" i="2" s="1"/>
  <c r="I473" i="2" s="1"/>
  <c r="H416" i="2"/>
  <c r="I416" i="2" s="1"/>
  <c r="I447" i="2"/>
  <c r="I38" i="2" s="1"/>
  <c r="P22" i="3" s="1"/>
  <c r="I619" i="2"/>
  <c r="I420" i="2"/>
  <c r="I46" i="2"/>
  <c r="P26" i="3" s="1"/>
  <c r="I411" i="2"/>
  <c r="I71" i="2"/>
  <c r="N14" i="2" s="1"/>
  <c r="P27" i="3"/>
  <c r="U22" i="3" l="1"/>
  <c r="AA22" i="3"/>
  <c r="T22" i="3"/>
  <c r="AE22" i="3"/>
  <c r="Z22" i="3"/>
  <c r="V22" i="3"/>
  <c r="AB22" i="3"/>
  <c r="W22" i="3"/>
  <c r="AC22" i="3"/>
  <c r="X22" i="3"/>
  <c r="AD22" i="3"/>
  <c r="Y22" i="3"/>
  <c r="Y26" i="3"/>
  <c r="AE26" i="3"/>
  <c r="W26" i="3"/>
  <c r="Z26" i="3"/>
  <c r="T26" i="3"/>
  <c r="AC26" i="3"/>
  <c r="X26" i="3"/>
  <c r="U26" i="3"/>
  <c r="AA26" i="3"/>
  <c r="V26" i="3"/>
  <c r="AB26" i="3"/>
  <c r="AD26" i="3"/>
  <c r="Z27" i="3"/>
  <c r="T27" i="3"/>
  <c r="Y27" i="3"/>
  <c r="U27" i="3"/>
  <c r="AA27" i="3"/>
  <c r="V27" i="3"/>
  <c r="AB27" i="3"/>
  <c r="AD27" i="3"/>
  <c r="AE27" i="3"/>
  <c r="W27" i="3"/>
  <c r="AC27" i="3"/>
  <c r="X27" i="3"/>
  <c r="I32" i="2"/>
  <c r="P19" i="3" s="1"/>
  <c r="I40" i="2"/>
  <c r="P23" i="3" s="1"/>
  <c r="I387" i="2"/>
  <c r="I354" i="2" s="1"/>
  <c r="I30" i="2"/>
  <c r="P18" i="3" s="1"/>
  <c r="I54" i="2"/>
  <c r="P30" i="3" s="1"/>
  <c r="I36" i="2"/>
  <c r="P21" i="3" s="1"/>
  <c r="I70" i="2"/>
  <c r="I16" i="2" s="1"/>
  <c r="P11" i="3" s="1"/>
  <c r="P28" i="3"/>
  <c r="W28" i="3" l="1"/>
  <c r="AC28" i="3"/>
  <c r="X28" i="3"/>
  <c r="AD28" i="3"/>
  <c r="AA28" i="3"/>
  <c r="V28" i="3"/>
  <c r="AB28" i="3"/>
  <c r="Y28" i="3"/>
  <c r="AE28" i="3"/>
  <c r="Z28" i="3"/>
  <c r="U28" i="3"/>
  <c r="Y30" i="3"/>
  <c r="AE30" i="3"/>
  <c r="U30" i="3"/>
  <c r="V30" i="3"/>
  <c r="T30" i="3"/>
  <c r="Z30" i="3"/>
  <c r="AB30" i="3"/>
  <c r="W30" i="3"/>
  <c r="AA30" i="3"/>
  <c r="AC30" i="3"/>
  <c r="X30" i="3"/>
  <c r="AD30" i="3"/>
  <c r="W18" i="3"/>
  <c r="AC18" i="3"/>
  <c r="T18" i="3"/>
  <c r="AA18" i="3"/>
  <c r="X18" i="3"/>
  <c r="AD18" i="3"/>
  <c r="Y18" i="3"/>
  <c r="AE18" i="3"/>
  <c r="AB18" i="3"/>
  <c r="Z18" i="3"/>
  <c r="V18" i="3"/>
  <c r="U18" i="3"/>
  <c r="V11" i="3"/>
  <c r="AB11" i="3"/>
  <c r="Z11" i="3"/>
  <c r="W11" i="3"/>
  <c r="AC11" i="3"/>
  <c r="X11" i="3"/>
  <c r="AD11" i="3"/>
  <c r="T11" i="3"/>
  <c r="U11" i="3"/>
  <c r="Y11" i="3"/>
  <c r="AE11" i="3"/>
  <c r="AA11" i="3"/>
  <c r="V23" i="3"/>
  <c r="AB23" i="3"/>
  <c r="W23" i="3"/>
  <c r="AC23" i="3"/>
  <c r="T23" i="3"/>
  <c r="X23" i="3"/>
  <c r="AD23" i="3"/>
  <c r="Z23" i="3"/>
  <c r="U23" i="3"/>
  <c r="Y23" i="3"/>
  <c r="AE23" i="3"/>
  <c r="AA23" i="3"/>
  <c r="T28" i="3"/>
  <c r="Z21" i="3"/>
  <c r="T21" i="3"/>
  <c r="U21" i="3"/>
  <c r="AA21" i="3"/>
  <c r="AD21" i="3"/>
  <c r="AE21" i="3"/>
  <c r="V21" i="3"/>
  <c r="AB21" i="3"/>
  <c r="X21" i="3"/>
  <c r="W21" i="3"/>
  <c r="AC21" i="3"/>
  <c r="Y21" i="3"/>
  <c r="X19" i="3"/>
  <c r="AD19" i="3"/>
  <c r="T19" i="3"/>
  <c r="Y19" i="3"/>
  <c r="AE19" i="3"/>
  <c r="V19" i="3"/>
  <c r="AC19" i="3"/>
  <c r="Z19" i="3"/>
  <c r="AB19" i="3"/>
  <c r="U19" i="3"/>
  <c r="AA19" i="3"/>
  <c r="W19" i="3"/>
  <c r="I28" i="2"/>
  <c r="I34" i="2"/>
  <c r="P20" i="3" s="1"/>
  <c r="P10" i="3"/>
  <c r="U10" i="3" l="1"/>
  <c r="AA10" i="3"/>
  <c r="V10" i="3"/>
  <c r="AB10" i="3"/>
  <c r="Z10" i="3"/>
  <c r="W10" i="3"/>
  <c r="AC10" i="3"/>
  <c r="X10" i="3"/>
  <c r="AD10" i="3"/>
  <c r="Y10" i="3"/>
  <c r="AE10" i="3"/>
  <c r="Y20" i="3"/>
  <c r="AE20" i="3"/>
  <c r="AC20" i="3"/>
  <c r="X20" i="3"/>
  <c r="Z20" i="3"/>
  <c r="T20" i="3"/>
  <c r="U20" i="3"/>
  <c r="AA20" i="3"/>
  <c r="AD20" i="3"/>
  <c r="V20" i="3"/>
  <c r="AB20" i="3"/>
  <c r="W20" i="3"/>
  <c r="T10" i="3"/>
  <c r="K335" i="2" l="1"/>
  <c r="K59" i="2" l="1"/>
  <c r="I75" i="9" l="1"/>
  <c r="J65" i="9"/>
  <c r="J75" i="9"/>
  <c r="J79" i="9" l="1"/>
  <c r="I190" i="2"/>
  <c r="F191" i="2"/>
  <c r="I191" i="2" s="1"/>
  <c r="I79" i="9"/>
  <c r="F144" i="2"/>
  <c r="I144" i="2" s="1"/>
  <c r="F147" i="2"/>
  <c r="I147" i="2" s="1"/>
  <c r="I146" i="2" s="1"/>
  <c r="F139" i="2"/>
  <c r="I139" i="2" s="1"/>
  <c r="F150" i="2"/>
  <c r="I150" i="2" s="1"/>
  <c r="F135" i="2"/>
  <c r="I135" i="2" s="1"/>
  <c r="F168" i="2"/>
  <c r="F171" i="2" s="1"/>
  <c r="F164" i="2"/>
  <c r="F165" i="2" s="1"/>
  <c r="I165" i="2" s="1"/>
  <c r="F199" i="2" l="1"/>
  <c r="I199" i="2" s="1"/>
  <c r="I197" i="2" s="1"/>
  <c r="I189" i="2"/>
  <c r="I188" i="2" s="1"/>
  <c r="I164" i="2"/>
  <c r="I163" i="2" s="1"/>
  <c r="F136" i="2"/>
  <c r="I136" i="2" s="1"/>
  <c r="I168" i="2"/>
  <c r="F169" i="2"/>
  <c r="I169" i="2" s="1"/>
  <c r="F174" i="2"/>
  <c r="I174" i="2" s="1"/>
  <c r="F170" i="2"/>
  <c r="I170" i="2" s="1"/>
  <c r="F151" i="2"/>
  <c r="I151" i="2" s="1"/>
  <c r="I149" i="2" s="1"/>
  <c r="F172" i="2"/>
  <c r="I171" i="2"/>
  <c r="I143" i="2"/>
  <c r="I141" i="2" s="1"/>
  <c r="I131" i="2" l="1"/>
  <c r="I657" i="2"/>
  <c r="D33" i="7" s="1"/>
  <c r="I176" i="2"/>
  <c r="I22" i="2" s="1"/>
  <c r="P14" i="3" s="1"/>
  <c r="F173" i="2"/>
  <c r="I173" i="2" s="1"/>
  <c r="I172" i="2"/>
  <c r="D27" i="7" l="1"/>
  <c r="D25" i="7"/>
  <c r="D26" i="7"/>
  <c r="Y14" i="3"/>
  <c r="AE14" i="3"/>
  <c r="W14" i="3"/>
  <c r="Z14" i="3"/>
  <c r="T14" i="3"/>
  <c r="AC14" i="3"/>
  <c r="X14" i="3"/>
  <c r="U14" i="3"/>
  <c r="AA14" i="3"/>
  <c r="AD14" i="3"/>
  <c r="V14" i="3"/>
  <c r="AB14" i="3"/>
  <c r="I167" i="2"/>
  <c r="D24" i="7" l="1"/>
  <c r="D30" i="7" s="1"/>
  <c r="D22" i="7" s="1"/>
  <c r="I130" i="2"/>
  <c r="D17" i="7" l="1"/>
  <c r="D16" i="7"/>
  <c r="D19" i="7"/>
  <c r="D15" i="7"/>
  <c r="D18" i="7"/>
  <c r="K130" i="2"/>
  <c r="I20" i="2"/>
  <c r="P13" i="3" s="1"/>
  <c r="D14" i="7" l="1"/>
  <c r="D12" i="7" s="1"/>
  <c r="X13" i="3"/>
  <c r="AD13" i="3"/>
  <c r="T13" i="3"/>
  <c r="AC13" i="3"/>
  <c r="Y13" i="3"/>
  <c r="AE13" i="3"/>
  <c r="AB13" i="3"/>
  <c r="Z13" i="3"/>
  <c r="V13" i="3"/>
  <c r="U13" i="3"/>
  <c r="AA13" i="3"/>
  <c r="W13" i="3"/>
  <c r="K73" i="2"/>
  <c r="I18" i="2"/>
  <c r="K18" i="2" l="1"/>
  <c r="P12" i="3"/>
  <c r="M57" i="2"/>
  <c r="I56" i="2"/>
  <c r="W12" i="3" l="1"/>
  <c r="G37" i="3" s="1"/>
  <c r="AC12" i="3"/>
  <c r="AA12" i="3"/>
  <c r="K37" i="3" s="1"/>
  <c r="AB12" i="3"/>
  <c r="L37" i="3" s="1"/>
  <c r="X12" i="3"/>
  <c r="H37" i="3" s="1"/>
  <c r="AD12" i="3"/>
  <c r="N37" i="3" s="1"/>
  <c r="U12" i="3"/>
  <c r="E37" i="3" s="1"/>
  <c r="V12" i="3"/>
  <c r="F37" i="3" s="1"/>
  <c r="Y12" i="3"/>
  <c r="I37" i="3" s="1"/>
  <c r="AE12" i="3"/>
  <c r="O37" i="3" s="1"/>
  <c r="T12" i="3"/>
  <c r="D37" i="3" s="1"/>
  <c r="Z12" i="3"/>
  <c r="J37" i="3" s="1"/>
  <c r="I659" i="2"/>
  <c r="M56" i="2"/>
  <c r="K71" i="2"/>
  <c r="N56" i="2"/>
  <c r="P14" i="2"/>
  <c r="P43" i="3"/>
  <c r="K57" i="2"/>
  <c r="P36" i="3"/>
  <c r="P37" i="3"/>
  <c r="C29" i="3" s="1"/>
  <c r="M37" i="3"/>
  <c r="C14" i="3" l="1"/>
  <c r="C15" i="3"/>
  <c r="C16" i="3"/>
  <c r="C25" i="3"/>
  <c r="C13" i="3"/>
  <c r="C24" i="3"/>
  <c r="C26" i="3"/>
  <c r="C22" i="3"/>
  <c r="C27" i="3"/>
  <c r="C28" i="3"/>
  <c r="C11" i="3"/>
  <c r="C23" i="3"/>
  <c r="C21" i="3"/>
  <c r="C18" i="3"/>
  <c r="C19" i="3"/>
  <c r="C30" i="3"/>
  <c r="C20" i="3"/>
  <c r="C12" i="3"/>
  <c r="F36" i="3"/>
  <c r="K36" i="3"/>
  <c r="G36" i="3"/>
  <c r="L36" i="3"/>
  <c r="I36" i="3"/>
  <c r="E36" i="3"/>
  <c r="N36" i="3"/>
  <c r="J36" i="3"/>
  <c r="O36" i="3"/>
  <c r="H36" i="3"/>
  <c r="M36" i="3"/>
  <c r="D39" i="3"/>
  <c r="E39" i="3" s="1"/>
  <c r="F39" i="3" s="1"/>
  <c r="G39" i="3" s="1"/>
  <c r="H39" i="3" s="1"/>
  <c r="I39" i="3" s="1"/>
  <c r="J39" i="3" s="1"/>
  <c r="K39" i="3" s="1"/>
  <c r="L39" i="3" s="1"/>
  <c r="M39" i="3" s="1"/>
  <c r="N39" i="3" s="1"/>
  <c r="O39" i="3" s="1"/>
  <c r="D36" i="3"/>
  <c r="D38" i="3" s="1"/>
  <c r="C10" i="3"/>
  <c r="D34" i="6"/>
  <c r="I661" i="2"/>
  <c r="E38" i="3" l="1"/>
  <c r="F38" i="3" s="1"/>
  <c r="G38" i="3" s="1"/>
  <c r="H38" i="3" s="1"/>
  <c r="I38" i="3" s="1"/>
  <c r="J38" i="3" s="1"/>
  <c r="K38" i="3" s="1"/>
  <c r="L38" i="3" s="1"/>
  <c r="M38" i="3" s="1"/>
  <c r="N38" i="3" s="1"/>
  <c r="O38" i="3" s="1"/>
  <c r="D27" i="6"/>
  <c r="D28" i="6"/>
  <c r="D26" i="6"/>
  <c r="D25" i="6"/>
  <c r="D24" i="6" l="1"/>
  <c r="D31" i="6" s="1"/>
  <c r="D22" i="6" s="1"/>
  <c r="D16" i="6" s="1"/>
  <c r="D17" i="6" l="1"/>
  <c r="D18" i="6"/>
  <c r="D19" i="6"/>
  <c r="D15" i="6"/>
  <c r="D14" i="6" s="1"/>
  <c r="D12" i="6" s="1"/>
  <c r="G13" i="6" s="1"/>
  <c r="G12" i="6" l="1"/>
</calcChain>
</file>

<file path=xl/comments1.xml><?xml version="1.0" encoding="utf-8"?>
<comments xmlns="http://schemas.openxmlformats.org/spreadsheetml/2006/main">
  <authors>
    <author>Fernando Otavio</author>
  </authors>
  <commentList>
    <comment ref="H225" authorId="0">
      <text>
        <r>
          <rPr>
            <b/>
            <sz val="9"/>
            <color indexed="81"/>
            <rFont val="Tahoma"/>
            <family val="2"/>
          </rPr>
          <t>Fernando Otavio:</t>
        </r>
        <r>
          <rPr>
            <sz val="9"/>
            <color indexed="81"/>
            <rFont val="Tahoma"/>
            <family val="2"/>
          </rPr>
          <t xml:space="preserve">
</t>
        </r>
      </text>
    </comment>
  </commentList>
</comments>
</file>

<file path=xl/connections.xml><?xml version="1.0" encoding="utf-8"?>
<connections xmlns="http://schemas.openxmlformats.org/spreadsheetml/2006/main">
  <connection id="1" name="INTERCEPTOR A" type="6" refreshedVersion="4" background="1" saveData="1">
    <textPr codePage="850" sourceFile="Z:\Itambacuri\DIMENSIONAMENTO\ESGINI\INTERCEPTOR A.ege" delimited="0" decimal="," thousands=".">
      <textFields count="26">
        <textField/>
        <textField position="8"/>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2" name="INTERCEPTOR B" type="6" refreshedVersion="4" background="1" saveData="1">
    <textPr codePage="850" sourceFile="Z:\Itambacuri\DIMENSIONAMENTO\ESGINI\INTERCEPTOR B.ege" delimited="0" decimal="," thousands=".">
      <textFields count="26">
        <textField/>
        <textField position="5"/>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3" name="INTERCEPTOR C" type="6" refreshedVersion="4" background="1" saveData="1">
    <textPr codePage="850" sourceFile="Z:\Itambacuri\DIMENSIONAMENTO\ESGINI\INTERCEPTOR C.ege" delimited="0" decimal="," thousands=".">
      <textFields count="26">
        <textField/>
        <textField position="5"/>
        <textField position="14"/>
        <textField position="21"/>
        <textField position="29"/>
        <textField position="38"/>
        <textField position="47"/>
        <textField position="56"/>
        <textField position="61"/>
        <textField position="66"/>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4" name="INTERCEPTOR D" type="6" refreshedVersion="4" background="1" saveData="1">
    <textPr codePage="850" sourceFile="Z:\Itambacuri\DIMENSIONAMENTO\ESGINI\INTERCEPTOR D.ege" delimited="0" decimal="," thousands=".">
      <textFields count="26">
        <textField/>
        <textField position="5"/>
        <textField position="14"/>
        <textField position="21"/>
        <textField position="29"/>
        <textField position="38"/>
        <textField position="47"/>
        <textField position="56"/>
        <textField position="61"/>
        <textField position="66"/>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5" name="INTERCEPTOR E" type="6" refreshedVersion="4" background="1" saveData="1">
    <textPr codePage="850" sourceFile="Z:\Itambacuri\ORÇAMENTO\INTERCEPTOR E.ege" delimited="0" decimal="," thousands=".">
      <textFields count="25">
        <textField/>
        <textField position="5"/>
        <textField position="14"/>
        <textField position="21"/>
        <textField position="29"/>
        <textField position="38"/>
        <textField position="47"/>
        <textField position="56"/>
        <textField position="61"/>
        <textField position="66"/>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6" name="INTERCEPTOR F" type="6" refreshedVersion="4" background="1" saveData="1">
    <textPr codePage="850" sourceFile="Z:\Itambacuri\DIMENSIONAMENTO\ESGINI\INTERCEPTOR F.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7" name="INTERCEPTOR G" type="6" refreshedVersion="4" background="1" saveData="1">
    <textPr codePage="850" sourceFile="Z:\Itambacuri\DIMENSIONAMENTO\ESGINI\INTERCEPTOR G.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8" name="INTERCEPTOR H" type="6" refreshedVersion="4" background="1" saveData="1">
    <textPr codePage="850" sourceFile="Z:\Itambacuri\DIMENSIONAMENTO\ESGINI\INTERCEPTOR H.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7"/>
        <textField position="203"/>
      </textFields>
    </textPr>
  </connection>
  <connection id="9" name="INTERCEPTOR I" type="6" refreshedVersion="4" background="1" saveData="1">
    <textPr codePage="850" sourceFile="Z:\Itambacuri\DIMENSIONAMENTO\ESGINI\INTERCEPTOR I.ege" delimited="0" decimal="," thousands=".">
      <textFields count="26">
        <textField/>
        <textField position="5"/>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0" name="INTERCEPTOR J" type="6" refreshedVersion="4" background="1" saveData="1">
    <textPr codePage="850" sourceFile="Z:\Itambacuri\DIMENSIONAMENTO\ESGINI\INTERCEPTOR J.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1" name="INTERCEPTOR M" type="6" refreshedVersion="4" background="1" saveData="1">
    <textPr codePage="850" sourceFile="Z:\Itambacuri\DIMENSIONAMENTO\ESGINI\INTERCEPTOR M.ege" delimited="0" decimal="," thousands=".">
      <textFields count="25">
        <textField/>
        <textField position="5"/>
        <textField position="14"/>
        <textField position="21"/>
        <textField position="29"/>
        <textField position="38"/>
        <textField position="47"/>
        <textField position="56"/>
        <textField position="61"/>
        <textField position="69"/>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2" name="INTERCEPTOR-COLETORA" type="6" refreshedVersion="4" background="1" saveData="1">
    <textPr codePage="932" sourceFile="Z:\Sem Peixe\Dimensionamentos\PROGRAMA\INTERCEPTOR-COLETORA.epl" delimited="0" decimal="," thousands=".">
      <textFields count="13">
        <textField/>
        <textField position="4"/>
        <textField position="17"/>
        <textField position="24"/>
        <textField position="33"/>
        <textField position="39"/>
        <textField position="46"/>
        <textField position="72"/>
        <textField position="82"/>
        <textField position="91"/>
        <textField position="100"/>
        <textField position="108"/>
        <textField position="129"/>
      </textFields>
    </textPr>
  </connection>
  <connection id="13" name="INTPARTEA" type="6" refreshedVersion="4" background="1" saveData="1">
    <textPr codePage="850" sourceFile="Z:\POTIM - SP\DIMENSIONAMENTOS\PROGRAMA\PARTE A\INTPARTEA.ege" delimited="0" decimal="," thousands=".">
      <textFields count="25">
        <textField/>
        <textField position="5"/>
        <textField position="14"/>
        <textField position="21"/>
        <textField position="29"/>
        <textField position="40"/>
        <textField position="47"/>
        <textField position="56"/>
        <textField position="61"/>
        <textField position="67"/>
        <textField position="78"/>
        <textField position="89"/>
        <textField position="94"/>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4" name="INTPARTEB" type="6" refreshedVersion="4" background="1" saveData="1">
    <textPr codePage="850" sourceFile="Z:\POTIM - SP\DIMENSIONAMENTOS\PROGRAMA\PARTE B\INTPARTEB.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5" name="INTPARTEC" type="6" refreshedVersion="4" background="1" saveData="1">
    <textPr codePage="850" sourceFile="Z:\POTIM - SP\DIMENSIONAMENTOS\PROGRAMA\PARTE C\INTPARTEC.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9"/>
        <textField position="97"/>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6" name="INTPARTEC1" type="6" refreshedVersion="4" background="1">
    <textPr codePage="850" sourceFile="Z:\POTIM - SP\DIMENSIONAMENTOS\PROGRAMA\PARTE C\INTPARTEC.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9"/>
        <textField position="97"/>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7" name="INTPARTED" type="6" refreshedVersion="4" background="1" saveData="1">
    <textPr codePage="850" sourceFile="Z:\POTIM - SP\DIMENSIONAMENTOS\PROGRAMA\PARTE D\INTPARTED.ege" delimited="0" decimal="," thousands=".">
      <textFields count="26">
        <textField/>
        <textField position="5"/>
        <textField position="14"/>
        <textField position="21"/>
        <textField position="29"/>
        <textField position="40"/>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s>
</file>

<file path=xl/sharedStrings.xml><?xml version="1.0" encoding="utf-8"?>
<sst xmlns="http://schemas.openxmlformats.org/spreadsheetml/2006/main" count="6094" uniqueCount="2503">
  <si>
    <t>PLANTIO DE ARVORE COM ALTURA MAIOR DO QUE 2,00 METROS</t>
  </si>
  <si>
    <t>LEITO FILTRANTE - COLOCACAO DE AREIA NOS FILTROS</t>
  </si>
  <si>
    <t>ELETRODUTO PVC FLEXIVEL CORRUGADO 32MM TIPO TIGREFLEX OU EQUIV</t>
  </si>
  <si>
    <t>DISCRIMINAÇÃO</t>
  </si>
  <si>
    <t>CÓDIGO</t>
  </si>
  <si>
    <t>FONTE</t>
  </si>
  <si>
    <t>QUANTIDADE</t>
  </si>
  <si>
    <t>P L A N I L H A    D E    O R Ç A M E N T O</t>
  </si>
  <si>
    <t xml:space="preserve">DATA: </t>
  </si>
  <si>
    <t>05.01</t>
  </si>
  <si>
    <t>05.02</t>
  </si>
  <si>
    <t>05.03</t>
  </si>
  <si>
    <t>05.04</t>
  </si>
  <si>
    <t>C R O N O G R A M A     F Í S I C O - F I N A N C E I R O</t>
  </si>
  <si>
    <t>PREÇO              TOTAL (R$)</t>
  </si>
  <si>
    <t>h</t>
  </si>
  <si>
    <t>m²</t>
  </si>
  <si>
    <t>m³</t>
  </si>
  <si>
    <t>m</t>
  </si>
  <si>
    <t>un</t>
  </si>
  <si>
    <t xml:space="preserve">un </t>
  </si>
  <si>
    <t>mês</t>
  </si>
  <si>
    <t>tXkm</t>
  </si>
  <si>
    <t>PROJETO:</t>
  </si>
  <si>
    <t>ITEM</t>
  </si>
  <si>
    <t xml:space="preserve">ATIVIDADES </t>
  </si>
  <si>
    <t>PART.%</t>
  </si>
  <si>
    <t>MÊS 01</t>
  </si>
  <si>
    <t>MÊS 02</t>
  </si>
  <si>
    <t>MÊS 03</t>
  </si>
  <si>
    <t>MÊS 04</t>
  </si>
  <si>
    <t>SUB-TOTAL</t>
  </si>
  <si>
    <t>PERCENTUAL GLOBAL SIMPLES</t>
  </si>
  <si>
    <t>VALOR SIMPLES EM R$</t>
  </si>
  <si>
    <t>PERCENTUAL GLOBAL ACUMULADO</t>
  </si>
  <si>
    <t>VALOR ACUMULADO EM R$</t>
  </si>
  <si>
    <t>ESTAÇÃO DE TRATAMENTO DE ESGOTOS</t>
  </si>
  <si>
    <t>74236/001</t>
  </si>
  <si>
    <t>GRAMA BATATAIS EM PLACAS</t>
  </si>
  <si>
    <t xml:space="preserve">CLIENTE: </t>
  </si>
  <si>
    <t>CIDADE:</t>
  </si>
  <si>
    <t>PREÇO</t>
  </si>
  <si>
    <t>Unitário (R$)</t>
  </si>
  <si>
    <t>SIMPLES</t>
  </si>
  <si>
    <t>BDI OU ADM</t>
  </si>
  <si>
    <t xml:space="preserve">FOLHA RESUMO </t>
  </si>
  <si>
    <t>SINAPI</t>
  </si>
  <si>
    <t>74209/001</t>
  </si>
  <si>
    <t>PLACA DE OBRA EM CHAPA DE ACO GALVANIZADO</t>
  </si>
  <si>
    <t xml:space="preserve">TRANSPORTE COMERCIAL COM CAMINHAO CARROCERIA 9 T, RODOVIA PAVIMENTADA     </t>
  </si>
  <si>
    <t>74219/001</t>
  </si>
  <si>
    <t>74151/001</t>
  </si>
  <si>
    <t>MÊS 07</t>
  </si>
  <si>
    <t>MÊS 08</t>
  </si>
  <si>
    <t>MÊS 09</t>
  </si>
  <si>
    <t>MÊS 10</t>
  </si>
  <si>
    <t>MÊS 11</t>
  </si>
  <si>
    <t>MÊS 12</t>
  </si>
  <si>
    <t>74034/001</t>
  </si>
  <si>
    <t>ESPALHAMENTO DE MATERIAL DE 1A CATEGORIA COM TRATOR DE ESTEIRA COM 153 HP</t>
  </si>
  <si>
    <t>73891/001</t>
  </si>
  <si>
    <t>ESGOTAMENTO COM MOTO-BOMBA AUTOESCOVANTE</t>
  </si>
  <si>
    <t/>
  </si>
  <si>
    <t>73859/001</t>
  </si>
  <si>
    <t>74005/001</t>
  </si>
  <si>
    <t xml:space="preserve">COMPACTACAO MECANICA, SEM CONTROLE DO GC (C/COMPACTADOR PLACA 400 KG)     </t>
  </si>
  <si>
    <t>COTAÇÃO</t>
  </si>
  <si>
    <t>FORNECIMENTO E INSTALAÇÃO DE TERMINAIS DOS TUBOS DE DISTRIBUIÇÃO, EM FIBRA DE VIDRO E RESINA DE POLIÉSTER, CONFORME PROJETO</t>
  </si>
  <si>
    <t>01.02</t>
  </si>
  <si>
    <t>01.03</t>
  </si>
  <si>
    <t>01.04</t>
  </si>
  <si>
    <t>01.05</t>
  </si>
  <si>
    <t>02.01</t>
  </si>
  <si>
    <t>03.01</t>
  </si>
  <si>
    <t>EDIFICAÇÃO ADMINISTRATIVA - UNIDADE DE APOIO</t>
  </si>
  <si>
    <t>03.02</t>
  </si>
  <si>
    <t>04.01</t>
  </si>
  <si>
    <t>01.01</t>
  </si>
  <si>
    <t xml:space="preserve">MOBILIZAÇÃO E DESMOBILIZAÇÃO                                 </t>
  </si>
  <si>
    <t>01.06</t>
  </si>
  <si>
    <t>73887/003</t>
  </si>
  <si>
    <t>73967/002</t>
  </si>
  <si>
    <t>TERRAPLENAGEM GERAL</t>
  </si>
  <si>
    <t xml:space="preserve">REATORES UASB </t>
  </si>
  <si>
    <t>FORNECIMENTO E INSTALAÇÃO DE PLACA VERTEDORA, EM PRFV, NAS DIMENSÕES (38X65)CM, COM VEDAÇÃO EM BORRACHA E FECHAMENTO EM PARAFUSOS, CONFORME PROJETO</t>
  </si>
  <si>
    <t>FORNECIMENTO E INSTALAÇÃO DE PLACA VERTEDORA, EM PRFV, NAS DIMENSÕES (46X45)CM, COM VEDAÇÃO EM BORRACHA E FECHAMENTO EM PARAFUSOS, CONFORME PROJETO</t>
  </si>
  <si>
    <t>FILTRO BIOLÓGICO PERCOLADOR</t>
  </si>
  <si>
    <t>DECANTADOR</t>
  </si>
  <si>
    <t>LEITOS DE SECAGEM</t>
  </si>
  <si>
    <t>73816/001</t>
  </si>
  <si>
    <t>73873/003</t>
  </si>
  <si>
    <t>73963/002</t>
  </si>
  <si>
    <t>CURVA PVC SOLD 90G P/ AGUA FRIA PREDIAL 25 MM</t>
  </si>
  <si>
    <t>ELEVATÓRIA DE RECIRCULAÇÃO</t>
  </si>
  <si>
    <t>ELEVATÓRIA FINAL</t>
  </si>
  <si>
    <t>MÊS 05</t>
  </si>
  <si>
    <t>MÊS 06</t>
  </si>
  <si>
    <t>ESCAVACAO E CARGA MATERIAL 1A CATEGORIA, UTILIZANDO TRATOR DE ESTEIRAS</t>
  </si>
  <si>
    <t>73873/002</t>
  </si>
  <si>
    <t>LEITO FILTRANTE - FORN.E ENCHIMENTO C/ BRITA NO. 4</t>
  </si>
  <si>
    <t>04.02</t>
  </si>
  <si>
    <t>TUBO PVC SOLDAVEL EB-892 P/AGUA FRIA PREDIAL DN 32MM</t>
  </si>
  <si>
    <t>00009869</t>
  </si>
  <si>
    <t>TUBO PVC SOLDAVEL EB-892 P/AGUA FRIA PREDIAL DN 25MM</t>
  </si>
  <si>
    <t>00009868</t>
  </si>
  <si>
    <t>00009867</t>
  </si>
  <si>
    <t>TE PVC SOLD 90G P/ AGUA FRIA PREDIAL 32MM</t>
  </si>
  <si>
    <t>00007140</t>
  </si>
  <si>
    <t>BUCHA REDUCAO PVC SOLD CURTA P/ AGUA FRIA PRED 32MM X 25MM</t>
  </si>
  <si>
    <t>00000829</t>
  </si>
  <si>
    <t>00000828</t>
  </si>
  <si>
    <t>00007104</t>
  </si>
  <si>
    <t>00003536</t>
  </si>
  <si>
    <t>00003542</t>
  </si>
  <si>
    <t>00009895</t>
  </si>
  <si>
    <t>ADAPTADOR PVC SOLDAVEL CURTO C/ BOLSA E ROSCA P/ REGISTRO 32MM X 1"</t>
  </si>
  <si>
    <t>00000108</t>
  </si>
  <si>
    <t>00000065</t>
  </si>
  <si>
    <t>00000098</t>
  </si>
  <si>
    <t>00000097</t>
  </si>
  <si>
    <t>00000096</t>
  </si>
  <si>
    <t>00003500</t>
  </si>
  <si>
    <t>00007141</t>
  </si>
  <si>
    <t>00006005</t>
  </si>
  <si>
    <t>00006014</t>
  </si>
  <si>
    <t>00000109</t>
  </si>
  <si>
    <t>00003855</t>
  </si>
  <si>
    <t>TE PVC SOLD 90G P/ AGUA FRIA PREDIAL 25MM</t>
  </si>
  <si>
    <t>00007139</t>
  </si>
  <si>
    <t>ADAPTADOR PVC SOLDAVEL CURTO C/ BOLSA E ROSCA P/ REGISTRO 20MM X 1/2"</t>
  </si>
  <si>
    <t>00000107</t>
  </si>
  <si>
    <t>00009906</t>
  </si>
  <si>
    <t>00009905</t>
  </si>
  <si>
    <t>00009837</t>
  </si>
  <si>
    <t>00001966</t>
  </si>
  <si>
    <t>00007097</t>
  </si>
  <si>
    <t>00020155</t>
  </si>
  <si>
    <t>00003848</t>
  </si>
  <si>
    <t>CAIXA SIFONADA PVC 150 X 185 X 75MM C/ GRELHA QUADRADA BRANCA</t>
  </si>
  <si>
    <t>00011714</t>
  </si>
  <si>
    <t>00011715</t>
  </si>
  <si>
    <t>JOELHO PVC SOLD 90G BB P/ ESG PREDIAL DN 40MM</t>
  </si>
  <si>
    <t>00005103</t>
  </si>
  <si>
    <t>00003895</t>
  </si>
  <si>
    <t>00003893</t>
  </si>
  <si>
    <t>00006145</t>
  </si>
  <si>
    <t>00000819</t>
  </si>
  <si>
    <t>00003662</t>
  </si>
  <si>
    <t>00003658</t>
  </si>
  <si>
    <t>00007091</t>
  </si>
  <si>
    <t>00020088</t>
  </si>
  <si>
    <t>00001970</t>
  </si>
  <si>
    <t>00011679</t>
  </si>
  <si>
    <t>00010432</t>
  </si>
  <si>
    <t>CAIXA DE GORDURA DUPLA EM CONCRETO PRE-MOLDADO DN 60MM COM TAMPA - FORNECIMENTO E INSTALACAO</t>
  </si>
  <si>
    <t>74051/001</t>
  </si>
  <si>
    <t>BANCADA DO LABORATÓRIO EM LAMINADO MELAMÍNICO TIPO POST-FORMING E CUBA DE AÇO INOX 40X35X15 CM</t>
  </si>
  <si>
    <t>DIVISORIA EM MARMORITE ESPESSURA 35MM, CHUMBAMENTO NO PISO E PAREDE COM ARGAMASSA DE CIMENTO E AREIA, POLIMENTO MANUAL, EXCLUSIVE FERRAGENSDIVISORIAS EM MADEIRA OU PAINEIS PRE-FABRICADOS</t>
  </si>
  <si>
    <t>73774/001</t>
  </si>
  <si>
    <t>ADMINISTRAÇÃO DA OBRA</t>
  </si>
  <si>
    <t>01.07</t>
  </si>
  <si>
    <t>01.08</t>
  </si>
  <si>
    <t>74220/001</t>
  </si>
  <si>
    <t xml:space="preserve">74039/001 </t>
  </si>
  <si>
    <t>CERCA COM MOURÕES DE MADEIRA ROLIÇA D=11CM, ESPAÇAMENTO DE 2M, ALTURA LIVRE DE 1M, CRAVADOS 0,50M, COM 5 FIOS DE ARAME FARPADO Nº14 CLASSE 2 50 - FORNEC E COLOC.</t>
  </si>
  <si>
    <t>74219/002</t>
  </si>
  <si>
    <t>TAPUME DE CHAPA DE MADEIRA COMPENSADA (6MM) - PINTURA A CAL- APROVEITAMENTO 2 X</t>
  </si>
  <si>
    <t>02.03</t>
  </si>
  <si>
    <t>02.04</t>
  </si>
  <si>
    <t>02.05</t>
  </si>
  <si>
    <t>kg</t>
  </si>
  <si>
    <t>02.02</t>
  </si>
  <si>
    <t>00006138</t>
  </si>
  <si>
    <t>00011711</t>
  </si>
  <si>
    <t>00010420</t>
  </si>
  <si>
    <t>00010429</t>
  </si>
  <si>
    <t>00011955</t>
  </si>
  <si>
    <t>00011868</t>
  </si>
  <si>
    <t>00013399</t>
  </si>
  <si>
    <t>00002690</t>
  </si>
  <si>
    <t>00003080</t>
  </si>
  <si>
    <t>00003097</t>
  </si>
  <si>
    <t>00006021</t>
  </si>
  <si>
    <t>00007606</t>
  </si>
  <si>
    <t>00009838</t>
  </si>
  <si>
    <t>00009835</t>
  </si>
  <si>
    <t>00003517</t>
  </si>
  <si>
    <t>QUEIMADOR DE BIOGÁS</t>
  </si>
  <si>
    <t>00006013</t>
  </si>
  <si>
    <t>FORNECIMENTO E INSTALAÇÃO DE TAMPAS  EM FIBRA DE VIDRO OU AÇO INOX, NAS DIMENSÕES (80X80)CM, CONFORME PROJETO</t>
  </si>
  <si>
    <t>FORNECIMENTO E INSTALAÇÃO DE PLACA VERTEDORA, EM PRFV OU AÇO INOX, NAS DIMENSÕES (54X58)CM, COM VEDAÇÃO EM BORRACHA E FECHAMENTO EM PARAFUSOS, CONFORME PROJETO</t>
  </si>
  <si>
    <t>FORNECIMENTO E INSTALAÇÃO DE COMPORTA EM ARDÓSIA OU AÇO INOX, NAS DIMENSÕES (27X80X2)CM, COM VEDAÇÃO EM BORRACHA E FECHAMENTO EM PARAFUSOS, CONFORME PROJETO</t>
  </si>
  <si>
    <t>BANCADA DA COPA EM MÁRMORE DUPLA POLIDA, ESPESSURA 2 CM, COM CUBA DE AÇO INOX 40X35X15 CM</t>
  </si>
  <si>
    <t>UNIDADE</t>
  </si>
  <si>
    <t>00003516</t>
  </si>
  <si>
    <t>TOTAL GERAL</t>
  </si>
  <si>
    <t>COMPOSIÇÕES DE CUSTO</t>
  </si>
  <si>
    <t xml:space="preserve">DATA   : </t>
  </si>
  <si>
    <t xml:space="preserve">PROJETO:        </t>
  </si>
  <si>
    <t>LOCALIDADE:</t>
  </si>
  <si>
    <t>Item</t>
  </si>
  <si>
    <t>Fonte</t>
  </si>
  <si>
    <t>Código</t>
  </si>
  <si>
    <t>Discriminação</t>
  </si>
  <si>
    <t>Unidade</t>
  </si>
  <si>
    <t>Quantidade</t>
  </si>
  <si>
    <t>TOTAL (R$)</t>
  </si>
  <si>
    <t>L.SOCIAIS</t>
  </si>
  <si>
    <t>CE-001</t>
  </si>
  <si>
    <t>CUSTO MENSAL DA ADMINISTRAÇÃO LOCAL DA OBRA</t>
  </si>
  <si>
    <t>MÃO DE OBRA INDIRETA</t>
  </si>
  <si>
    <t>01.01.01</t>
  </si>
  <si>
    <t>01.01.02</t>
  </si>
  <si>
    <t>01.01.03</t>
  </si>
  <si>
    <t>01.01.04</t>
  </si>
  <si>
    <t>01.01.05</t>
  </si>
  <si>
    <t>AUXILIAR DE ESCRITÓRIO</t>
  </si>
  <si>
    <t>01.01.06</t>
  </si>
  <si>
    <t>ALMOXARIFE</t>
  </si>
  <si>
    <t>01.01.07</t>
  </si>
  <si>
    <t>TOPÓGRAFO</t>
  </si>
  <si>
    <t>01.01.08</t>
  </si>
  <si>
    <t>AUXILIAR DE TOPOGRAFIA</t>
  </si>
  <si>
    <t>01.01.09</t>
  </si>
  <si>
    <t>APONTADOR OU APROPRIADOR</t>
  </si>
  <si>
    <t>01.01.10</t>
  </si>
  <si>
    <t>01.01.11</t>
  </si>
  <si>
    <t>01.01.12</t>
  </si>
  <si>
    <t>MOTORISTA DE BASCULANTE</t>
  </si>
  <si>
    <t>01.01.13</t>
  </si>
  <si>
    <t>MOTORISTA DE CAMINHAO</t>
  </si>
  <si>
    <t xml:space="preserve">VEÍCULOS, MÁQUINAS EQUIPAMENTOS </t>
  </si>
  <si>
    <t>01.02.01</t>
  </si>
  <si>
    <t>01.02.03</t>
  </si>
  <si>
    <t>01.02.05</t>
  </si>
  <si>
    <t>01.02.06</t>
  </si>
  <si>
    <t>CONSUMOS</t>
  </si>
  <si>
    <t>01.03.01</t>
  </si>
  <si>
    <t>kwh</t>
  </si>
  <si>
    <t>01.03.02</t>
  </si>
  <si>
    <t>OLEO DIESEL COMBUSTIVEL COMUM</t>
  </si>
  <si>
    <t>L</t>
  </si>
  <si>
    <t>01.03.03</t>
  </si>
  <si>
    <t>GASOLINA COMUM</t>
  </si>
  <si>
    <t>SOLDADOR</t>
  </si>
  <si>
    <t>AUXILIAR</t>
  </si>
  <si>
    <t>SERRALHEIRO</t>
  </si>
  <si>
    <t>FORNECIMENTO E INSTALAÇÃO DE TERMINAIS DOS TUBOS DE DISTRIBUIÇÃO, EM FIBRA DE VIDRO E RESINA DE POLIÉSTER OU CHAPA DE AÇO INOX, CONFORME PROJETO</t>
  </si>
  <si>
    <t xml:space="preserve">AUXILIAR DE SERRALHEIRO </t>
  </si>
  <si>
    <t>03.03</t>
  </si>
  <si>
    <t>CE-004</t>
  </si>
  <si>
    <t>FORNECIMENTO E INSTALAÇÃO DE PLACA VERTEDORA, EM PRFV OU AÇO INOX, NAS DIMENSÕES (38X65)CM, COM VEDAÇÃO EM BORRACHA E FECHAMENTO EM PARAFUSOS, CONFORME PROJETO</t>
  </si>
  <si>
    <t xml:space="preserve">CANTONEIRA "U" ALUMINIO ABAS IGUAIS 1" E = 3/32 " </t>
  </si>
  <si>
    <t>04.03</t>
  </si>
  <si>
    <t>04.04</t>
  </si>
  <si>
    <t>CE-005</t>
  </si>
  <si>
    <t>FORNECIMENTO E INSTALAÇÃO DE PLACA VERTEDORA, EM PRFV OU AÇO INOX, NAS DIMENSÕES (46X45)CM, COM VEDAÇÃO EM BORRACHA E FECHAMENTO EM PARAFUSOS, CONFORME PROJETO</t>
  </si>
  <si>
    <t>06.01</t>
  </si>
  <si>
    <t>06.02</t>
  </si>
  <si>
    <t>06.03</t>
  </si>
  <si>
    <t>06.04</t>
  </si>
  <si>
    <t>07.01</t>
  </si>
  <si>
    <t>07.02</t>
  </si>
  <si>
    <t>07.03</t>
  </si>
  <si>
    <t>07.04</t>
  </si>
  <si>
    <t>CE-008</t>
  </si>
  <si>
    <t>08.01</t>
  </si>
  <si>
    <t>08.02</t>
  </si>
  <si>
    <t>08.03</t>
  </si>
  <si>
    <t>08.04</t>
  </si>
  <si>
    <t>CE-010</t>
  </si>
  <si>
    <t>FORNECIMENTO E INSTALAÇÃO DE COMPORTA EM ARDÓSIA OU AÇO INOX, NAS DIMENSÕES (27X80)CM, COM VEDAÇÃO EM BORRACHA E FECHAMENTO EM PARAFUSOS, CONFORME PROJETO</t>
  </si>
  <si>
    <t xml:space="preserve">TORNEIRA CROMADA 1/2" OU 3/4" REF 1159 P/ PIA COZ - PADRAO POPULAR </t>
  </si>
  <si>
    <t xml:space="preserve">CUBA ACO INOXIDAVEL NUM 3 (40,0X34,0X11,5) CM </t>
  </si>
  <si>
    <t>VALVULA EM METAL CROMADO TIPO AMERICANA 3.1/2" X 1.1/2" P/ PIA DE COZINHA</t>
  </si>
  <si>
    <t>PEDREIRO</t>
  </si>
  <si>
    <t>SERVENTE</t>
  </si>
  <si>
    <t>BOMBEIRO HIDRAULICO</t>
  </si>
  <si>
    <t>AUXILIAR DE BOMBEIRO HIDRAULICO</t>
  </si>
  <si>
    <t>CE-018</t>
  </si>
  <si>
    <t>CE-020</t>
  </si>
  <si>
    <t>CE-022</t>
  </si>
  <si>
    <t>CE-023</t>
  </si>
  <si>
    <t>CE-024</t>
  </si>
  <si>
    <t>01.02.02</t>
  </si>
  <si>
    <t>DEMONSTRATIVO DO CÁLCULO DO BDI DE SERVIÇOS</t>
  </si>
  <si>
    <t>Descrição</t>
  </si>
  <si>
    <t>Percentual</t>
  </si>
  <si>
    <t>Valor</t>
  </si>
  <si>
    <t>01.00</t>
  </si>
  <si>
    <t>CUSTO DIRETO</t>
  </si>
  <si>
    <t>02.00</t>
  </si>
  <si>
    <t>CUSTOS INDIRETOS</t>
  </si>
  <si>
    <t>Administração central</t>
  </si>
  <si>
    <t>Riscos</t>
  </si>
  <si>
    <t>Despesas Financeiras</t>
  </si>
  <si>
    <t>03.00</t>
  </si>
  <si>
    <t>PREÇO DE CUSTO</t>
  </si>
  <si>
    <t>04.00</t>
  </si>
  <si>
    <t>TRIBUTOS</t>
  </si>
  <si>
    <t>Cofins</t>
  </si>
  <si>
    <t>Pis/Pasep</t>
  </si>
  <si>
    <t>Iss</t>
  </si>
  <si>
    <t>Percentuais incidentes sobre o preço de venda</t>
  </si>
  <si>
    <t>05.00</t>
  </si>
  <si>
    <t>LUCRO LÍQUIDO</t>
  </si>
  <si>
    <t>06.00</t>
  </si>
  <si>
    <t>PREÇO DE VENDA</t>
  </si>
  <si>
    <t>07.00</t>
  </si>
  <si>
    <t>BDI</t>
  </si>
  <si>
    <t xml:space="preserve">Tribunal de Contas da União - TCU </t>
  </si>
  <si>
    <t>DEMONSTRATIVO DO CÁLCULO DO BDI DE MATERIAIS</t>
  </si>
  <si>
    <t>MÊS REF.:</t>
  </si>
  <si>
    <t>CUSTO DIRETO DO MATERIAL</t>
  </si>
  <si>
    <t>LUCRO</t>
  </si>
  <si>
    <t>PREÇO DE VENDA DO MATERIAL</t>
  </si>
  <si>
    <t>04.05</t>
  </si>
  <si>
    <t>03.04</t>
  </si>
  <si>
    <t>05.05</t>
  </si>
  <si>
    <t>05.06</t>
  </si>
  <si>
    <t>05.07</t>
  </si>
  <si>
    <t>05.08</t>
  </si>
  <si>
    <t>05.09</t>
  </si>
  <si>
    <t>08.05</t>
  </si>
  <si>
    <t>08.06</t>
  </si>
  <si>
    <t>08.07</t>
  </si>
  <si>
    <t>08.08</t>
  </si>
  <si>
    <t>08.09</t>
  </si>
  <si>
    <t>08.10</t>
  </si>
  <si>
    <t>08.11</t>
  </si>
  <si>
    <t>08.12</t>
  </si>
  <si>
    <t>08.13</t>
  </si>
  <si>
    <t>08.14</t>
  </si>
  <si>
    <t>REGULARIZACAO E COMPACTACAO DE SUBLEITO ATE 20 CM DE ESPESSURA</t>
  </si>
  <si>
    <t>TRANSPORTE COMERCIAL COM CAMINHAO BASCULANTE 6 M3, RODOVIA EM LEITO NATURAL</t>
  </si>
  <si>
    <t>txkm</t>
  </si>
  <si>
    <t>COMPOSIÇÃO</t>
  </si>
  <si>
    <t>FORNECIMENTO E INSTALACAO DE TALHA E TROLEY MANUAL DE 1 TONELADA</t>
  </si>
  <si>
    <t>GUARDA-CORPO EM TUBO DE ACO GALVANIZADO 1 1/2"</t>
  </si>
  <si>
    <t>SERVIÇOS PRELIMINARES</t>
  </si>
  <si>
    <t>ESCAVAÇÃO DE VALAS</t>
  </si>
  <si>
    <t>ESCORAMENTO DE VALAS</t>
  </si>
  <si>
    <t xml:space="preserve">DRENAGEM                                                                                                              </t>
  </si>
  <si>
    <t>POÇOS DE VISITA</t>
  </si>
  <si>
    <t>73963/028</t>
  </si>
  <si>
    <t>73963/029</t>
  </si>
  <si>
    <t>73963/034</t>
  </si>
  <si>
    <t>FORNECIMENTO E ASSENTAMENTO DE TUBULAÇÃO</t>
  </si>
  <si>
    <t>ASSENTAMENTO SIMPLES DE TUBOS DE FERRO FUNDIDO (FOFO) C/ JUNTA ELASTICA - DN 150 - INCLUSIVE TRANSPORTE</t>
  </si>
  <si>
    <t>01.09</t>
  </si>
  <si>
    <t>01.10</t>
  </si>
  <si>
    <t>TORNEIRA METAL AMARELO 3/4" CURTA REF 1128 P/ JARDIM</t>
  </si>
  <si>
    <t>JOELHO FERRO GALV 90G ROSCA MACHO/FEMEA 1/2"</t>
  </si>
  <si>
    <t>DISSIPADOR DE ENERGIA CONFORME PROJETO</t>
  </si>
  <si>
    <t>ENROCAMENTO COM PEDRA ARGAMASSADA TRAÇO 1:4 COM PEDRA DE MÃO</t>
  </si>
  <si>
    <t>CE-026</t>
  </si>
  <si>
    <t>DEMOLIÇÃO E RECOMPOSIÇÃO DE PAVIMENTOS</t>
  </si>
  <si>
    <t>CE-028</t>
  </si>
  <si>
    <t>CE-029</t>
  </si>
  <si>
    <t>BASE PARA PAVIMENTACAO COM BRITA GRADUADA, INCLUSIVE COMPACTACAO</t>
  </si>
  <si>
    <t>74221/001</t>
  </si>
  <si>
    <t>SINALIZACAO DE TRANSITO - NOTURNA</t>
  </si>
  <si>
    <t>DISTRIBUIDOR ROTATIVO, CONFORME PROJETO</t>
  </si>
  <si>
    <t>REMOVEDOR DE LODO, CONFORME PROJETO</t>
  </si>
  <si>
    <t>CE-027</t>
  </si>
  <si>
    <t xml:space="preserve">BDI </t>
  </si>
  <si>
    <t>MATERIAIS</t>
  </si>
  <si>
    <t>SERVIÇOS</t>
  </si>
  <si>
    <t>POR METRO</t>
  </si>
  <si>
    <t>CE-031</t>
  </si>
  <si>
    <t>CE-032</t>
  </si>
  <si>
    <t>CE-034</t>
  </si>
  <si>
    <t>CE-035</t>
  </si>
  <si>
    <t>CE-036</t>
  </si>
  <si>
    <t>CE-037</t>
  </si>
  <si>
    <t>74198/002</t>
  </si>
  <si>
    <t>SUMIDOURO EM ALVENARIA DE TIJOLO CERAMICO MACIÇO DIAMETRO 1,40M E ALTURA 5,00M, COM TAMPA EM CONCRETO ARMADO DIAMETRO 1,60M E ESPESSURA 10CM</t>
  </si>
  <si>
    <t>73929/001</t>
  </si>
  <si>
    <t>IMPERMEABILIZACAO DE SUPERFICIE COM CIMENTO ESPECIAL CRISTALIZANTE COM ADESIVO LIQUIDO DE ALTA PERFORMANCE A BASE DE RESINA ACRÍLICA, UMA DE MAO.</t>
  </si>
  <si>
    <t>DESMATAMENTO E LIMPEZA MECANIZADA DE TERRENO COM REMOCAO DE CAMADA VEGETAL, UTILIZANDO TRATOR DE ESTEIRAS</t>
  </si>
  <si>
    <t>TANQUE DE MÁRMORE SINTÉTICO SUSPENSO, 22L OU EQUIVALENTE, INCLUSO SIFÃ O TIPO GARRAFA EM PVC, VÁLVULA PLÁSTICA E TORNEIRA DE METAL CROMADO PADRÃO POPULAR - FORNECIMENTO E INSTALAÇÃO. AF_12/2013_P</t>
  </si>
  <si>
    <t xml:space="preserve">Planilha elaborada conforme proferido no acordão 2622/2013 do </t>
  </si>
  <si>
    <t>Risco</t>
  </si>
  <si>
    <t>CPRB</t>
  </si>
  <si>
    <t>ADMINISTRAÇÃO LOCAL DA OBRA, COMPOSIÇÃO EM APENSO, CONFORME ACORDÃO 2622/2013 DO TRIBUNAL DE CONTAS DA UNIÃO - TCU</t>
  </si>
  <si>
    <t>de 4,13 a 10,89%</t>
  </si>
  <si>
    <t>FORNECIMENTO E INSTALAÇÃO DO SEPARADOR TRIFÁSICO</t>
  </si>
  <si>
    <t>10.01</t>
  </si>
  <si>
    <t>10.02</t>
  </si>
  <si>
    <t>CANTONEIRA - DN 2"X2" e=3mm</t>
  </si>
  <si>
    <t>CHAPA DE ALUMINIO e= 3mm</t>
  </si>
  <si>
    <t>CARPINTEIRO DE FORMAS</t>
  </si>
  <si>
    <t>REBITE DE ALUMINIO VAZADO DE REPUXO, 4,76 X 12 MM - (1KG=1025UNID)</t>
  </si>
  <si>
    <t xml:space="preserve">CHUMBADOR OMEGA C/PARAFUSO OM1404 1/4" </t>
  </si>
  <si>
    <t>CHUMBADOR 5/8 X 6"</t>
  </si>
  <si>
    <t>FORNECIMENTO E INSTALAÇÃO DE TAMPAS  EM FIBRA DE VIDRO OU AÇO INOX, NAS DIMENSÕES (120X30)CM, CONFORME PROJETO</t>
  </si>
  <si>
    <t>18.01</t>
  </si>
  <si>
    <t>18.02</t>
  </si>
  <si>
    <t>18.03</t>
  </si>
  <si>
    <t>18.04</t>
  </si>
  <si>
    <t>73834/001</t>
  </si>
  <si>
    <t>INSTALACAO DE CONJ.MOTO BOMBA SUBMERSIVEL ATE 10 CV</t>
  </si>
  <si>
    <t>ARRUELA BORRACHA FLANGE PN10 DN150</t>
  </si>
  <si>
    <t>REDUÇÃO FOFO FF CONCÊNTRICA DN 200X150</t>
  </si>
  <si>
    <t>JUNTA GIBAULT FOFO DN 200</t>
  </si>
  <si>
    <t>JUNCAO FOFO 45 GR C/FLANGES PN-16 DN 200X200</t>
  </si>
  <si>
    <t>ARRUELA BORRACHA FLANGE PN10 DN200</t>
  </si>
  <si>
    <t>APLICAÇÃO MANUAL DE PINTURA COM TINTA LÁTEX ACRÍLICA EM PAREDES, DUAS DEMÃOS. AF_06/2014</t>
  </si>
  <si>
    <t>TE REDUCAO PVC SOLD 90G P/ AGUA FRIA PREDIAL 32 MM X 25 MM</t>
  </si>
  <si>
    <t>TUBO ACO GALV C/ COSTURA DIN 2440/NBR 5580 CLASSE MEDIA DN 1/2" (15MM) E = 2,65MM - 1,22KG/M</t>
  </si>
  <si>
    <t>NIPEL FERRO GALV ROSCA 3/4"</t>
  </si>
  <si>
    <t>KIT CAVALETE PVC C/ REGISTRO 3/4"</t>
  </si>
  <si>
    <t>NÃO TEM</t>
  </si>
  <si>
    <t>CANTONEIRA ALUMINIO ABAS IGUAIS 2" E = 1/4"</t>
  </si>
  <si>
    <t>CHAPA ALUMINIO E = 6MM KG</t>
  </si>
  <si>
    <t>TELA ARAME GALV FIO 10 BWG (3,4MM) MALHA 2" (5 X 5CM) QUADRADA OU LOSANGO H= 2,0M</t>
  </si>
  <si>
    <t>TUBO ACO GALV C/ COSTURA DIN 2440/NBR 5580 CLASSE MEDIA DN 2" (50MM) E=3,65MM - 5,10KG/M</t>
  </si>
  <si>
    <t>PARAFUSO ACO CHUMBADOR PARABOLT 3/8" X 75MM</t>
  </si>
  <si>
    <t>REBITE DE ALUMINIO VAZADO DE REPUXO, 3,2 X 8MM - (1KG=1025UNID)</t>
  </si>
  <si>
    <t>PADRÃO DE ENTRADA DE ÁGUA</t>
  </si>
  <si>
    <t>PLANTIO DE ARBUSTO COM ALTURA 50 A 100CM, EM CAVA DE 60X60X60CM</t>
  </si>
  <si>
    <t>74104/001</t>
  </si>
  <si>
    <t>CHAPISCO APLICADO TANTO EM PILARES E VIGAS DE CONCRETO COMO EM ALVENARIAS DE PAREDES INTERNAS, COM ROLO PARA TEXTURA ACRÍLICA. ARGAMASSA TRAÇO 1:4 E EMULSÃO POLIMÉRICA (ADESIVO) COM PREPARO EM BETONEIRA 400L. AF_06/2014</t>
  </si>
  <si>
    <t>ALVENARIA DE VEDAÇÃO DE BLOCOS VAZADOS DE CONCRETO DE 14X19X39CM (ESPESSURA 14CM) DE PAREDES COM ÁREA LÍQUIDA MENOR QUE 6M² SEM VÃOS E ARGAMASSA DE ASSENTAMENTO COM PREPARO EM BETONEIRA. AF_06/2014_P</t>
  </si>
  <si>
    <t>73827/001</t>
  </si>
  <si>
    <t>KIT CAVALETE PVC COM REGISTRO 1/2" - FORNECIMENTO E INSTALAÇÃO</t>
  </si>
  <si>
    <t>74253/001</t>
  </si>
  <si>
    <t>RAMAL PREDIAL EM TUBO PEAD 20MM - FORNECIMENTO, INSTALAÇÃO, ESCAVAÇÃO E REATERRO</t>
  </si>
  <si>
    <t>LIGACAO DA REDE 50MM AO RAMAL PREDIAL 1/2"</t>
  </si>
  <si>
    <t>01.02.07</t>
  </si>
  <si>
    <t>AJUDANTE DE PEDREIRO</t>
  </si>
  <si>
    <t>73759/002</t>
  </si>
  <si>
    <t>23.01</t>
  </si>
  <si>
    <t>23.02</t>
  </si>
  <si>
    <t>23.03</t>
  </si>
  <si>
    <t>23.04</t>
  </si>
  <si>
    <t>24.01</t>
  </si>
  <si>
    <t>24.02</t>
  </si>
  <si>
    <t>29.01</t>
  </si>
  <si>
    <t>29.02</t>
  </si>
  <si>
    <t>29.03</t>
  </si>
  <si>
    <t>29.04</t>
  </si>
  <si>
    <t>CE-039</t>
  </si>
  <si>
    <t>CE-044</t>
  </si>
  <si>
    <t>EMBOÇO, PARA RECEBIMENTO DE CERÂMICA, EM ARGAMASSA TRAÇO 1:2:8, PREPARO MECÂNICO COM BETONEIRA 400L, APLICADO MANUALMENTE EM FACES INTERNAS DE PAREDES DE AMBIENTES COM ÁREA MENOR QUE 5M2, ESPESSURA DE 20MM, COM EXECUÇÃO DE TALISCAS. AF_06/2014</t>
  </si>
  <si>
    <t>73963/035</t>
  </si>
  <si>
    <t>Garantias</t>
  </si>
  <si>
    <t>Seguros</t>
  </si>
  <si>
    <t>Percentuais incidentes sobre o preço de custo</t>
  </si>
  <si>
    <t>Percentual incidente sobre a diferença entre o preço de venda e os tributos</t>
  </si>
  <si>
    <t>C/BDI-M</t>
  </si>
  <si>
    <t>=</t>
  </si>
  <si>
    <t>C/BDI-S</t>
  </si>
  <si>
    <t>PISO CIMENTADO TRACO 1:3 (CIMENTO E AREIA) ACABAMENTO RUSTICO ESPESSURA 2 CM COM JUNTAS PLASTICAS DE DILATACAO, PREPARO MANUAL DA ARGAMASSA</t>
  </si>
  <si>
    <t>03.01.01</t>
  </si>
  <si>
    <t>03.01.02</t>
  </si>
  <si>
    <t>03.01.03</t>
  </si>
  <si>
    <t>03.01.04</t>
  </si>
  <si>
    <t>03.02.01</t>
  </si>
  <si>
    <t>03.02.02</t>
  </si>
  <si>
    <t>03.02.03</t>
  </si>
  <si>
    <t>03.02.04</t>
  </si>
  <si>
    <t>03.02.05</t>
  </si>
  <si>
    <t>03.02.06</t>
  </si>
  <si>
    <t>03.02.07</t>
  </si>
  <si>
    <t>03.02.08</t>
  </si>
  <si>
    <t>03.02.09</t>
  </si>
  <si>
    <t>03.02.10</t>
  </si>
  <si>
    <t>03.03.01</t>
  </si>
  <si>
    <t>03.03.02</t>
  </si>
  <si>
    <t>03.03.03</t>
  </si>
  <si>
    <t>03.03.04</t>
  </si>
  <si>
    <t>03.04.01</t>
  </si>
  <si>
    <t>03.04.02</t>
  </si>
  <si>
    <t>04.01.01</t>
  </si>
  <si>
    <t>04.01.02</t>
  </si>
  <si>
    <t>04.02.01</t>
  </si>
  <si>
    <t>04.02.02</t>
  </si>
  <si>
    <t>04.03.01</t>
  </si>
  <si>
    <t>04.06.01</t>
  </si>
  <si>
    <t>04.06.02</t>
  </si>
  <si>
    <t>04.06.03</t>
  </si>
  <si>
    <t>73887/004</t>
  </si>
  <si>
    <t>ASSENTAMENTO SIMPLES DE TUBOS DE FERRO FUNDIDO (FOFO) C/ JUNTA ELASTICA - DN 200 - INCLUSIVE TRANSPORTE</t>
  </si>
  <si>
    <t>ESCAVAÇÕES / REATERROS E ESCORAMENTOS</t>
  </si>
  <si>
    <t>B</t>
  </si>
  <si>
    <t xml:space="preserve">A </t>
  </si>
  <si>
    <t>C</t>
  </si>
  <si>
    <t xml:space="preserve">D </t>
  </si>
  <si>
    <t xml:space="preserve">E </t>
  </si>
  <si>
    <t>F</t>
  </si>
  <si>
    <t>G</t>
  </si>
  <si>
    <t>H</t>
  </si>
  <si>
    <t>I</t>
  </si>
  <si>
    <t>J</t>
  </si>
  <si>
    <t>M</t>
  </si>
  <si>
    <t>ESCAVAÇÃO</t>
  </si>
  <si>
    <t>REATERRO</t>
  </si>
  <si>
    <t>ESCOR. PONTALET.</t>
  </si>
  <si>
    <t>ESCOR. DESC.</t>
  </si>
  <si>
    <t>ESCOR. CONT.</t>
  </si>
  <si>
    <t>APILOAMENTO</t>
  </si>
  <si>
    <t>ESCOR. ESP.</t>
  </si>
  <si>
    <t>TOTAL</t>
  </si>
  <si>
    <t>03.02.11</t>
  </si>
  <si>
    <t>PVC</t>
  </si>
  <si>
    <t>PVA01</t>
  </si>
  <si>
    <t>PVA02</t>
  </si>
  <si>
    <t>P</t>
  </si>
  <si>
    <t>PVA03</t>
  </si>
  <si>
    <t>PVA04</t>
  </si>
  <si>
    <t>PVA05</t>
  </si>
  <si>
    <t>FoF</t>
  </si>
  <si>
    <t>o0,00</t>
  </si>
  <si>
    <t>PVA06</t>
  </si>
  <si>
    <t>PVA07</t>
  </si>
  <si>
    <t>PVA08</t>
  </si>
  <si>
    <t>PVA09</t>
  </si>
  <si>
    <t>PVA10</t>
  </si>
  <si>
    <t>PVA11</t>
  </si>
  <si>
    <t>PVA12</t>
  </si>
  <si>
    <t>PVA13</t>
  </si>
  <si>
    <t>PVA14</t>
  </si>
  <si>
    <t>PVA15</t>
  </si>
  <si>
    <t>PVA16</t>
  </si>
  <si>
    <t>PVA17</t>
  </si>
  <si>
    <t>PVA18</t>
  </si>
  <si>
    <t>PVA19</t>
  </si>
  <si>
    <t>PVA20</t>
  </si>
  <si>
    <t>PVA21</t>
  </si>
  <si>
    <t>PVA22</t>
  </si>
  <si>
    <t>PVA23</t>
  </si>
  <si>
    <t>PVA24</t>
  </si>
  <si>
    <t>PVA25</t>
  </si>
  <si>
    <t>PVB01</t>
  </si>
  <si>
    <t>PVB02</t>
  </si>
  <si>
    <t>PVB03</t>
  </si>
  <si>
    <t>PVB04</t>
  </si>
  <si>
    <t>PVB05</t>
  </si>
  <si>
    <t>PVB06</t>
  </si>
  <si>
    <t>PVB07</t>
  </si>
  <si>
    <t>PVB08</t>
  </si>
  <si>
    <t>PVC01</t>
  </si>
  <si>
    <t>PVC02</t>
  </si>
  <si>
    <t>PVC03</t>
  </si>
  <si>
    <t>PVC04</t>
  </si>
  <si>
    <t>PVC05</t>
  </si>
  <si>
    <t>PVC06</t>
  </si>
  <si>
    <t>PVC07</t>
  </si>
  <si>
    <t>PVC08</t>
  </si>
  <si>
    <t>PVD01</t>
  </si>
  <si>
    <t>PVD02</t>
  </si>
  <si>
    <t>PVD03</t>
  </si>
  <si>
    <t>PVD04</t>
  </si>
  <si>
    <t>PVD05</t>
  </si>
  <si>
    <t>PVD06</t>
  </si>
  <si>
    <t>PVD07</t>
  </si>
  <si>
    <t>PVD08</t>
  </si>
  <si>
    <t>PVD09</t>
  </si>
  <si>
    <t>PVD10</t>
  </si>
  <si>
    <t>PVD11</t>
  </si>
  <si>
    <t>PVD12</t>
  </si>
  <si>
    <t>PVD13</t>
  </si>
  <si>
    <t>PVD14</t>
  </si>
  <si>
    <t>PVD15</t>
  </si>
  <si>
    <t>PVD16</t>
  </si>
  <si>
    <t>PVD17</t>
  </si>
  <si>
    <t>PVD18</t>
  </si>
  <si>
    <t>PVD19</t>
  </si>
  <si>
    <t>PVD20</t>
  </si>
  <si>
    <t>FoFo0,00</t>
  </si>
  <si>
    <t>PVC 0,00</t>
  </si>
  <si>
    <t>Profundidade do PV's (m)</t>
  </si>
  <si>
    <t>qnt</t>
  </si>
  <si>
    <t>AÉREO</t>
  </si>
  <si>
    <t>QUANTITATIVOS</t>
  </si>
  <si>
    <t>CORTE</t>
  </si>
  <si>
    <t>ATERRO</t>
  </si>
  <si>
    <t>SEÇÃO</t>
  </si>
  <si>
    <t>A</t>
  </si>
  <si>
    <t>D</t>
  </si>
  <si>
    <t>E</t>
  </si>
  <si>
    <t>dx =</t>
  </si>
  <si>
    <t>BOTA FORA</t>
  </si>
  <si>
    <t>TERRAPLENAGEM</t>
  </si>
  <si>
    <t>URBANIZAÇÃO</t>
  </si>
  <si>
    <t>IMPRIMACAO DE BASE DE PAVIMENTACAO COM EMULSAO CM-30</t>
  </si>
  <si>
    <t xml:space="preserve">PINTURA DE LIGACAO COM EMULSAO RR-2C </t>
  </si>
  <si>
    <t>CE-006</t>
  </si>
  <si>
    <t>CE-007</t>
  </si>
  <si>
    <t>CE-009</t>
  </si>
  <si>
    <t>CE-011</t>
  </si>
  <si>
    <t>CE-012</t>
  </si>
  <si>
    <t>CE-013</t>
  </si>
  <si>
    <t>CE-014</t>
  </si>
  <si>
    <t>CE-015</t>
  </si>
  <si>
    <t>CE-016</t>
  </si>
  <si>
    <t>CE-019</t>
  </si>
  <si>
    <t>INTERLIGAÇÕES DE PROCESSOS, DRENAGEM E ÁGUA FRIA</t>
  </si>
  <si>
    <t>LOCAÇÃO DE REDES DE ÁGUA OU DE ESGOTO, INCLUSIVE TOPOGRAFO</t>
  </si>
  <si>
    <t>ARRUELA BORRACHA FLANGE PN10 DN100</t>
  </si>
  <si>
    <t>PARAFUSO C/PORCAS P/ FLANGE PN10 DN16x80</t>
  </si>
  <si>
    <t>PARAFUSO C/PORCAS P/ FLANGES DN20 x 90</t>
  </si>
  <si>
    <t>09.01</t>
  </si>
  <si>
    <t>09.02</t>
  </si>
  <si>
    <t>11.01</t>
  </si>
  <si>
    <t>11.02</t>
  </si>
  <si>
    <t>11.03</t>
  </si>
  <si>
    <t>11.04</t>
  </si>
  <si>
    <t>11.05</t>
  </si>
  <si>
    <t>12.01</t>
  </si>
  <si>
    <t>12.02</t>
  </si>
  <si>
    <t>12.03</t>
  </si>
  <si>
    <t>12.04</t>
  </si>
  <si>
    <t>12.05</t>
  </si>
  <si>
    <t>13.01</t>
  </si>
  <si>
    <t>13.02</t>
  </si>
  <si>
    <t>14.01</t>
  </si>
  <si>
    <t>14.02</t>
  </si>
  <si>
    <t>14.03</t>
  </si>
  <si>
    <t>15.01</t>
  </si>
  <si>
    <t>15.02</t>
  </si>
  <si>
    <t>15.03</t>
  </si>
  <si>
    <t>15.04</t>
  </si>
  <si>
    <t>17.01</t>
  </si>
  <si>
    <t>17.02</t>
  </si>
  <si>
    <t>17.03</t>
  </si>
  <si>
    <t>17.04</t>
  </si>
  <si>
    <t>19.01</t>
  </si>
  <si>
    <t>19.02</t>
  </si>
  <si>
    <t>22.01</t>
  </si>
  <si>
    <t>22.02</t>
  </si>
  <si>
    <t>22.03</t>
  </si>
  <si>
    <t>22.04</t>
  </si>
  <si>
    <t>24.03</t>
  </si>
  <si>
    <t>24.04</t>
  </si>
  <si>
    <t>26.01</t>
  </si>
  <si>
    <t>26.02</t>
  </si>
  <si>
    <t>26.03</t>
  </si>
  <si>
    <t>26.04</t>
  </si>
  <si>
    <t>27.01</t>
  </si>
  <si>
    <t>27.02</t>
  </si>
  <si>
    <t>27.03</t>
  </si>
  <si>
    <t>27.04</t>
  </si>
  <si>
    <t>28.01</t>
  </si>
  <si>
    <t>28.02</t>
  </si>
  <si>
    <t>28.03</t>
  </si>
  <si>
    <t>28.04</t>
  </si>
  <si>
    <t>29.05</t>
  </si>
  <si>
    <t>29.06</t>
  </si>
  <si>
    <t>31.01</t>
  </si>
  <si>
    <t>31.02</t>
  </si>
  <si>
    <t>31.03</t>
  </si>
  <si>
    <t>31.04</t>
  </si>
  <si>
    <t>32.01</t>
  </si>
  <si>
    <t>32.02</t>
  </si>
  <si>
    <t>32.03</t>
  </si>
  <si>
    <t>32.04</t>
  </si>
  <si>
    <t>34.01</t>
  </si>
  <si>
    <t>34.02</t>
  </si>
  <si>
    <t>34.03</t>
  </si>
  <si>
    <t>34.04</t>
  </si>
  <si>
    <t>36.01</t>
  </si>
  <si>
    <t>36.02</t>
  </si>
  <si>
    <t>36.03</t>
  </si>
  <si>
    <t>36.04</t>
  </si>
  <si>
    <t>37.01</t>
  </si>
  <si>
    <t>37.02</t>
  </si>
  <si>
    <t>37.03</t>
  </si>
  <si>
    <t>37.04</t>
  </si>
  <si>
    <t>39.01</t>
  </si>
  <si>
    <t>39.02</t>
  </si>
  <si>
    <t>44.01</t>
  </si>
  <si>
    <t>44.02</t>
  </si>
  <si>
    <t>44.03</t>
  </si>
  <si>
    <t>44.04</t>
  </si>
  <si>
    <t>45.01</t>
  </si>
  <si>
    <t>45.02</t>
  </si>
  <si>
    <t>45.03</t>
  </si>
  <si>
    <t>45.04</t>
  </si>
  <si>
    <t>46.01</t>
  </si>
  <si>
    <t>46.02</t>
  </si>
  <si>
    <t>CE-046</t>
  </si>
  <si>
    <t>47.01</t>
  </si>
  <si>
    <t>47.02</t>
  </si>
  <si>
    <t>47.03</t>
  </si>
  <si>
    <t>47.04</t>
  </si>
  <si>
    <t>02.01.00</t>
  </si>
  <si>
    <t>CLIENTE: PREFEITURA MUNICIPAL DE POTIM</t>
  </si>
  <si>
    <t>PREFEITURA MUNICIPAL DE POTIM</t>
  </si>
  <si>
    <t>PROJETO: SISTEMA DE ESGOTOS SANITÁRIOS DE POTIM</t>
  </si>
  <si>
    <t xml:space="preserve"> SISTEMA DE ESGOTOS SANITÁRIOS DE POTIM</t>
  </si>
  <si>
    <t>SISTEMA DE ESGOTOS SANITÁRIOS DE POTIM</t>
  </si>
  <si>
    <t>CIDADE:  POTIM - SP</t>
  </si>
  <si>
    <t>POTIM - SP</t>
  </si>
  <si>
    <t>TRATAMENTO PRELIMINAR MECANIZADO</t>
  </si>
  <si>
    <t>DESMATAMENTO E LIMPEZA MECANIZADA DE TERRENO COM ARVORES ATE Ø 15CM, UTILIZANDO TRATOR DE ESTEIRAS</t>
  </si>
  <si>
    <t>LIMPEZA MECANIZADA DE TERRENO, INCLUSIVE RETIRADA DE ARVORE ENTRE 0,05 M E 0,15 M DE DIAMETRO</t>
  </si>
  <si>
    <t>m³Xkm</t>
  </si>
  <si>
    <t xml:space="preserve">ESPALHAMENTO DE MATERIAL DE 1A CATEGORIA COM TRATOR DE ESTEIRA COM 153 HP </t>
  </si>
  <si>
    <t>EMPRESTIMOS / ATERRO</t>
  </si>
  <si>
    <t>74005/002</t>
  </si>
  <si>
    <t xml:space="preserve">COMPACTAÇÃO MEC. C/ CONTROLE DO GC&gt;=95% DO PN </t>
  </si>
  <si>
    <t>73992/001</t>
  </si>
  <si>
    <t>LOCACAO CONVENCIONAL DE OBRA, ATRAVÉS DE GABARITO DE TABUAS CORRIDAS PONTALETADAS A CADA 1,50M, SEM REAPROVEITAMENTO</t>
  </si>
  <si>
    <t>REATERRO MANUAL DE VALAS COM COMPACTAÇÃO MECANIZADA. AF_04/2016</t>
  </si>
  <si>
    <t>LASTRO DE CONCRETO, E = 5 CM, PREPARO MECÂNICO, INCLUSOS LANÇAMENTO E ADENSAMENTO. AF_07_2016</t>
  </si>
  <si>
    <t>CONCRETO FCK = 40MPA, TRAÇO 1:1,6:1,9 (CIMENTO/ AREIA MÉDIA/ BRITA 1) - PREPARO MECÂNICO COM BETONEIRA 600 L. AF_07/2016</t>
  </si>
  <si>
    <t>IMPERMEABILIZACAO DE SUPERFICIE COM CIMENTO ESPECIAL CRISTALIZANTE COM ADESIVO LIQUIDO, UMA DEMAO.</t>
  </si>
  <si>
    <t>FORNECIMENTO E INSTALAÇÃO DA TAMPA  EM  CHAPA DE ALUMÍNIO, NAS DIMENSÕES (115X80)CM</t>
  </si>
  <si>
    <t>ABRIGO DOS QUADROS DE COMANDO DOS MOTORES "QCM's"</t>
  </si>
  <si>
    <t>cj</t>
  </si>
  <si>
    <t>FORNECIMENTO E INSTALAÇÃO DA TAMPA  EM  CHAPA DE ALUMÍNIO, NAS DIMENSÕES (80X80)CM</t>
  </si>
  <si>
    <t>PERFIL "I" DE ACO LAMINADO, "W" 250 X 44,8</t>
  </si>
  <si>
    <t>FORNECIMENTO DE CESTO EM FIO DE AÇO DE 3 MM, MALHA DE 5 CM, NAS DIMENSÕES (45x45x45) CM, INCLUSIVE GUIAS LATERAIS EM TUBO GALVANIZADO DN 2" E SISTEMA DE FIXAÇÃO,  CONFORME PROJETO (ELEVATÓRIA DE REVERSÃO DE BACIA)</t>
  </si>
  <si>
    <t>CHAPA DE ALUMINIO, E = 5 MM, L = 1060 MM - 13,5 KG/M2 (LIGA 1200 - H14)</t>
  </si>
  <si>
    <t>CANTONEIRA ALUMINIO ABAS IGUAIS 2 ", E = 1/4 "</t>
  </si>
  <si>
    <t>TRANSPORTE HORIZONTAL, MASSA/GRANEL, JERICA 90L, 100M. AF_06/2014</t>
  </si>
  <si>
    <t>ALVENARIA DE VEDAÇÃO DE BLOCOS CERÂMICOS FURADOS NA VERTICAL DE 14X19X39CM (ESPESSURA 14CM) DE PAREDES COM ÁREA LÍQUIDA MAIOR OU IGUAL A 6M² SEM VÃOS E ARGAMASSA DE ASSENTAMENTO COM PREPARO EM BETONEIRA. AF_06/2014</t>
  </si>
  <si>
    <t>CHAPISCO APLICADO EM ALVENARIAS E ESTRUTURAS DE CONCRETO INTERNAS, COM COLHER DE PEDREIRO. ARGAMASSA TRAÇO 1:3 COM PREPARO MANUAL. AF_06/2014</t>
  </si>
  <si>
    <t>APLICAÇÃO MANUAL DE PINTURA COM TINTA LÁTEX PVA EM PAREDES, DUAS DEMÃOS. AF_06/2014</t>
  </si>
  <si>
    <t>REDUÇÃO F°F° COM FLANGES PN10 DN80X40</t>
  </si>
  <si>
    <t>CURVA 90º FOFO ESG.FF PN10 DN  80</t>
  </si>
  <si>
    <t>VALVULA RET.FOFO PORT.UN.FF PN10 DN 80</t>
  </si>
  <si>
    <t>CURVA 45° F°F° FLANGEADA PN10 DN80</t>
  </si>
  <si>
    <t>TE FOFO FFF PN10 DN  80</t>
  </si>
  <si>
    <t>JUNÇÃO F°F° FLANGEADA PN10 DN 80</t>
  </si>
  <si>
    <t>LIMPEZA FINAL DA OBRA</t>
  </si>
  <si>
    <t>TAPUME DE CHAPA DE MADEIRA COMPENSADA, E= 6MM, COM PINTURA A CAL E REAPROVEITAMENTO DE 2X</t>
  </si>
  <si>
    <t>CONE DE SINALIZACAO EM PVC RIGIDO COM FAIXA REFLETIVA, H = 70 / 76 CM</t>
  </si>
  <si>
    <t>PASSADICOS COM TÁBUAS DE MADEIRA PARA PEDESTRES</t>
  </si>
  <si>
    <t>TRAVESSIA COM TÁBUAS DE MADEIRA PARA VEICULOS</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</si>
  <si>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</si>
  <si>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ESCORAMENTO DE VALA, TIPO PONTALETEAMENTO, COM PROFUNDIDADE DE 0 A 1,5 M, LARGURA MENOR QUE 1,5 M, EM LOCAL COM NÍVEL BAIXO DE INTERFERÊNCIA . AF_06/2016</t>
  </si>
  <si>
    <t>APILOAMENTO, ATERRO E REATERRO DE VALAS</t>
  </si>
  <si>
    <t>PREPARO DE FUNDO DE VALA COM LARGURA MENOR QUE 1,5 M, EM LOCAL COM NÍVEL BAIXO DE INTERFERÊNCIA. AF_06/2016</t>
  </si>
  <si>
    <t>REATERRO MECANIZADO DE VALA COM RETROESCAVADEIRA (CAPACIDADE DA CAÇAMBA DA RETRO: 0,26 M³ / POTÊNCIA: 88 HP), LARGURA ATÉ 0,8 M, PROFUNDIDADE ATÉ 1,5 M, COM SOLO (SEM SUBSTITUIÇÃO) DE 1ª CATEGORIA EM LOCAIS COMBAIXO NÍVEL DE INTERFERÊNCIA. AF_04/2016</t>
  </si>
  <si>
    <t>03.04.03</t>
  </si>
  <si>
    <t>EMPRESTIMOS</t>
  </si>
  <si>
    <t>EXECUCAO DE DRENO COM TUBOS DE PVC CORRUGADO FLEXIVEL PERFURADO - DN 100</t>
  </si>
  <si>
    <t>ESTRUTURAS DE SUSTENTAÇÃO DAS TUBULAÇÕES</t>
  </si>
  <si>
    <t>TUBO DE PVC PARA REDE COLETORA DE ESGOTO DE PAREDE MACIÇA, DN 150 MM, JUNTA ELÁSTICA, INSTALADO EM LOCAL COM NÍVEL BAIXO DE INTERFERÊNCIAS - FORNECIMENTO E ASSENTAMENTO. AF_06/2015</t>
  </si>
  <si>
    <t>DEMOLIÇÃO DE PAVIMENTAÇÃO ASFÁLTICA COM UTILIZAÇÃO DE MARTELO PERFURADOR, ESPESSURA ATÉ 15 CM, EXCLUSIVE CARGA E TRANSPORTE</t>
  </si>
  <si>
    <t>CARGA E DESCARGA MECANIZADAS DE ENTULHO EM CAMINHAO BASCULANTE 6 M3</t>
  </si>
  <si>
    <t>TRANSPORTE DE ENTULHO COM CAMINHAO BASCULANTE 6 M3, RODOVIA PAVIMENTADA, DMT 0,5 A 1,0 KM</t>
  </si>
  <si>
    <t>ESPALHAMENTO DE MATERIAL EM BOTA FORA, COM UTILIZACAO DE TRATOR DE ESTEIRAS DE 165 HP</t>
  </si>
  <si>
    <t>BL</t>
  </si>
  <si>
    <t>PARA</t>
  </si>
  <si>
    <t>PASS</t>
  </si>
  <si>
    <t>ELEVATÓRIA 01</t>
  </si>
  <si>
    <t>LINHA DE RECALQUE 01</t>
  </si>
  <si>
    <t>LINHA DE RECALQUE 02</t>
  </si>
  <si>
    <t>PÓRTICO PARA RETIRADA DAS BOMBAS EM PERFIS METÁLICOS, CONFORME PROJETO (ELEVATÓRIA FINAL)</t>
  </si>
  <si>
    <t>FORNECIMENTO DE CESTO EM FIO DE AÇO DE 3 MM, MALHA DE 5 CM, NAS DIMENSÕES (45x45x45) CM, INCLUSIVE GUIAS LATERAIS EM TUBO GALVANIZADO DN 2" E SISTEMA DE FIXAÇÃO,  CONFORME PROJETO (ELEVATÓRIA FINAL)</t>
  </si>
  <si>
    <t>URBANIZAÇÃO E PAISAGISMO</t>
  </si>
  <si>
    <t>EXECUÇÃO DE PASSEIO (CALÇADA) OU PISO DE CONCRETO COM CONCRETO MOLDADO IN LOCO, FEITO EM OBRA, ACABAMENTO CONVENCIONAL, ESPESSURA 6 CM, ARMADO. AF_07/2016</t>
  </si>
  <si>
    <t>PLANTIO DE GRAMA BATATAIS EM PLACAS</t>
  </si>
  <si>
    <t>EXECUÇÃO DE SARJETA DE CONCRETO USINADO, MOLDADA IN LOCO EM TRECHO RETO, 30 CM BASE X 15 CM ALTURA. AF_06/2016</t>
  </si>
  <si>
    <t>73822/002</t>
  </si>
  <si>
    <t>LIMPEZA MECANIZADA DE TERRENO COM REMOCAO DE CAMADA VEGETAL, UTILIZANDO MOTONIVELADORA</t>
  </si>
  <si>
    <t>REGULARIZACAO DE SUPERFICIES EM TERRA COM MOTONIVELADORA</t>
  </si>
  <si>
    <t>03.03.05</t>
  </si>
  <si>
    <t>03.04.04</t>
  </si>
  <si>
    <t>REGULARIZAÇÃO DE SUPERFICIE DE CONCRETO APARENTE</t>
  </si>
  <si>
    <t>74238/002</t>
  </si>
  <si>
    <t>PORTAO EM TELA ARAME GALVANIZADO N.12 MALHA 2" E MOLDURA EM TUBOS DE ACO COM DUAS FOLHAS DE ABRIR, INCLUSO FERRAGENS</t>
  </si>
  <si>
    <t>EXECUÇÃO DE PAVIMENTO EM PISO INTERTRAVADO, COM BLOCO SEXTAVADO DE 25 X 25 CM, ESPESSURA 6 CM. AF_12/2015</t>
  </si>
  <si>
    <t>ESCAVAÇÃO MANUAL DE VALAS. AF_03/201</t>
  </si>
  <si>
    <t>ESCAVACAO MECANICA, A CEU ABERTO, EM MATERIAL DE 1A CATEGORIA, COM ESCAVADEIRA HIDRAULICA, CAPACIDADE DE 0,78 M3</t>
  </si>
  <si>
    <t>MONTAGEM E DESMONTAGEM DE FÔRMA DE LAJE MACIÇA COM ÁREA MÉDIA MENOR OU IGUAL A 20 M², PÉ-DIREITO SIMPLES, EM MADEIRA SERRADA, 1 UTILIZAÇÃO.</t>
  </si>
  <si>
    <t>MONTAGEM E DESMONTAGEM DE FÔRMA DE PILARES RETANGULARES E ESTRUTURAS SIMILARES COM ÁREA MÉDIA DAS SEÇÕES MENOR OU IGUAL A 0,25 M², PÉ-DIREITO SIMPLES, EM MADEIRA SERRADA, 1 UTILIZAÇÃO. AF_12/2015</t>
  </si>
  <si>
    <t>ACO CA-50, 10,0 MM, DOBRADO E CORTADO</t>
  </si>
  <si>
    <t>ACO CA-50, 8,0 MM, VERGALHAO</t>
  </si>
  <si>
    <t>LANÇAMENTO COM USO DE BOMBA, ADENSAMENTO E ACABAMENTO DE CONCRETO EM ESTRUTURAS. AF_12/2015</t>
  </si>
  <si>
    <t>AJUDANTE DE SERRALHEIRO</t>
  </si>
  <si>
    <t>BOMBA SUBMERSÍVEL KSB KRT K 40-250/5 4 W ∅ROTOR 210 POTÊNCIA 5,0 cv, 1.750 RPM OU SIMILAR</t>
  </si>
  <si>
    <t>ESCAVAÇÃO MANUAL DE VALAS. AF_03/2016</t>
  </si>
  <si>
    <t>MASSA ÚNICA, PARA RECEBIMENTO DE PINTURA OU CERÂMICA, EM ARGAMASSUSTRIALIZADA, PREPARO MECÂNICO, APLICADO COM EQUIPAMENTO DE MISTURA E PROJEÇÃO DE 1,5 M3/H DE ARGAMASSA EM FACES INTERNAS DE PAREDES, ESPESSURA DE 10MM, SEM EXECUÇÃO DE TALISCAS. AF_06/2014</t>
  </si>
  <si>
    <t>FORNECIMENTO E INSTALAÇÃO DA TAMPA  EM  CHAPA DE ALUMÍNIO, NAS DIMENSÕES (160X80)CM</t>
  </si>
  <si>
    <t>ADUFA DE PAREDE EM F°F° COM TUBO PROLONGADOR L = 0,40m DN150</t>
  </si>
  <si>
    <t>HASTE DE PROLONGAMENTO COM ROSCAS L=1,80m DN1.1/8"</t>
  </si>
  <si>
    <t>PEDESTAL DE SUSPENSÃO SIMPLES EM F°F°</t>
  </si>
  <si>
    <t>TUBO DE F°F° COM FLANGES PN10 L=1,36m DN80</t>
  </si>
  <si>
    <t>TUBO DE F°F° COM FLANGES PN10 L=0,54m DN80</t>
  </si>
  <si>
    <t>TUBO DE F°F° FLANGE PONTA PN10 L=0,18m DN80</t>
  </si>
  <si>
    <t>TUBO DE F°F° COM FLANGES PN10 L=0,55m DN80</t>
  </si>
  <si>
    <t>TUBO F°F° FLANGE PONTA PN10 L=0,75m DN80</t>
  </si>
  <si>
    <t>TUBO DE F°F° COM FLANGES PN10 L=1,04m DN80</t>
  </si>
  <si>
    <t>TUBO DE F°F° COM FLANGES PN10 L=0,15m DN80</t>
  </si>
  <si>
    <t>JUNTA GIBAULT FOFO P/FOFO DN  80</t>
  </si>
  <si>
    <t>REGISTRO CHATO F°F° COM FLANGES E VOLANTE PN10 DN80</t>
  </si>
  <si>
    <t>REDUÇÃO F°F° PONTA BOLSA DN100X80</t>
  </si>
  <si>
    <t>EXTREMIDADE FOFO BF JE PN16 DN  80</t>
  </si>
  <si>
    <t>PARAFUSO PARA FLANGES 16x80</t>
  </si>
  <si>
    <t>ARRUELA BORRACHA FLANGE PN10 DN80</t>
  </si>
  <si>
    <t>ENCANADOR OU BOMBEIRO HIDRÁULICO COM ENCARGOS COMPLEMENTARES</t>
  </si>
  <si>
    <t>AUXILIAR DE ENCANADOR OU BOMBEIRO HIDRÁULICO COM ENCARGOS COMPLEMENTAR</t>
  </si>
  <si>
    <t>SERVENTE COM ENCARGOS COMPLEMENTARES</t>
  </si>
  <si>
    <t>73888/003</t>
  </si>
  <si>
    <t xml:space="preserve">ASSENTAMENTO TUBO PVC COM JUNTA ELASTICA, DN 100 MM - (OU RPVC, OU PDEFOFO, OU PRFV) </t>
  </si>
  <si>
    <t>TUBO PVC DEFOFO, JEI, 1 MPA, DN 100 MM (NBR 7665)</t>
  </si>
  <si>
    <t>PRE-MISTURADO A FRIO COM EMULSAO RM-1C, INCLUSO USINAGEM E APLICACAO, EXCLUSIVE TRANSPORTE</t>
  </si>
  <si>
    <t>BASE PARA PAVIMENTACAO COM BRITA CORRIDA, INCLUSIVE COMPACTACAO</t>
  </si>
  <si>
    <t>REDE INTERCEPTORA E COLETORA DE ESGOTOS</t>
  </si>
  <si>
    <t>TUBO DE PVC PARA REDE COLETORA DE ESGOTO DE PAREDE MACIÇA, DN 200 MM, JUNTA ELÁSTICA, INSTALADO EM LOCAL COM NÍVEL BAIXO DE INTERFERÊNCIAS - FORNECIMENTO E ASSENTAMENTO. AF_06/2015</t>
  </si>
  <si>
    <t>ASSENTAMENTO SIMPLES DE TUBOS DE FERRO FUNDIDO (FOFO) C/ JUNTA ELASTICA - DN 250 - INCLUSIVE TRANSPORTE</t>
  </si>
  <si>
    <t>73887/005</t>
  </si>
  <si>
    <t>PAVIMENTOS</t>
  </si>
  <si>
    <t>ASFALTO (m²)</t>
  </si>
  <si>
    <t xml:space="preserve">DEMOLIÇÃO </t>
  </si>
  <si>
    <t>RECOMPOSIÇÃO</t>
  </si>
  <si>
    <t>total</t>
  </si>
  <si>
    <t>1,5 A 3</t>
  </si>
  <si>
    <t>prof</t>
  </si>
  <si>
    <t>adicional pv</t>
  </si>
  <si>
    <t>escoramento</t>
  </si>
  <si>
    <t>escoramento àcima de 1,50</t>
  </si>
  <si>
    <t>ESCAVAÇÕES</t>
  </si>
  <si>
    <t>ATÉ 1,50 m</t>
  </si>
  <si>
    <t>DE 1,50 À 3,00 m</t>
  </si>
  <si>
    <t>subtotal</t>
  </si>
  <si>
    <t>total programa</t>
  </si>
  <si>
    <t xml:space="preserve">  </t>
  </si>
  <si>
    <t>ESCAVAÇÃO MECANIZADA DE VALA COM PROFUNDIDADE MAIOR QUE 1,5 M ATÉ 3,0M, COM (MÉDIA ENTRE MONTANTE E JUSANTE/UMA COMPOSIÇÃO POR TRECHO) COM RETROESCAVADEIRA (CAPACIDADE DA CAÇAMBA DA RETRO: 0,26 M3 / POTÊNCIA:88 HP), LARGURA MENOR QUE 0,8 M, EM SOLO DE1A CATEGORIA, LOCAIS COM BAIXO NÍVEL DE INTERFERÊNCIA. AF_01/201</t>
  </si>
  <si>
    <t>ESCORAMENTO DE VALA, TIPO PONTALETEAMENTO, COM PROFUNDIDADE DE 1,5 A 3,0 M, LARGURA MAIOR OU IGUAL A 1,5 M E MENOR QUE 2,5 M, EM LOCAL COM NÍVEL BAIXO DE INTERFERÊNCIA. AF_06/2016</t>
  </si>
  <si>
    <t>ESCAVACAO MECANICA CAMPO ABERTO EM SOLO EXCETO ROCHA ATE 2,00M DE PROFUNDIDADE</t>
  </si>
  <si>
    <t>CAMADA HORIZONTAL DRENANTE C/ PEDRA BRITADA 1 E 2</t>
  </si>
  <si>
    <t>CE-003</t>
  </si>
  <si>
    <t>TRECHO COM TUBULAÇÃO APARENTE (APOIADA EM MANILHAS PREENCHIDAS COM CONCRETO)</t>
  </si>
  <si>
    <t>SERVENTE COM ENCARGOS COMPLEMENTARES (ESCAVAÇÃO MANUAL)</t>
  </si>
  <si>
    <t>03.05</t>
  </si>
  <si>
    <t>74157/004</t>
  </si>
  <si>
    <t>LANCAMENTO/APLICACAO MANUAL DE CONCRETO EM FUNDACOES</t>
  </si>
  <si>
    <t>CHAPA ACO INOX AISI 304 NUMERO 9 (E = 4 MM), ACABAMENTO NUMERO 1 (LAMINADO A QUENTE, FOSCO)</t>
  </si>
  <si>
    <t>PARAFUSO DE ACO TIPO CHUMBADOR PARABOLT, DIAMETRO 3/8", COMPRIMENTO 75 MM</t>
  </si>
  <si>
    <t>TUBO CONCRETO ARMADO, CLASSE EA-2, PB JE, DN 600 MM, PARA ESGOTO SANITARIO (NBR8890)</t>
  </si>
  <si>
    <t>73883/001</t>
  </si>
  <si>
    <t>EXECUCAO DE DRENO FRANCES COM AREIA MEDIA</t>
  </si>
  <si>
    <t>ENROCAMENTO MANUAL, COM ARRUMACAO DO MATERIAL</t>
  </si>
  <si>
    <t>CAMINHÃO TOCO, PBT 16.000 KG, CARGA ÚTIL MÁX. 10.685 KG, DIST. ENTRE EIXOS 4,8 M, POTÊNCIA 189 CV, INCLUSIVE CARROCERIA FIXA ABERTA DE MADEIRA P/ TRANSPORTE GERAL DE CARGA SECA, DIMEN. APROX. 2,5 X 7,00 X 0,50M - CHP DIURNO. AF_06/2014</t>
  </si>
  <si>
    <t>chp</t>
  </si>
  <si>
    <t>04.06</t>
  </si>
  <si>
    <t>04.07</t>
  </si>
  <si>
    <t>04.08</t>
  </si>
  <si>
    <t>ACO CA-50, 6,3 MM, DOBRADO E CORTADO</t>
  </si>
  <si>
    <t>GUINDASTE HIDRÁULICO AUTOPROPELIDO, COM LANÇA TELESCÓPICA 28,80 M, CAPACIDADE MÁXIMA 30 T, POTÊNCIA 97 KW, TRAÇÃO 4 X 4 - CHP DIURNO. AF2014</t>
  </si>
  <si>
    <t>MOTORISTA DE VEÍCULO PESADO COM ENCARGOS COMPLEMENTARES</t>
  </si>
  <si>
    <t>OPERADOR DE GUINDASTE COM ENCARGOS COMPLEMENTARES</t>
  </si>
  <si>
    <t>PVC 5,03</t>
  </si>
  <si>
    <t>7475735.5915040,570,740,99</t>
  </si>
  <si>
    <t>7475717.47918 0,470,601,10</t>
  </si>
  <si>
    <t>7475704.7464760,470,601,10</t>
  </si>
  <si>
    <t>7475668.6557380,470,601,10</t>
  </si>
  <si>
    <t>7475590.9414780,470,601,10</t>
  </si>
  <si>
    <t>7475571.2881850,470,601,10</t>
  </si>
  <si>
    <t>7475520.4080610,470,601,10</t>
  </si>
  <si>
    <t>7475468.36943 0,470,601,10</t>
  </si>
  <si>
    <t>7475418.4893240,470,601,10</t>
  </si>
  <si>
    <t>7475381.0929880,470,601,10</t>
  </si>
  <si>
    <t>7475365.7809430,470,601,10</t>
  </si>
  <si>
    <t>7475361.8656560,470,601,10</t>
  </si>
  <si>
    <t>7475356.3580780,470,601,10</t>
  </si>
  <si>
    <t>7475351.5269220,570,740,99</t>
  </si>
  <si>
    <t>7475359.15295 0,570,740,99</t>
  </si>
  <si>
    <t>7475359.7525670,470,601,10</t>
  </si>
  <si>
    <t>FoFo0,71</t>
  </si>
  <si>
    <t>7475342.8032710,490,621,16</t>
  </si>
  <si>
    <t>7475323.9736490,590,761,04</t>
  </si>
  <si>
    <t>7475320.8973530,590,771,04</t>
  </si>
  <si>
    <t>7475308.04836 0,590,761,04</t>
  </si>
  <si>
    <t>7475328.3040740,490,621,16</t>
  </si>
  <si>
    <t>FoFo0,55</t>
  </si>
  <si>
    <t>7475313.2195410,490,651,18</t>
  </si>
  <si>
    <t>7475268.9147550,600,791,05</t>
  </si>
  <si>
    <t>7475207.11259 0,600,791,05</t>
  </si>
  <si>
    <t>PVE</t>
  </si>
  <si>
    <t>7475192.0343210,600,791,05</t>
  </si>
  <si>
    <t>7474776.8344580,520,521,02</t>
  </si>
  <si>
    <t>7474768.3484070,520,521,02</t>
  </si>
  <si>
    <t>7474724.3243010,520,521,02</t>
  </si>
  <si>
    <t>7474684.0819740,520,521,02</t>
  </si>
  <si>
    <t>7474654.6604250,520,671,02</t>
  </si>
  <si>
    <t>7474644.5440820,520,671,02</t>
  </si>
  <si>
    <t>7474584.03784 0,801,062,30</t>
  </si>
  <si>
    <t>7474577.5995520,460,601,18</t>
  </si>
  <si>
    <t>7473660.7320461,011,353,56</t>
  </si>
  <si>
    <t>7473687.1788690,580,761,04</t>
  </si>
  <si>
    <t>7473695.8407870,680,901,49</t>
  </si>
  <si>
    <t>7473760.7799261,271,695,84</t>
  </si>
  <si>
    <t>7473824.3288441,191,554,31</t>
  </si>
  <si>
    <t>7473894.6230730,750,961,54</t>
  </si>
  <si>
    <t>7473936.8448690,750,961,52</t>
  </si>
  <si>
    <t>ELEV</t>
  </si>
  <si>
    <t>7473982.9543640,740,941,48</t>
  </si>
  <si>
    <t>7475699.1130910,670,881,76</t>
  </si>
  <si>
    <t>7475711.7343840,630,831,52</t>
  </si>
  <si>
    <t>7475713.0229490,520,691,02</t>
  </si>
  <si>
    <t>7475711.7385150,600,791,38</t>
  </si>
  <si>
    <t>7475686.8743940,420,540,61</t>
  </si>
  <si>
    <t>7475671.5173330,420,540,61</t>
  </si>
  <si>
    <t>7475663.1433630,420,540,61</t>
  </si>
  <si>
    <t>7475682.6298470,420,540,61</t>
  </si>
  <si>
    <t>7475702.0136560,420,540,61</t>
  </si>
  <si>
    <t>7475713.6761380,420,540,61</t>
  </si>
  <si>
    <t>7475716.8557740,420,540,61</t>
  </si>
  <si>
    <t>7475719.0933860,420,540,61</t>
  </si>
  <si>
    <t>7475720.7261760,420,540,61</t>
  </si>
  <si>
    <t>7475721.2893540,420,540,61</t>
  </si>
  <si>
    <t>7475719.96314 0,420,540,61</t>
  </si>
  <si>
    <t>7475718.9056150,420,540,61</t>
  </si>
  <si>
    <t>7475717.6098810,420,540,61</t>
  </si>
  <si>
    <t>7475715.97139 0,420,540,61</t>
  </si>
  <si>
    <t>7475713.3443540,420,540,61</t>
  </si>
  <si>
    <t>7475710.0434750,420,540,61</t>
  </si>
  <si>
    <t>73963/003</t>
  </si>
  <si>
    <t>POCO DE VISITA PARA REDE DE ESG. SANIT., EM ANEIS DE CONCRETO, DIÂMETRO = 60CM, PROF = 60CM, INCLUINDO DEGRAU, EXCLUINDO TAMPAO FERRO FUNDIDO.</t>
  </si>
  <si>
    <t>POCO DE VISITA PARA REDE DE ESG. SANIT., EM ANEIS DE CONCRETO, DIÂMETRO = 60CM, PROF = 100CM, EXCLUINDO TAMPAO FERRO FUNDIDO.</t>
  </si>
  <si>
    <t>POCO DE VISITA PARA REDE DE ESG. SANIT., EM ANEIS DE CONCRETO, DIÂMETRO = 60CM E 110CM, PROF = 260CM, EXCLUINDO TAMPAO FERRO FUNDIDO.</t>
  </si>
  <si>
    <t>LOCACAO E NIVELAMENTO DE EMISSARIO/REDE COLETORA COM AUXILIO DE EQUIPAMENTO TOPOGRAFICO</t>
  </si>
  <si>
    <t>PÓRTICO PARA RETIRADA DAS BOMBAS EM PERFIS METÁLICOS, CONFORME PROJETO (ELEVATÓRIA 01)</t>
  </si>
  <si>
    <t>PÓRTICO PARA RETIRADA DAS BOMBAS EM PERFIS METÁLICOS, CONFORME PROJETO- (ELEVATÓRIA 01)</t>
  </si>
  <si>
    <t>FORNECIMENTO E INSTALAÇÃO DA TAMPA  EM  CHAPA DE ALUMÍNIO, NAS DIMENSÕES (90X90)CM</t>
  </si>
  <si>
    <t>FORNECIMENTO E INSTALAÇÃO DA TAMPA  EM  CHAPA DE ALUMÍNIO, NAS DIMENSÕES (170X90)CM</t>
  </si>
  <si>
    <t>BOMBA SUBMERSÍVEL KSB KRT K 150-401/32 6 U ROTOR 375 POTÊNCIA 40 CV, 1160 RPM, OU SIMILAR</t>
  </si>
  <si>
    <t>73834/003</t>
  </si>
  <si>
    <t>INSTALACAO DE CONJ.MOTO BOMBA SUBMERSIVEL DE 26 A 50 CV</t>
  </si>
  <si>
    <t>HASTE DE PROLONGAMENTO COM ROSCAS L=5,65m</t>
  </si>
  <si>
    <t>TUBO PVC PBV SERIE R P/ ESG OU AGUAS PLUVIAIS PREDIAL DN 75MM</t>
  </si>
  <si>
    <t>TUBO PVC PBV SERIE R P/ ESG OU AGUAS PLUVIAIS PREDIAL DN 50MM</t>
  </si>
  <si>
    <t>CURVA 90° F°F° FLANGEADA DN200</t>
  </si>
  <si>
    <t>TUBO F°F° FLANGEADO L=0,63m DN200</t>
  </si>
  <si>
    <t>VÁLVULA DE RETENÇÃO C/ PORTINHOLAS F°F° FF DN200</t>
  </si>
  <si>
    <t>REGISTRO CHATO F°F° FLANGEADO E COM VOLANTE DN200</t>
  </si>
  <si>
    <t>TUBO F°F° FLANGEADO L=0,68m DN200</t>
  </si>
  <si>
    <t>CURVA 45° F°F° FLANGEADA DN200</t>
  </si>
  <si>
    <t>TÊ REDUÇÃO F°F° FLANGEADO DN200X100</t>
  </si>
  <si>
    <t>TUBO F°F° FLANGE PONTA L=0,80m DN200</t>
  </si>
  <si>
    <t>TUBO F°F° FLANGEADO L = 4,38m DN200</t>
  </si>
  <si>
    <t>REDUÇÃO F°F° PONTA E BOLSA JGS DN250X200</t>
  </si>
  <si>
    <t>CURVA 90° F°F° FLANGEADA DN100</t>
  </si>
  <si>
    <t xml:space="preserve">TOCO F°F° FLANGEADO L=0,50m DN100 </t>
  </si>
  <si>
    <t>REGISTRO CHATO F°F° FLANGEADO E COM VOLANTE DN100</t>
  </si>
  <si>
    <t>TUBO F°F° FLANGEADO L = 1,00m DN100</t>
  </si>
  <si>
    <t>COMPORTA CIRCULAR DE SENTIDO DUPLO DN300</t>
  </si>
  <si>
    <t>PEDESTAL DE SUSPENSÃO C/ ENGRENAGENS</t>
  </si>
  <si>
    <t>TUBO DE F°F° COM PONTAS LISAS L=0,30 m DN300</t>
  </si>
  <si>
    <t>03.03.06</t>
  </si>
  <si>
    <t>03.03.07</t>
  </si>
  <si>
    <t>03.03.08</t>
  </si>
  <si>
    <t>03.03.09</t>
  </si>
  <si>
    <t>03.03.10</t>
  </si>
  <si>
    <t>03.03.11</t>
  </si>
  <si>
    <t>04.01.03</t>
  </si>
  <si>
    <t>04.01.04</t>
  </si>
  <si>
    <t>04.01.05</t>
  </si>
  <si>
    <t>04.01.06</t>
  </si>
  <si>
    <t>04.01.07</t>
  </si>
  <si>
    <t>04.01.08</t>
  </si>
  <si>
    <t>04.04.01</t>
  </si>
  <si>
    <t>04.04.02</t>
  </si>
  <si>
    <t>05.01.01</t>
  </si>
  <si>
    <t>05.01.02</t>
  </si>
  <si>
    <t>05.01.03</t>
  </si>
  <si>
    <t>05.01.04</t>
  </si>
  <si>
    <t>05.01.05</t>
  </si>
  <si>
    <t>05.01.06</t>
  </si>
  <si>
    <t>05.01.07</t>
  </si>
  <si>
    <t>05.01.08</t>
  </si>
  <si>
    <t>05.01.09</t>
  </si>
  <si>
    <t>05.02.01</t>
  </si>
  <si>
    <t>05.02.02</t>
  </si>
  <si>
    <t>05.02.03</t>
  </si>
  <si>
    <t>05.03.01</t>
  </si>
  <si>
    <t>05.03.02</t>
  </si>
  <si>
    <t>05.04.01</t>
  </si>
  <si>
    <t>05.04.02</t>
  </si>
  <si>
    <t>05.05.01</t>
  </si>
  <si>
    <t>05.05.02</t>
  </si>
  <si>
    <t>05.05.03</t>
  </si>
  <si>
    <t>05.06.01</t>
  </si>
  <si>
    <t>05.06.02</t>
  </si>
  <si>
    <t>05.06.03</t>
  </si>
  <si>
    <t>05.07.01</t>
  </si>
  <si>
    <t>05.07.02</t>
  </si>
  <si>
    <t>05.07.03</t>
  </si>
  <si>
    <t>05.07.04</t>
  </si>
  <si>
    <t>05.07.05</t>
  </si>
  <si>
    <t>05.08.01</t>
  </si>
  <si>
    <t>05.09.01</t>
  </si>
  <si>
    <t>05.09.02</t>
  </si>
  <si>
    <t>05.09.03</t>
  </si>
  <si>
    <t>05.09.04</t>
  </si>
  <si>
    <t>05.09.05</t>
  </si>
  <si>
    <t>05.09.06</t>
  </si>
  <si>
    <t>05.09.07</t>
  </si>
  <si>
    <t>06.01.01</t>
  </si>
  <si>
    <t>06.01.02</t>
  </si>
  <si>
    <t>06.01.03</t>
  </si>
  <si>
    <t>06.01.04</t>
  </si>
  <si>
    <t>06.02.08</t>
  </si>
  <si>
    <t>06.02.09</t>
  </si>
  <si>
    <t>06.02.10</t>
  </si>
  <si>
    <t>06.02.11</t>
  </si>
  <si>
    <t>06.02.12</t>
  </si>
  <si>
    <t>06.03.01</t>
  </si>
  <si>
    <t>06.03.02</t>
  </si>
  <si>
    <t>06.03.03</t>
  </si>
  <si>
    <t>06.03.04</t>
  </si>
  <si>
    <t>06.03.05</t>
  </si>
  <si>
    <t>06.03.06</t>
  </si>
  <si>
    <t>06.03.07</t>
  </si>
  <si>
    <t>06.03.08</t>
  </si>
  <si>
    <t>06.03.09</t>
  </si>
  <si>
    <t>06.03.10</t>
  </si>
  <si>
    <t>06.04.01</t>
  </si>
  <si>
    <t>06.04.02</t>
  </si>
  <si>
    <t>06.04.03</t>
  </si>
  <si>
    <t>06.04.04</t>
  </si>
  <si>
    <t>06.04.05</t>
  </si>
  <si>
    <t>ESCAVACAO MECANICA DE VALAS (SOLO COM AGUA), PROFUNDIDADE ATE 1,50 M.</t>
  </si>
  <si>
    <t>RETROESCAVADEIRA SOBRE RODAS COM CARREGADEIRA, TRAÇÃO 4X4, POTÊNCIA LÍQ. 72 HP, CAÇAMBA CARREG. CAP. MÍN. 0,79 M3, CAÇAMBA RETRO CAP. 0,18 M3, PESO OPERACIONAL MÍN. 7.140 KG, PROFUNDIDADE ESCAVAÇÃO MÁX. 4,50 M - CHP DIURNO. AF_06/2014</t>
  </si>
  <si>
    <t>TUBO PVC DEFOFO, JEI, 1 MPA, DN 250 MM, PARA REDE DE AGUA (NBR 7665)</t>
  </si>
  <si>
    <t xml:space="preserve">TUBOS DE FERRO FUNDIDO (FOFO) C/ JUNTA ELASTICA - DN 250 </t>
  </si>
  <si>
    <t xml:space="preserve">ASSENTAMENTO TUBO PVC COM JUNTA ELASTICA, DN 250 MM - (OU RPVC, OU PDEFOFO, OU PRFV) </t>
  </si>
  <si>
    <t>ASSENTADOR DE TUBOS COM ENCARGOS COMPLEMENTARES</t>
  </si>
  <si>
    <t>TRANSPORTE DE TUBOS DN 600</t>
  </si>
  <si>
    <t>FORNECIMENTO E INSTALAÇÃO DOS MATERIAIS HIDRÁULICOS DA ELEVATÓRIA 01</t>
  </si>
  <si>
    <t>07</t>
  </si>
  <si>
    <t>07.01.01</t>
  </si>
  <si>
    <t>07.01.02</t>
  </si>
  <si>
    <t>07.01.03</t>
  </si>
  <si>
    <t>07.01.04</t>
  </si>
  <si>
    <t>07.02.01</t>
  </si>
  <si>
    <t>07.02.02</t>
  </si>
  <si>
    <t>07.02.03</t>
  </si>
  <si>
    <t>07.03.01</t>
  </si>
  <si>
    <t>07.04.01</t>
  </si>
  <si>
    <t>07.04.02</t>
  </si>
  <si>
    <t>07.05</t>
  </si>
  <si>
    <t>07.05.01</t>
  </si>
  <si>
    <t>07.05.02</t>
  </si>
  <si>
    <t>07.05.03</t>
  </si>
  <si>
    <t>07.06</t>
  </si>
  <si>
    <t>07.06.01</t>
  </si>
  <si>
    <t>07.06.02</t>
  </si>
  <si>
    <t>07.06.03</t>
  </si>
  <si>
    <t>07.06.04</t>
  </si>
  <si>
    <t>07.08</t>
  </si>
  <si>
    <t>07.07</t>
  </si>
  <si>
    <t>07.07.01</t>
  </si>
  <si>
    <t>07.07.02</t>
  </si>
  <si>
    <t>07.07.03</t>
  </si>
  <si>
    <t>07.07.04</t>
  </si>
  <si>
    <t>07.07.05</t>
  </si>
  <si>
    <t>07.08.01</t>
  </si>
  <si>
    <t>07.08.02</t>
  </si>
  <si>
    <t>07.08.03</t>
  </si>
  <si>
    <t>07.08.04</t>
  </si>
  <si>
    <t>01</t>
  </si>
  <si>
    <t>02</t>
  </si>
  <si>
    <t>03</t>
  </si>
  <si>
    <t>04</t>
  </si>
  <si>
    <t>05</t>
  </si>
  <si>
    <t>06</t>
  </si>
  <si>
    <t>CURVA 45° F°F° BB JE CONFORME NBR 7664 DN250</t>
  </si>
  <si>
    <t>CURVA 90° F°F° BB JE CONFORME NBR 7664 DN250</t>
  </si>
  <si>
    <t>08</t>
  </si>
  <si>
    <t>08.01.01</t>
  </si>
  <si>
    <t>08.01.01.01</t>
  </si>
  <si>
    <t>08.01.01.02</t>
  </si>
  <si>
    <t>08.01.01.03</t>
  </si>
  <si>
    <t>08.01.01.04</t>
  </si>
  <si>
    <t>08.01.02</t>
  </si>
  <si>
    <t>08.01.02.01</t>
  </si>
  <si>
    <t>08.01.02.02</t>
  </si>
  <si>
    <t>08.01.02.03</t>
  </si>
  <si>
    <t>08.01.02.04</t>
  </si>
  <si>
    <t>08.02.01</t>
  </si>
  <si>
    <t>08.02.02</t>
  </si>
  <si>
    <t>08.02.03</t>
  </si>
  <si>
    <t>08.02.04</t>
  </si>
  <si>
    <t>08.02.05</t>
  </si>
  <si>
    <t>08.02.07</t>
  </si>
  <si>
    <t>08.02.08</t>
  </si>
  <si>
    <t>08.02.09</t>
  </si>
  <si>
    <t>08.02.10</t>
  </si>
  <si>
    <t>08.02.11</t>
  </si>
  <si>
    <t>08.02.12</t>
  </si>
  <si>
    <t>08.02.13</t>
  </si>
  <si>
    <t>08.03.01</t>
  </si>
  <si>
    <t>08.03.02</t>
  </si>
  <si>
    <t>08.03.07</t>
  </si>
  <si>
    <t>08.03.09</t>
  </si>
  <si>
    <t>08.03.13</t>
  </si>
  <si>
    <t>08.03.14</t>
  </si>
  <si>
    <t>08.03.15</t>
  </si>
  <si>
    <t>08.03.16</t>
  </si>
  <si>
    <t>08.03.17</t>
  </si>
  <si>
    <t>08.03.18</t>
  </si>
  <si>
    <t>08.03.20</t>
  </si>
  <si>
    <t>08.03.21</t>
  </si>
  <si>
    <t>08.03.22</t>
  </si>
  <si>
    <t>08.03.23</t>
  </si>
  <si>
    <t>08.03.24</t>
  </si>
  <si>
    <t>08.03.25</t>
  </si>
  <si>
    <t>08.03.26</t>
  </si>
  <si>
    <t>08.03.27</t>
  </si>
  <si>
    <t>08.04.01</t>
  </si>
  <si>
    <t>08.04.02</t>
  </si>
  <si>
    <t>08.04.13</t>
  </si>
  <si>
    <t>08.04.14</t>
  </si>
  <si>
    <t>08.04.15</t>
  </si>
  <si>
    <t>08.04.17</t>
  </si>
  <si>
    <t>08.04.18</t>
  </si>
  <si>
    <t>08.04.19</t>
  </si>
  <si>
    <t>08.05.01</t>
  </si>
  <si>
    <t>08.05.02</t>
  </si>
  <si>
    <t>08.05.03</t>
  </si>
  <si>
    <t>08.05.12</t>
  </si>
  <si>
    <t>08.05.13</t>
  </si>
  <si>
    <t>08.05.17</t>
  </si>
  <si>
    <t>08.05.18</t>
  </si>
  <si>
    <t>08.05.19</t>
  </si>
  <si>
    <t>08.06.01</t>
  </si>
  <si>
    <t>08.06.02</t>
  </si>
  <si>
    <t>08.06.03</t>
  </si>
  <si>
    <t>08.06.04</t>
  </si>
  <si>
    <t>08.06.05</t>
  </si>
  <si>
    <t>08.06.06</t>
  </si>
  <si>
    <t>08.06.07</t>
  </si>
  <si>
    <t>08.06.08</t>
  </si>
  <si>
    <t>08.06.09</t>
  </si>
  <si>
    <t>08.06.10</t>
  </si>
  <si>
    <t>08.06.13</t>
  </si>
  <si>
    <t>08.06.14</t>
  </si>
  <si>
    <t>08.06.15</t>
  </si>
  <si>
    <t>08.06.17</t>
  </si>
  <si>
    <t>08.06.18</t>
  </si>
  <si>
    <t>08.07.01</t>
  </si>
  <si>
    <t>08.07.02</t>
  </si>
  <si>
    <t>08.07.07</t>
  </si>
  <si>
    <t>08.07.08</t>
  </si>
  <si>
    <t>08.07.09</t>
  </si>
  <si>
    <t>08.07.10</t>
  </si>
  <si>
    <t>08.07.11</t>
  </si>
  <si>
    <t>08.07.12</t>
  </si>
  <si>
    <t>08.07.13</t>
  </si>
  <si>
    <t>08.07.14</t>
  </si>
  <si>
    <t>08.07.15</t>
  </si>
  <si>
    <t>08.07.16</t>
  </si>
  <si>
    <t>08.07.17</t>
  </si>
  <si>
    <t>08.07.18</t>
  </si>
  <si>
    <t>08.07.19</t>
  </si>
  <si>
    <t>08.07.20</t>
  </si>
  <si>
    <t>08.07.21</t>
  </si>
  <si>
    <t>08.08.01</t>
  </si>
  <si>
    <t>08.08.02</t>
  </si>
  <si>
    <t>08.08.04</t>
  </si>
  <si>
    <t>08.08.05</t>
  </si>
  <si>
    <t>08.08.06</t>
  </si>
  <si>
    <t>08.08.07</t>
  </si>
  <si>
    <t>08.09.01</t>
  </si>
  <si>
    <t>08.09.02</t>
  </si>
  <si>
    <t>08.09.12</t>
  </si>
  <si>
    <t>08.10.01</t>
  </si>
  <si>
    <t>08.10.02</t>
  </si>
  <si>
    <t>08.10.04</t>
  </si>
  <si>
    <t>08.10.05</t>
  </si>
  <si>
    <t>08.10.06</t>
  </si>
  <si>
    <t>08.10.08</t>
  </si>
  <si>
    <t>08.10.09</t>
  </si>
  <si>
    <t>08.11.02</t>
  </si>
  <si>
    <t>08.11.03</t>
  </si>
  <si>
    <t>08.11.04</t>
  </si>
  <si>
    <t>08.11.05</t>
  </si>
  <si>
    <t>08.11.06</t>
  </si>
  <si>
    <t>08.11.07</t>
  </si>
  <si>
    <t>08.11.08</t>
  </si>
  <si>
    <t>08.11.09</t>
  </si>
  <si>
    <t>08.11.10</t>
  </si>
  <si>
    <t>08.11.11</t>
  </si>
  <si>
    <t>08.11.12</t>
  </si>
  <si>
    <t>08.11.13</t>
  </si>
  <si>
    <t>08.11.14</t>
  </si>
  <si>
    <t>corte</t>
  </si>
  <si>
    <t>aterro</t>
  </si>
  <si>
    <t>ESCAVAÇÃO VERTICAL A CÉU ABERTO, INCLUINDO CARGA, DESCARGA E TRANSPORTE, EM SOLO DE 1ª CATEGORIA COM ESCAVADEIRA HIDRÁULICA (CAÇAMBA: 1,2 M³ / 155 HP), FROTA DE 7 CAMINHÕES BASCULANTES DE 14 M³, DMT DE 3 KM E VELOCIDADE MÉDIA 20 KM/H. AF_12/2013</t>
  </si>
  <si>
    <t>TRATAMENTO PRELIMINAR MECANIZADO (UNIDADE COMBINADA)</t>
  </si>
  <si>
    <t>CAÇAMBA ESTACIONÁRIA 3,0m³</t>
  </si>
  <si>
    <t>TÊ DE F°F° COM FLANGES DN300</t>
  </si>
  <si>
    <t>TUBO DE F°F° COM FLANGES LISAS L=0,45m DN300</t>
  </si>
  <si>
    <t>CURVA 90° F°F° COM FLANGES DN300</t>
  </si>
  <si>
    <t>TUBO DE F°F° FLANGE PONTA L=0,20m DN300</t>
  </si>
  <si>
    <t>TUBO DE F°F° PONTA BOLSA L=6,00 m DN100</t>
  </si>
  <si>
    <t>TUBO DE F°F° COM PONTAS LISAS L=1,50 m DN100</t>
  </si>
  <si>
    <t>CURVA 90° F°F° COM BOLSAS DN100</t>
  </si>
  <si>
    <t>TUBO DE F°F° COM PONTAS LISAS L=2,04 m DN100</t>
  </si>
  <si>
    <t>TUBO DE F°F° COM PONTAS LISAS L=0,25 m DN100</t>
  </si>
  <si>
    <t>TUBO DE F°F° COM PONTAS LISAS L=4,70 m DN 100</t>
  </si>
  <si>
    <t>TUBO DE F°F° COM PONTAS LISAS L=1,64 m DN100</t>
  </si>
  <si>
    <t>TUBO DE F°F° COM PONTAS LISAS L=1,90 m DN100</t>
  </si>
  <si>
    <t>TUBO DE F°F° COM PONTAS LISAS L=1,24 m DN100</t>
  </si>
  <si>
    <t>FLANGE CEGO DN600</t>
  </si>
  <si>
    <t>JOELHO 90° EM AÇO CARBONO DN1"</t>
  </si>
  <si>
    <t>TÊ EM AÇO CARBONO DN1"</t>
  </si>
  <si>
    <t>TUBO F°F° PONTA BOLSA DN300</t>
  </si>
  <si>
    <t>CURVA 90° F°F° COM BOLSAS DN300</t>
  </si>
  <si>
    <t>CURVA 45° F°F° COM BOLSAS DN100</t>
  </si>
  <si>
    <t>TUBO DE F°F° COM PONTAS LISAS L=1,75 m DN100</t>
  </si>
  <si>
    <t>CRUZETA DE F°F° COM BOLSAS DN100X100</t>
  </si>
  <si>
    <t>TUBO DE F°F° PONTA FLANGE L=2,75m DN100</t>
  </si>
  <si>
    <t>TÊ DE F°F° COM FLANGES DN100</t>
  </si>
  <si>
    <t>TUBO F°F° COM FLANGES L=0,22 m DN100</t>
  </si>
  <si>
    <t>REGISTRO DE F°F° CHATO COM FLANGES E VOLANTE DN100</t>
  </si>
  <si>
    <t>FLANGE CEGO DE F°F° DN150</t>
  </si>
  <si>
    <t>TÊ DE F°F° COM FLANGES DN150X100</t>
  </si>
  <si>
    <t>TUBO DE F°F° COM FLANGES L=2,36m DN150</t>
  </si>
  <si>
    <t>TUBO DE F°F° FLANGE PONTA L=0,60m DN150</t>
  </si>
  <si>
    <t>CURVA 90° F°F° COM BOLSAS DN150</t>
  </si>
  <si>
    <t>TUBO DE F°F° FLANGE PONTA L=5,00m DN100</t>
  </si>
  <si>
    <t>CAP DE F°F° COM BOLSA DN100</t>
  </si>
  <si>
    <t>TUBO F°F° COM PONTAS LISAS L=0,25 m DN150</t>
  </si>
  <si>
    <t>JOELHO 90° PVC RÍGIDO ROSCÁVEL DN2"</t>
  </si>
  <si>
    <t>EXTREMIDADE FLANGE PONTA COM ABA DE VEDAÇÃO DN600</t>
  </si>
  <si>
    <t>REDUÇÃO CONCÊNTRICA, AÇO CARBONO COM EXTREMIDADES BISELADAS PARA SOLDA DN3"x2"</t>
  </si>
  <si>
    <t>TÊ 90º DE REDUÇÃO, AÇO CARBONO COM EXTREMIDADES BISELADAS PARA SOLDA DN3"x2.1/2"</t>
  </si>
  <si>
    <t>FLANGE COM PESCOÇO AÇO FORJADO DN2.1/2"</t>
  </si>
  <si>
    <t>VÁVULA BORBOLETA TIPO "WAFER" DN3"</t>
  </si>
  <si>
    <t>ABF 10 DN600</t>
  </si>
  <si>
    <t>ABF 10 DN300</t>
  </si>
  <si>
    <t>ABF 10 DN150</t>
  </si>
  <si>
    <t>ABF 10 DN100</t>
  </si>
  <si>
    <t>PARAFUSO PARA FLANGES 16x80mm</t>
  </si>
  <si>
    <t>PARAFUSO PARA FLANGES 27x120mm</t>
  </si>
  <si>
    <t>PEDESTAL DE SUSPENSÃO SIMPLES PARA COMPORTA</t>
  </si>
  <si>
    <t>PARAFUSO PARA FLANGES 20x90mm</t>
  </si>
  <si>
    <t>TUBO DE F°F° PONTA FLANGE L=1,00m DN300</t>
  </si>
  <si>
    <t xml:space="preserve">TÊ DE F°F° COM FLANGES DN300 </t>
  </si>
  <si>
    <t>TÊ DE F°F° COM BOLSAS DN300</t>
  </si>
  <si>
    <t>TUBO DE F°F° PONTA FLANGE L=5,05m DN300</t>
  </si>
  <si>
    <t>TUBO DE F°F° PONTA FLANGE L=3,50m DN300</t>
  </si>
  <si>
    <t>TUBO DE F°F° PONTA BOLSA DN300</t>
  </si>
  <si>
    <t>COMPORTA QUADRADA, SENTIDO DUPLO DE FLUXO DN300</t>
  </si>
  <si>
    <t>HASTE DE PROLONGAMENTO ROSCADA, L=4,10m DN1.1/8"</t>
  </si>
  <si>
    <t>MANCAL INTERMEDIÁRIO PARA HASTES DE PROLONGAMENTO DN1.1/8"</t>
  </si>
  <si>
    <t>TUBO DE F°F° PONTAS LISAS L=3,95m DN300</t>
  </si>
  <si>
    <t>PARAFUSO PARA FLANGES 20x90mm DN300</t>
  </si>
  <si>
    <t>TUBO PVC, FLEXIVEL, CORRUGADO, PERFURADO, DN 110 MM, PARA DRENAGEM, SISTEMA IRRIGACAO</t>
  </si>
  <si>
    <t>TUBO F°F° FLANGE PONTA L=1,00m DN100</t>
  </si>
  <si>
    <t>TUBO FLANGEADO L=1,50m DN100</t>
  </si>
  <si>
    <t>TUBO FLANGEADO L=1,03m DN100</t>
  </si>
  <si>
    <t>VÁLVULA DE RETENÇÃO C/ PORTINHOLAS F°F° DN100</t>
  </si>
  <si>
    <t>JUNTA DE DESMONTAGEM F°F° DN100</t>
  </si>
  <si>
    <t>REGISTRO CHATO F°F° FLAGEADO E COM VOLANTE DN100</t>
  </si>
  <si>
    <t>CURVA 45° F°F° FLANGEADA DN100</t>
  </si>
  <si>
    <t>JUNÇÃO F°F° FLANGEADA DN100</t>
  </si>
  <si>
    <t>TUBO FLANGEADO L=0,44m DN100</t>
  </si>
  <si>
    <t>TÊ F°F° FLANGEADA DN100</t>
  </si>
  <si>
    <t>FLANGE CEGO F°F° DN100</t>
  </si>
  <si>
    <t>TUBO FLANGEADO L=0,48m DN100</t>
  </si>
  <si>
    <t>TUBO F°F° FLANGE PONTA L=1,10m DN100</t>
  </si>
  <si>
    <t>TOCO F°F° FLANGEADO L=0,50m DN100</t>
  </si>
  <si>
    <t>REDUÇÃO CONCÊNTRICA F°F° PONTA BOLSA DN150X100</t>
  </si>
  <si>
    <t>REDUÇÃO F°F° CONCÊNTRICA DN100X80</t>
  </si>
  <si>
    <t>TUBO PVC, FLEXIVEL, CORRUGADO, PERFURADO, DN 110 MM, PARA DRENAGEM</t>
  </si>
  <si>
    <t>TUBO COLETOR DE ESGOTO PVC, JEI, DN 100 MM (NBR 7362)</t>
  </si>
  <si>
    <t>TUBO CONCRETO ARMADO, CLASSE EA-2, PB JE, DN 300 MM, PARA ESGOTO SANITARIO (NBR8890)</t>
  </si>
  <si>
    <t>REGISTRO DE GAVETA CHATO COM FLANGES DN150</t>
  </si>
  <si>
    <t>JUNCAO, PVC, 45 GRAUS, JE, BBB, DN 100 MM, PARA REDE COLETORA DE ESGOTO (NB10569)</t>
  </si>
  <si>
    <t>TUBO F°F° PONTA FLANGE L = 0,50m DN150</t>
  </si>
  <si>
    <t>TUBO F°F° PONTAS LISAS L = 1,00m DN150</t>
  </si>
  <si>
    <t>TUBO DE F°F° FLANGE BOLSA L=0,80 m DN300</t>
  </si>
  <si>
    <t>TÊ F°F° COM FLANGES DN300</t>
  </si>
  <si>
    <t>REGISTRO DE F°F° CHATO COM FLANGES E VOLANTE DN300</t>
  </si>
  <si>
    <t>TUBO DE F°F° FLANGE PONTA L=0,90 m DN300</t>
  </si>
  <si>
    <t>REGISTRO DE F°F° CHATO COM FLANGES E VOLANTE DN150</t>
  </si>
  <si>
    <t>TUBO DE F°F° FLANGE PONTA L=0,80 m DN300</t>
  </si>
  <si>
    <t>TÊ DE F°F° COM FLANGES DN150</t>
  </si>
  <si>
    <t>TUBO DE F°F° FLANGE PONTA L=0,92 m DN150</t>
  </si>
  <si>
    <t>CURVA 45° F°F° COM BOLSAS DN150</t>
  </si>
  <si>
    <t>TUBO PVC DEFOFO, JEI, 1 MPA, DN 300 MM, PARA REDE DE AGUA (NBR 7665)</t>
  </si>
  <si>
    <t>TUBO PVC DEFOFO, JEI, 1 MPA, DN 150 MM, PARA REDEDE AGUA (NBR 7665)</t>
  </si>
  <si>
    <t>TUBO PVC, SOLDAVEL, DN 40 MM, AGUA FRIA (NBR-5648)</t>
  </si>
  <si>
    <t>JOELHO, PVC SERIE R, 90 GRAUS, DN 100 MM, PARA ESGOTO PREDIAL</t>
  </si>
  <si>
    <t>BOLSA DE LIGACAO EM PVC FLEXIVEL PARA VASO SANITARIO 1.1/2 " (40 MM)</t>
  </si>
  <si>
    <t>JOELHO PVC, SOLDAVEL, PB, 90 GRAUS, DN 40 MM, PARA ESGOTO PREDIAL</t>
  </si>
  <si>
    <t>TRATAMENTO PRELIMINAR AOS REATORES UASB</t>
  </si>
  <si>
    <t>REATORES UASB AO FILTRO BIOLÓGICO  PERCOLADOR</t>
  </si>
  <si>
    <t>REATORES UASB AO PV01 (BY PASS DO FILTRO BIOLÓGICO PERCOLADOR)</t>
  </si>
  <si>
    <t>REATORES UASB AOS LEITOS DE SECAGEM</t>
  </si>
  <si>
    <t>FILTRO BIOLÓGICO PERCOLADOR/PV02 AO DECANTADOR SECUNDÁRIO</t>
  </si>
  <si>
    <t>FILTRO BIOLÓGICO PERCOLADOR AO PV04 (BY PASS DO DECANTADOR SECUNDÁRIO)</t>
  </si>
  <si>
    <t>DECANTADOR SECUNDÁRIO AO PV13 (DESCARTE DE LODO)</t>
  </si>
  <si>
    <t>ELEVATÓRIA RECIRCULAÇÃO AO FILTRO BIOLÓGICO PERCOLADOR (RECIRCULAÇÃO)</t>
  </si>
  <si>
    <t>ELEVATÓRIA RECIRCULAÇÃO AO PV03</t>
  </si>
  <si>
    <t>PV01/PV03 AO LANÇAMENTO FINAL</t>
  </si>
  <si>
    <t>UNIDADE DE APOIO AO PV11</t>
  </si>
  <si>
    <t>REATORES UASB AO QUEIMADOR DE GAS</t>
  </si>
  <si>
    <t>PV11 AO LANÇAMENTO NO INTERCEPTOR PROJETADO (PVB08)</t>
  </si>
  <si>
    <t>CURVA 90° F°F° COM FLANGES PN10 DN300</t>
  </si>
  <si>
    <t>CURVA 45° F°F° COM FLANGES PN10  DN300</t>
  </si>
  <si>
    <t>TUBO F°F° COM FLANGES PN10 L=5,80m  DN300</t>
  </si>
  <si>
    <t>TUBO F°F° COM FLANGES PN10 L=1,15m  DN300</t>
  </si>
  <si>
    <t>TUBO F°F° COM FLANGES PN10 L=3,00m  DN300</t>
  </si>
  <si>
    <t>TUBO PVC DEFOFO CONF. NBR 7665  DN300</t>
  </si>
  <si>
    <t>CURVA 90° F°F° COM BOLSAS  DN300</t>
  </si>
  <si>
    <t>TÊ F°F° COM BOLSAS  DN300</t>
  </si>
  <si>
    <t>CURVA 22° F°F° COM BOLSAS  DN300</t>
  </si>
  <si>
    <t>TÊ REDUÇÃO F°F° COM BOLSAS  DN300X150</t>
  </si>
  <si>
    <t>TUBO PVC DEFOFO CONF. NBR 7665 DN150</t>
  </si>
  <si>
    <t>TÊ F°F° COM BOLSAS DN150</t>
  </si>
  <si>
    <t>LUVA F°F° COM BOLSAS  DN300</t>
  </si>
  <si>
    <t>LEITOS DE SECAGEM AO PV11</t>
  </si>
  <si>
    <t>CURVA 90° AÇO CARBONO COM EXTREMIDADES  BISELADAS PARA SOLDA DN1"</t>
  </si>
  <si>
    <t>TÊ REDUÇÃO 90° AÇO CARBONO COM EXTREMIDADES BISELADAS PARA SOLDA DN2"X1"</t>
  </si>
  <si>
    <t>BUCHA REDUÇÃO AÇO CARBONO COM COSTURA sch 40 DN2"X1"</t>
  </si>
  <si>
    <t>CURVA DE PVC 90 GRAUS, SOLDAVEL, 32 MM, PARA AGUA FRIA PREDIAL (NBR 5648</t>
  </si>
  <si>
    <t>CURVA DE PVC 45 GRAUS, SOLDAVEL, 25 MM, PARA AGUA FRIA PREDIAL (NBR 5648)</t>
  </si>
  <si>
    <t>ESCAVACAO MANUAL CAMPO ABERTO P/TUBULAO - FUSTE E/OU BASE (PARA TODAS AS PROFUNDIDADES)</t>
  </si>
  <si>
    <t>ESTACA PRÉ-MOLDADA DE CONCRETO, SEÇÃO QUADRADA, CAPACIDADE DE 25 TONELADAS, COMPRIMENTO TOTAL CRAVADO ATÉ 5M, BATE-ESTACAS POR GRAVIDADE SOBRE ROLOS (EXCLUSIVE MOBILIZAÇÃO E DESMOBILIZAÇÃO). AF_03/2016</t>
  </si>
  <si>
    <t>CONCRETO FCK = 40MPA, TRAÇO 1:1,6:1,9 (CIMENTO/ AREIA MÉDIA/ BRITA 1) - PREPARO MECÂNICO COM BETONEIRA 400 L. AF_07/2016</t>
  </si>
  <si>
    <t>MONTAGEM E DESMONTAGEM DE FÔRMA DE VIGA, ESCORAMENTO COM GARFO DE MADEIRA, PÉ-DIREITO DUPLO, EM CHAPA DE MADEIRA RESINADA, 2 UTILIZAÇÕES. AF_12/2015</t>
  </si>
  <si>
    <t>08.02.06</t>
  </si>
  <si>
    <t>ACO CA-60, 5,0 MM, DOBRADO E CORTADO</t>
  </si>
  <si>
    <t>ESCORAMENTO FORMAS H=3,50 A 4,00 M, COM MADEIRA DE 3A QUALIDADE, NAO APARELHADA, APROVEITAMENTO TABUAS 3X E PRUMOS 4X.</t>
  </si>
  <si>
    <t>04.02.03</t>
  </si>
  <si>
    <t>04.07.01</t>
  </si>
  <si>
    <t>04.07.02</t>
  </si>
  <si>
    <t>BOTAFORA</t>
  </si>
  <si>
    <t>04.08.01</t>
  </si>
  <si>
    <t>04.08.02</t>
  </si>
  <si>
    <t>04.08.03</t>
  </si>
  <si>
    <t>04.08.04</t>
  </si>
  <si>
    <t>04.08.05</t>
  </si>
  <si>
    <t>04.08.06</t>
  </si>
  <si>
    <t>04.08.07</t>
  </si>
  <si>
    <t>05.05.04</t>
  </si>
  <si>
    <t>05.05.05</t>
  </si>
  <si>
    <t>05.06.04</t>
  </si>
  <si>
    <t>05.06.05</t>
  </si>
  <si>
    <t>05.06.06</t>
  </si>
  <si>
    <t>05.06.07</t>
  </si>
  <si>
    <t>05.06.08</t>
  </si>
  <si>
    <t>05.06.09</t>
  </si>
  <si>
    <t>05.06.10</t>
  </si>
  <si>
    <t>05.06.11</t>
  </si>
  <si>
    <t>05.07.06</t>
  </si>
  <si>
    <t>05.07.07</t>
  </si>
  <si>
    <t>05.07.08</t>
  </si>
  <si>
    <t>05.07.09</t>
  </si>
  <si>
    <t>FORNECIMENTO E INSTALAÇÃO DA TAMPA  EM  CHAPA DE ALUMÍNIO, NAS DIMENSÕES (70X70)CM</t>
  </si>
  <si>
    <t>MONTAGEM E DESMONTAGEM DE FÔRMA DE PILARES RETANGULARES E ESTRUTURAS SIMILARES COM ÁREA MÉDIA DAS SEÇÕES MAIOR QUE 0,25 M², PÉ-DIREITO DUPLO , EM CHAPA DE MADEIRA COMPENSADA RESINADA, 2 UTILIZAÇÕES. AF_12/2015</t>
  </si>
  <si>
    <t>ACO CA-50, 12,5 MM, DOBRADO E CORTADO</t>
  </si>
  <si>
    <t>ACO CA-50, 16 MM, DOBRADO E CORTADO</t>
  </si>
  <si>
    <t>ACO CA-50, 6,3 MM, DOBRADO E CORTAD</t>
  </si>
  <si>
    <t>MONTAGEM E DESMONTAGEM DE FÔRMA DE LAJE MACIÇA COM ÁREA MÉDIA MAIOR QUE 20 M², PÉ-DIREITO DUPLO, EM CHAPA DE MADEIRA COMPENSADA RESINADA, 2 UTILIZAÇÕES. AF_12/2015</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</si>
  <si>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</si>
  <si>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EM BETONEIRA. AF_06/2014</t>
  </si>
  <si>
    <t>MASSA ÚNICA, PARA RECEBIMENTO DE PINTURA, EM ARGAMASSA TRAÇO 1:2:8, PREPARO MECÂNICO COM BETONEIRA 400L, APLICADA MANUALMENTE EM FACES INTERNAS DE PAREDES, ESPESSURA DE 10/15MM, COM EXECUÇÃO DE TALISCAS. AF_06/2014</t>
  </si>
  <si>
    <t>CHAPA ACO INOX AISI 304 NUMERO 9 (E = 4 MM), ACABAMENTO NUMERO 1 (LAMINADO AQUENTE, FOSCO)</t>
  </si>
  <si>
    <t>14.04</t>
  </si>
  <si>
    <t>CHUMBADOR OMEGA C/PARAFUSO OM1404 1/4"</t>
  </si>
  <si>
    <t>TELHA DE FIBRA DE VIDRO ONDULADA INCOLOR, E = 0,6 MM, DE *0,50 X 2,44* M</t>
  </si>
  <si>
    <t>PARAFUSO ZINCADO, SEXTAVADO, COM ROSCA INTEIRA, DIAMETRO 1/4", COMPRIMENTO 1/2"</t>
  </si>
  <si>
    <t>TUBO DE F°F° COM PONTAS LISAS L=0,35m DN300</t>
  </si>
  <si>
    <t>TUBO DE F°F° FLANGE PONTA L=1,50 m DN300</t>
  </si>
  <si>
    <t xml:space="preserve">TUBOS DE FERRO FUNDIDO PB JUNTA ELASTICA K7 ESGOTO - DN 150 </t>
  </si>
  <si>
    <t xml:space="preserve">TUBOS DE FERRO FUNDIDO PB JUNTA ELASTICA K7 ESGOTO - DN 250 </t>
  </si>
  <si>
    <t xml:space="preserve">TUBOS DE FERRO FUNDIDO PB JUNTA ELASTICA K7 ESGOTO - DN 200 </t>
  </si>
  <si>
    <t>MEDIDOR DE VAZÃO ELETROMAGNÉTICO DN300</t>
  </si>
  <si>
    <t>CURVA 90° F°F° COM FLANGES PN10 DN100</t>
  </si>
  <si>
    <t>TUBO F°F° COM FLANGES L=0,25m PN10 DN100</t>
  </si>
  <si>
    <t>REGISTRO DE GAVETA F°F° COM FLANGES PN10 DN100</t>
  </si>
  <si>
    <t>TUBO F°F° FLANGE PONTA L=1,00m PN10 DN100</t>
  </si>
  <si>
    <t>GRELHA FOFO ARTICULADA, CARGA MAXIMA 1,5 T, *300 X 1000* MM, E= *15* MM</t>
  </si>
  <si>
    <t>REATERRO MECANIZADO DE VALA COM RETROESCAVADEIRA (CAPACIDADE DA CAÇAMBA DA RETRO: 0,26 M³ / POTÊNCIA: 88 HP), LARGURA DE 0,8 A 1,5 M, PROFUNDIDADE DE 1,5 A 3,0 M, COM SOLO (SEM SUBSTITUIÇÃO) DE 1ª CATEGORIA EM LOCAIS COM BAIXO NÍVEL DE INTERFERÊNCIA. AF_04/2016</t>
  </si>
  <si>
    <t>73964/006</t>
  </si>
  <si>
    <t>REATERRO DE VALA COM COMPACTAÇÃO MANUAL</t>
  </si>
  <si>
    <t>08.05.04</t>
  </si>
  <si>
    <t>74202/002</t>
  </si>
  <si>
    <t>LAJE PRE-MOLDADA P/PISO, SOBRECARGA 200KG/M2, VAOS ATE 3,50M/E=8CM, C/LAJOTAS E CAP.C/CONC FCK=20MPA, 4CM, INTER-EIXO 38CM, C/ESCORAMENTO (REAPR.3X) E FERRAGEM NEGATIVA</t>
  </si>
  <si>
    <t>ALVENARIA DE VEDAÇÃO DE BLOCOS CERÂMICOS FURADOS NA VERTICAL DE 14X19X39CM (ESPESSURA 14CM) DE PAREDES COM ÁREA LÍQUIDA MAIOR OU IGUAL A 6M² SEM VÃOS E ARGAMASSA DE ASSENTAMENTO COM PREPARO MANUAL. AF_06/2014</t>
  </si>
  <si>
    <t>FORNECIMENTO E APLICAÇÃO DO  MATERIAL HIDRÁULICO DOS LEITOS DE SECAGEM</t>
  </si>
  <si>
    <t>TIJOLO CERAMICO MACICO *5 X 10 X 20* CM</t>
  </si>
  <si>
    <t>ASSENTAMENTO DE TIJOLOS MACIÇOS REQUEIMADOS COM JUNTAS DE 3cm COM AREIA</t>
  </si>
  <si>
    <t>AREIA FINA - POSTO JAZIDA/FORNECEDOR (RETIRADO NA JAZIDA, SEM TRANSPORTE)</t>
  </si>
  <si>
    <t>CALCETEIRO</t>
  </si>
  <si>
    <t>SANITIZAÇÃO POR ULTRA VIOLETA</t>
  </si>
  <si>
    <t>PÓRTICO PARA RETIRADA DAS BOMBAS EM PERFIS METÁLICOS, CONFORME PROJETO- (ELEVATÓRIA RECIRCULAÇÃO)</t>
  </si>
  <si>
    <t>BOMBA SUBMERSÍVEL KSB KRT E 80-251 POTÊNCIA 6,50 cv, 1.160 RPM, OU SIMILAR ROTOR ∅270</t>
  </si>
  <si>
    <t>FORNECIMENTO E INSTALAÇÃO DA TAMPA  EM  CHAPA DE ALUMÍNIO, NAS DIMENSÕES (130X90)CM</t>
  </si>
  <si>
    <t>08.07.03</t>
  </si>
  <si>
    <t>PÓRTICO PARA RETIRADA DAS BOMBAS EM PERFIS METÁLICOS, CONFORME PROJETO- (SANITIZAÇÃO)</t>
  </si>
  <si>
    <t>ESTRUTURA METALICA EM TESOURAS OU TRELICAS, VAO LIVRE DE 12M, FORNECIMENTO E MONTAGEM, NAO SENDO CONSIDERADOS OS FECHAMENTOS METALICOS, AS COLUNAS, OS SERVICOS GERAIS EM ALVENARIA E CONCRETO, AS TELHAS DE COBERTURA E A PINTURA DE ACABAMENTO</t>
  </si>
  <si>
    <t>TELHAMENTO COM TELHA DE AÇO/ALUMÍNIO E = 0,5 MM, COM ATÉ 2 ÁGUAS, INCLUSO IÇAMENTO. AF_06/2016</t>
  </si>
  <si>
    <t>TAMPAO FOFO SIMPLES COM BASE, CLASSE D400 CARGA MAX 40 T, REDONDO TAMPA 900 MM, REDE PLUVIAL/ESGOTO</t>
  </si>
  <si>
    <t xml:space="preserve">ESCADA TIPO MARINHEIRO EM ACO CA-50 9,52MM INCLUSO PINTURA COM FUNDO ANTICORROSIVO TIPO ZARCAO </t>
  </si>
  <si>
    <t>CONCRETO FCK = 15MPA, TRAÇO 1:3,4:3,5 (CIMENTO/ AREIA MÉDIA/ BRITA 1)- PREPARO MANUAL. AF_07/2016</t>
  </si>
  <si>
    <t>FORMA TABUA PARA CONCRETO EM FUNDACAO, C/ REAPROVEITAMENTO 2X.</t>
  </si>
  <si>
    <t>CAIXA DE INSPEÇÃO EM ALVENARIA DE TIJOLO MACIÇO 60X60X60CM, REVESTIDA INTERNAMENTO COM BARRA LISA (CIMENTO E AREIA, TRAÇO 1:4) E=2,0CM, COM TAMPA PRÉ-MOLDADA DE CONCRETO E FUNDO DE CONCRETO 15MPA TIPO C - ESCAVAÇÃO E CONFECÇÃO</t>
  </si>
  <si>
    <t>ALVENARIA DE VEDAÇÃO DE BLOCOS CERÂMICOS FURADOS NA VERTICAL DE 19X19X39CM (ESPESSURA 19CM) DE PAREDES COM ÁREA LÍQUIDA MAIOR OU IGUAL A 6M² SEM VÃOS E ARGAMASSA DE ASSENTAMENTO COM PREPARO EM BETONEIRA. AF_06/2014</t>
  </si>
  <si>
    <t>LANÇAMENTO COM USO DE BALDES, ADENSAMENTO E ACABAMENTO DE CONCRETO EM ESTRUTURAS. AF_12/2015</t>
  </si>
  <si>
    <t>REVESTIMENTO CERÂMICO PARA PAREDES INTERNAS COM PLACAS TIPO GRÊS OU SEMI-GRÊS DE DIMENSÕES 20X20 CM APLICADAS EM AMBIENTES DE ÁREA MAIOR QUE 5 M² NA ALTURA INTEIRA DAS PAREDES. AF_06/2014</t>
  </si>
  <si>
    <t>CHAPA DE LAMINADO MELAMINICO, LISO FOSCO, DE *1,25 X 3,08* M, E = 0,8 MM</t>
  </si>
  <si>
    <t>BANCADA/ BANCA EM MARMORE, POLIDO, BRANCO COMUM, E= *3* C</t>
  </si>
  <si>
    <t>FORNECIMENTO E APLICAÇÃO DO MATERIAL HIDRÁULICO DAS INTERLIGAÇÕES DE PROCESSO, DRENAGEM E ÁGUA FRIA</t>
  </si>
  <si>
    <t>AUXILIAR DE ENCANADOR OU BOMBEIRO HIDRÁULICO COM ENCARGOS COMPLEMENTARES</t>
  </si>
  <si>
    <t>ÁGUA FRIA E DRENAGEM</t>
  </si>
  <si>
    <t>TUBO CONCRETO ARMADO, CLASSE PA-1, PB, DN 600 MM, PARA AGUAS PLUVIAIS (NBR 8890)</t>
  </si>
  <si>
    <t>POCO VISITA ESG SANIT ANEL CONC PRE-MOLD PROF=1,20M C/ TAMPAO FOFO ARTICULADO, CLASSE B125 CARGA MAX 12,5 T, REDONDO TAMPA 600 MM, REDE PLUVIAL /ESGOTO / REJUNTAMENTO ANEIS / REVEST LISO CALHA INTERNA C/ARG CIM/AREIA 1:4. BASE/BANQUETA EM CONCR FCK=10MPA</t>
  </si>
  <si>
    <t>POCO VISITA ESG SANIT ANEL CONC PRE-MOLD PROF=1,40M C/ TAMPAO FOFO ARTICULADO, CLASSE B125 CARGA MAX 12,5 T, REDONDO TAMPA 600 MM, REDE PLUVIAL /ESGOTO / REJUNTAMENTO ANEIS / REVEST LISO CALHA INTERNA C/ARG CIM/AREIA 1:4. BASE/BANQUETA EM CONCR FCK=10MPA</t>
  </si>
  <si>
    <t>73963/030</t>
  </si>
  <si>
    <t>POCO VISITA ESG SANIT ANEL CONC PRE-MOLD PROF=1,50M C/ TAMPAO FOFO ARTICULADO, CLASSE B125 CARGA MAX 12,5 T, REDONDO TAMPA 600 MM, REDE PLUVIAL /ESGOTO / REJUNTAMENTO ANEIS / REVEST LISO CALHA INTERNA C/ARG CIM/AREIA 1:4. BASE/BANQUETA EM CONCR FCK=10MPA</t>
  </si>
  <si>
    <t>73963/031</t>
  </si>
  <si>
    <t>POCO VISITA ESG SANIT ANEL CONC PRE-MOLD PROF=1,60M C/ TAMPAO FOFO ARTICULADO, CLASSE B125 CARGA MAX 12,5 T, REDONDO TAMPA 600 MM, REDE PLUVIAL /ESGOTO / REJUNTAMENTO ANEIS / REVEST LISO CALHA INTERNA C/ARG CIM/AREIA 1:4. BASE/BANQUETA EM CONCR FCK=10MPA</t>
  </si>
  <si>
    <t>73963/032</t>
  </si>
  <si>
    <t>POCO VISITA ESG SANIT ANEL CONC PRE-MOLD PROF=1,70M C/ TAMPAO FOFO ARTICULADO, CLASSE B125 CARGA MAX 12,5 T, REDONDO TAMPA 600 MM, REDE PLUVIAL /ESGOTO / REJUNTAMENTO ANEIS / REVEST LISO CALHA INTERNA C/ARG CIM/AREIA 1:4. BASE/BANQUETA EM CONCR FCK=10MPA</t>
  </si>
  <si>
    <t>73963/033</t>
  </si>
  <si>
    <t>POCO VISITA ESG SANIT ANEL CONC PRE-MOLD PROF=2,00M C/ TAMPAO FOFO ARTICULADO, CLASSE B125 CARGA MAX 12,5 T, REDONDO TAMPA 600 MM, REDE PLUVIAL /ESGOTO / REJUNTAMENTO ANEIS / REVEST LISO CALHA INTERNA C/ARG CIM/AREIA 1:4. BASE/BANQUETA EM CONCR FCK=10MPA</t>
  </si>
  <si>
    <t>POCO VISITA ESG SANIT ANEL CONC PRE-MOLD PROF=2,30M C/ TAMPAO FOFO ARTICULADO, CLASSE B125 CARGA MAX 12,5 T, REDONDO TAMPA 600 MM, REDE PLUVIAL /ESGOTO / REJUNTAMENTO ANEIS / REVEST LISO CALHA INTERNA C/ARG CIM/AREIA 1:4. BASE/BANQUETA EM CONCR FCK=10MPA</t>
  </si>
  <si>
    <t>TAMPAO FOFO SIMPLES COM BASE, CLASSE D400 CARGA MAX 40 T, REDONDO TAMPA 600MM, REDE PLUVIAL/ESGOTO</t>
  </si>
  <si>
    <t>05.06.12</t>
  </si>
  <si>
    <t>73963/044</t>
  </si>
  <si>
    <t>POCO VISITA ESG SANIT ANEL CONC PRE-MOLD PROF=0,80M C/ TAMPAO FOFO ARTICULADO, CLASSE B125 CARGA MAX 12,5 T, REDONDO TAMPA 600 MM, REDE PLUVIAL /ESGOTO / REJUNTAMENTO ANEIS / REVEST LISO CALHA INTERNA C/ARG CIM/AREIA 1:4. BASE/BANQUETA EM CONCR FCK=10MPA</t>
  </si>
  <si>
    <t>73963/036</t>
  </si>
  <si>
    <t>BOCA DE LOBO EM ALVENARIA TIJOLO MACICO, REVESTIDA C/ ARGAMASSA DE CIMENTO E AREIA 1:3, SOBRE LASTRO DE CONCRETO 10CM E TAMPA DE CONCRETO ARMADO</t>
  </si>
  <si>
    <t>HIDRÔMETRO DN 20 (½), 3,0 M³/H FORNECIMENTO E INSTALAÇÃO. AF_11/2016</t>
  </si>
  <si>
    <t>REATERRO MECANIZADO DE VALA COM RETROESCAVADEIRA (CAPACIDADE DA CAÇAMBA DA RETRO: 0,26 M³ / POTÊNCIA: 88 HP), LARGURA DE 0,8 A 1,5 M, PROFUNDIDADE ATÉ 1,5 M, COM SOLO (SEM SUBSTITUIÇÃO) DE 1ª CATEGORIA EM LOCAIS COM BAIXO NÍVEL DE INTERFERÊNCIA. AF_04/2016</t>
  </si>
  <si>
    <t>CONSTRUÇÃO DE PAVIMENTO COM APLICAÇÃO DE CONCRETO BETUMINOSO USINADO AQUENTE (CBUQ), CAMADA DE ROLAMENTO, COM ESPESSURA DE 3,0 CM EXCLUSITRANSPORTE. AF_03/2017</t>
  </si>
  <si>
    <t>GUIA (MEIO-FIO) CONCRETO, MOLDADA IN LOCO EM TRECHO RETO COM EXTRUSO RA, 14 CM BASE X 30 CM ALTURA. AF_06/2016</t>
  </si>
  <si>
    <t>EXECUÇÃO DE SARJETA DE CONCRETO USINADO, MOLDADA IN LOCO EM TRECHO CURVO, 45 CM BASE X 15 CM ALTURA. AF_06/2016</t>
  </si>
  <si>
    <t>PORTAO EM TUBO DE ACO GALVANIZADO DIN 2440/NBR 5580, PAINEL UNICO, DIMENSOES 1,0X1,6M, INCLUSIVE CADEADO</t>
  </si>
  <si>
    <t>EXECUÇÃO DE ESCRITÓRIO EM CANTEIRO DE OBRA EM CHAPA DE MADEIRA COMPENSADA, NÃO INCLUSO MOBILIÁRIO E EQUIPAMENTOS. AF_02/2016</t>
  </si>
  <si>
    <t>EXECUÇÃO DE DEPÓSITO EM CANTEIRO DE OBRA EM CHAPA DE MADEIRA COMPENSADA, NÃO INCLUSO MOBILIÁRIO. AF_04/2016</t>
  </si>
  <si>
    <t>ENTRADA PROVISORIA DE ENERGIA ELETRICA AEREA TRIFASICA 40A EM POSTE MADEIRA</t>
  </si>
  <si>
    <t>FOSSA SÉPTICA EM ALVENARIA DE TIJOLO CERÂMICO MACIÇO, DIMENSÕES E AS DE 1,90X1,10X1,40 M, VOLUME DE 1.500 LITROS, REVESTIDO INTERNAMENTE COM MASSA ÚNICA E IMPERMEABILIZANTE E COM TAMPA DE CONCRETO ARMADO COM ESPESSURA DE 8 CM</t>
  </si>
  <si>
    <t>EXECUÇÃO DE REFEITÓRIO EM CANTEIRO DE OBRA EM CHAPA DE MADEIRA COMPENSADA, NÃO INCLUSO MOBILIÁRIO E EQUIPAMENTOS. AF_02/2016</t>
  </si>
  <si>
    <t>EXECUÇÃO DE SANITÁRIO E VESTIÁRIO EM CANTEIRO DE OBRA EM CHAPA DE MADEIRA COMPENSADA, NÃO INCLUSO MOBILIÁRIO. AF_02/2016</t>
  </si>
  <si>
    <t>01.11</t>
  </si>
  <si>
    <t>08.03.03</t>
  </si>
  <si>
    <t>08.03.04</t>
  </si>
  <si>
    <t>08.03.05</t>
  </si>
  <si>
    <t>08.03.06</t>
  </si>
  <si>
    <t>08.03.08</t>
  </si>
  <si>
    <t>08.03.10</t>
  </si>
  <si>
    <t>08.03.11</t>
  </si>
  <si>
    <t>08.03.12</t>
  </si>
  <si>
    <t>08.03.19</t>
  </si>
  <si>
    <t>08.03.28</t>
  </si>
  <si>
    <t>08.03.29</t>
  </si>
  <si>
    <t>08.03.30</t>
  </si>
  <si>
    <t>08.03.31</t>
  </si>
  <si>
    <t>08.04.03</t>
  </si>
  <si>
    <t>08.04.04</t>
  </si>
  <si>
    <t>08.04.05</t>
  </si>
  <si>
    <t>08.04.07</t>
  </si>
  <si>
    <t>08.04.09</t>
  </si>
  <si>
    <t>08.04.10</t>
  </si>
  <si>
    <t>08.04.11</t>
  </si>
  <si>
    <t>08.04.12</t>
  </si>
  <si>
    <t>08.04.16</t>
  </si>
  <si>
    <t>08.04.20</t>
  </si>
  <si>
    <t>08.04.21</t>
  </si>
  <si>
    <t>08.04.22</t>
  </si>
  <si>
    <t>08.04.23</t>
  </si>
  <si>
    <t>08.05.05</t>
  </si>
  <si>
    <t>08.05.06</t>
  </si>
  <si>
    <t>08.05.07</t>
  </si>
  <si>
    <t>08.05.08</t>
  </si>
  <si>
    <t>08.05.09</t>
  </si>
  <si>
    <t>08.05.10</t>
  </si>
  <si>
    <t>08.05.11</t>
  </si>
  <si>
    <t>08.05.14</t>
  </si>
  <si>
    <t>08.05.15</t>
  </si>
  <si>
    <t>08.05.16</t>
  </si>
  <si>
    <t>08.05.20</t>
  </si>
  <si>
    <t>08.05.21</t>
  </si>
  <si>
    <t>08.05.22</t>
  </si>
  <si>
    <t>08.05.23</t>
  </si>
  <si>
    <t>08.05.24</t>
  </si>
  <si>
    <t>08.06.11</t>
  </si>
  <si>
    <t>08.06.12</t>
  </si>
  <si>
    <t>08.06.16</t>
  </si>
  <si>
    <t>08.06.19</t>
  </si>
  <si>
    <t>08.06.20</t>
  </si>
  <si>
    <t>08.06.21</t>
  </si>
  <si>
    <t>08.06.22</t>
  </si>
  <si>
    <t>08.06.23</t>
  </si>
  <si>
    <t>08.07.04</t>
  </si>
  <si>
    <t>08.07.05</t>
  </si>
  <si>
    <t>08.07.06</t>
  </si>
  <si>
    <t>08.08.03</t>
  </si>
  <si>
    <t>08.09.03</t>
  </si>
  <si>
    <t>08.09.04</t>
  </si>
  <si>
    <t>08.09.05</t>
  </si>
  <si>
    <t>08.09.06</t>
  </si>
  <si>
    <t>08.09.07</t>
  </si>
  <si>
    <t>08.09.08</t>
  </si>
  <si>
    <t>08.09.09</t>
  </si>
  <si>
    <t>08.09.10</t>
  </si>
  <si>
    <t>08.09.11</t>
  </si>
  <si>
    <t>08.09.13</t>
  </si>
  <si>
    <t>08.09.14</t>
  </si>
  <si>
    <t>08.09.15</t>
  </si>
  <si>
    <t>08.09.16</t>
  </si>
  <si>
    <t>08.09.17</t>
  </si>
  <si>
    <t>08.09.18</t>
  </si>
  <si>
    <t>08.09.19</t>
  </si>
  <si>
    <t>08.09.20</t>
  </si>
  <si>
    <t>08.09.21</t>
  </si>
  <si>
    <t>08.10.03</t>
  </si>
  <si>
    <t>08.10.07</t>
  </si>
  <si>
    <t>08.10.10</t>
  </si>
  <si>
    <t>08.10.11</t>
  </si>
  <si>
    <t>08.10.12</t>
  </si>
  <si>
    <t>08.10.13</t>
  </si>
  <si>
    <t>08.10.14</t>
  </si>
  <si>
    <t>08.10.15</t>
  </si>
  <si>
    <t>08.10.16</t>
  </si>
  <si>
    <t>08.10.17</t>
  </si>
  <si>
    <t>08.10.18</t>
  </si>
  <si>
    <t>08.10.19</t>
  </si>
  <si>
    <t>08.10.20</t>
  </si>
  <si>
    <t>08.10.21</t>
  </si>
  <si>
    <t>08.10.22</t>
  </si>
  <si>
    <t>08.10.23</t>
  </si>
  <si>
    <t>08.10.24</t>
  </si>
  <si>
    <t>08.10.25</t>
  </si>
  <si>
    <t>08.10.26</t>
  </si>
  <si>
    <t>08.10.27</t>
  </si>
  <si>
    <t>08.11.01</t>
  </si>
  <si>
    <t>08.11.15</t>
  </si>
  <si>
    <t>08.12.02</t>
  </si>
  <si>
    <t>08.12.01</t>
  </si>
  <si>
    <t>08.12.03</t>
  </si>
  <si>
    <t>08.12.04</t>
  </si>
  <si>
    <t>08.12.05</t>
  </si>
  <si>
    <t>08.12.06</t>
  </si>
  <si>
    <t>08.12.07</t>
  </si>
  <si>
    <t>03.04.05</t>
  </si>
  <si>
    <t>REFERENCIAS DE PREÇOS: SINAPI  (INSUMOS E SERVIÇOS C/ DESONERAÇÃO - REF. TÉCNICA: 13/05/2017)</t>
  </si>
  <si>
    <t>20.01</t>
  </si>
  <si>
    <t>20.02</t>
  </si>
  <si>
    <t>20.03</t>
  </si>
  <si>
    <t>20.04</t>
  </si>
  <si>
    <t>20.05</t>
  </si>
  <si>
    <t>20.06</t>
  </si>
  <si>
    <t>FORNECIMENTO E APLICAÇÃO DO MATERIAL HIDRÁULICO DO REATOR UASB</t>
  </si>
  <si>
    <t xml:space="preserve">FORNECIMENTO E APLICAÇÃO DO MATERIAL HIDRÁULICO DO FILTRO PERCOLADOR </t>
  </si>
  <si>
    <t>FORNECIMENTO E APLICAÇÃO DO MATERIAL HIDRÁULICO DO DECANTADOR</t>
  </si>
  <si>
    <t>FORNECIMENTO E APLICAÇÃO DO MATERIAL HIDRÁULICO DA SANITIZAÇÃO</t>
  </si>
  <si>
    <t>TUBO DE PVC PARA REDE COLETORA DE ESGOTO DE PAREDE MACIÇA, DN 250 MM, JUNTA ELÁSTICA, INSTALADO EM LOCAL COM NÍVEL BAIXO DE INTERFERÊNCIAS - FORNECIMENTO E ASSENTAMENTO. AF_06/2015</t>
  </si>
  <si>
    <t>07.08.05</t>
  </si>
  <si>
    <t>07.08.06</t>
  </si>
  <si>
    <t>CE-002</t>
  </si>
  <si>
    <t>08.15</t>
  </si>
  <si>
    <t>08.16</t>
  </si>
  <si>
    <t>08.17</t>
  </si>
  <si>
    <t>08.18</t>
  </si>
  <si>
    <t>08.19</t>
  </si>
  <si>
    <t>08.20</t>
  </si>
  <si>
    <t>08.21</t>
  </si>
  <si>
    <t>08.22</t>
  </si>
  <si>
    <t>08.23</t>
  </si>
  <si>
    <t>09</t>
  </si>
  <si>
    <t>FORNECIMENTO E APLICAÇÃO DOS MATERIAIS HIDRÁULICOS DA ELEVATÓRIA 01</t>
  </si>
  <si>
    <t>FORNECIMENTO E APLICAÇÃO DOS MATERIAIS HIDRÁULICOS DA ELEVATÓRIA FINAL</t>
  </si>
  <si>
    <t>13.03</t>
  </si>
  <si>
    <t>13.04</t>
  </si>
  <si>
    <t>21.01</t>
  </si>
  <si>
    <t>21.02</t>
  </si>
  <si>
    <t>21.03</t>
  </si>
  <si>
    <t>21.04</t>
  </si>
  <si>
    <t>21.05</t>
  </si>
  <si>
    <t>21.06</t>
  </si>
  <si>
    <t>CE-021</t>
  </si>
  <si>
    <t>23.05</t>
  </si>
  <si>
    <t>23.06</t>
  </si>
  <si>
    <t>25.01</t>
  </si>
  <si>
    <t>25.02</t>
  </si>
  <si>
    <t>25.03</t>
  </si>
  <si>
    <t>25.04</t>
  </si>
  <si>
    <t>CE-025</t>
  </si>
  <si>
    <t>FORNECIMENTO E APLICAÇÃO DOS MATERIAIS HIDRÁULICOS DA ELEVATÓRIA DE RECIRCULAÇÃO</t>
  </si>
  <si>
    <t>28.05</t>
  </si>
  <si>
    <t>30.01</t>
  </si>
  <si>
    <t>30.02</t>
  </si>
  <si>
    <t>30.03</t>
  </si>
  <si>
    <t>30.04</t>
  </si>
  <si>
    <t>CE-030</t>
  </si>
  <si>
    <t>CE-033</t>
  </si>
  <si>
    <t>33.01</t>
  </si>
  <si>
    <t>33.02</t>
  </si>
  <si>
    <t>33.03</t>
  </si>
  <si>
    <t>33.04</t>
  </si>
  <si>
    <t>PEDREIRO COM ENCARGOS COMPLEMENTARES</t>
  </si>
  <si>
    <t>FORNECIMENTO E APLICAÇÃO DOS MATERIAIS HIDRÁULICOS DA UNIDADE DE APOIO</t>
  </si>
  <si>
    <t>18.05</t>
  </si>
  <si>
    <t>18.06</t>
  </si>
  <si>
    <t>18.07</t>
  </si>
  <si>
    <t>18.08</t>
  </si>
  <si>
    <t>18.09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</si>
  <si>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</si>
  <si>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</si>
  <si>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</si>
  <si>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</si>
  <si>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</si>
  <si>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</si>
  <si>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</si>
  <si>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</si>
  <si>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</si>
  <si>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</si>
  <si>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</si>
  <si>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</si>
  <si>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</si>
  <si>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</si>
  <si>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</si>
  <si>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</si>
  <si>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</si>
  <si>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</si>
  <si>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</si>
  <si>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</si>
  <si>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</si>
  <si>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</si>
  <si>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</si>
  <si>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22.05</t>
  </si>
  <si>
    <t>22.06</t>
  </si>
  <si>
    <t>08.02.14</t>
  </si>
  <si>
    <t>30.05</t>
  </si>
  <si>
    <t>30.06</t>
  </si>
  <si>
    <t>38.01</t>
  </si>
  <si>
    <t>38.02</t>
  </si>
  <si>
    <t>38.03</t>
  </si>
  <si>
    <t>38.04</t>
  </si>
  <si>
    <t>38.05</t>
  </si>
  <si>
    <t>38.06</t>
  </si>
  <si>
    <t>38.07</t>
  </si>
  <si>
    <t>38.08</t>
  </si>
  <si>
    <t>38.09</t>
  </si>
  <si>
    <t>38.10</t>
  </si>
  <si>
    <t>38.11</t>
  </si>
  <si>
    <t>CE-038</t>
  </si>
  <si>
    <t>39.03</t>
  </si>
  <si>
    <t>39.04</t>
  </si>
  <si>
    <t>40.01</t>
  </si>
  <si>
    <t>40.02</t>
  </si>
  <si>
    <t>40.03</t>
  </si>
  <si>
    <t>40.04</t>
  </si>
  <si>
    <t>CE-040</t>
  </si>
  <si>
    <t>41.01</t>
  </si>
  <si>
    <t>41.02</t>
  </si>
  <si>
    <t>41.03</t>
  </si>
  <si>
    <t>41.04</t>
  </si>
  <si>
    <t>41.05</t>
  </si>
  <si>
    <t>41.06</t>
  </si>
  <si>
    <t>CE-041</t>
  </si>
  <si>
    <t>42.01</t>
  </si>
  <si>
    <t>42.02</t>
  </si>
  <si>
    <t>42.03</t>
  </si>
  <si>
    <t>42.04</t>
  </si>
  <si>
    <t>CE-042</t>
  </si>
  <si>
    <t>43.01</t>
  </si>
  <si>
    <t>43.02</t>
  </si>
  <si>
    <t>43.03</t>
  </si>
  <si>
    <t>43.04</t>
  </si>
  <si>
    <t>CE-043</t>
  </si>
  <si>
    <t>46.03</t>
  </si>
  <si>
    <t>46.04</t>
  </si>
  <si>
    <t>46.05</t>
  </si>
  <si>
    <t>46.06</t>
  </si>
  <si>
    <t>47.05</t>
  </si>
  <si>
    <t>47.06</t>
  </si>
  <si>
    <t>01.01.00</t>
  </si>
  <si>
    <t>ENGENHEIRO OU ARQUITETO /PLENO - DE OBRA</t>
  </si>
  <si>
    <t>MESTRE DE OBRAS</t>
  </si>
  <si>
    <t xml:space="preserve">FEITOR OU ENCARREGADO GERAL </t>
  </si>
  <si>
    <t>FEITOR OU ENCARREGADO DE CONCRETO</t>
  </si>
  <si>
    <t>FEITOR OU ENCARREGADO DE REDES DE ESGOTOS</t>
  </si>
  <si>
    <t xml:space="preserve">SERVENTE </t>
  </si>
  <si>
    <t>01.01.14</t>
  </si>
  <si>
    <t>VIGIA NOTURNO, HORA EFETIVAMENTE TRABALHADA DE 22 H AS 5 H (COM ADICIONAL NOTURNO)</t>
  </si>
  <si>
    <t>01.02.00</t>
  </si>
  <si>
    <t>CAMINHONETE CABINE SIMPLES COM MOTOR 1.6 FLEX, CÂMBIO MANUAL, POTÊNCIA 101/104 CV, 2 PORTAS - MATERIAIS NA OPERAÇÃO. AF_11/2015</t>
  </si>
  <si>
    <t>CAMINHÃO BASCULANTE 6 M3, PESO BRUTO TOTAL 16.000 KG, CARGA ÚTIL MÁXIMA 13.071 KG, DISTÂNCIA ENTRE EIXOS 4,80 M, POTÊNCIA 230 CV INCLUSIVE CAÇAMBA METÁLICA - CHI DIURNO. AF_06/2014</t>
  </si>
  <si>
    <t>CAMINHÃO TOCO, PESO BRUTO TOTAL 14.300 KG, CARGA ÚTIL MÁXIMA 9590 KG, DISTÂNCIA ENTRE EIXOS 4,76 M, POTÊNCIA 185 CV (NÃO INCLUI CARROCERIA) - MANUTENÇÃO. AF_06/2014</t>
  </si>
  <si>
    <t>VIBRADOR DE IMERSÃO, DIÂMETRO DE PONTEIRA 45MM, MOTOR ELÉTRICO TRIFÁSICO POTÊNCIA DE 2 CV - CHP DIURNO. AF_06/2015</t>
  </si>
  <si>
    <t>01.02.08</t>
  </si>
  <si>
    <t>BETONEIRA CAPACIDADE NOMINAL 400 L, CAPACIDADE DE MISTURA 310 L, MOTORA DIESEL POTÊNCIA 5,0 HP, SEM CARREGADOR - DEPRECIAÇÃO. AF_06/2014</t>
  </si>
  <si>
    <t>01.03.00</t>
  </si>
  <si>
    <t>TARIFA DE ENERGIA ELETRICA COMERCIAL, BAIXA TENSAO, RELATIVA AO CONSUMO DE ATE 100 KWH, INCLUINDO ICMS, PIS/PASEP E COFINS</t>
  </si>
  <si>
    <t>CONCRETO FCK = 25MPA, TRAÇO 1:3,4:3,5 (CIMENTO/ AREIA MÉDIA/ BRITA 1) - PREPARO MECÂNICO COM BETONEIRA 400 L. AF_07/2016</t>
  </si>
  <si>
    <t>FORNECIMENTO E LANCAMENTO DE PEDRA DE MAO</t>
  </si>
  <si>
    <t>ESCAVACAO MECANICA DE VALAS (SOLO COM AGUA), ENTRE 1,00 E 3,00 M.</t>
  </si>
  <si>
    <t>FUNDAÇOES E ESTRUTURA</t>
  </si>
  <si>
    <t>ESCAVAÇÕES, EMPRESTIMOS E BOTA FORA</t>
  </si>
  <si>
    <t>ESCAVACAO MECANICA CAMPO ABERTO EM SOLO EXCETO ROCHA ATE 2,00M DE PROFUNDIDADE (EMPRESTIMO)</t>
  </si>
  <si>
    <t>CARGA E DESCARGA MECANIZADAS DE ENTULHO EM CAMINHAO BASCULANTE 6 M3  (EMPRESTIMO)</t>
  </si>
  <si>
    <t>TRANSPORTE COMERCIAL COM CAMINHAO BASCULANTE 6 M3, RODOVIA EM LEITO NATURAL  (EMPRESTIMO)</t>
  </si>
  <si>
    <t>ESCAVACAO MECANICA CAMPO ABERTO EM SOLO EXCETO ROCHA ATE 2,00M DE PROFUNDIDADE (BOTA FORA)</t>
  </si>
  <si>
    <t>CARGA E DESCARGA MECANIZADAS DE ENTULHO EM CAMINHAO BASCULANTE 6 M3 (BOTA FORA)</t>
  </si>
  <si>
    <t>TRANSPORTE COMERCIAL COM CAMINHAO BASCULANTE 6 M3, RODOVIA EM LEITO NATURAL (BOTA FORA)</t>
  </si>
  <si>
    <t>ESPALHAMENTO DE MATERIAL DE 1A CATEGORIA COM TRATOR DE ESTEIRA COM 153 HP (BOTA FORA)</t>
  </si>
  <si>
    <t>FUNDAÇÕES E ESTRUTURA</t>
  </si>
  <si>
    <t>EQUIPAMENTOS, MATERIAIS HIDRÁULICOS E ELÉTRICOS</t>
  </si>
  <si>
    <t>08.02.15</t>
  </si>
  <si>
    <t>ESTACA PRÉ-MOLDADA DE CONCRETO, SEÇÃO QUADRADA, CAPACIDADE DE 50 TONELADAS, COMPRIMENTO TOTAL CRAVADO ACIMA DE 5M ATÉ 12M, BATE-ESTACAS POR GRAVIDADE SOBRE ROLOS (EXCLUSIVE MOBILIZAÇÃO E DESMOBILIZAÇÃO). AF_03/2016</t>
  </si>
  <si>
    <t>um</t>
  </si>
  <si>
    <t xml:space="preserve">CRAVAMENTO DE ESTACAS PRÉ-MOLDADA DE CONCRETO, SEÇÃO QUADRADA, CAPACIDADE DE 25 TONELADAS, COMPRIMENTO TOTAL CRAVADO ATÉ 8,40M, BATE-ESTACAS POR GRAVIDADE SOBRE ROLOS </t>
  </si>
  <si>
    <t>CRAVAMENTO DE ESTACAS PRÉ-MOLDADA DE CONCRETO,  SEÇÃO QUADRADA, CAPACIDADE DE 50 TONELADAS, COMPRIMENTO TOTAL CRAVADO ATÉ 7,70M, BATE-ESTACAS POR GRAVIDADE SOBRE ROLOS</t>
  </si>
  <si>
    <t>CRAVAMENTO DE ESTACAS PRÉ-MOLDADA DE CONCRETO,  SEÇÃO QUADRADA, CAPACIDADE DE 50 TONELADAS, COMPRIMENTO TOTAL CRAVADO ATÉ 8,00M, BATE-ESTACAS POR GRAVIDADE SOBRE ROLOS</t>
  </si>
  <si>
    <t>BLOCO CONCRETO ESTRUTURAL 9 X 19 X 39 CM, FBK 4,5 MPA (NBR 6136)</t>
  </si>
  <si>
    <t>BLOCO CONCRETO ESTRUTURAL 14 X 19 X 34 CM, FBK 4,5 MPA (NBR 6136)</t>
  </si>
  <si>
    <t>MEIO BLOCO CONCRETO ESTRUTURAL 14 X 19 X 19 CM, FBK 14 MPA (NBR 6136)</t>
  </si>
  <si>
    <t>MEIA CANALETA CONCRETO ESTRUTURAL 14 X 19 X 19 CM, FBK 14 MPA (NBR 6136)</t>
  </si>
  <si>
    <t>ACO CA-60, 4,2 MM, DOBRADO E CORTADO</t>
  </si>
  <si>
    <t>ACO CA-60, 5,0 MM, DOBRADO E CORTADO KG CR</t>
  </si>
  <si>
    <t xml:space="preserve">CRAVAMENTO DE ESTACAS PRÉ-MOLDADA DE CONCRETO, SEÇÃO QUADRADA, CAPACIDADE DE 25 TONELADAS, COMPRIMENTO TOTAL CRAVADO ATÉ 5,00M, BATE-ESTACAS POR GRAVIDADE SOBRE ROLOS </t>
  </si>
  <si>
    <t>08.09.22</t>
  </si>
  <si>
    <t>ALVENARIA DE VEDAÇÃO DE BLOCOS VAZADOS DE CONCRETO DE 19X19X39CM ESPESSURA 19CM) DE PAREDES COM ÁREA LÍQUIDA MAIOR OU IGUAL A 6M² SEM VÃOS E ARGAMASSA DE ASSENTAMENTO COM PREPARO EM BETONEIRA. AF_06/2014</t>
  </si>
  <si>
    <t>PORTA EM ALUMÍNIO DE ABRIR TIPO VENEZIANA COM GUARNIÇÃO, FIXAÇÃO COM PARAFUSOS - FORNECIMENTO E INSTALAÇÃO. AF_08/2015</t>
  </si>
  <si>
    <t>TRAMA DE MADEIRA COMPOSTA POR RIPAS, CAIBROS E TERÇAS PARA TELHADOS DE ATÉ 2 ÁGUAS PARA TELHA CERÂMICA CAPA-CANAL, INCLUSO TRANSPORTE VERTICAL. AF_12/2015</t>
  </si>
  <si>
    <t>TELHAMENTO COM TELHA CERÂMICA CAPA-CANAL, TIPO COLONIAL, COM ATÉ 2 ÁGUAS, INCLUSO TRANSPORTE VERTICAL. AF_06/2016</t>
  </si>
  <si>
    <t>ABRIGO PARA OS QCM'S DA ELEVATÓRIA DE RECIRCULAÇÃO</t>
  </si>
  <si>
    <t>CAMINHÃO TOCO, PBT 16.000 KG, CARGA ÚTIL MÁX. 10.685 KG, DIST. ENTRE EIXOS 4,8 M, POTÊNCIA 189 CV, INCLUSIVE CARROCERIA FIXA ABERTA DE MADEIRA P/ TRANSPORTE GERAL DE CARGA SECA, DIMEN. APROX. 2,5 X 7,00 X 0,50M - CHP DIURNO. AF_06/2014*</t>
  </si>
  <si>
    <t>MOTORISTA DE VEÍCULO PESADO COM ENCARGOS COMPLEMENTARES*</t>
  </si>
  <si>
    <t>GUINDASTE HIDRÁULICO AUTOPROPELIDO, COM LANÇA TELESCÓPICA 28,80 M, CAPACIDADE MÁXIMA 30 T, POTÊNCIA 97 KW, TRAÇÃO 4 X 4 - CHP DIURNO. AF2014*</t>
  </si>
  <si>
    <t>OPERADOR DE GUINDASTE COM ENCARGOS COMPLEMENTARES*</t>
  </si>
  <si>
    <t>ESTACA PRÉ-MOLDADA DE CONCRETO, SEÇÃO QUADRADA, CAPACIDADE DE 50 TONELADAS, COMPRIMENTO TOTAL CRAVADO ACIMA DE 5M ATÉ 12M, BATE-ESTACAS POR GRAVIDADE SOBRE ROLOS (EXCLUSIVE MOBILIZAÇÃO E DESMOBILIZAÇÃO). AF_03/2016*</t>
  </si>
  <si>
    <t>SERVENTE COM ENCARGOS COMPLEMENTARES (ESCAVAÇÃO MANUAL)*</t>
  </si>
  <si>
    <t>JANELA DE ALUMÍNIO DE CORRER, 2 FOLHAS, FIXAÇÃO COM PARAFUSO, VEDAÇÃO COM ESPUMA EXPANSIVA PU, COM VIDROS, PADRONIZADA. AF_07/2016</t>
  </si>
  <si>
    <t>ESPUMA EXPANSIVA DE POLIURETANO, APLICACAO MANUAL - 500 ML</t>
  </si>
  <si>
    <t>REF. CRAVAMENTO DE ESTACAS (*)</t>
  </si>
  <si>
    <t>03.02.12</t>
  </si>
  <si>
    <t>03.04.06</t>
  </si>
  <si>
    <t>03.04.07</t>
  </si>
  <si>
    <t>03.04.08</t>
  </si>
  <si>
    <t>03.04.09</t>
  </si>
  <si>
    <t>03.04.10</t>
  </si>
  <si>
    <t>03.04.11</t>
  </si>
  <si>
    <t>03.04.12</t>
  </si>
  <si>
    <t>03.04.13</t>
  </si>
  <si>
    <t>03.05.01</t>
  </si>
  <si>
    <t>03.05.02</t>
  </si>
  <si>
    <t>03.05.03</t>
  </si>
  <si>
    <t>03.05.04</t>
  </si>
  <si>
    <t>03.05.05</t>
  </si>
  <si>
    <t>06.02.01</t>
  </si>
  <si>
    <t>06.02.02</t>
  </si>
  <si>
    <t>06.02.03</t>
  </si>
  <si>
    <t>06.02.04</t>
  </si>
  <si>
    <t>06.02.05</t>
  </si>
  <si>
    <t>06.02.06</t>
  </si>
  <si>
    <t>06.02.07</t>
  </si>
  <si>
    <t>06.04.06</t>
  </si>
  <si>
    <t>06.04.07</t>
  </si>
  <si>
    <t>06.04.08</t>
  </si>
  <si>
    <t>06.04.09</t>
  </si>
  <si>
    <t>06.04.10</t>
  </si>
  <si>
    <t>06.04.11</t>
  </si>
  <si>
    <t>06.04.12</t>
  </si>
  <si>
    <t>06.04.13</t>
  </si>
  <si>
    <t>06.04.14</t>
  </si>
  <si>
    <t>06.05</t>
  </si>
  <si>
    <t>06.05.01</t>
  </si>
  <si>
    <t>06.05.02</t>
  </si>
  <si>
    <t>06.05.03</t>
  </si>
  <si>
    <t>06.05.04</t>
  </si>
  <si>
    <t>06.05.05</t>
  </si>
  <si>
    <t>08.04.06</t>
  </si>
  <si>
    <t>08.04.08</t>
  </si>
  <si>
    <t>04.09</t>
  </si>
  <si>
    <t>04.10</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</si>
  <si>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</si>
  <si>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</si>
  <si>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</si>
  <si>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</si>
  <si>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</si>
  <si>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</si>
  <si>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</si>
  <si>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</si>
  <si>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</si>
  <si>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</si>
  <si>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</si>
  <si>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</si>
  <si>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</si>
  <si>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</si>
  <si>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</si>
  <si>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</si>
  <si>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</si>
  <si>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</si>
  <si>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</si>
  <si>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</si>
  <si>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</si>
  <si>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</si>
  <si>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</si>
  <si>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11.06</t>
  </si>
  <si>
    <t>11.07</t>
  </si>
  <si>
    <t>11.08</t>
  </si>
  <si>
    <t>13.05</t>
  </si>
  <si>
    <t>13.06</t>
  </si>
  <si>
    <t>13.07</t>
  </si>
  <si>
    <t>13.08</t>
  </si>
  <si>
    <t>13.09</t>
  </si>
  <si>
    <t>13.10</t>
  </si>
  <si>
    <t>16.01</t>
  </si>
  <si>
    <t>16.02</t>
  </si>
  <si>
    <t>16.03</t>
  </si>
  <si>
    <t>16.04</t>
  </si>
  <si>
    <t>CE-017</t>
  </si>
  <si>
    <t>31.05</t>
  </si>
  <si>
    <t>31.06</t>
  </si>
  <si>
    <t>34.05</t>
  </si>
  <si>
    <t>34.06</t>
  </si>
  <si>
    <t>38.12</t>
  </si>
  <si>
    <t>38.13</t>
  </si>
  <si>
    <t>38.14</t>
  </si>
  <si>
    <t>38.15</t>
  </si>
  <si>
    <t>38.16</t>
  </si>
  <si>
    <t>38.17</t>
  </si>
  <si>
    <t>38.18</t>
  </si>
  <si>
    <t>38.19</t>
  </si>
  <si>
    <t>38.20</t>
  </si>
  <si>
    <t>38.21</t>
  </si>
  <si>
    <t>38.22</t>
  </si>
  <si>
    <t>39.05</t>
  </si>
  <si>
    <t>40.05</t>
  </si>
  <si>
    <t>48.01</t>
  </si>
  <si>
    <t>48.02</t>
  </si>
  <si>
    <t>48.03</t>
  </si>
  <si>
    <t>48.04</t>
  </si>
  <si>
    <t>CE-048</t>
  </si>
  <si>
    <t>49.01</t>
  </si>
  <si>
    <t>49.02</t>
  </si>
  <si>
    <t>49.03</t>
  </si>
  <si>
    <t>49.04</t>
  </si>
  <si>
    <t>49.05</t>
  </si>
  <si>
    <t>49.06</t>
  </si>
  <si>
    <t>49.07</t>
  </si>
  <si>
    <t>49.08</t>
  </si>
  <si>
    <t>49.09</t>
  </si>
  <si>
    <t>CE-049</t>
  </si>
  <si>
    <t>50.01</t>
  </si>
  <si>
    <t>50.02</t>
  </si>
  <si>
    <t>50.03</t>
  </si>
  <si>
    <t>50.04</t>
  </si>
  <si>
    <t>LOCACAO DE TEODOLITO ELETRONICO, PRECISAO ANGULAR DE 5 A 7 SEGUNDOS, INCLUINDO TRIPE</t>
  </si>
  <si>
    <t>LOCACAO DE NIVEL OPTICO, COM PRECISAO DE 0,7 MM, AUMENTO DE 32X</t>
  </si>
  <si>
    <t>TUBO ACO GALVANIZADO COM COSTURA, CLASSE LEVE, DN 25 MM ( 1"), E = 2,65 MM, *2,11*KG/M (NBR 5580)</t>
  </si>
  <si>
    <t>TUBO DE POLIETILENO DE ALTA DENSIDADE, PEAD, PE-80, DE= 75 MM X 6,9 MM PAREDE, SRD 11 - PN 12,5 ) PARA REDE DE AGUA OU ESGOTO (NBR 15561)</t>
  </si>
  <si>
    <t>TUBO COLETOR DE ESGOTO, PVC, JEI, DN 150 MM (NBR 7362)</t>
  </si>
  <si>
    <t>TUBO PVC, ROSCAVEL, 2", PARA AGUA FRIA PREDIAL</t>
  </si>
  <si>
    <t>REGISTRO DE ESFERA, PVC, COM VOLANTE, VS, ROSCAVEL, DN 2", COM CORPO DIVIDIDO</t>
  </si>
  <si>
    <t>VALVULA DE ESFERA BRUTA EM BRONZE, BITOLA 1 " (REF 1552-B)</t>
  </si>
  <si>
    <t>VALVULA DE RETENCAO HORIZONTAL, DE BRONZE (PN-25), 2 1/2", 400 PSI, TAMPA DE PORCA DE UNIAO, EXTREMIDADES COM ROSCA</t>
  </si>
  <si>
    <t>BACIA SANITARIA (VASO) CONVENCIONAL DE LOUCA BRANCA</t>
  </si>
  <si>
    <t>JOELHO, PVC SERIE R, 90 GRAUS, DN 50 MM, PARA ESGOTO PREDIAL</t>
  </si>
  <si>
    <t>LAVATORIO LOUCA COR SUSPENSO *40 X 30</t>
  </si>
  <si>
    <t>PARAFUSO DE LATAO COM ACABAMENTO CROMADO PARA FIXAR PECA SANITARIA, INCLUI PORCA CEGA, ARRUELA E BUCHA DE NYLON TAMANHO S-10</t>
  </si>
  <si>
    <t>CAIXA D'AGUA FIBRA DE VIDRO PARA 1000 LITROS, COM TAMPA</t>
  </si>
  <si>
    <t>QUADRO DE DISTRIBUICAO SEM BARRAMENTO, COM PORTA, DE EMBUTIR, EM CHAPA DE ACO GALVANIZADO, PARA 3 DISJUNTORES NEMA</t>
  </si>
  <si>
    <t>FECHADURA DE EMBUTIR PARA PORTA EXTERNA / ENTRADA, MAQUINA 40 MM, COM CILINDRO, MACANETA ALAVANCA E ESPELHO EM METAL CROMADO - NIVEL SEGURANCA MEDIO - COMPLETA</t>
  </si>
  <si>
    <t>FECHADURA DE EMBUTIR PARA PORTA DE BANHEIRO, TIPO TRANQUETA, MAQUINA 40 MM, MACANETAS ALAVANCA E ROSETAS REDONDAS EM METAL CROMADO - NIVEL SEGURANCA MEDIO - COMPLETA</t>
  </si>
  <si>
    <t>TORNEIRA METALICA DE BOIA CONVENCIONAL PARA CAIXA D'AGUA, 3/4 ", COM HASTE METALICA E BALAO METALICO</t>
  </si>
  <si>
    <t>TUBO PVC SERIE NORMAL, DN 75 MM, PARA ESGOTO PREDIAL (NBR 56</t>
  </si>
  <si>
    <t>TUBO PVC SERIE NORMAL, DN 50 MM, PARA ESGOTO PREDIAL (NBR 5688)</t>
  </si>
  <si>
    <t>TUBO PVC SERIE NORMAL, DN 40 MM, PARA ESGOTO PREDIAL (NBR 5688)</t>
  </si>
  <si>
    <t>JOELHO PVC, SOLDAVEL, BB, 45 GRAUS, DN 40 MM, PARA ESGOTO PREDIAL</t>
  </si>
  <si>
    <t>JUNCAO SIMPLES, PVC, DN 50 X 50 MM, SERIE NORMAL PARA ESGOTO PREDIAL</t>
  </si>
  <si>
    <t>JUNCAO SIMPLES, PVC, DN 75 X 75 MM, SERIE NORMAL PARA ESGOTO PREDIAL</t>
  </si>
  <si>
    <t>TE SANITARIO, PVC, DN 50 X 50 MM, SERIE NORMAL, PARA ESGOTO PREDIAL</t>
  </si>
  <si>
    <t>CAIXA SIFONADA PVC, 150 X 185 X 75 MM, COM GRELHA QUADRADA BRANCA</t>
  </si>
  <si>
    <t>CAIXA SIFONADA PVC, 150 X 185 X 75 MM, COM TAMPA CEGA QUADRADA BRANCA</t>
  </si>
  <si>
    <t>CAIXA SIFONADA PVC, 100 X 100 X 50 MM, COM GRELHA REDONDA BRANCA</t>
  </si>
  <si>
    <t>TUBO PVC, SOLDAVEL, DN 32 MM, AGUA FRIA (NBR-5648)</t>
  </si>
  <si>
    <t>TUBO PVC, SOLDAVEL, DN 25 MM, AGUA FRIA (NBR-5648)</t>
  </si>
  <si>
    <t>TUBO PVC, SOLDAVEL, DN 20 MM, AGUA FRIA (NBR-5648)</t>
  </si>
  <si>
    <t>JOELHO PVC, SOLDAVEL, 90 GRAUS, 40 MM, PARA AGUA FRIA PREDIAL</t>
  </si>
  <si>
    <t>TE SOLDAVEL, PVC, 90 GRAUS, 32 MM, PARA AGUA FRIA PREDIAL (NBR 5648)</t>
  </si>
  <si>
    <t>BUCHA DE REDUCAO DE PVC, SOLDAVEL, CURTA, COM 32 X 25 MM, PARA AGUA FRIA PREDIAL</t>
  </si>
  <si>
    <t>BUCHA DE REDUCAO DE PVC, SOLDAVEL, CURTA, COM 25 X 20 MM, PARA AGUA FRIA PREDIAL</t>
  </si>
  <si>
    <t>TE DE REDUCAO, PVC, SOLDAVEL, 90 GRAUS, 25 MM X 20 MM, PARA AGUA FRIA PREDIAL</t>
  </si>
  <si>
    <t>JOELHO PVC, SOLDAVEL, 90 GRAUS, 32 MM, PARA AGUA FRIA PREDIAL</t>
  </si>
  <si>
    <t>JOELHO PVC, SOLDAVEL, 90 GRAUS, 20 MM, PARA AGUA FRIA PREDIAL</t>
  </si>
  <si>
    <t>UNIAO PVC, SOLDAVEL, 32 MM, PARA AGUA FRIA PREDIAL</t>
  </si>
  <si>
    <t>JOELHO PVC, SOLDAVEL, COM BUCHA DE LATAO, 90 GRAUS, 20 MM X 1/2", PARA AGUA FRIA PREDIAL</t>
  </si>
  <si>
    <t>JOELHO PVC, SOLDAVEL, COM BUCHA DE LATAO, 90 GRAUS, 25 MM X 3/4", PARA AGUA PREDIAL</t>
  </si>
  <si>
    <t>ADAPTADOR PVC SOLDAVEL CURTO COM BOLSA E ROSCA, 32 MM X 1", PARA AGUA FRIA</t>
  </si>
  <si>
    <t>ADAPTADOR PVC SOLDAVEL CURTO COM BOLSA E ROSCA, 25 MM X 3/4", PARA AGUA FRIA</t>
  </si>
  <si>
    <t>REGISTRO PRESSAO COM ACABAMENTO E CANOPLA CROMADA, SIMPLES, BITOLA 1/2 " (REF1416)</t>
  </si>
  <si>
    <t>REGISTRO GAVETA COM ACABAMENTO E CANOPLA CROMADOS, SIMPLES, BITOLA 1 " (REF1509)</t>
  </si>
  <si>
    <t>LUVA SOLDAVEL COM BUCHA DE LATAO, PVC, 25 MM X 1/2"</t>
  </si>
  <si>
    <t>ADAPTADOR PVC SOLDAVEL, COM FLANGE E ANEL DE VEDACAO, 40 MM X 1 1/4", PARA CAIXA D'AGUA</t>
  </si>
  <si>
    <t>ADAPTADOR PVC SOLDAVEL, COM FLANGE E ANEL DE VEDACAO, 32 MM X 1", PARA CAIXA D'AGUA</t>
  </si>
  <si>
    <t>ADAPTADOR PVC SOLDAVEL, COM FLANGE E ANEL DE VEDACAO, 25 MM X 3/4", PARA CAIXA D'AGUA</t>
  </si>
  <si>
    <t>JOELHO, PVC SOLDAVEL, 45 GRAUS, 25 MM, PARA AGUA FRIA PREDIAL</t>
  </si>
  <si>
    <t>TE SOLDAVEL, PVC, 90 GRAUS, 40 MM, PARA AGUA FRIA PREDIAL (NBR 5648)</t>
  </si>
  <si>
    <t>REGISTRO GAVETA COM ACABAMENTO E CANOPLA CROMADOS, SIMPLES, BITOLA 3/4 " (REF 1509)</t>
  </si>
  <si>
    <t>REGISTRO GAVETA COM ACABAMENTO E CANOPLA CROMADOS, SIMPLES, BITOLA 1 1/4" (REF 1509)</t>
  </si>
  <si>
    <t>ADAPTADOR PVC SOLDAVEL CURTO COM BOLSA E ROSCA, 40 MM X 1 1/4", PARA AGUA FRIA</t>
  </si>
  <si>
    <t>LUVA SOLDAVEL COM BUCHA DE LATAO, PVC, 20 MM X 1/2"</t>
  </si>
  <si>
    <t>TE SOLDAVEL, PVC, 90 GRAUS, 25 MM, PARA AGUA FRIA PREDIAL (NBR 5648</t>
  </si>
  <si>
    <t>TORNEIRA METALICA DE BOIA CONVENCIONAL PARA CAIXA D'AGUA, 3/4 ", COM HASTEMETALICA E BALAO METALICO</t>
  </si>
  <si>
    <t>JOELHO, PVC SOLDAVEL, 45 GRAUS, 20 MM, PARA AGUA FRIA PREDIAL</t>
  </si>
  <si>
    <t>ADAPTADOR PVC SOLDAVEL CURTO COM BOLSA E ROSCA, 20 MM X 1/2", PARA AGUA FRIA</t>
  </si>
  <si>
    <t>LUVA PVC SOLDAVEL, 20 MM, PARA AGUA FRIA PREDIAL</t>
  </si>
  <si>
    <t>UNIAO PVC, SOLDAVEL, 25 MM, PARA AGUA FRIA PREDIAL</t>
  </si>
  <si>
    <t>UNIAO PVC, SOLDAVEL, 20 MM, PARA AGUA FRIA PREDIAL</t>
  </si>
  <si>
    <t>TE PVC, SOLDAVEL, COM ROSCA NA BOLSA CENTRAL, 90 GRAUS, 32 MM X 3/4", PARA AGUA FRIA PREDIAL</t>
  </si>
  <si>
    <t>CURVA PVC CURTA 90 GRAUS, 100 MM, PARA ESGOTO PREDIAL</t>
  </si>
  <si>
    <t>VEDACAO PVC, 100 MM, PARA SAIDA VASO SANITARIO</t>
  </si>
  <si>
    <t>TERMINAL DE VENTILACAO, 50 MM, SERIE NORMAL, ESGOTO PREDIAL</t>
  </si>
  <si>
    <t>LUVA DE CORRER, PVC, DN 50 MM, PARA ESGOTO PREDIAL</t>
  </si>
  <si>
    <t>RALO SECO PVC CONICO, 100 X 40 MM, COM GRELHA QUADRADA</t>
  </si>
  <si>
    <t>LUVA DE CORRER, PVC, DN 75 MM, PARA ESGOTO PREDIAL</t>
  </si>
  <si>
    <t>LUVA DE CORRER, PVC, DN 100 MM, PARA ESGOTO PREDIAL</t>
  </si>
  <si>
    <t>SIFAO PLASTICO TIPO COPO PARA PIA AMERICANA 1.1/2 X 1.1/2 "</t>
  </si>
  <si>
    <t>BUCHA DE REDUCAO DE PVC, SOLDAVEL, CURTA, COM 50 X 40 MM, PARA AGUA FRIA PREDIAL</t>
  </si>
  <si>
    <t>TE SANITARIO, PVC, DN 100 X 100 MM, SERIE NORMAL, PARA ESGOTO PREDIAL</t>
  </si>
  <si>
    <t>CAP PVC, SERIE R, DN 100 MM, PARA ESGOTO PREDIAL</t>
  </si>
  <si>
    <t>CURVA PVC LONGA 90 GRAUS, 100 MM, PARA ESGOTO PREDIAL</t>
  </si>
  <si>
    <t>BRACO OU HASTE COM CANOPLA PLASTICA, 1/2 ", PARA CHUVEIRO ELETRICO</t>
  </si>
  <si>
    <t>CHUVEIRO COMUM EM PLASTICO CROMADO, COM CANO, 4 TEMPERATURAS (110/220 V)</t>
  </si>
  <si>
    <t>MICTORIO SIFONADO LOUCA BRANCA SEM COMPLEMENTOS</t>
  </si>
  <si>
    <t>TUBO COLETOR DE ESGOTO PVC, JEI, DN 300 MM (NBR 7362)</t>
  </si>
  <si>
    <t>CURVA LONGA PVC, PB, JE, 45 GRAUS, DN 100 MM, PARA REDE COLETORA ESGOTO (NBR 10569)</t>
  </si>
  <si>
    <t>TUBO ACO PRETO SEM COSTURA 2", E= *3,91* MM, SCHEDULE 40, *5,43* KG/M</t>
  </si>
  <si>
    <t>TUBO ACO GALVANIZADO COM COSTURA, CLASSE MEDIA, DN 1", E = 3,38 MM, PESO 2,50KG/M (NBR 5580)</t>
  </si>
  <si>
    <t>REGISTRO DE GAVETA F°F° COM FLANGES PN10 D200</t>
  </si>
  <si>
    <t>TUBO F°F° COM FLANGES L=0,25m PN10 DN200</t>
  </si>
  <si>
    <t>TÊ F°F° REDUÇÃO COM FLANGES PN10 DN200X100</t>
  </si>
  <si>
    <t>DESINFECTOR POR UV BERSON INLINE 1250 WWS DA GERMETEC OU SIMILAR</t>
  </si>
  <si>
    <t>TUBO F°F° FLANGE BOLSA L=1,00m PN10 DN300</t>
  </si>
  <si>
    <t>TUBO F°F° FLANGE PONTA L=1,00m PN10 DN200</t>
  </si>
  <si>
    <t>REDUÇÃO FºFº CONCÊNTRICA PN10 DN300X200</t>
  </si>
  <si>
    <t>SET/2017</t>
  </si>
  <si>
    <t>VÁLVULA CORTA CHAMAS DN3"</t>
  </si>
  <si>
    <t>74010/001</t>
  </si>
  <si>
    <t>CARGA E DESCARGA MECANICA DE SOLO UTILIZANDO CAMINHAO BASCULANTE 5,0M3/ 11T E PA CARREGADEIRA SOBRE PNEUS * 105 HP * CAP. 1,72M3</t>
  </si>
  <si>
    <t>74153/001</t>
  </si>
  <si>
    <t>ESPALHAMENTO MECANIZADO (COM MOTONIVELADORA 140 HP) MATERIAL 1A. CATEGORIA</t>
  </si>
  <si>
    <t>74166/002</t>
  </si>
  <si>
    <t>CAIXA DE INSPECAO EM ANEL DE CONCRETO PRE MOLDADO, COM 950MM DE ALTURA TOTAL. ANEIS COM ESP=50MM, DIAM.=600MM. EXCLUSIVE TAMPAO E ESCAVACAO- FORNECIMENTO E INSTALACAO</t>
  </si>
  <si>
    <t>TAMPAO FOFO ARTICULADO 83KG CARGA MAX 30000KG DIAM ABERT 600MM P/ POCO VISITA DE REDE AGUA PLUVIAL, ESGOTO ETC</t>
  </si>
  <si>
    <t>CONCRETO FCK = 15MPA, TRAÇO 1:3,4:3,5 (CIMENTO/ AREIA MÉDIA/ BRITA 1) - PREPARO MECÂNICO COM BETONEIRA 400 L. AF_07/2016</t>
  </si>
  <si>
    <t>73902/001</t>
  </si>
  <si>
    <t>CAMADA DRENANTE COM BRITA NUM 3</t>
  </si>
  <si>
    <t>51.01</t>
  </si>
  <si>
    <t>51.02</t>
  </si>
  <si>
    <t>51.03</t>
  </si>
  <si>
    <t>51.04</t>
  </si>
  <si>
    <t>CE-050</t>
  </si>
  <si>
    <t>CAIXA PARA PROTEÇÃO DE REGISTRO DE DESCARGA</t>
  </si>
  <si>
    <t>FORNECIMENTO E APLICAÇÃO DOS MATERIAIS DO REGISTRO DE DESCARGA</t>
  </si>
  <si>
    <t>TÊ REDUÇÃO F°F° COM BOLSAS SAÍDA CENTRAL FLANGE DN250X100</t>
  </si>
  <si>
    <t>REGISTRO CHATO F°F° FLANGEADO E COM VOLANTE  DN100</t>
  </si>
  <si>
    <t>TUBO PVC, PL, SERIE R, DN 100 MM, PARA ESGOTO OU AGUAS PLUVIAIS PREDIAL (NBR 5688)</t>
  </si>
  <si>
    <t>EXTREMIDADE PVC PBA, BF, JE, DN 100/ DE 110 MM (NBR 10351)</t>
  </si>
  <si>
    <t>52.01</t>
  </si>
  <si>
    <t>52.02</t>
  </si>
  <si>
    <t>52.03</t>
  </si>
  <si>
    <t>52.04</t>
  </si>
  <si>
    <t>52.05</t>
  </si>
  <si>
    <t>52.06</t>
  </si>
  <si>
    <t>52.07</t>
  </si>
  <si>
    <t>FORNECIMENTO E ASSENTAMENTO DE TUBOS E CONEXÕES E CAIXAS DE PROTEÇÃO PARA REGISTROS</t>
  </si>
  <si>
    <t>APLICAÇÃO DOS MATERIAS</t>
  </si>
  <si>
    <t>52.08</t>
  </si>
  <si>
    <t>52.09</t>
  </si>
  <si>
    <t>52.10</t>
  </si>
  <si>
    <t>CE-052</t>
  </si>
  <si>
    <t>CE-051</t>
  </si>
  <si>
    <t>08.02.16</t>
  </si>
  <si>
    <t>08.02.17</t>
  </si>
  <si>
    <t>ACO CA-50, 20 MM, DOBRADO E CORTADO</t>
  </si>
  <si>
    <t>08.04.24</t>
  </si>
  <si>
    <t>08.04.25</t>
  </si>
  <si>
    <t xml:space="preserve">CRAVAMENTO DE ESTACAS PRÉ-MOLDADA DE CONCRETO, SEÇÃO QUADRADA, CAPACIDADE DE 25 TONELADAS, COMPRIMENTO TOTAL CRAVADO ATÉ 6,00M, BATE-ESTACAS POR GRAVIDADE SOBRE ROLOS </t>
  </si>
  <si>
    <t>08.09.23</t>
  </si>
  <si>
    <t>08.09.24</t>
  </si>
  <si>
    <t>08.09.25</t>
  </si>
  <si>
    <t>08.09.26</t>
  </si>
  <si>
    <t>08.10.28</t>
  </si>
  <si>
    <t>08.10.29</t>
  </si>
  <si>
    <t>08.10.30</t>
  </si>
  <si>
    <t>39.06</t>
  </si>
  <si>
    <t>42.05</t>
  </si>
  <si>
    <t>42.06</t>
  </si>
  <si>
    <t>48.05</t>
  </si>
  <si>
    <t>48.06</t>
  </si>
  <si>
    <t>48.07</t>
  </si>
  <si>
    <t>48.08</t>
  </si>
  <si>
    <t>48.09</t>
  </si>
  <si>
    <t>53.01</t>
  </si>
  <si>
    <t>53.02</t>
  </si>
  <si>
    <t>53.03</t>
  </si>
  <si>
    <t>53.04</t>
  </si>
  <si>
    <t>53.05</t>
  </si>
  <si>
    <t>53.06</t>
  </si>
  <si>
    <t>53.07</t>
  </si>
  <si>
    <t>53.08</t>
  </si>
  <si>
    <t>54.01</t>
  </si>
  <si>
    <t>54.02</t>
  </si>
  <si>
    <t>54.03</t>
  </si>
  <si>
    <t>54.04</t>
  </si>
  <si>
    <t>54.05</t>
  </si>
  <si>
    <t>54.06</t>
  </si>
  <si>
    <t>54.07</t>
  </si>
  <si>
    <t>54.08</t>
  </si>
  <si>
    <t>CE-054</t>
  </si>
  <si>
    <t>CE-053</t>
  </si>
  <si>
    <r>
      <t xml:space="preserve"> ALTER</t>
    </r>
    <r>
      <rPr>
        <vertAlign val="superscript"/>
        <sz val="10"/>
        <rFont val="Arial"/>
        <family val="2"/>
      </rPr>
      <t>AÇÃO:</t>
    </r>
  </si>
  <si>
    <t>DATA BASE:</t>
  </si>
  <si>
    <t>OBRA / SERVIÇO - UNIDADE DO SISTEMA:</t>
  </si>
  <si>
    <t>SET/17</t>
  </si>
  <si>
    <t>EEE1-SALA ELÉTRICA - ILUMINAÇÃO E TOMADAS</t>
  </si>
  <si>
    <t>UNID.</t>
  </si>
  <si>
    <t>QUANT.</t>
  </si>
  <si>
    <t>P. UNIT.</t>
  </si>
  <si>
    <t>VALOR TOTAL</t>
  </si>
  <si>
    <t>SALA ELÉTRICA-ILUMINAÇÃO E TOMADAS</t>
  </si>
  <si>
    <t>Fornecimento e instalação dos seguintes materiais:</t>
  </si>
  <si>
    <t>Eletroduto de PVC rígido, 3m, com rosca, nos seguintes diâmetros:</t>
  </si>
  <si>
    <t>a) 1"</t>
  </si>
  <si>
    <t>pç</t>
  </si>
  <si>
    <t>a) 1 1/2"</t>
  </si>
  <si>
    <t xml:space="preserve">Cabo de cobre singelo, têmpera mole, isolamento para 750V, 70ºC, nas seguintes bitolas: </t>
  </si>
  <si>
    <t>a) # 2,5mm²</t>
  </si>
  <si>
    <t>b) # 4mm²</t>
  </si>
  <si>
    <t>c) # 10mm²</t>
  </si>
  <si>
    <t>d) # 25x1,5mm²</t>
  </si>
  <si>
    <t>Caixa condulet em aluminio fundido, Dn 1", com interruptor de 1 tecla</t>
  </si>
  <si>
    <t>Caixa condulet em aluminio fundido Dn 1", com tomada 3P+T 50A</t>
  </si>
  <si>
    <t xml:space="preserve">Caixa condulet em aluminio fundido, Dn 1", com tomada universal 2P+T-50A </t>
  </si>
  <si>
    <t xml:space="preserve">Caixa condulet em aluminio fundido, Dn 1", com tomada universal 1P+T-10A </t>
  </si>
  <si>
    <t>Luminária à prova de tempo, em aluminio fundido, para 1 lâmpada 100W-127V, instalação aparente 45o.</t>
  </si>
  <si>
    <t>Luminária para uso externo, corpo em aluminio anodizado, altura do poste 3,50m,tipo iluminação pública, para uma lampada vapor de sódio 250W-220V</t>
  </si>
  <si>
    <t>Poste de 100mm, em aço galvanizado, 7 m, e braço 1"x 0,80m</t>
  </si>
  <si>
    <t>Mão de Obra</t>
  </si>
  <si>
    <t>Eletricista</t>
  </si>
  <si>
    <t>H/h</t>
  </si>
  <si>
    <t>Auxiliar de Eletricista</t>
  </si>
  <si>
    <t>TOTAL PARA O ITEM 1</t>
  </si>
  <si>
    <t>EEE1-SALA ELÉTRICA -SPDA/ATERRAMENTO</t>
  </si>
  <si>
    <t>2</t>
  </si>
  <si>
    <t>SALA ELÉTRICA -SPDA/ATERRAMENTO</t>
  </si>
  <si>
    <t>Fornecimento dos seguintes materiais:</t>
  </si>
  <si>
    <t>Cabo de aço 7 fios, 6,4mm para aterramento</t>
  </si>
  <si>
    <t>Presilha de latão com furo diâmetro 7mm para cabo 6,4mm</t>
  </si>
  <si>
    <t>Abraçadeira rosca "WW" diâmetro 1/4" para tubo de proteção diâmetro 2"</t>
  </si>
  <si>
    <t>Tubo de PVC rígido roscável diâmetro 2", fornecido em peças de 3m</t>
  </si>
  <si>
    <t>Caixa de medição suspensa em PVC para eletroduto diâmetro 2"</t>
  </si>
  <si>
    <t>Haste em ferro zincado, 25x25x5 mm - 2400mm</t>
  </si>
  <si>
    <t>Conector de medição bimetálico</t>
  </si>
  <si>
    <t>Conector parafuso fendido, fabricado em liga de aluminio de para cabo de aço 6,4mm</t>
  </si>
  <si>
    <t>Caixa tipo solo, fabricada em PVC diâmetro 300mm com tampa de ferro fundido</t>
  </si>
  <si>
    <t>Verba para miscelâneas de fixação e conectorização (parafusos, buchas, arruelas, etc)</t>
  </si>
  <si>
    <t>Vb</t>
  </si>
  <si>
    <t>Caixa para conexão de cabos de aterramento em liga de alumínio(Equalização de Potencial - CEP)</t>
  </si>
  <si>
    <t>Total de Materiais</t>
  </si>
  <si>
    <t>Total de M. Obra</t>
  </si>
  <si>
    <t>TOTAL PARA O ÍTEM 2</t>
  </si>
  <si>
    <t>EEE1-EQUIPAMENTOS E INSTRUMENTOS</t>
  </si>
  <si>
    <t>EQUIPAMENTOS - QGBT/QCM/PDA/INSTRUMENTOS</t>
  </si>
  <si>
    <t>Fornecimento dos seguintes Equipamentos:</t>
  </si>
  <si>
    <t>Quadro de Força e Alimentação de Motores QCM 2x5CV, conforme ET-PAINÉIS</t>
  </si>
  <si>
    <t>Quadro de Interface de Comando e Automação (QICA), conforme ET-PAINÉIS</t>
  </si>
  <si>
    <t>Quadro Geral de Baixa Tensão, QGBT, conforme ET-PAINÉIS</t>
  </si>
  <si>
    <t>TOTAL PAINÉIS</t>
  </si>
  <si>
    <t>Medidor de nível ultrassônico, conforme ET-SA-SD-01</t>
  </si>
  <si>
    <t>TOTAL DE EQUIPAMENTOS</t>
  </si>
  <si>
    <t>MÃO DE OBRA P/ INSTALAÇÃO DOS EQUIPAMENTOS:</t>
  </si>
  <si>
    <t>h/h</t>
  </si>
  <si>
    <t>Auxiliar Eletricista</t>
  </si>
  <si>
    <t>TOTAL DE MÃO DE OBRA</t>
  </si>
  <si>
    <t>TOTAL PARA O ÍTEM 3</t>
  </si>
  <si>
    <t>EEEF-SALA ELÉTRICA - ILUMINAÇÃO E TOMADAS</t>
  </si>
  <si>
    <t>b) 4"</t>
  </si>
  <si>
    <t>c) # 50mm²</t>
  </si>
  <si>
    <t>d) # 120mm²</t>
  </si>
  <si>
    <t>e) # 25x1,5mm²</t>
  </si>
  <si>
    <t>EEEF-SALA ELÉTRICA -SPDA/ATERRAMENTO</t>
  </si>
  <si>
    <t>EEEF-EQUIPAMENTOS E INSTRUMENTOS</t>
  </si>
  <si>
    <t>ETE-ILUMINAÇÃO EXTERNA</t>
  </si>
  <si>
    <t>DESCRIÇÃO</t>
  </si>
  <si>
    <t>PREÇO UNITÁRIO</t>
  </si>
  <si>
    <t>1</t>
  </si>
  <si>
    <t>Eletroduto de PVC rígido, com rosca, nos seguintes diâmetros, vara de 3m:</t>
  </si>
  <si>
    <t xml:space="preserve">Cabo de cobre singelo, têmpera mole, isolamento para 1000V, 70ºC, nas seguintes bitolas: </t>
  </si>
  <si>
    <t>a) # 2,5mm2</t>
  </si>
  <si>
    <t>b) 4mm2</t>
  </si>
  <si>
    <t>Servente de Pedreiro</t>
  </si>
  <si>
    <t>Total de M. de Obra</t>
  </si>
  <si>
    <t>TOTAL PARA ITEM 1</t>
  </si>
  <si>
    <t>ETE-APOIO OPERACIONAL-ILUMINAÇÃO E TOMADAS</t>
  </si>
  <si>
    <t>ETE - APOIO OPERACIONAL - ILUMINAÇÃO/TOMADAS</t>
  </si>
  <si>
    <t>Eletroduto de aço galvanizado, com rosca, nos seguintes diâmetros:</t>
  </si>
  <si>
    <t>a) 3/4"</t>
  </si>
  <si>
    <t>c) # 6mm²</t>
  </si>
  <si>
    <t>Caixa condulet em aluminio fundido, Dn 3/4",  tipo C com interruptor de 1 tecla</t>
  </si>
  <si>
    <t xml:space="preserve">Caixa condulet em aluminio fundido, Dn 3/4", tipo T com tomada universal 2P+T-20A </t>
  </si>
  <si>
    <t xml:space="preserve">Caixa condulet em aluminio fundido, Dn 3/4", tipo T com tomada universal 2P+T-50A </t>
  </si>
  <si>
    <t xml:space="preserve">Quadro de Distribuição de Circuitos (QDC), trifásico, instalação aparente com o fundo em chapa de </t>
  </si>
  <si>
    <t>aço galvanizada, acabamento externo na cor RAL 7032, para 30 circuitos monofásicos, a saber:</t>
  </si>
  <si>
    <t>a) monopolar - 10A</t>
  </si>
  <si>
    <t>b) monopolar - 15A com DR</t>
  </si>
  <si>
    <t>c) monopolar - 25A com DR</t>
  </si>
  <si>
    <t>d) monopolar - 35A com DR</t>
  </si>
  <si>
    <t>e) bipolar - 15A</t>
  </si>
  <si>
    <t>f) bipolar - 25A com DR</t>
  </si>
  <si>
    <t>Luminária à prova de tempo, em aluminio fundido, para 1 lâmpada PL 32W-127V, instalação aparente</t>
  </si>
  <si>
    <t>Luminária à prova de tempo, em aluminio , para 2 lâmpadas  32W-127V, instalação aparente, plafonier</t>
  </si>
  <si>
    <t>Caixa condulet em aluminio fundido nos seguintes tipos e diâmetros:</t>
  </si>
  <si>
    <t>LR - 3/4"</t>
  </si>
  <si>
    <t>LL - 3/4"</t>
  </si>
  <si>
    <t>T - 3/4"</t>
  </si>
  <si>
    <t>TB - 3/4"</t>
  </si>
  <si>
    <t>vb</t>
  </si>
  <si>
    <t>TOTAL PARA O ITEM 2</t>
  </si>
  <si>
    <t>ETE-APOIO OPERACIONAL - SPDA-ATERRAMENTO</t>
  </si>
  <si>
    <t>3</t>
  </si>
  <si>
    <t>ETE-APOIO OPERACIONAL -SPDA-ATERRAMENTO</t>
  </si>
  <si>
    <t>Fornecimento e assentamento dos seguintes materiais:</t>
  </si>
  <si>
    <t>Total do Item 3</t>
  </si>
  <si>
    <t>ETE-BANCO DE DUTOS E ALIMENTAÇÃO DOS MOTORES</t>
  </si>
  <si>
    <t>Eletroduto de PVC rígido, com rosca, nos seguintes diâmetros:</t>
  </si>
  <si>
    <t>a) 4"</t>
  </si>
  <si>
    <t xml:space="preserve">Cabo de cobre singelo, têmpera mole, isolamento para 1000V, 70ºC, na seguinte bitola: </t>
  </si>
  <si>
    <t>a) # 95mm²</t>
  </si>
  <si>
    <t>b) # 70mm²</t>
  </si>
  <si>
    <t>D) # 4mm²</t>
  </si>
  <si>
    <t>Caixa de passagem em alvenaria, dimensões 600x600x800mm</t>
  </si>
  <si>
    <t>TOTAL PARA ITEM 4</t>
  </si>
  <si>
    <t>SALA ELÉTRICA - EEF - ILUMINAÇÃO E TOMADAS</t>
  </si>
  <si>
    <t>SALA ELÉTRICA- EEF-ILUMINAÇÃO E TOMADAS</t>
  </si>
  <si>
    <t>aço galvanizada, acabamento externo na cor RAL 7032, para 9 circuitos monofásicos, a saber:</t>
  </si>
  <si>
    <t>a) monopolar 10A</t>
  </si>
  <si>
    <t>b) bipolar 15 A</t>
  </si>
  <si>
    <t>c) tripolar 30 A</t>
  </si>
  <si>
    <t>d) tripolar 50 A</t>
  </si>
  <si>
    <t xml:space="preserve">Cabo de cobre singelo, têmpera mole, para controle,isolamento para 1000V, 70ºC, nas seguintes bitolas: </t>
  </si>
  <si>
    <t>a) 1x25C#1,5mm²(múltiplo)</t>
  </si>
  <si>
    <t>TOTAL DE MATERIAIS</t>
  </si>
  <si>
    <t>``</t>
  </si>
  <si>
    <t>TOTAL PARA O ITEM 5</t>
  </si>
  <si>
    <t>SALA ELÉTRICA - EEF - SPDA - ATERRAMENTO</t>
  </si>
  <si>
    <t>SALA ELÉTRICA-EEF-SPDA/ATERRAMENTO</t>
  </si>
  <si>
    <t>TOTAL PARA O ÍTEM 6</t>
  </si>
  <si>
    <t>EQUIPAMENTOS E INSTRUMENTOS</t>
  </si>
  <si>
    <t>EQUIPAMENTOS - QGBT/QCM/QICA/INSTRUMENTOS</t>
  </si>
  <si>
    <t>Quadro de Força e Alimentação de Motores EERC, QCM 2x6,5CV, conforme ET-Painéis</t>
  </si>
  <si>
    <t>Quadro de Interface de Comando e Automação EERC, (QICA C/ CLP), conforme ET-Painéis</t>
  </si>
  <si>
    <t>Quadro Geral de Baixa Tensão, QGBT-UA, conforme ET-Painéis</t>
  </si>
  <si>
    <t>Quadro Geral de Baixa Tensão, QGBT-Sala Elétrica, conforme ET-Painéis</t>
  </si>
  <si>
    <t>Medidor de nível ultrassônico, conforme Folha de Dados - LIT</t>
  </si>
  <si>
    <t>TOTAL PARA O ÍTEM 7</t>
  </si>
  <si>
    <t>COMPOSIÇÃO:</t>
  </si>
  <si>
    <t>ELT-001</t>
  </si>
  <si>
    <t>ELT-002</t>
  </si>
  <si>
    <t>ELT-003</t>
  </si>
  <si>
    <t>POTIM-SP</t>
  </si>
  <si>
    <t>03.04.14</t>
  </si>
  <si>
    <t>ELT-004</t>
  </si>
  <si>
    <t>ELT-005</t>
  </si>
  <si>
    <t>ELT-006</t>
  </si>
  <si>
    <t>ELT-007</t>
  </si>
  <si>
    <t>ELT-008</t>
  </si>
  <si>
    <t>ELT-009</t>
  </si>
  <si>
    <t>ELT-010</t>
  </si>
  <si>
    <t>ELT-011</t>
  </si>
  <si>
    <t>ELT-012</t>
  </si>
  <si>
    <t>ELT-013</t>
  </si>
  <si>
    <t>06.04.15</t>
  </si>
  <si>
    <t>g) bipolar - 35A com DR</t>
  </si>
  <si>
    <t>h) tripolar - 63A com DR</t>
  </si>
  <si>
    <t>INSTALAÇÕES ELÉTRICAS DA ESTAÇÃO DE TRATAMENTO DE ESGOTOS (ETE)</t>
  </si>
  <si>
    <t>08.13.01</t>
  </si>
  <si>
    <t>08.13.02</t>
  </si>
  <si>
    <t>08.13.03</t>
  </si>
  <si>
    <t>08.13.04</t>
  </si>
  <si>
    <t>08.13.05</t>
  </si>
  <si>
    <t>08.13.06</t>
  </si>
  <si>
    <t>08.13.07</t>
  </si>
  <si>
    <t>08.13.08</t>
  </si>
  <si>
    <t>08.13.09</t>
  </si>
  <si>
    <t>08.13.10</t>
  </si>
  <si>
    <t>08.13.11</t>
  </si>
  <si>
    <t>08.13.12</t>
  </si>
  <si>
    <t>08.13.13</t>
  </si>
  <si>
    <t>07.08.07</t>
  </si>
  <si>
    <t>07.08.08</t>
  </si>
  <si>
    <t>CE-047</t>
  </si>
  <si>
    <t>53.07.01</t>
  </si>
  <si>
    <t>06.03.11</t>
  </si>
  <si>
    <t xml:space="preserve">GERADOR DE ENERGIA DIESEL 15KVA TRIFÁSICO </t>
  </si>
  <si>
    <t xml:space="preserve">GERADOR DE ENERGIA DIESEL 125KVA TRIFÁSICO </t>
  </si>
  <si>
    <t xml:space="preserve">GERADOR DE ENERGIA DIESEL 75KVA TRIFÁSICO </t>
  </si>
  <si>
    <t>08.12.08</t>
  </si>
  <si>
    <t>QUEIMADOR DE BIOGÁS COM IGNITOR AUTOMÁTICO E ENERGIA SOLAR MODELO LGM - 3.2 MARCA ITACRETO</t>
  </si>
  <si>
    <t>CE-045</t>
  </si>
  <si>
    <t>11.09</t>
  </si>
  <si>
    <t>23.07</t>
  </si>
  <si>
    <t>23.08</t>
  </si>
  <si>
    <t>23.09</t>
  </si>
  <si>
    <t>23.10</t>
  </si>
  <si>
    <t>23.11</t>
  </si>
  <si>
    <t>27.05</t>
  </si>
  <si>
    <t>28.06</t>
  </si>
  <si>
    <t>28.07</t>
  </si>
  <si>
    <t>28.08</t>
  </si>
  <si>
    <t>28.09</t>
  </si>
  <si>
    <t>28.10</t>
  </si>
  <si>
    <t>28.11</t>
  </si>
  <si>
    <t>28.12</t>
  </si>
  <si>
    <t>28.13</t>
  </si>
  <si>
    <t>28.14</t>
  </si>
  <si>
    <t>28.15</t>
  </si>
  <si>
    <t>28.16</t>
  </si>
  <si>
    <t>28.17</t>
  </si>
  <si>
    <t>28.18</t>
  </si>
  <si>
    <t>28.19</t>
  </si>
  <si>
    <t>28.20</t>
  </si>
  <si>
    <t>28.21</t>
  </si>
  <si>
    <t>28.22</t>
  </si>
  <si>
    <t>28.23</t>
  </si>
  <si>
    <t>28.24</t>
  </si>
  <si>
    <t>28.25</t>
  </si>
  <si>
    <t>28.26</t>
  </si>
  <si>
    <t>28.27</t>
  </si>
  <si>
    <t>28.28</t>
  </si>
  <si>
    <t>28.29</t>
  </si>
  <si>
    <t>28.30</t>
  </si>
  <si>
    <t>28.31</t>
  </si>
  <si>
    <t>28.32</t>
  </si>
  <si>
    <t>28.33</t>
  </si>
  <si>
    <t>28.34</t>
  </si>
  <si>
    <t>28.35</t>
  </si>
  <si>
    <t>28.36</t>
  </si>
  <si>
    <t>28.37</t>
  </si>
  <si>
    <t>28.38</t>
  </si>
  <si>
    <t>28.39</t>
  </si>
  <si>
    <t>28.40</t>
  </si>
  <si>
    <t>28.41</t>
  </si>
  <si>
    <t>28.42</t>
  </si>
  <si>
    <t>28.43</t>
  </si>
  <si>
    <t>28.44</t>
  </si>
  <si>
    <t>28.45</t>
  </si>
  <si>
    <t>28.46</t>
  </si>
  <si>
    <t>28.47</t>
  </si>
  <si>
    <t>28.48</t>
  </si>
  <si>
    <t>28.49</t>
  </si>
  <si>
    <t>28.50</t>
  </si>
  <si>
    <t>28.51</t>
  </si>
  <si>
    <t>28.52</t>
  </si>
  <si>
    <t>28.53</t>
  </si>
  <si>
    <t>28.54</t>
  </si>
  <si>
    <t>28.55</t>
  </si>
  <si>
    <t>28.56</t>
  </si>
  <si>
    <t>28.57</t>
  </si>
  <si>
    <t>30.07</t>
  </si>
  <si>
    <t>30.08</t>
  </si>
  <si>
    <t>30.09</t>
  </si>
  <si>
    <t>30.10</t>
  </si>
  <si>
    <t>30.11</t>
  </si>
  <si>
    <t>30.12</t>
  </si>
  <si>
    <t>30.13</t>
  </si>
  <si>
    <t>30.14</t>
  </si>
  <si>
    <t>30.15</t>
  </si>
  <si>
    <t>30.16</t>
  </si>
  <si>
    <t>30.17</t>
  </si>
  <si>
    <t>30.18</t>
  </si>
  <si>
    <t>30.19</t>
  </si>
  <si>
    <t>30.20</t>
  </si>
  <si>
    <t>30.21</t>
  </si>
  <si>
    <t>33.05</t>
  </si>
  <si>
    <t>33.06</t>
  </si>
  <si>
    <t>33.07</t>
  </si>
  <si>
    <t>33.08</t>
  </si>
  <si>
    <t>33.09</t>
  </si>
  <si>
    <t>33.10</t>
  </si>
  <si>
    <t>33.11</t>
  </si>
  <si>
    <t>33.12</t>
  </si>
  <si>
    <t>33.13</t>
  </si>
  <si>
    <t>33.14</t>
  </si>
  <si>
    <t>33.15</t>
  </si>
  <si>
    <t>33.16</t>
  </si>
  <si>
    <t>33.17</t>
  </si>
  <si>
    <t>33.18</t>
  </si>
  <si>
    <t>33.19</t>
  </si>
  <si>
    <t>33.20</t>
  </si>
  <si>
    <t>33.21</t>
  </si>
  <si>
    <t>33.22</t>
  </si>
  <si>
    <t>35.01</t>
  </si>
  <si>
    <t>35.02</t>
  </si>
  <si>
    <t>35.03</t>
  </si>
  <si>
    <t>35.04</t>
  </si>
  <si>
    <t>35.05</t>
  </si>
  <si>
    <t>37.05</t>
  </si>
  <si>
    <t>37.06</t>
  </si>
  <si>
    <t>37.07</t>
  </si>
  <si>
    <t>37.08</t>
  </si>
  <si>
    <t>37.09</t>
  </si>
  <si>
    <t>37.10</t>
  </si>
  <si>
    <t>37.11</t>
  </si>
  <si>
    <t>37.12</t>
  </si>
  <si>
    <t>37.13</t>
  </si>
  <si>
    <t>37.14</t>
  </si>
  <si>
    <t>37.15</t>
  </si>
  <si>
    <t>37.16</t>
  </si>
  <si>
    <t>37.17</t>
  </si>
  <si>
    <t>37.18</t>
  </si>
  <si>
    <t>37.19</t>
  </si>
  <si>
    <t>37.20</t>
  </si>
  <si>
    <t>37.21</t>
  </si>
  <si>
    <t>37.22</t>
  </si>
  <si>
    <t>37.23</t>
  </si>
  <si>
    <t>37.24</t>
  </si>
  <si>
    <t>37.25</t>
  </si>
  <si>
    <t>37.26</t>
  </si>
  <si>
    <t>37.27</t>
  </si>
  <si>
    <t>37.28</t>
  </si>
  <si>
    <t>37.29</t>
  </si>
  <si>
    <t>37.30</t>
  </si>
  <si>
    <t>41.07</t>
  </si>
  <si>
    <t>41.08</t>
  </si>
  <si>
    <t>41.09</t>
  </si>
  <si>
    <t>41.10</t>
  </si>
  <si>
    <t>41.11</t>
  </si>
  <si>
    <t>41.12</t>
  </si>
  <si>
    <t>41.13</t>
  </si>
  <si>
    <t>45.05</t>
  </si>
  <si>
    <t>45.06</t>
  </si>
  <si>
    <t>45.07</t>
  </si>
  <si>
    <t>45.08</t>
  </si>
  <si>
    <t>45.09</t>
  </si>
  <si>
    <t>45.10</t>
  </si>
  <si>
    <t>45.11</t>
  </si>
  <si>
    <t>45.12</t>
  </si>
  <si>
    <t>45.13</t>
  </si>
  <si>
    <t>47.07</t>
  </si>
  <si>
    <t>47.08</t>
  </si>
  <si>
    <t>47.09</t>
  </si>
  <si>
    <t>47.10</t>
  </si>
  <si>
    <t>49.10</t>
  </si>
  <si>
    <t>49.11</t>
  </si>
  <si>
    <t>49.12</t>
  </si>
  <si>
    <t>49.13</t>
  </si>
  <si>
    <t>49.14</t>
  </si>
  <si>
    <t>49.15</t>
  </si>
  <si>
    <t>49.16</t>
  </si>
  <si>
    <t>49.17</t>
  </si>
  <si>
    <t>49.18</t>
  </si>
  <si>
    <t>49.19</t>
  </si>
  <si>
    <t>49.20</t>
  </si>
  <si>
    <t>49.21</t>
  </si>
  <si>
    <t>49.22</t>
  </si>
  <si>
    <t>49.23</t>
  </si>
  <si>
    <t>49.24</t>
  </si>
  <si>
    <t>49.25</t>
  </si>
  <si>
    <t>49.26</t>
  </si>
  <si>
    <t>49.27</t>
  </si>
  <si>
    <t>49.28</t>
  </si>
  <si>
    <t>49.29</t>
  </si>
  <si>
    <t>49.30</t>
  </si>
  <si>
    <t>49.31</t>
  </si>
  <si>
    <t>49.32</t>
  </si>
  <si>
    <t>49.33</t>
  </si>
  <si>
    <t>49.34</t>
  </si>
  <si>
    <t>49.35</t>
  </si>
  <si>
    <t>49.36</t>
  </si>
  <si>
    <t>49.37</t>
  </si>
  <si>
    <t>49.38</t>
  </si>
  <si>
    <t>49.39</t>
  </si>
  <si>
    <t>49.40</t>
  </si>
  <si>
    <t>49.41</t>
  </si>
  <si>
    <t>49.42</t>
  </si>
  <si>
    <t>49.43</t>
  </si>
  <si>
    <t>49.44</t>
  </si>
  <si>
    <t>49.45</t>
  </si>
  <si>
    <t>49.46</t>
  </si>
  <si>
    <t>49.47</t>
  </si>
  <si>
    <t>49.48</t>
  </si>
  <si>
    <t>49.49</t>
  </si>
  <si>
    <t>49.50</t>
  </si>
  <si>
    <t>49.51</t>
  </si>
  <si>
    <t>49.52</t>
  </si>
  <si>
    <t>49.53</t>
  </si>
  <si>
    <t>49.54</t>
  </si>
  <si>
    <t>49.55</t>
  </si>
  <si>
    <t>49.56</t>
  </si>
  <si>
    <t>49.57</t>
  </si>
  <si>
    <t>49.58</t>
  </si>
  <si>
    <t>49.59</t>
  </si>
  <si>
    <t>49.60</t>
  </si>
  <si>
    <t>49.61</t>
  </si>
  <si>
    <t>49.62</t>
  </si>
  <si>
    <t>49.63</t>
  </si>
  <si>
    <t>49.64</t>
  </si>
  <si>
    <t>49.65</t>
  </si>
  <si>
    <t>49.66</t>
  </si>
  <si>
    <t>49.67</t>
  </si>
  <si>
    <t>49.68</t>
  </si>
  <si>
    <t>49.69</t>
  </si>
  <si>
    <t>49.70</t>
  </si>
  <si>
    <t>49.71</t>
  </si>
  <si>
    <t>49.72</t>
  </si>
  <si>
    <t>49.73</t>
  </si>
  <si>
    <t>49.74</t>
  </si>
  <si>
    <t>49.75</t>
  </si>
  <si>
    <t>49.76</t>
  </si>
  <si>
    <t>49.77</t>
  </si>
  <si>
    <t>49.78</t>
  </si>
  <si>
    <t>49.79</t>
  </si>
  <si>
    <t>49.80</t>
  </si>
  <si>
    <t>49.81</t>
  </si>
  <si>
    <t>51.05</t>
  </si>
  <si>
    <t>51.06</t>
  </si>
  <si>
    <t>51.07</t>
  </si>
  <si>
    <t>51.08</t>
  </si>
  <si>
    <t>51.09</t>
  </si>
  <si>
    <t>51.10</t>
  </si>
  <si>
    <t>52.01.01</t>
  </si>
  <si>
    <t>52.01.02</t>
  </si>
  <si>
    <t>52.01.03</t>
  </si>
  <si>
    <t>52.01.04</t>
  </si>
  <si>
    <t>52.01.05</t>
  </si>
  <si>
    <t>52.02.01</t>
  </si>
  <si>
    <t>52.02.02</t>
  </si>
  <si>
    <t>52.02.03</t>
  </si>
  <si>
    <t>52.02.04</t>
  </si>
  <si>
    <t>52.02.05</t>
  </si>
  <si>
    <t>52.03.01</t>
  </si>
  <si>
    <t>52.04.01</t>
  </si>
  <si>
    <t>52.04.02</t>
  </si>
  <si>
    <t>52.04.03</t>
  </si>
  <si>
    <t>52.05.01</t>
  </si>
  <si>
    <t>52.05.02</t>
  </si>
  <si>
    <t>52.06.01</t>
  </si>
  <si>
    <t>52.08.01</t>
  </si>
  <si>
    <t>52.08.02</t>
  </si>
  <si>
    <t>52.08.03</t>
  </si>
  <si>
    <t>52.09.01</t>
  </si>
  <si>
    <t>52.10.01</t>
  </si>
  <si>
    <t>52.11</t>
  </si>
  <si>
    <t>52.11.01</t>
  </si>
  <si>
    <t>52.11.02</t>
  </si>
  <si>
    <t>52.12</t>
  </si>
  <si>
    <t>52.12.01</t>
  </si>
  <si>
    <t>52.13</t>
  </si>
  <si>
    <t>52.13.01</t>
  </si>
  <si>
    <t>52.13.02</t>
  </si>
  <si>
    <t>52.13.03</t>
  </si>
  <si>
    <t>52.13.04</t>
  </si>
  <si>
    <t>52.13.05</t>
  </si>
  <si>
    <t>52.14</t>
  </si>
  <si>
    <t>52.14.01</t>
  </si>
  <si>
    <t>52.15</t>
  </si>
  <si>
    <t>52.15.01</t>
  </si>
  <si>
    <t>52.15.02</t>
  </si>
  <si>
    <t>52.15.03</t>
  </si>
  <si>
    <t>52.15.04</t>
  </si>
  <si>
    <t>52.15.05</t>
  </si>
  <si>
    <t>52.15.06</t>
  </si>
  <si>
    <t>52.15.07</t>
  </si>
  <si>
    <t>52.15.08</t>
  </si>
  <si>
    <t>52.15.09</t>
  </si>
  <si>
    <t>52.15.10</t>
  </si>
  <si>
    <t>52.15.11</t>
  </si>
  <si>
    <t>52.15.12</t>
  </si>
  <si>
    <t>52.15.13</t>
  </si>
  <si>
    <t>52.15.14</t>
  </si>
  <si>
    <t>52.15.15</t>
  </si>
  <si>
    <t>52.15.16</t>
  </si>
  <si>
    <t>52.15.17</t>
  </si>
  <si>
    <t>52.16</t>
  </si>
  <si>
    <t>52.16.01</t>
  </si>
  <si>
    <t>52.16.02</t>
  </si>
  <si>
    <t>52.16.03</t>
  </si>
  <si>
    <t>52.16.04</t>
  </si>
  <si>
    <t>54.09</t>
  </si>
  <si>
    <t>54.10</t>
  </si>
  <si>
    <t>54.11</t>
  </si>
  <si>
    <t>Em atenção ao estabelecido pelo Acórdão 2622/2013 – TCU – Plenário reformamos a orientação e indicamos a utilização dos seguintes parâmetros para taxas de BDI:</t>
  </si>
  <si>
    <t>OBSERVAÇÕES</t>
  </si>
  <si>
    <t>a) Os percentuais de Impostos a serem adotados devem ser indicados pelo Tomador, conforme legislação vigente.Para o ISS, deverão ser informados pelo Tomador, através da apresentação do código tributário municipal, a base de cálculo e, sobre esta, a respectiva alíquota do ISS, que será um percentual entre 2% e 5%.</t>
  </si>
  <si>
    <t>CÁLCULO</t>
  </si>
  <si>
    <t>Parâmetro</t>
  </si>
  <si>
    <t>%</t>
  </si>
  <si>
    <t>Verificação</t>
  </si>
  <si>
    <t>ANÁLISE</t>
  </si>
  <si>
    <t>Administração Central</t>
  </si>
  <si>
    <t>Seguros e Garantias</t>
  </si>
  <si>
    <t>b) As tabelas acima foram construídas sem considerar a desoneração sobre a folha de pagamento prevista na Lei n° 12.844/2013. Para análise de orçamentos considerando a contribuição previdenciária sobre a receita bruta deverá ser somada a alíquota de 2% no item impostos.</t>
  </si>
  <si>
    <t>c) Para o tipo de obra “Construção de Redes de Abastecimento de Água, Coleta de Esgoto e Construções Correlatas” enquadram-se: a construção de sistemas para o abastecimento de água tratada: reservatórios de distribuição, estações elevatórias de bombeamento, linhas principais de adução de longa e média distância e redes de distribuição de água; a construção de redes de coleta de esgoto, inclusive de interceptores, estações de tratamento de esgoto (ETE), estações de bombeamento de esgoto (EBE); a construção de galerias pluviais (obras de micro e macro drenagem). Esta classe compreende também: as obras de irrigação (canais); a manutenção de redes de abastecimento de água tratada; a manutenção de redes de coleta e de sistemas de tratamento de esgoto, conforme classificação 4222-7 do CNAE 2.0. Enquadra-se ainda a construção de estações de tratamento de água (ETA).</t>
  </si>
  <si>
    <t>Lucro</t>
  </si>
  <si>
    <t>Impostos: PIS e COFINS</t>
  </si>
  <si>
    <t>VALOR FIXO</t>
  </si>
  <si>
    <t>ISS</t>
  </si>
  <si>
    <t>d) Inserir base de cáculo, patricado no município, para cobrança do ISS (de 0% a 100%). Caso não seja apresentado o código tributário municipal, será considerada alíquota de 2,5%, sobre base de cálculo de 50%.</t>
  </si>
  <si>
    <t>Base de Cálculo do ISS (porcentagem do valor da obra)</t>
  </si>
  <si>
    <t>CÁLCULO SEM CPRB</t>
  </si>
  <si>
    <t xml:space="preserve">CÁLCULO DO BDI </t>
  </si>
  <si>
    <t>CÁLCULO COM CPRB</t>
  </si>
  <si>
    <t>d) Inserir base de cáculo, patricado no município, para cobrança do ISS (de 0% a 100%). Caso não seja apresentadoo código tributário municipal, será considerada alíquota de 2,5%, sobre base de cálculo de 50%.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</si>
</sst>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0.00000"/>
    <numFmt numFmtId="166" formatCode="dd/mm/yy;@"/>
    <numFmt numFmtId="167" formatCode="#,##0.00;[Red]#,##0.00"/>
    <numFmt numFmtId="168" formatCode="0.000"/>
    <numFmt numFmtId="169" formatCode="_(* #,##0_);_(* \(#,##0\);_(* &quot;-&quot;??_);_(@_)"/>
  </numFmts>
  <fonts count="25" x14ac:knownFonts="1">
    <font>
      <sz val="10"/>
      <name val="Arial"/>
    </font>
    <font>
      <sz val="10"/>
      <name val="Arial"/>
      <family val="2"/>
    </font>
    <font>
      <sz val="8"/>
      <name val="Arial"/>
      <family val="2"/>
    </font>
    <font>
      <sz val="11"/>
      <name val="Arial"/>
      <family val="2"/>
    </font>
    <font>
      <b/>
      <sz val="11"/>
      <name val="Arial"/>
      <family val="2"/>
    </font>
    <font>
      <b/>
      <sz val="10"/>
      <name val="Arial"/>
      <family val="2"/>
    </font>
    <font>
      <b/>
      <sz val="9"/>
      <name val="Arial"/>
      <family val="2"/>
    </font>
    <font>
      <sz val="9"/>
      <name val="Arial"/>
      <family val="2"/>
    </font>
    <font>
      <b/>
      <sz val="8"/>
      <name val="Arial"/>
      <family val="2"/>
    </font>
    <font>
      <b/>
      <sz val="12"/>
      <name val="Arial"/>
      <family val="2"/>
    </font>
    <font>
      <b/>
      <sz val="10"/>
      <color indexed="10"/>
      <name val="Arial"/>
      <family val="2"/>
    </font>
    <font>
      <b/>
      <sz val="11"/>
      <color indexed="8"/>
      <name val="Calibri"/>
      <family val="2"/>
    </font>
    <font>
      <sz val="10"/>
      <name val="Arial"/>
      <family val="2"/>
    </font>
    <font>
      <sz val="12"/>
      <name val="Arial"/>
      <family val="2"/>
    </font>
    <font>
      <sz val="11"/>
      <color indexed="10"/>
      <name val="Arial"/>
      <family val="2"/>
    </font>
    <font>
      <b/>
      <sz val="11"/>
      <color indexed="10"/>
      <name val="Arial"/>
      <family val="2"/>
    </font>
    <font>
      <sz val="10"/>
      <name val="Arial Black"/>
      <family val="2"/>
    </font>
    <font>
      <b/>
      <sz val="11"/>
      <color theme="1"/>
      <name val="Calibri"/>
      <family val="2"/>
      <scheme val="minor"/>
    </font>
    <font>
      <vertAlign val="superscript"/>
      <sz val="10"/>
      <name val="Arial"/>
      <family val="2"/>
    </font>
    <font>
      <sz val="10"/>
      <color rgb="FFFF0000"/>
      <name val="Arial"/>
      <family val="2"/>
    </font>
    <font>
      <b/>
      <sz val="9"/>
      <color indexed="81"/>
      <name val="Tahoma"/>
      <family val="2"/>
    </font>
    <font>
      <sz val="9"/>
      <color indexed="81"/>
      <name val="Tahoma"/>
      <family val="2"/>
    </font>
    <font>
      <b/>
      <sz val="14"/>
      <name val="Arial"/>
      <family val="2"/>
    </font>
    <font>
      <b/>
      <sz val="12"/>
      <color rgb="FFFF0000"/>
      <name val="Arial"/>
      <family val="2"/>
    </font>
    <font>
      <sz val="9.5"/>
      <name val="Arial"/>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6" tint="0.39997558519241921"/>
        <bgColor indexed="64"/>
      </patternFill>
    </fill>
    <fill>
      <patternFill patternType="solid">
        <fgColor rgb="FF00B0F0"/>
        <bgColor indexed="64"/>
      </patternFill>
    </fill>
    <fill>
      <patternFill patternType="solid">
        <fgColor indexed="13"/>
        <bgColor indexed="64"/>
      </patternFill>
    </fill>
    <fill>
      <patternFill patternType="solid">
        <fgColor theme="4" tint="0.79998168889431442"/>
        <bgColor indexed="64"/>
      </patternFill>
    </fill>
    <fill>
      <patternFill patternType="solid">
        <fgColor indexed="43"/>
        <bgColor indexed="64"/>
      </patternFill>
    </fill>
    <fill>
      <patternFill patternType="solid">
        <fgColor rgb="FFFFFF99"/>
        <bgColor indexed="64"/>
      </patternFill>
    </fill>
  </fills>
  <borders count="108">
    <border>
      <left/>
      <right/>
      <top/>
      <bottom/>
      <diagonal/>
    </border>
    <border>
      <left/>
      <right/>
      <top style="thin">
        <color indexed="56"/>
      </top>
      <bottom style="double">
        <color indexed="56"/>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uble">
        <color auto="1"/>
      </left>
      <right style="double">
        <color auto="1"/>
      </right>
      <top style="double">
        <color auto="1"/>
      </top>
      <bottom style="medium">
        <color auto="1"/>
      </bottom>
      <diagonal/>
    </border>
    <border>
      <left style="double">
        <color auto="1"/>
      </left>
      <right style="double">
        <color auto="1"/>
      </right>
      <top style="medium">
        <color auto="1"/>
      </top>
      <bottom style="double">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27">
    <xf numFmtId="0" fontId="0" fillId="0" borderId="0"/>
    <xf numFmtId="0" fontId="1"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9" fontId="1" fillId="0" borderId="0" applyFont="0" applyFill="0" applyBorder="0" applyAlignment="0" applyProtection="0"/>
    <xf numFmtId="0" fontId="11" fillId="0" borderId="1" applyNumberFormat="0" applyFill="0" applyAlignment="0" applyProtection="0"/>
    <xf numFmtId="164" fontId="1" fillId="0" borderId="0" applyFont="0" applyFill="0" applyBorder="0" applyAlignment="0" applyProtection="0"/>
    <xf numFmtId="0" fontId="1" fillId="0" borderId="0"/>
  </cellStyleXfs>
  <cellXfs count="1055">
    <xf numFmtId="0" fontId="0" fillId="0" borderId="0" xfId="0"/>
    <xf numFmtId="0" fontId="3" fillId="0" borderId="0" xfId="0" applyFont="1" applyAlignment="1">
      <alignment wrapText="1"/>
    </xf>
    <xf numFmtId="0" fontId="3" fillId="0" borderId="0" xfId="0" applyFont="1" applyAlignment="1">
      <alignment horizontal="center" wrapText="1"/>
    </xf>
    <xf numFmtId="0" fontId="3" fillId="0" borderId="0" xfId="0" applyFont="1" applyAlignment="1">
      <alignment horizontal="center" vertical="center" wrapText="1"/>
    </xf>
    <xf numFmtId="0" fontId="10" fillId="0" borderId="0" xfId="0" applyFont="1" applyAlignment="1">
      <alignment horizontal="left" vertical="center"/>
    </xf>
    <xf numFmtId="164" fontId="3" fillId="0" borderId="0" xfId="25" applyFont="1" applyAlignment="1">
      <alignment wrapText="1"/>
    </xf>
    <xf numFmtId="0" fontId="3" fillId="2" borderId="0" xfId="0" applyFont="1" applyFill="1" applyAlignment="1"/>
    <xf numFmtId="0" fontId="3" fillId="2" borderId="0" xfId="0" applyFont="1" applyFill="1" applyAlignment="1">
      <alignment wrapText="1"/>
    </xf>
    <xf numFmtId="0" fontId="3" fillId="2" borderId="0" xfId="0" applyFont="1" applyFill="1" applyBorder="1" applyAlignment="1">
      <alignment horizontal="center" vertical="center"/>
    </xf>
    <xf numFmtId="0" fontId="3" fillId="0" borderId="0" xfId="0" applyNumberFormat="1" applyFont="1" applyAlignment="1">
      <alignment horizontal="center" vertical="center" wrapText="1"/>
    </xf>
    <xf numFmtId="0" fontId="12"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165" fontId="1" fillId="0" borderId="0" xfId="0" applyNumberFormat="1" applyFont="1" applyBorder="1" applyAlignment="1">
      <alignment vertical="center"/>
    </xf>
    <xf numFmtId="164" fontId="1" fillId="0" borderId="0" xfId="25" applyFont="1" applyBorder="1" applyAlignment="1">
      <alignment vertical="center"/>
    </xf>
    <xf numFmtId="4" fontId="1" fillId="0" borderId="0" xfId="0" applyNumberFormat="1" applyFont="1" applyBorder="1" applyAlignment="1">
      <alignment vertical="center"/>
    </xf>
    <xf numFmtId="0" fontId="16" fillId="0" borderId="0" xfId="0" applyFont="1" applyBorder="1" applyAlignment="1">
      <alignment vertical="center"/>
    </xf>
    <xf numFmtId="4" fontId="16" fillId="0" borderId="0" xfId="0" applyNumberFormat="1" applyFont="1" applyBorder="1" applyAlignment="1">
      <alignment vertical="center"/>
    </xf>
    <xf numFmtId="164" fontId="16" fillId="0" borderId="0" xfId="0" applyNumberFormat="1" applyFont="1" applyBorder="1" applyAlignment="1">
      <alignment vertical="center"/>
    </xf>
    <xf numFmtId="165" fontId="16" fillId="0" borderId="0" xfId="0" applyNumberFormat="1" applyFont="1" applyBorder="1" applyAlignment="1">
      <alignment vertical="center"/>
    </xf>
    <xf numFmtId="164" fontId="3" fillId="0" borderId="4" xfId="25" applyNumberFormat="1" applyFont="1" applyBorder="1" applyAlignment="1">
      <alignment horizontal="center" vertical="center" wrapText="1"/>
    </xf>
    <xf numFmtId="164" fontId="14" fillId="0" borderId="4" xfId="25" applyNumberFormat="1" applyFont="1" applyBorder="1" applyAlignment="1">
      <alignment vertical="center" wrapText="1"/>
    </xf>
    <xf numFmtId="164" fontId="3" fillId="0" borderId="0" xfId="25" applyNumberFormat="1" applyFont="1" applyAlignment="1">
      <alignment wrapText="1"/>
    </xf>
    <xf numFmtId="164" fontId="14" fillId="0" borderId="0" xfId="25" applyNumberFormat="1" applyFont="1" applyAlignment="1">
      <alignment wrapText="1"/>
    </xf>
    <xf numFmtId="0" fontId="3" fillId="0" borderId="0" xfId="0" applyFont="1" applyFill="1" applyBorder="1" applyAlignment="1"/>
    <xf numFmtId="0" fontId="3" fillId="0" borderId="0" xfId="0" applyFont="1" applyFill="1" applyAlignment="1">
      <alignment wrapText="1"/>
    </xf>
    <xf numFmtId="0" fontId="3" fillId="0" borderId="0" xfId="0" applyFont="1" applyFill="1" applyAlignment="1"/>
    <xf numFmtId="0" fontId="3" fillId="0" borderId="0" xfId="0" applyFont="1" applyFill="1" applyBorder="1" applyAlignment="1">
      <alignment horizontal="center" vertical="center"/>
    </xf>
    <xf numFmtId="0" fontId="3" fillId="0" borderId="0" xfId="0" applyFont="1" applyBorder="1" applyAlignment="1"/>
    <xf numFmtId="0" fontId="4" fillId="2" borderId="1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4" fontId="4" fillId="2" borderId="4" xfId="0" applyNumberFormat="1" applyFont="1" applyFill="1" applyBorder="1" applyAlignment="1">
      <alignment horizontal="right" vertical="center" wrapText="1"/>
    </xf>
    <xf numFmtId="164" fontId="4" fillId="2" borderId="4" xfId="0" applyNumberFormat="1" applyFont="1" applyFill="1" applyBorder="1" applyAlignment="1">
      <alignment horizontal="center" vertical="center" wrapText="1"/>
    </xf>
    <xf numFmtId="164" fontId="4" fillId="2" borderId="6" xfId="0" applyNumberFormat="1" applyFont="1" applyFill="1" applyBorder="1" applyAlignment="1">
      <alignment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right" vertical="center" wrapText="1"/>
    </xf>
    <xf numFmtId="164" fontId="3" fillId="0" borderId="0" xfId="0" applyNumberFormat="1" applyFont="1" applyAlignment="1">
      <alignment horizontal="center" vertical="center" wrapText="1"/>
    </xf>
    <xf numFmtId="164" fontId="3" fillId="0" borderId="0" xfId="0" applyNumberFormat="1" applyFont="1" applyAlignment="1">
      <alignment vertical="center" wrapText="1"/>
    </xf>
    <xf numFmtId="0" fontId="3" fillId="0" borderId="0" xfId="0" applyFont="1" applyAlignment="1"/>
    <xf numFmtId="0" fontId="3" fillId="0" borderId="4" xfId="0" applyFont="1" applyBorder="1" applyAlignment="1">
      <alignment vertical="center" wrapText="1"/>
    </xf>
    <xf numFmtId="0" fontId="3" fillId="0" borderId="4" xfId="0" applyFont="1" applyBorder="1" applyAlignment="1">
      <alignment horizontal="center" vertical="center" wrapText="1"/>
    </xf>
    <xf numFmtId="164" fontId="3" fillId="0" borderId="4" xfId="25" applyNumberFormat="1" applyFont="1" applyBorder="1" applyAlignment="1">
      <alignment vertical="center" wrapText="1"/>
    </xf>
    <xf numFmtId="164" fontId="3" fillId="0" borderId="6" xfId="25" applyFont="1" applyBorder="1" applyAlignment="1">
      <alignment vertical="center" wrapText="1"/>
    </xf>
    <xf numFmtId="0" fontId="3" fillId="0" borderId="5" xfId="0" applyFont="1" applyBorder="1" applyAlignment="1">
      <alignment wrapText="1"/>
    </xf>
    <xf numFmtId="0" fontId="3"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14"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9" fillId="2" borderId="15" xfId="0" applyFont="1" applyFill="1" applyBorder="1" applyAlignment="1">
      <alignment horizontal="center" vertical="center" wrapText="1"/>
    </xf>
    <xf numFmtId="0" fontId="9" fillId="2" borderId="9" xfId="0" applyFont="1" applyFill="1" applyBorder="1" applyAlignment="1">
      <alignment horizontal="left" vertical="center"/>
    </xf>
    <xf numFmtId="2" fontId="3" fillId="0" borderId="0" xfId="0" applyNumberFormat="1" applyFont="1" applyBorder="1" applyAlignment="1"/>
    <xf numFmtId="0" fontId="5" fillId="0" borderId="0" xfId="0" applyFont="1" applyAlignment="1">
      <alignment horizontal="right"/>
    </xf>
    <xf numFmtId="0" fontId="5" fillId="0" borderId="25"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right"/>
    </xf>
    <xf numFmtId="0" fontId="13" fillId="0" borderId="51" xfId="0" applyFont="1" applyBorder="1" applyAlignment="1">
      <alignment horizontal="center"/>
    </xf>
    <xf numFmtId="0" fontId="13" fillId="0" borderId="46" xfId="0" applyFont="1" applyBorder="1" applyAlignment="1">
      <alignment horizontal="center"/>
    </xf>
    <xf numFmtId="0" fontId="13" fillId="0" borderId="52" xfId="0" applyFont="1" applyBorder="1" applyAlignment="1">
      <alignment horizontal="right"/>
    </xf>
    <xf numFmtId="0" fontId="1" fillId="0" borderId="0" xfId="0" applyFont="1" applyAlignment="1">
      <alignment horizontal="right"/>
    </xf>
    <xf numFmtId="0" fontId="9" fillId="0" borderId="53" xfId="0" applyFont="1" applyBorder="1" applyAlignment="1">
      <alignment horizontal="center"/>
    </xf>
    <xf numFmtId="0" fontId="9" fillId="0" borderId="47" xfId="0" applyFont="1" applyBorder="1"/>
    <xf numFmtId="0" fontId="9" fillId="0" borderId="47" xfId="0" applyFont="1" applyBorder="1" applyAlignment="1">
      <alignment horizontal="center"/>
    </xf>
    <xf numFmtId="164" fontId="9" fillId="0" borderId="54" xfId="25" applyFont="1" applyBorder="1"/>
    <xf numFmtId="164" fontId="5" fillId="0" borderId="0" xfId="25" applyFont="1"/>
    <xf numFmtId="0" fontId="13" fillId="0" borderId="53" xfId="0" applyFont="1" applyBorder="1" applyAlignment="1">
      <alignment horizontal="center"/>
    </xf>
    <xf numFmtId="0" fontId="13" fillId="0" borderId="47" xfId="0" applyFont="1" applyBorder="1"/>
    <xf numFmtId="0" fontId="13" fillId="0" borderId="47" xfId="0" applyFont="1" applyBorder="1" applyAlignment="1">
      <alignment horizontal="center"/>
    </xf>
    <xf numFmtId="0" fontId="13" fillId="0" borderId="54" xfId="0" applyFont="1" applyBorder="1"/>
    <xf numFmtId="10" fontId="9" fillId="0" borderId="47" xfId="0" applyNumberFormat="1" applyFont="1" applyBorder="1" applyAlignment="1">
      <alignment horizontal="center"/>
    </xf>
    <xf numFmtId="43" fontId="9" fillId="0" borderId="54" xfId="0" applyNumberFormat="1" applyFont="1" applyBorder="1"/>
    <xf numFmtId="43" fontId="5" fillId="0" borderId="0" xfId="0" applyNumberFormat="1" applyFont="1"/>
    <xf numFmtId="10" fontId="13" fillId="0" borderId="47" xfId="0" applyNumberFormat="1" applyFont="1" applyBorder="1" applyAlignment="1">
      <alignment horizontal="center"/>
    </xf>
    <xf numFmtId="43" fontId="13" fillId="0" borderId="54" xfId="0" applyNumberFormat="1" applyFont="1" applyBorder="1"/>
    <xf numFmtId="43" fontId="0" fillId="0" borderId="0" xfId="0" applyNumberFormat="1"/>
    <xf numFmtId="0" fontId="13" fillId="0" borderId="47" xfId="0" applyFont="1" applyFill="1" applyBorder="1"/>
    <xf numFmtId="10" fontId="13" fillId="0" borderId="47" xfId="0" applyNumberFormat="1" applyFont="1" applyFill="1" applyBorder="1" applyAlignment="1">
      <alignment horizontal="center"/>
    </xf>
    <xf numFmtId="43" fontId="0" fillId="0" borderId="0" xfId="0" applyNumberFormat="1" applyFill="1"/>
    <xf numFmtId="0" fontId="13" fillId="0" borderId="14" xfId="0" applyFont="1" applyBorder="1" applyAlignment="1">
      <alignment horizontal="center"/>
    </xf>
    <xf numFmtId="0" fontId="13" fillId="0" borderId="4" xfId="0" applyFont="1" applyBorder="1" applyAlignment="1">
      <alignment horizontal="center"/>
    </xf>
    <xf numFmtId="0" fontId="13" fillId="0" borderId="6" xfId="0" applyFont="1" applyBorder="1" applyAlignment="1">
      <alignment horizontal="center"/>
    </xf>
    <xf numFmtId="0" fontId="0" fillId="0" borderId="24" xfId="0" applyBorder="1"/>
    <xf numFmtId="0" fontId="0" fillId="0" borderId="0" xfId="0" applyBorder="1"/>
    <xf numFmtId="0" fontId="0" fillId="0" borderId="59" xfId="0" applyBorder="1"/>
    <xf numFmtId="0" fontId="9" fillId="0" borderId="24" xfId="0" applyFont="1" applyBorder="1"/>
    <xf numFmtId="0" fontId="0" fillId="0" borderId="21" xfId="0" applyFill="1" applyBorder="1"/>
    <xf numFmtId="0" fontId="0" fillId="0" borderId="22" xfId="0" applyFill="1" applyBorder="1"/>
    <xf numFmtId="0" fontId="0" fillId="0" borderId="22" xfId="0" applyBorder="1"/>
    <xf numFmtId="0" fontId="0" fillId="0" borderId="23" xfId="0" applyBorder="1"/>
    <xf numFmtId="164" fontId="3" fillId="2" borderId="0" xfId="25" applyFont="1" applyFill="1" applyAlignment="1"/>
    <xf numFmtId="0" fontId="9" fillId="0" borderId="22" xfId="0" applyFont="1" applyBorder="1" applyAlignment="1">
      <alignment horizontal="right" vertical="center"/>
    </xf>
    <xf numFmtId="166" fontId="9" fillId="0" borderId="23" xfId="0" quotePrefix="1" applyNumberFormat="1" applyFont="1" applyBorder="1" applyAlignment="1">
      <alignment horizontal="center" vertical="center"/>
    </xf>
    <xf numFmtId="0" fontId="4" fillId="4" borderId="9" xfId="0" applyFont="1" applyFill="1" applyBorder="1" applyAlignment="1">
      <alignment horizontal="center" vertical="center" wrapText="1"/>
    </xf>
    <xf numFmtId="164" fontId="4" fillId="4" borderId="9" xfId="0" applyNumberFormat="1" applyFont="1" applyFill="1" applyBorder="1" applyAlignment="1">
      <alignment vertical="center" wrapText="1"/>
    </xf>
    <xf numFmtId="164" fontId="15" fillId="4" borderId="9" xfId="25" applyNumberFormat="1" applyFont="1" applyFill="1" applyBorder="1" applyAlignment="1">
      <alignment vertical="center" wrapText="1"/>
    </xf>
    <xf numFmtId="164" fontId="4" fillId="4" borderId="9" xfId="0" applyNumberFormat="1" applyFont="1" applyFill="1" applyBorder="1" applyAlignment="1">
      <alignment horizontal="right" vertical="center" wrapText="1"/>
    </xf>
    <xf numFmtId="164" fontId="5" fillId="4" borderId="2" xfId="25" applyNumberFormat="1" applyFont="1" applyFill="1" applyBorder="1" applyAlignment="1">
      <alignment horizontal="center" vertical="center" wrapText="1"/>
    </xf>
    <xf numFmtId="164" fontId="8" fillId="4" borderId="3" xfId="25" applyNumberFormat="1"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4" fontId="4" fillId="4" borderId="22" xfId="0" applyNumberFormat="1" applyFont="1" applyFill="1" applyBorder="1" applyAlignment="1">
      <alignment horizontal="right" vertical="center" wrapText="1"/>
    </xf>
    <xf numFmtId="164" fontId="4" fillId="4" borderId="22" xfId="0" applyNumberFormat="1"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9" xfId="0" applyFont="1" applyFill="1" applyBorder="1" applyAlignment="1">
      <alignment horizontal="right" vertical="center" wrapText="1"/>
    </xf>
    <xf numFmtId="164" fontId="4" fillId="4" borderId="9" xfId="0" applyNumberFormat="1" applyFont="1" applyFill="1" applyBorder="1" applyAlignment="1">
      <alignment horizontal="center" vertical="center" wrapText="1"/>
    </xf>
    <xf numFmtId="164" fontId="4" fillId="4" borderId="13" xfId="0" applyNumberFormat="1" applyFont="1" applyFill="1" applyBorder="1" applyAlignment="1">
      <alignment horizontal="left" vertical="center" wrapText="1"/>
    </xf>
    <xf numFmtId="0" fontId="4" fillId="4" borderId="9" xfId="0" applyFont="1" applyFill="1" applyBorder="1" applyAlignment="1">
      <alignment horizontal="left" vertical="center"/>
    </xf>
    <xf numFmtId="4" fontId="4" fillId="4" borderId="9" xfId="0" applyNumberFormat="1" applyFont="1" applyFill="1" applyBorder="1" applyAlignment="1">
      <alignment horizontal="right" vertical="center" wrapText="1"/>
    </xf>
    <xf numFmtId="164" fontId="4" fillId="4" borderId="13" xfId="0" applyNumberFormat="1" applyFont="1" applyFill="1" applyBorder="1" applyAlignment="1">
      <alignment vertical="center" wrapText="1"/>
    </xf>
    <xf numFmtId="164" fontId="5" fillId="4" borderId="46" xfId="0" applyNumberFormat="1" applyFont="1" applyFill="1" applyBorder="1" applyAlignment="1">
      <alignment horizontal="center" vertical="center" wrapText="1"/>
    </xf>
    <xf numFmtId="164" fontId="5" fillId="4" borderId="52" xfId="0" applyNumberFormat="1" applyFont="1" applyFill="1" applyBorder="1" applyAlignment="1">
      <alignment horizontal="center" vertical="center" wrapText="1"/>
    </xf>
    <xf numFmtId="164" fontId="5" fillId="4" borderId="47" xfId="0" applyNumberFormat="1" applyFont="1" applyFill="1" applyBorder="1" applyAlignment="1">
      <alignment horizontal="center" vertical="center" wrapText="1"/>
    </xf>
    <xf numFmtId="164" fontId="5" fillId="4" borderId="54" xfId="0" applyNumberFormat="1" applyFont="1" applyFill="1" applyBorder="1" applyAlignment="1">
      <alignment horizontal="center" vertical="center" wrapText="1"/>
    </xf>
    <xf numFmtId="164" fontId="8" fillId="4" borderId="47" xfId="0" applyNumberFormat="1"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2" xfId="0" applyFont="1" applyFill="1" applyBorder="1" applyAlignment="1">
      <alignment horizontal="left" vertical="center"/>
    </xf>
    <xf numFmtId="0" fontId="9" fillId="4" borderId="22" xfId="0" applyFont="1" applyFill="1" applyBorder="1" applyAlignment="1">
      <alignment horizontal="right" vertical="center"/>
    </xf>
    <xf numFmtId="166" fontId="9" fillId="4" borderId="23" xfId="0" quotePrefix="1" applyNumberFormat="1" applyFont="1" applyFill="1" applyBorder="1" applyAlignment="1">
      <alignment horizontal="center" vertical="center"/>
    </xf>
    <xf numFmtId="0" fontId="9" fillId="4" borderId="16" xfId="0" applyFont="1" applyFill="1" applyBorder="1" applyAlignment="1">
      <alignment horizontal="center"/>
    </xf>
    <xf numFmtId="0" fontId="9" fillId="4" borderId="2" xfId="0" applyFont="1" applyFill="1" applyBorder="1" applyAlignment="1">
      <alignment horizontal="center"/>
    </xf>
    <xf numFmtId="0" fontId="9" fillId="4" borderId="7" xfId="0" applyFont="1" applyFill="1" applyBorder="1" applyAlignment="1">
      <alignment horizontal="center"/>
    </xf>
    <xf numFmtId="0" fontId="3" fillId="5" borderId="0" xfId="0" applyFont="1" applyFill="1" applyAlignment="1">
      <alignment wrapText="1"/>
    </xf>
    <xf numFmtId="0" fontId="3" fillId="6"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Border="1" applyAlignment="1">
      <alignment vertical="center"/>
    </xf>
    <xf numFmtId="164" fontId="3" fillId="0" borderId="0" xfId="0" applyNumberFormat="1" applyFont="1" applyFill="1" applyBorder="1" applyAlignment="1"/>
    <xf numFmtId="164" fontId="3" fillId="0" borderId="0" xfId="25" applyFont="1" applyFill="1" applyBorder="1" applyAlignment="1"/>
    <xf numFmtId="43" fontId="3" fillId="0" borderId="0" xfId="0" applyNumberFormat="1" applyFont="1" applyFill="1" applyBorder="1" applyAlignment="1"/>
    <xf numFmtId="10" fontId="3" fillId="0" borderId="0" xfId="23" applyNumberFormat="1" applyFont="1" applyFill="1" applyBorder="1" applyAlignment="1"/>
    <xf numFmtId="0" fontId="3" fillId="0" borderId="14" xfId="0" applyNumberFormat="1" applyFont="1" applyBorder="1" applyAlignment="1">
      <alignment horizontal="center" vertical="center" wrapText="1"/>
    </xf>
    <xf numFmtId="0" fontId="3" fillId="0" borderId="0" xfId="0" applyNumberFormat="1" applyFont="1" applyAlignment="1">
      <alignment horizontal="center" wrapText="1"/>
    </xf>
    <xf numFmtId="164" fontId="3" fillId="3" borderId="0" xfId="25" applyFont="1" applyFill="1" applyAlignment="1"/>
    <xf numFmtId="164" fontId="3" fillId="3" borderId="0" xfId="25" applyFont="1" applyFill="1" applyAlignment="1">
      <alignment wrapText="1"/>
    </xf>
    <xf numFmtId="0" fontId="3" fillId="0" borderId="0" xfId="0" applyFont="1" applyFill="1" applyBorder="1" applyAlignment="1">
      <alignment vertical="center" wrapText="1"/>
    </xf>
    <xf numFmtId="10" fontId="4" fillId="4" borderId="62" xfId="23" applyNumberFormat="1" applyFont="1" applyFill="1" applyBorder="1" applyAlignment="1">
      <alignment horizontal="center" vertical="center"/>
    </xf>
    <xf numFmtId="164" fontId="4" fillId="7" borderId="0" xfId="25" applyFont="1" applyFill="1" applyBorder="1" applyAlignment="1">
      <alignment horizontal="right" vertical="center" wrapText="1"/>
    </xf>
    <xf numFmtId="164" fontId="3" fillId="7" borderId="0" xfId="25" applyFont="1" applyFill="1" applyBorder="1" applyAlignment="1">
      <alignment wrapText="1"/>
    </xf>
    <xf numFmtId="164" fontId="3" fillId="7" borderId="0" xfId="25" applyFont="1" applyFill="1" applyBorder="1" applyAlignment="1">
      <alignment horizontal="center" vertical="center" wrapText="1"/>
    </xf>
    <xf numFmtId="164" fontId="0" fillId="7" borderId="0" xfId="25" applyFont="1" applyFill="1" applyBorder="1" applyAlignment="1">
      <alignment vertical="center"/>
    </xf>
    <xf numFmtId="164" fontId="4" fillId="7" borderId="0" xfId="25" applyFont="1" applyFill="1" applyBorder="1" applyAlignment="1">
      <alignment vertical="center"/>
    </xf>
    <xf numFmtId="0" fontId="3" fillId="2" borderId="5" xfId="0" applyFont="1" applyFill="1" applyBorder="1" applyAlignment="1">
      <alignment horizontal="center" vertical="center"/>
    </xf>
    <xf numFmtId="164" fontId="3" fillId="0" borderId="5" xfId="25"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vertical="center" wrapText="1"/>
    </xf>
    <xf numFmtId="0" fontId="3" fillId="3" borderId="5" xfId="0" applyFont="1" applyFill="1" applyBorder="1" applyAlignment="1">
      <alignment horizontal="left" vertical="center" wrapText="1"/>
    </xf>
    <xf numFmtId="0" fontId="3" fillId="3" borderId="5" xfId="0" applyFont="1" applyFill="1" applyBorder="1" applyAlignment="1">
      <alignment horizontal="center" vertical="center" wrapText="1"/>
    </xf>
    <xf numFmtId="164" fontId="3" fillId="3" borderId="5" xfId="25" applyFont="1" applyFill="1" applyBorder="1" applyAlignment="1">
      <alignment horizontal="center" vertical="center" wrapText="1"/>
    </xf>
    <xf numFmtId="164" fontId="3" fillId="3" borderId="11" xfId="25" applyFont="1" applyFill="1" applyBorder="1" applyAlignment="1">
      <alignment horizontal="center" vertical="center" wrapText="1"/>
    </xf>
    <xf numFmtId="0" fontId="3" fillId="0" borderId="5" xfId="0" quotePrefix="1"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Border="1" applyAlignment="1">
      <alignment horizontal="center" vertical="center"/>
    </xf>
    <xf numFmtId="0" fontId="3" fillId="0" borderId="5" xfId="0" applyFont="1" applyFill="1" applyBorder="1" applyAlignment="1">
      <alignment horizontal="left" vertical="distributed" wrapText="1"/>
    </xf>
    <xf numFmtId="164" fontId="3" fillId="2" borderId="5" xfId="25" applyFont="1" applyFill="1" applyBorder="1" applyAlignment="1">
      <alignment horizontal="center" vertical="center" wrapText="1"/>
    </xf>
    <xf numFmtId="4" fontId="4" fillId="0" borderId="60" xfId="23" applyNumberFormat="1" applyFont="1" applyFill="1" applyBorder="1" applyAlignment="1">
      <alignment horizontal="center"/>
    </xf>
    <xf numFmtId="10" fontId="4" fillId="0" borderId="51" xfId="23" applyNumberFormat="1" applyFont="1" applyFill="1" applyBorder="1" applyAlignment="1">
      <alignment horizontal="center"/>
    </xf>
    <xf numFmtId="10" fontId="4" fillId="0" borderId="46" xfId="23" applyNumberFormat="1" applyFont="1" applyFill="1" applyBorder="1" applyAlignment="1">
      <alignment horizontal="center" vertical="center"/>
    </xf>
    <xf numFmtId="10" fontId="4" fillId="0" borderId="52" xfId="23" applyNumberFormat="1" applyFont="1" applyFill="1" applyBorder="1" applyAlignment="1">
      <alignment horizontal="center" vertical="center"/>
    </xf>
    <xf numFmtId="4" fontId="4" fillId="0" borderId="48" xfId="23" applyNumberFormat="1" applyFont="1" applyFill="1" applyBorder="1" applyAlignment="1">
      <alignment horizontal="center" vertical="center"/>
    </xf>
    <xf numFmtId="4" fontId="4" fillId="0" borderId="61" xfId="0" applyNumberFormat="1" applyFont="1" applyFill="1" applyBorder="1" applyAlignment="1"/>
    <xf numFmtId="164" fontId="1" fillId="0" borderId="64" xfId="25" applyFont="1" applyBorder="1" applyAlignment="1">
      <alignment vertical="center"/>
    </xf>
    <xf numFmtId="164" fontId="1" fillId="0" borderId="65" xfId="25" applyFont="1" applyBorder="1" applyAlignment="1">
      <alignment vertical="center"/>
    </xf>
    <xf numFmtId="164" fontId="1" fillId="0" borderId="66" xfId="25" applyFont="1" applyBorder="1" applyAlignment="1">
      <alignment vertical="center"/>
    </xf>
    <xf numFmtId="164" fontId="1" fillId="0" borderId="63" xfId="25" applyFont="1" applyBorder="1" applyAlignment="1">
      <alignment vertical="center"/>
    </xf>
    <xf numFmtId="0" fontId="4" fillId="2" borderId="1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9" xfId="0" applyFont="1" applyFill="1" applyBorder="1" applyAlignment="1">
      <alignment horizontal="left" vertical="center" wrapText="1"/>
    </xf>
    <xf numFmtId="4" fontId="4" fillId="2" borderId="9" xfId="0" applyNumberFormat="1" applyFont="1" applyFill="1" applyBorder="1" applyAlignment="1">
      <alignment horizontal="right" vertical="center" wrapText="1"/>
    </xf>
    <xf numFmtId="164" fontId="4" fillId="2" borderId="9" xfId="0" applyNumberFormat="1" applyFont="1" applyFill="1" applyBorder="1" applyAlignment="1">
      <alignment horizontal="center" vertical="center" wrapText="1"/>
    </xf>
    <xf numFmtId="164" fontId="4" fillId="2" borderId="13" xfId="0" applyNumberFormat="1" applyFont="1" applyFill="1" applyBorder="1" applyAlignment="1">
      <alignment vertical="center" wrapText="1"/>
    </xf>
    <xf numFmtId="0" fontId="4" fillId="2" borderId="67" xfId="0" applyFont="1" applyFill="1" applyBorder="1" applyAlignment="1">
      <alignment horizontal="center" vertical="center" wrapText="1"/>
    </xf>
    <xf numFmtId="0" fontId="4" fillId="2" borderId="68" xfId="0" applyFont="1" applyFill="1" applyBorder="1" applyAlignment="1">
      <alignment horizontal="center" vertical="center" wrapText="1"/>
    </xf>
    <xf numFmtId="0" fontId="3" fillId="2" borderId="68" xfId="0" applyFont="1" applyFill="1" applyBorder="1" applyAlignment="1">
      <alignment horizontal="center" vertical="center" wrapText="1"/>
    </xf>
    <xf numFmtId="0" fontId="1" fillId="2" borderId="68"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5" xfId="0" applyFont="1" applyBorder="1" applyAlignment="1">
      <alignment horizontal="left" vertical="center" wrapText="1"/>
    </xf>
    <xf numFmtId="49" fontId="3" fillId="2" borderId="5" xfId="0" applyNumberFormat="1" applyFont="1" applyFill="1" applyBorder="1" applyAlignment="1">
      <alignment horizontal="center" vertical="center"/>
    </xf>
    <xf numFmtId="0" fontId="3" fillId="3" borderId="5" xfId="0" applyFont="1" applyFill="1" applyBorder="1" applyAlignment="1">
      <alignment horizontal="left" vertical="distributed" wrapText="1"/>
    </xf>
    <xf numFmtId="164" fontId="3" fillId="3" borderId="5" xfId="25" applyFont="1" applyFill="1" applyBorder="1" applyAlignment="1">
      <alignment horizontal="center" vertical="center"/>
    </xf>
    <xf numFmtId="164" fontId="7" fillId="2" borderId="68" xfId="25" applyFont="1" applyFill="1" applyBorder="1" applyAlignment="1">
      <alignment horizontal="right" vertical="center" wrapText="1"/>
    </xf>
    <xf numFmtId="164" fontId="8" fillId="2" borderId="68" xfId="25" applyFont="1" applyFill="1" applyBorder="1" applyAlignment="1">
      <alignment horizontal="center" vertical="center" wrapText="1"/>
    </xf>
    <xf numFmtId="164" fontId="5" fillId="2" borderId="69" xfId="25" applyFont="1" applyFill="1" applyBorder="1" applyAlignment="1">
      <alignment horizontal="center" vertical="center" wrapText="1"/>
    </xf>
    <xf numFmtId="164" fontId="3" fillId="2" borderId="5" xfId="25" applyFont="1" applyFill="1" applyBorder="1" applyAlignment="1">
      <alignment horizontal="right" vertical="center" wrapText="1"/>
    </xf>
    <xf numFmtId="164" fontId="3" fillId="0" borderId="5" xfId="25" applyFont="1" applyFill="1" applyBorder="1" applyAlignment="1">
      <alignment horizontal="right" vertical="center" wrapText="1"/>
    </xf>
    <xf numFmtId="164" fontId="3" fillId="0" borderId="5" xfId="25" applyFont="1" applyFill="1" applyBorder="1" applyAlignment="1">
      <alignment horizontal="right" vertical="center"/>
    </xf>
    <xf numFmtId="164" fontId="3" fillId="0" borderId="5" xfId="25" applyFont="1" applyFill="1" applyBorder="1" applyAlignment="1">
      <alignment vertical="center"/>
    </xf>
    <xf numFmtId="164" fontId="3" fillId="0" borderId="5" xfId="25" applyFont="1" applyBorder="1" applyAlignment="1">
      <alignment horizontal="right" vertical="center" wrapText="1"/>
    </xf>
    <xf numFmtId="164" fontId="3" fillId="0" borderId="5" xfId="25" applyFont="1" applyBorder="1" applyAlignment="1">
      <alignment horizontal="center" vertical="center" wrapText="1"/>
    </xf>
    <xf numFmtId="0" fontId="3" fillId="0" borderId="5" xfId="0" applyFont="1" applyBorder="1" applyAlignment="1">
      <alignment vertical="center" wrapText="1"/>
    </xf>
    <xf numFmtId="164" fontId="3" fillId="0" borderId="5" xfId="25" applyFont="1" applyBorder="1" applyAlignment="1">
      <alignment vertical="center" wrapText="1"/>
    </xf>
    <xf numFmtId="0" fontId="13" fillId="0" borderId="15" xfId="0" applyFont="1" applyBorder="1" applyAlignment="1">
      <alignment vertical="center"/>
    </xf>
    <xf numFmtId="0" fontId="13" fillId="0" borderId="9" xfId="0" applyFont="1" applyBorder="1" applyAlignment="1">
      <alignment vertical="center"/>
    </xf>
    <xf numFmtId="4" fontId="13" fillId="0" borderId="9" xfId="0" applyNumberFormat="1" applyFont="1" applyBorder="1" applyAlignment="1">
      <alignment horizontal="center" vertical="center"/>
    </xf>
    <xf numFmtId="0" fontId="13" fillId="0" borderId="13" xfId="0" applyFont="1" applyBorder="1" applyAlignment="1">
      <alignment vertical="center"/>
    </xf>
    <xf numFmtId="0" fontId="9" fillId="4" borderId="21" xfId="0" applyFont="1" applyFill="1" applyBorder="1" applyAlignment="1">
      <alignment vertical="center"/>
    </xf>
    <xf numFmtId="0" fontId="9" fillId="4" borderId="22" xfId="0" applyFont="1" applyFill="1" applyBorder="1" applyAlignment="1">
      <alignment vertical="center"/>
    </xf>
    <xf numFmtId="4" fontId="9" fillId="4" borderId="22" xfId="0" applyNumberFormat="1" applyFont="1" applyFill="1" applyBorder="1" applyAlignment="1">
      <alignment horizontal="center" vertical="center"/>
    </xf>
    <xf numFmtId="0" fontId="13" fillId="4" borderId="0" xfId="0" applyFont="1" applyFill="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4" fontId="9" fillId="0" borderId="22" xfId="0" applyNumberFormat="1" applyFont="1" applyBorder="1" applyAlignment="1">
      <alignment horizontal="center" vertical="center"/>
    </xf>
    <xf numFmtId="0" fontId="9" fillId="0" borderId="9" xfId="0" applyFont="1" applyBorder="1" applyAlignment="1">
      <alignment vertical="center"/>
    </xf>
    <xf numFmtId="166" fontId="9" fillId="0" borderId="23" xfId="0" applyNumberFormat="1" applyFont="1" applyBorder="1" applyAlignment="1">
      <alignment horizontal="center" vertical="center"/>
    </xf>
    <xf numFmtId="0" fontId="9" fillId="4" borderId="15" xfId="0" applyFont="1" applyFill="1" applyBorder="1" applyAlignment="1">
      <alignment vertical="center"/>
    </xf>
    <xf numFmtId="0" fontId="9" fillId="4" borderId="9" xfId="0" applyFont="1" applyFill="1" applyBorder="1" applyAlignment="1">
      <alignment vertical="center"/>
    </xf>
    <xf numFmtId="4" fontId="9" fillId="4" borderId="9" xfId="0" applyNumberFormat="1" applyFont="1" applyFill="1" applyBorder="1" applyAlignment="1">
      <alignment horizontal="center" vertical="center"/>
    </xf>
    <xf numFmtId="0" fontId="13" fillId="4" borderId="9" xfId="0" applyFont="1" applyFill="1" applyBorder="1" applyAlignment="1">
      <alignment vertical="center"/>
    </xf>
    <xf numFmtId="0" fontId="9" fillId="4" borderId="9" xfId="0" applyFont="1" applyFill="1" applyBorder="1" applyAlignment="1">
      <alignment horizontal="right" vertical="center"/>
    </xf>
    <xf numFmtId="0" fontId="9" fillId="4" borderId="13" xfId="0" quotePrefix="1" applyFont="1" applyFill="1" applyBorder="1" applyAlignment="1">
      <alignment vertical="center"/>
    </xf>
    <xf numFmtId="0" fontId="9" fillId="0" borderId="24" xfId="0" applyFont="1" applyFill="1" applyBorder="1" applyAlignment="1">
      <alignment vertical="center"/>
    </xf>
    <xf numFmtId="0" fontId="9" fillId="0" borderId="0" xfId="0" applyFont="1" applyFill="1" applyBorder="1" applyAlignment="1">
      <alignment vertical="center"/>
    </xf>
    <xf numFmtId="4" fontId="9" fillId="0" borderId="0" xfId="0" applyNumberFormat="1" applyFont="1" applyFill="1" applyBorder="1" applyAlignment="1">
      <alignment horizontal="center" vertical="center"/>
    </xf>
    <xf numFmtId="0" fontId="13" fillId="0" borderId="9" xfId="0" applyFont="1" applyFill="1" applyBorder="1" applyAlignment="1">
      <alignment vertical="center"/>
    </xf>
    <xf numFmtId="0" fontId="13" fillId="0" borderId="13" xfId="0" applyFont="1" applyFill="1" applyBorder="1" applyAlignment="1">
      <alignment vertical="center"/>
    </xf>
    <xf numFmtId="0" fontId="9" fillId="4" borderId="25" xfId="0" applyFont="1" applyFill="1" applyBorder="1" applyAlignment="1">
      <alignment horizontal="center" vertical="center"/>
    </xf>
    <xf numFmtId="0" fontId="9" fillId="4" borderId="26" xfId="0" applyFont="1" applyFill="1" applyBorder="1" applyAlignment="1">
      <alignment horizontal="center" vertical="center"/>
    </xf>
    <xf numFmtId="0" fontId="9" fillId="4" borderId="27" xfId="0" applyFont="1" applyFill="1" applyBorder="1" applyAlignment="1">
      <alignment horizontal="center" vertical="center"/>
    </xf>
    <xf numFmtId="0" fontId="3" fillId="0" borderId="70" xfId="0" applyFont="1" applyBorder="1" applyAlignment="1"/>
    <xf numFmtId="0" fontId="3" fillId="0" borderId="71" xfId="0" applyFont="1" applyBorder="1" applyAlignment="1"/>
    <xf numFmtId="0" fontId="3" fillId="0"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164" fontId="5" fillId="4" borderId="35" xfId="25" applyNumberFormat="1" applyFont="1" applyFill="1" applyBorder="1" applyAlignment="1">
      <alignment horizontal="center" vertical="center" wrapText="1"/>
    </xf>
    <xf numFmtId="14" fontId="4" fillId="4" borderId="13" xfId="0" quotePrefix="1" applyNumberFormat="1" applyFont="1" applyFill="1" applyBorder="1" applyAlignment="1">
      <alignment horizontal="center" vertical="center" wrapText="1"/>
    </xf>
    <xf numFmtId="14" fontId="9" fillId="4" borderId="23" xfId="0" quotePrefix="1" applyNumberFormat="1" applyFont="1" applyFill="1" applyBorder="1" applyAlignment="1">
      <alignment horizontal="left" vertical="center" wrapText="1"/>
    </xf>
    <xf numFmtId="10" fontId="3" fillId="0" borderId="0" xfId="0" applyNumberFormat="1" applyFont="1" applyBorder="1" applyAlignment="1"/>
    <xf numFmtId="10" fontId="3" fillId="2" borderId="0" xfId="23" applyNumberFormat="1" applyFont="1" applyFill="1" applyAlignment="1"/>
    <xf numFmtId="0"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164" fontId="3" fillId="0" borderId="5" xfId="25" applyFont="1" applyFill="1" applyBorder="1" applyAlignment="1">
      <alignment vertical="center" wrapText="1"/>
    </xf>
    <xf numFmtId="164" fontId="3" fillId="0" borderId="5" xfId="25" applyFont="1" applyFill="1" applyBorder="1" applyAlignment="1">
      <alignment horizontal="center" vertical="center"/>
    </xf>
    <xf numFmtId="0" fontId="3" fillId="5" borderId="0" xfId="0" applyFont="1" applyFill="1" applyBorder="1" applyAlignment="1"/>
    <xf numFmtId="0" fontId="9" fillId="0" borderId="21" xfId="0" applyFont="1" applyBorder="1"/>
    <xf numFmtId="0" fontId="0" fillId="0" borderId="47" xfId="0" applyBorder="1"/>
    <xf numFmtId="0" fontId="0" fillId="0" borderId="47" xfId="0" applyBorder="1" applyAlignment="1">
      <alignment horizontal="center"/>
    </xf>
    <xf numFmtId="0" fontId="5" fillId="0" borderId="47" xfId="0" applyFont="1" applyBorder="1" applyAlignment="1">
      <alignment horizontal="center"/>
    </xf>
    <xf numFmtId="164" fontId="0" fillId="0" borderId="47" xfId="25" applyFont="1" applyBorder="1" applyAlignment="1">
      <alignment horizontal="center"/>
    </xf>
    <xf numFmtId="164" fontId="5" fillId="0" borderId="47" xfId="0" applyNumberFormat="1" applyFont="1" applyBorder="1" applyAlignment="1">
      <alignment horizontal="center"/>
    </xf>
    <xf numFmtId="3" fontId="0" fillId="0" borderId="0" xfId="0" applyNumberFormat="1"/>
    <xf numFmtId="0" fontId="0" fillId="0" borderId="0" xfId="0" applyAlignment="1">
      <alignment horizontal="center"/>
    </xf>
    <xf numFmtId="0" fontId="0" fillId="7" borderId="47" xfId="0" applyFill="1" applyBorder="1" applyAlignment="1">
      <alignment horizontal="center"/>
    </xf>
    <xf numFmtId="0" fontId="17" fillId="7" borderId="47" xfId="0" applyFont="1" applyFill="1" applyBorder="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0" fillId="7" borderId="47" xfId="0" applyNumberFormat="1" applyFill="1" applyBorder="1" applyAlignment="1">
      <alignment horizontal="center"/>
    </xf>
    <xf numFmtId="164" fontId="3" fillId="0" borderId="0" xfId="25" applyFont="1" applyFill="1" applyBorder="1" applyAlignment="1">
      <alignment horizontal="center" vertical="center" wrapText="1"/>
    </xf>
    <xf numFmtId="0" fontId="0" fillId="0" borderId="0" xfId="0" applyAlignment="1">
      <alignment horizontal="right"/>
    </xf>
    <xf numFmtId="2" fontId="5" fillId="0" borderId="0" xfId="0" applyNumberFormat="1" applyFont="1"/>
    <xf numFmtId="0" fontId="4" fillId="0" borderId="5" xfId="0" applyFont="1" applyFill="1" applyBorder="1" applyAlignment="1">
      <alignment horizontal="center" vertical="center"/>
    </xf>
    <xf numFmtId="0" fontId="4" fillId="0" borderId="5" xfId="0" quotePrefix="1" applyFont="1" applyFill="1" applyBorder="1" applyAlignment="1">
      <alignment horizontal="center" vertical="center"/>
    </xf>
    <xf numFmtId="0" fontId="4" fillId="0" borderId="5" xfId="0" applyFont="1" applyFill="1" applyBorder="1" applyAlignment="1">
      <alignment vertical="center" wrapText="1"/>
    </xf>
    <xf numFmtId="164" fontId="4" fillId="0" borderId="5" xfId="25" applyFont="1" applyFill="1" applyBorder="1" applyAlignment="1">
      <alignment horizontal="right" vertical="center"/>
    </xf>
    <xf numFmtId="164" fontId="4" fillId="0" borderId="5" xfId="25" applyFont="1" applyFill="1" applyBorder="1" applyAlignment="1">
      <alignment vertical="center"/>
    </xf>
    <xf numFmtId="0" fontId="4" fillId="0" borderId="5" xfId="0" applyFont="1" applyFill="1" applyBorder="1" applyAlignment="1">
      <alignment horizontal="center" vertical="center" wrapText="1"/>
    </xf>
    <xf numFmtId="0" fontId="3" fillId="6" borderId="0" xfId="0" applyFont="1" applyFill="1" applyAlignment="1">
      <alignment wrapText="1"/>
    </xf>
    <xf numFmtId="10" fontId="4" fillId="0" borderId="62" xfId="23" applyNumberFormat="1" applyFont="1" applyFill="1" applyBorder="1" applyAlignment="1">
      <alignment horizontal="center" vertical="center"/>
    </xf>
    <xf numFmtId="164" fontId="0" fillId="0" borderId="0" xfId="25" applyFont="1" applyFill="1" applyBorder="1" applyAlignment="1">
      <alignment vertical="center"/>
    </xf>
    <xf numFmtId="164" fontId="3" fillId="0" borderId="0" xfId="25" applyFont="1" applyFill="1" applyBorder="1" applyAlignment="1">
      <alignment vertical="center"/>
    </xf>
    <xf numFmtId="168" fontId="4" fillId="0" borderId="15" xfId="0" applyNumberFormat="1" applyFont="1" applyFill="1" applyBorder="1" applyAlignment="1"/>
    <xf numFmtId="168" fontId="4" fillId="0" borderId="13" xfId="0" applyNumberFormat="1" applyFont="1" applyFill="1" applyBorder="1" applyAlignment="1"/>
    <xf numFmtId="0" fontId="3" fillId="0" borderId="49" xfId="0" applyNumberFormat="1" applyFont="1" applyFill="1" applyBorder="1" applyAlignment="1">
      <alignment horizontal="center" wrapText="1"/>
    </xf>
    <xf numFmtId="0" fontId="3" fillId="0" borderId="35" xfId="0" applyFont="1" applyFill="1" applyBorder="1" applyAlignment="1">
      <alignment wrapText="1"/>
    </xf>
    <xf numFmtId="0" fontId="4" fillId="0" borderId="35" xfId="0" applyFont="1" applyFill="1" applyBorder="1" applyAlignment="1">
      <alignment horizontal="center" vertical="center" wrapText="1"/>
    </xf>
    <xf numFmtId="0" fontId="3" fillId="0" borderId="35" xfId="0" applyFont="1" applyFill="1" applyBorder="1" applyAlignment="1">
      <alignment horizontal="center" wrapText="1"/>
    </xf>
    <xf numFmtId="164" fontId="3" fillId="0" borderId="35" xfId="25" applyNumberFormat="1" applyFont="1" applyFill="1" applyBorder="1" applyAlignment="1">
      <alignment wrapText="1"/>
    </xf>
    <xf numFmtId="164" fontId="14" fillId="0" borderId="35" xfId="25" applyNumberFormat="1" applyFont="1" applyFill="1" applyBorder="1" applyAlignment="1">
      <alignment wrapText="1"/>
    </xf>
    <xf numFmtId="164" fontId="3" fillId="0" borderId="50" xfId="25" applyFont="1" applyFill="1" applyBorder="1" applyAlignment="1">
      <alignment wrapText="1"/>
    </xf>
    <xf numFmtId="0" fontId="3" fillId="3" borderId="18" xfId="0" applyNumberFormat="1" applyFont="1" applyFill="1" applyBorder="1" applyAlignment="1">
      <alignment horizontal="center" wrapText="1"/>
    </xf>
    <xf numFmtId="0" fontId="3" fillId="3" borderId="5" xfId="0" applyFont="1" applyFill="1" applyBorder="1" applyAlignment="1">
      <alignment wrapText="1"/>
    </xf>
    <xf numFmtId="0" fontId="4" fillId="3" borderId="5" xfId="0" applyFont="1" applyFill="1" applyBorder="1" applyAlignment="1">
      <alignment horizontal="left" vertical="center" wrapText="1"/>
    </xf>
    <xf numFmtId="0" fontId="3" fillId="3" borderId="5" xfId="0" applyFont="1" applyFill="1" applyBorder="1" applyAlignment="1">
      <alignment horizontal="center" wrapText="1"/>
    </xf>
    <xf numFmtId="164" fontId="3" fillId="3" borderId="5" xfId="25" applyNumberFormat="1" applyFont="1" applyFill="1" applyBorder="1" applyAlignment="1">
      <alignment wrapText="1"/>
    </xf>
    <xf numFmtId="164" fontId="14" fillId="3" borderId="5" xfId="25" applyNumberFormat="1" applyFont="1" applyFill="1" applyBorder="1" applyAlignment="1">
      <alignment wrapText="1"/>
    </xf>
    <xf numFmtId="164" fontId="3" fillId="3" borderId="11" xfId="25" applyFont="1" applyFill="1" applyBorder="1" applyAlignment="1">
      <alignment wrapText="1"/>
    </xf>
    <xf numFmtId="0" fontId="3" fillId="3" borderId="5" xfId="0" quotePrefix="1" applyFont="1" applyFill="1" applyBorder="1" applyAlignment="1">
      <alignment horizontal="center" vertical="center"/>
    </xf>
    <xf numFmtId="0" fontId="3" fillId="3" borderId="5" xfId="0" applyFont="1" applyFill="1" applyBorder="1" applyAlignment="1">
      <alignment horizontal="center" vertical="center"/>
    </xf>
    <xf numFmtId="164" fontId="3" fillId="3" borderId="5" xfId="25" applyNumberFormat="1" applyFont="1" applyFill="1" applyBorder="1" applyAlignment="1">
      <alignment horizontal="right" vertical="center"/>
    </xf>
    <xf numFmtId="164" fontId="3" fillId="3" borderId="5" xfId="25" applyNumberFormat="1" applyFont="1" applyFill="1" applyBorder="1" applyAlignment="1">
      <alignment vertical="center"/>
    </xf>
    <xf numFmtId="0" fontId="3" fillId="3" borderId="18" xfId="0" applyNumberFormat="1" applyFont="1" applyFill="1" applyBorder="1" applyAlignment="1">
      <alignment horizontal="center" vertical="center"/>
    </xf>
    <xf numFmtId="0" fontId="3" fillId="3" borderId="5" xfId="0" applyFont="1" applyFill="1" applyBorder="1" applyAlignment="1">
      <alignment vertical="center" wrapText="1"/>
    </xf>
    <xf numFmtId="0" fontId="0" fillId="3" borderId="18" xfId="0" applyNumberFormat="1" applyFill="1" applyBorder="1" applyAlignment="1">
      <alignment horizontal="center" vertical="center"/>
    </xf>
    <xf numFmtId="0" fontId="0" fillId="3" borderId="5" xfId="0" applyFill="1" applyBorder="1" applyAlignment="1">
      <alignment horizontal="center" vertical="center"/>
    </xf>
    <xf numFmtId="0" fontId="1" fillId="3" borderId="5" xfId="0" applyFont="1" applyFill="1" applyBorder="1" applyAlignment="1">
      <alignment horizontal="center" vertical="center"/>
    </xf>
    <xf numFmtId="0" fontId="0" fillId="3" borderId="5" xfId="0" applyFill="1" applyBorder="1" applyAlignment="1">
      <alignment vertical="center" wrapText="1"/>
    </xf>
    <xf numFmtId="164" fontId="1" fillId="3" borderId="5" xfId="25" applyNumberFormat="1" applyFont="1" applyFill="1" applyBorder="1" applyAlignment="1">
      <alignment horizontal="right" vertical="center"/>
    </xf>
    <xf numFmtId="164" fontId="0" fillId="3" borderId="5" xfId="25" applyNumberFormat="1" applyFont="1" applyFill="1" applyBorder="1" applyAlignment="1">
      <alignment vertical="center"/>
    </xf>
    <xf numFmtId="164" fontId="0" fillId="3" borderId="5" xfId="25" applyNumberFormat="1" applyFont="1" applyFill="1" applyBorder="1" applyAlignment="1">
      <alignment horizontal="right" vertical="center"/>
    </xf>
    <xf numFmtId="164" fontId="0" fillId="3" borderId="11" xfId="25" applyFont="1" applyFill="1" applyBorder="1" applyAlignment="1">
      <alignment vertical="center"/>
    </xf>
    <xf numFmtId="0" fontId="3" fillId="3" borderId="5" xfId="0" quotePrefix="1" applyFont="1" applyFill="1" applyBorder="1" applyAlignment="1">
      <alignment horizontal="center" vertical="center" wrapText="1"/>
    </xf>
    <xf numFmtId="0" fontId="3" fillId="3" borderId="18" xfId="0" applyFont="1" applyFill="1" applyBorder="1" applyAlignment="1">
      <alignment horizontal="center" vertical="center" wrapText="1"/>
    </xf>
    <xf numFmtId="164" fontId="3" fillId="3" borderId="11" xfId="25" applyFont="1" applyFill="1" applyBorder="1" applyAlignment="1">
      <alignment vertical="center"/>
    </xf>
    <xf numFmtId="0" fontId="4" fillId="7" borderId="18" xfId="0" applyNumberFormat="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5" xfId="0" applyFont="1" applyFill="1" applyBorder="1" applyAlignment="1">
      <alignment vertical="center" wrapText="1"/>
    </xf>
    <xf numFmtId="164" fontId="4" fillId="7" borderId="5" xfId="25" applyNumberFormat="1" applyFont="1" applyFill="1" applyBorder="1" applyAlignment="1">
      <alignment horizontal="center" vertical="center" wrapText="1"/>
    </xf>
    <xf numFmtId="164" fontId="15" fillId="7" borderId="5" xfId="25" applyNumberFormat="1" applyFont="1" applyFill="1" applyBorder="1" applyAlignment="1">
      <alignment horizontal="center" vertical="center" wrapText="1"/>
    </xf>
    <xf numFmtId="164" fontId="4" fillId="7" borderId="5" xfId="25" applyNumberFormat="1" applyFont="1" applyFill="1" applyBorder="1" applyAlignment="1">
      <alignment horizontal="right" vertical="center" wrapText="1"/>
    </xf>
    <xf numFmtId="164" fontId="4" fillId="7" borderId="11" xfId="25" applyFont="1" applyFill="1" applyBorder="1" applyAlignment="1">
      <alignment horizontal="right" vertical="center" wrapText="1"/>
    </xf>
    <xf numFmtId="0" fontId="4" fillId="10" borderId="18" xfId="0" applyNumberFormat="1"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5" xfId="0" applyFont="1" applyFill="1" applyBorder="1" applyAlignment="1">
      <alignment vertical="center" wrapText="1"/>
    </xf>
    <xf numFmtId="164" fontId="4" fillId="10" borderId="5" xfId="25" applyNumberFormat="1" applyFont="1" applyFill="1" applyBorder="1" applyAlignment="1">
      <alignment horizontal="center" vertical="center" wrapText="1"/>
    </xf>
    <xf numFmtId="164" fontId="15" fillId="10" borderId="5" xfId="25" applyNumberFormat="1" applyFont="1" applyFill="1" applyBorder="1" applyAlignment="1">
      <alignment horizontal="center" vertical="center" wrapText="1"/>
    </xf>
    <xf numFmtId="164" fontId="4" fillId="10" borderId="5" xfId="25" applyNumberFormat="1" applyFont="1" applyFill="1" applyBorder="1" applyAlignment="1">
      <alignment horizontal="right" vertical="center" wrapText="1"/>
    </xf>
    <xf numFmtId="164" fontId="4" fillId="10" borderId="11" xfId="25" applyFont="1" applyFill="1" applyBorder="1" applyAlignment="1">
      <alignment horizontal="right" vertical="center" wrapText="1"/>
    </xf>
    <xf numFmtId="0" fontId="3" fillId="2" borderId="18" xfId="0" applyFont="1" applyFill="1" applyBorder="1" applyAlignment="1">
      <alignment horizontal="center" vertical="center" wrapText="1"/>
    </xf>
    <xf numFmtId="164" fontId="3" fillId="2" borderId="11" xfId="25" applyFont="1" applyFill="1" applyBorder="1" applyAlignment="1">
      <alignment horizontal="center" vertical="center" wrapText="1"/>
    </xf>
    <xf numFmtId="164" fontId="3" fillId="0" borderId="11" xfId="25" applyFont="1" applyFill="1" applyBorder="1" applyAlignment="1">
      <alignment horizontal="center" vertical="center" wrapText="1"/>
    </xf>
    <xf numFmtId="0" fontId="4" fillId="0" borderId="18" xfId="0" applyNumberFormat="1" applyFont="1" applyFill="1" applyBorder="1" applyAlignment="1">
      <alignment horizontal="center" vertical="center" wrapText="1"/>
    </xf>
    <xf numFmtId="164" fontId="4" fillId="0" borderId="5" xfId="25" applyNumberFormat="1" applyFont="1" applyFill="1" applyBorder="1" applyAlignment="1">
      <alignment horizontal="center" vertical="center" wrapText="1"/>
    </xf>
    <xf numFmtId="164" fontId="15" fillId="0" borderId="5" xfId="25" applyNumberFormat="1" applyFont="1" applyFill="1" applyBorder="1" applyAlignment="1">
      <alignment horizontal="center" vertical="center" wrapText="1"/>
    </xf>
    <xf numFmtId="164" fontId="4" fillId="0" borderId="5" xfId="25" applyNumberFormat="1" applyFont="1" applyFill="1" applyBorder="1" applyAlignment="1">
      <alignment horizontal="right" vertical="center" wrapText="1"/>
    </xf>
    <xf numFmtId="164" fontId="4" fillId="0" borderId="11" xfId="25" applyFont="1" applyFill="1" applyBorder="1" applyAlignment="1">
      <alignment horizontal="right" vertical="center" wrapText="1"/>
    </xf>
    <xf numFmtId="164" fontId="3" fillId="0" borderId="0" xfId="25" applyFont="1" applyFill="1" applyAlignment="1">
      <alignment wrapText="1"/>
    </xf>
    <xf numFmtId="0" fontId="3" fillId="0" borderId="18" xfId="0" applyNumberFormat="1" applyFont="1" applyFill="1" applyBorder="1" applyAlignment="1">
      <alignment horizontal="center" vertical="center"/>
    </xf>
    <xf numFmtId="164" fontId="0" fillId="5" borderId="0" xfId="25" applyFont="1" applyFill="1" applyBorder="1" applyAlignment="1">
      <alignment vertical="center"/>
    </xf>
    <xf numFmtId="43" fontId="3" fillId="5" borderId="0" xfId="0" applyNumberFormat="1" applyFont="1" applyFill="1" applyBorder="1" applyAlignment="1"/>
    <xf numFmtId="0" fontId="3" fillId="0" borderId="5" xfId="0" applyFont="1" applyFill="1" applyBorder="1" applyAlignment="1">
      <alignment horizontal="center" vertical="distributed" wrapText="1"/>
    </xf>
    <xf numFmtId="0" fontId="4" fillId="7" borderId="5" xfId="0" quotePrefix="1" applyFont="1" applyFill="1" applyBorder="1" applyAlignment="1">
      <alignment horizontal="center" vertical="center" wrapText="1"/>
    </xf>
    <xf numFmtId="0" fontId="4" fillId="7" borderId="5" xfId="0" applyFont="1" applyFill="1" applyBorder="1" applyAlignment="1">
      <alignment horizontal="left" vertical="center" wrapText="1"/>
    </xf>
    <xf numFmtId="164" fontId="3" fillId="2" borderId="0" xfId="25" applyFont="1" applyFill="1" applyAlignment="1">
      <alignment wrapText="1"/>
    </xf>
    <xf numFmtId="164" fontId="3" fillId="0" borderId="5" xfId="0" applyNumberFormat="1" applyFont="1" applyFill="1" applyBorder="1" applyAlignment="1">
      <alignment horizontal="center" vertical="center" wrapText="1"/>
    </xf>
    <xf numFmtId="164" fontId="3" fillId="0" borderId="0" xfId="25" applyFont="1" applyFill="1" applyAlignment="1"/>
    <xf numFmtId="164" fontId="3" fillId="2" borderId="5" xfId="0" applyNumberFormat="1" applyFont="1" applyFill="1" applyBorder="1" applyAlignment="1">
      <alignment horizontal="center" vertical="center" wrapText="1"/>
    </xf>
    <xf numFmtId="164" fontId="3" fillId="6" borderId="5" xfId="25" applyFont="1" applyFill="1" applyBorder="1" applyAlignment="1">
      <alignment horizontal="center" vertical="center" wrapText="1"/>
    </xf>
    <xf numFmtId="164" fontId="0" fillId="6" borderId="0" xfId="25" applyFont="1" applyFill="1" applyBorder="1" applyAlignment="1">
      <alignment vertical="center"/>
    </xf>
    <xf numFmtId="0" fontId="3" fillId="6" borderId="0" xfId="0" applyFont="1" applyFill="1" applyBorder="1" applyAlignment="1"/>
    <xf numFmtId="43" fontId="3" fillId="6" borderId="0" xfId="0" applyNumberFormat="1" applyFont="1" applyFill="1" applyBorder="1" applyAlignment="1"/>
    <xf numFmtId="0" fontId="3" fillId="0" borderId="18" xfId="0" applyFont="1" applyFill="1" applyBorder="1" applyAlignment="1">
      <alignment horizontal="center" vertical="center" wrapText="1"/>
    </xf>
    <xf numFmtId="0" fontId="3" fillId="0" borderId="0" xfId="0" applyFont="1" applyFill="1" applyBorder="1" applyAlignment="1">
      <alignment vertical="distributed"/>
    </xf>
    <xf numFmtId="0" fontId="3" fillId="0" borderId="0" xfId="0" applyFont="1" applyFill="1" applyAlignment="1">
      <alignment vertical="distributed" wrapText="1"/>
    </xf>
    <xf numFmtId="43" fontId="3" fillId="0" borderId="0" xfId="0" applyNumberFormat="1" applyFont="1" applyFill="1" applyBorder="1" applyAlignment="1">
      <alignment vertical="distributed"/>
    </xf>
    <xf numFmtId="164" fontId="4" fillId="7" borderId="11" xfId="25" quotePrefix="1" applyFont="1" applyFill="1" applyBorder="1" applyAlignment="1">
      <alignment horizontal="right" vertical="center" wrapText="1"/>
    </xf>
    <xf numFmtId="0" fontId="5" fillId="0" borderId="0" xfId="0" applyFont="1"/>
    <xf numFmtId="0" fontId="1" fillId="0" borderId="0" xfId="0" applyFont="1"/>
    <xf numFmtId="2" fontId="0" fillId="0" borderId="0" xfId="0" applyNumberFormat="1" applyAlignment="1">
      <alignment horizontal="center"/>
    </xf>
    <xf numFmtId="2" fontId="0" fillId="0" borderId="0" xfId="0" applyNumberFormat="1"/>
    <xf numFmtId="164" fontId="0" fillId="0" borderId="0" xfId="25" applyFont="1" applyAlignment="1">
      <alignment horizontal="center"/>
    </xf>
    <xf numFmtId="164" fontId="0" fillId="0" borderId="0" xfId="25" applyFont="1"/>
    <xf numFmtId="0" fontId="0" fillId="11" borderId="0" xfId="0" applyFill="1"/>
    <xf numFmtId="0" fontId="0" fillId="12" borderId="0" xfId="0" applyFill="1"/>
    <xf numFmtId="2" fontId="5" fillId="0" borderId="72" xfId="0" applyNumberFormat="1" applyFont="1" applyBorder="1"/>
    <xf numFmtId="164" fontId="5" fillId="0" borderId="73" xfId="0" applyNumberFormat="1" applyFont="1" applyBorder="1"/>
    <xf numFmtId="43" fontId="3" fillId="0" borderId="0" xfId="0" applyNumberFormat="1" applyFont="1" applyAlignment="1"/>
    <xf numFmtId="164" fontId="3" fillId="0" borderId="11" xfId="25" applyFont="1" applyFill="1" applyBorder="1" applyAlignment="1">
      <alignment vertical="center" wrapText="1"/>
    </xf>
    <xf numFmtId="43" fontId="3" fillId="0" borderId="0" xfId="0" applyNumberFormat="1" applyFont="1" applyFill="1" applyAlignment="1"/>
    <xf numFmtId="0" fontId="0" fillId="0" borderId="0" xfId="0" applyAlignment="1">
      <alignment horizontal="center"/>
    </xf>
    <xf numFmtId="164" fontId="1" fillId="0" borderId="5" xfId="25" applyNumberFormat="1" applyFont="1" applyFill="1" applyBorder="1" applyAlignment="1">
      <alignment horizontal="right" vertical="center"/>
    </xf>
    <xf numFmtId="164" fontId="0" fillId="0" borderId="5" xfId="25" applyNumberFormat="1" applyFont="1" applyFill="1" applyBorder="1" applyAlignment="1">
      <alignment vertical="center"/>
    </xf>
    <xf numFmtId="10" fontId="4" fillId="0" borderId="16" xfId="23" applyNumberFormat="1" applyFont="1" applyFill="1" applyBorder="1" applyAlignment="1">
      <alignment horizontal="center"/>
    </xf>
    <xf numFmtId="10" fontId="4" fillId="0" borderId="2" xfId="23" applyNumberFormat="1" applyFont="1" applyFill="1" applyBorder="1" applyAlignment="1">
      <alignment horizontal="center" vertical="center"/>
    </xf>
    <xf numFmtId="10" fontId="4" fillId="0" borderId="7" xfId="23" applyNumberFormat="1" applyFont="1" applyFill="1" applyBorder="1" applyAlignment="1">
      <alignment horizontal="center" vertical="center"/>
    </xf>
    <xf numFmtId="0" fontId="4" fillId="7" borderId="18" xfId="0" quotePrefix="1" applyNumberFormat="1" applyFont="1" applyFill="1" applyBorder="1" applyAlignment="1">
      <alignment horizontal="center" vertical="center" wrapText="1"/>
    </xf>
    <xf numFmtId="2" fontId="3" fillId="0" borderId="0" xfId="23" applyNumberFormat="1" applyFont="1" applyFill="1" applyBorder="1" applyAlignment="1"/>
    <xf numFmtId="0" fontId="3" fillId="2" borderId="0" xfId="0" applyFont="1" applyFill="1" applyBorder="1" applyAlignment="1"/>
    <xf numFmtId="4" fontId="3" fillId="0" borderId="5" xfId="0" applyNumberFormat="1" applyFont="1" applyFill="1" applyBorder="1" applyAlignment="1">
      <alignment horizontal="right" vertical="center" wrapText="1"/>
    </xf>
    <xf numFmtId="164" fontId="3" fillId="0" borderId="11" xfId="0" applyNumberFormat="1" applyFont="1" applyFill="1" applyBorder="1" applyAlignment="1">
      <alignment vertical="center" wrapText="1"/>
    </xf>
    <xf numFmtId="164" fontId="3" fillId="7" borderId="5" xfId="25" applyFont="1" applyFill="1" applyBorder="1" applyAlignment="1">
      <alignment horizontal="right" vertical="center" wrapText="1"/>
    </xf>
    <xf numFmtId="164" fontId="3" fillId="7" borderId="5" xfId="25" applyFont="1" applyFill="1" applyBorder="1" applyAlignment="1">
      <alignment horizontal="center" vertical="center" wrapText="1"/>
    </xf>
    <xf numFmtId="0" fontId="4" fillId="2" borderId="18" xfId="0"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164" fontId="4" fillId="2" borderId="11" xfId="0" applyNumberFormat="1" applyFont="1" applyFill="1" applyBorder="1" applyAlignment="1">
      <alignment vertical="center" wrapText="1"/>
    </xf>
    <xf numFmtId="164" fontId="3" fillId="2" borderId="11" xfId="0" applyNumberFormat="1" applyFont="1" applyFill="1" applyBorder="1" applyAlignment="1">
      <alignment vertical="center" wrapText="1"/>
    </xf>
    <xf numFmtId="4" fontId="3" fillId="0" borderId="5" xfId="0" applyNumberFormat="1" applyFont="1" applyFill="1" applyBorder="1" applyAlignment="1">
      <alignment horizontal="center" vertical="center" wrapText="1"/>
    </xf>
    <xf numFmtId="0" fontId="3" fillId="6" borderId="0" xfId="0" applyFont="1" applyFill="1" applyBorder="1" applyAlignment="1">
      <alignment vertical="distributed"/>
    </xf>
    <xf numFmtId="0" fontId="3" fillId="0" borderId="5" xfId="0" applyFont="1" applyFill="1" applyBorder="1"/>
    <xf numFmtId="0" fontId="3" fillId="0" borderId="5" xfId="0" applyNumberFormat="1" applyFont="1" applyFill="1" applyBorder="1"/>
    <xf numFmtId="164" fontId="3" fillId="0" borderId="5" xfId="0" applyNumberFormat="1" applyFont="1" applyFill="1" applyBorder="1" applyAlignment="1">
      <alignment horizontal="right" vertical="center" wrapText="1"/>
    </xf>
    <xf numFmtId="167" fontId="3" fillId="0" borderId="5" xfId="0" applyNumberFormat="1" applyFont="1" applyFill="1" applyBorder="1" applyAlignment="1">
      <alignment vertical="center" wrapText="1"/>
    </xf>
    <xf numFmtId="0" fontId="1" fillId="2" borderId="0" xfId="0" applyFont="1" applyFill="1" applyBorder="1" applyAlignment="1"/>
    <xf numFmtId="0" fontId="1" fillId="2" borderId="0" xfId="0" applyFont="1" applyFill="1" applyAlignment="1">
      <alignment wrapText="1"/>
    </xf>
    <xf numFmtId="164" fontId="5" fillId="0" borderId="0" xfId="25" applyFont="1" applyFill="1" applyBorder="1" applyAlignment="1">
      <alignment vertical="center"/>
    </xf>
    <xf numFmtId="0" fontId="1" fillId="0" borderId="0" xfId="0" applyFont="1" applyFill="1" applyAlignment="1">
      <alignment wrapText="1"/>
    </xf>
    <xf numFmtId="164" fontId="1" fillId="0" borderId="0" xfId="25" applyFont="1" applyFill="1" applyBorder="1" applyAlignment="1">
      <alignment vertical="center"/>
    </xf>
    <xf numFmtId="4" fontId="1" fillId="0" borderId="0" xfId="0" applyNumberFormat="1" applyFont="1" applyFill="1" applyBorder="1" applyAlignment="1">
      <alignment vertical="center" wrapText="1"/>
    </xf>
    <xf numFmtId="0" fontId="18" fillId="0" borderId="56" xfId="0" applyFont="1" applyFill="1" applyBorder="1" applyAlignment="1" applyProtection="1">
      <alignment vertical="center"/>
      <protection locked="0"/>
    </xf>
    <xf numFmtId="0" fontId="0" fillId="0" borderId="58" xfId="0" applyFill="1" applyBorder="1" applyAlignment="1" applyProtection="1">
      <alignment vertical="center"/>
      <protection locked="0"/>
    </xf>
    <xf numFmtId="169" fontId="18" fillId="0" borderId="57" xfId="0" applyNumberFormat="1" applyFont="1" applyFill="1" applyBorder="1" applyAlignment="1" applyProtection="1">
      <alignment vertical="center"/>
      <protection locked="0"/>
    </xf>
    <xf numFmtId="0" fontId="7" fillId="0" borderId="74" xfId="0" applyFont="1" applyFill="1" applyBorder="1" applyAlignment="1" applyProtection="1">
      <alignment horizontal="right" vertical="center"/>
      <protection locked="0"/>
    </xf>
    <xf numFmtId="17" fontId="7" fillId="0" borderId="75" xfId="0" applyNumberFormat="1" applyFont="1" applyFill="1" applyBorder="1" applyAlignment="1" applyProtection="1">
      <alignment horizontal="left" vertical="center"/>
      <protection locked="0"/>
    </xf>
    <xf numFmtId="0" fontId="6" fillId="0" borderId="74" xfId="0" applyFont="1" applyFill="1" applyBorder="1" applyAlignment="1" applyProtection="1">
      <alignment horizontal="left" vertical="center"/>
      <protection locked="0"/>
    </xf>
    <xf numFmtId="0" fontId="7" fillId="0" borderId="76" xfId="0" applyFont="1" applyFill="1" applyBorder="1" applyAlignment="1" applyProtection="1">
      <alignment horizontal="left" vertical="center"/>
      <protection locked="0"/>
    </xf>
    <xf numFmtId="0" fontId="7" fillId="0" borderId="75" xfId="0" applyFont="1" applyFill="1" applyBorder="1" applyAlignment="1" applyProtection="1">
      <alignment horizontal="left" vertical="center"/>
      <protection locked="0"/>
    </xf>
    <xf numFmtId="0" fontId="18" fillId="0" borderId="24"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169" fontId="0" fillId="0" borderId="0" xfId="0" applyNumberFormat="1" applyFill="1" applyBorder="1" applyAlignment="1" applyProtection="1">
      <alignment vertical="center"/>
      <protection locked="0"/>
    </xf>
    <xf numFmtId="0" fontId="0" fillId="0" borderId="59" xfId="0" applyFill="1" applyBorder="1" applyAlignment="1" applyProtection="1">
      <alignment vertical="center"/>
      <protection locked="0"/>
    </xf>
    <xf numFmtId="0" fontId="7" fillId="0" borderId="21" xfId="0" applyFont="1" applyFill="1" applyBorder="1" applyAlignment="1" applyProtection="1">
      <alignment vertical="center"/>
      <protection locked="0"/>
    </xf>
    <xf numFmtId="17" fontId="7" fillId="0" borderId="22" xfId="0" quotePrefix="1" applyNumberFormat="1" applyFont="1" applyFill="1" applyBorder="1" applyAlignment="1" applyProtection="1">
      <alignment horizontal="left" vertical="center"/>
      <protection locked="0"/>
    </xf>
    <xf numFmtId="0" fontId="7" fillId="0" borderId="0" xfId="0" applyFont="1" applyFill="1" applyBorder="1" applyAlignment="1" applyProtection="1">
      <alignment vertical="center"/>
      <protection locked="0"/>
    </xf>
    <xf numFmtId="17" fontId="7" fillId="0" borderId="0" xfId="0" applyNumberFormat="1"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49" xfId="0" applyFont="1" applyFill="1" applyBorder="1" applyAlignment="1">
      <alignment horizontal="center" vertical="center"/>
    </xf>
    <xf numFmtId="0" fontId="0" fillId="0" borderId="2" xfId="0" applyFill="1" applyBorder="1" applyAlignment="1">
      <alignment horizontal="center"/>
    </xf>
    <xf numFmtId="4" fontId="0" fillId="0" borderId="2" xfId="0" applyNumberFormat="1" applyFill="1" applyBorder="1" applyAlignment="1">
      <alignment horizontal="right"/>
    </xf>
    <xf numFmtId="4" fontId="0" fillId="0" borderId="7" xfId="0" applyNumberFormat="1" applyFill="1" applyBorder="1" applyAlignment="1">
      <alignment horizontal="right"/>
    </xf>
    <xf numFmtId="0" fontId="0" fillId="0" borderId="16" xfId="0" applyFill="1" applyBorder="1" applyAlignment="1">
      <alignment horizontal="center" vertical="center"/>
    </xf>
    <xf numFmtId="0" fontId="0" fillId="0" borderId="2" xfId="0" applyBorder="1" applyAlignment="1">
      <alignment horizontal="center"/>
    </xf>
    <xf numFmtId="0" fontId="0" fillId="0" borderId="78" xfId="0" applyNumberFormat="1" applyBorder="1" applyAlignment="1">
      <alignment horizontal="center" wrapText="1"/>
    </xf>
    <xf numFmtId="4" fontId="0" fillId="0" borderId="2" xfId="0" applyNumberFormat="1" applyBorder="1" applyAlignment="1">
      <alignment horizontal="right"/>
    </xf>
    <xf numFmtId="4" fontId="0" fillId="0" borderId="7" xfId="0" applyNumberFormat="1" applyBorder="1" applyAlignment="1">
      <alignment horizontal="right"/>
    </xf>
    <xf numFmtId="0" fontId="1" fillId="0" borderId="77" xfId="0" applyFont="1" applyFill="1" applyBorder="1" applyAlignment="1">
      <alignment horizontal="justify"/>
    </xf>
    <xf numFmtId="0" fontId="1" fillId="0" borderId="0" xfId="0" applyFont="1" applyFill="1" applyBorder="1" applyAlignment="1">
      <alignment horizontal="justify"/>
    </xf>
    <xf numFmtId="0" fontId="1" fillId="0" borderId="78" xfId="0" applyFont="1" applyFill="1" applyBorder="1" applyAlignment="1">
      <alignment horizontal="justify"/>
    </xf>
    <xf numFmtId="0" fontId="1" fillId="0" borderId="2" xfId="0" applyFont="1" applyFill="1" applyBorder="1" applyAlignment="1">
      <alignment horizontal="center"/>
    </xf>
    <xf numFmtId="0" fontId="0" fillId="0" borderId="78" xfId="0" applyNumberFormat="1" applyFill="1" applyBorder="1" applyAlignment="1">
      <alignment horizontal="center" wrapText="1"/>
    </xf>
    <xf numFmtId="2" fontId="0" fillId="0" borderId="2" xfId="0" applyNumberFormat="1" applyFill="1" applyBorder="1" applyAlignment="1">
      <alignment horizontal="right"/>
    </xf>
    <xf numFmtId="4" fontId="0" fillId="0" borderId="59" xfId="0" applyNumberFormat="1" applyFill="1" applyBorder="1" applyAlignment="1">
      <alignment horizontal="right"/>
    </xf>
    <xf numFmtId="4" fontId="1" fillId="0" borderId="2" xfId="0" applyNumberFormat="1" applyFont="1" applyFill="1" applyBorder="1" applyAlignment="1">
      <alignment horizontal="right"/>
    </xf>
    <xf numFmtId="0" fontId="0" fillId="0" borderId="2" xfId="0" applyBorder="1"/>
    <xf numFmtId="0" fontId="0" fillId="13" borderId="0" xfId="0" applyFill="1" applyBorder="1"/>
    <xf numFmtId="0" fontId="0" fillId="13" borderId="0" xfId="0" applyFill="1"/>
    <xf numFmtId="0" fontId="7" fillId="0" borderId="2" xfId="0" applyFont="1" applyFill="1" applyBorder="1" applyAlignment="1">
      <alignment horizontal="center"/>
    </xf>
    <xf numFmtId="0" fontId="1" fillId="0" borderId="2" xfId="25" applyNumberFormat="1" applyFont="1" applyFill="1" applyBorder="1" applyAlignment="1">
      <alignment horizontal="center" wrapText="1"/>
    </xf>
    <xf numFmtId="4" fontId="0" fillId="0" borderId="78" xfId="0" applyNumberFormat="1" applyFill="1" applyBorder="1" applyAlignment="1">
      <alignment horizontal="right"/>
    </xf>
    <xf numFmtId="0" fontId="1" fillId="0" borderId="78" xfId="0" applyFont="1" applyFill="1" applyBorder="1" applyAlignment="1">
      <alignment horizontal="center"/>
    </xf>
    <xf numFmtId="2" fontId="0" fillId="0" borderId="78" xfId="0" applyNumberFormat="1" applyFill="1" applyBorder="1" applyAlignment="1">
      <alignment horizontal="right"/>
    </xf>
    <xf numFmtId="0" fontId="0" fillId="0" borderId="2" xfId="0" applyFill="1" applyBorder="1"/>
    <xf numFmtId="4" fontId="5" fillId="0" borderId="59" xfId="0" applyNumberFormat="1" applyFont="1" applyFill="1" applyBorder="1" applyAlignment="1">
      <alignment horizontal="right"/>
    </xf>
    <xf numFmtId="0" fontId="1" fillId="0" borderId="77" xfId="0" applyFont="1" applyFill="1" applyBorder="1" applyAlignment="1">
      <alignment horizontal="justify" vertical="top" wrapText="1"/>
    </xf>
    <xf numFmtId="0" fontId="1" fillId="0" borderId="0" xfId="0" applyFont="1" applyFill="1" applyBorder="1" applyAlignment="1">
      <alignment horizontal="justify" vertical="top" wrapText="1"/>
    </xf>
    <xf numFmtId="0" fontId="1" fillId="0" borderId="78" xfId="0" applyFont="1" applyFill="1" applyBorder="1" applyAlignment="1">
      <alignment horizontal="justify" vertical="top" wrapText="1"/>
    </xf>
    <xf numFmtId="0" fontId="1" fillId="0" borderId="77"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8" xfId="0" applyFont="1" applyFill="1" applyBorder="1" applyAlignment="1">
      <alignment horizontal="left" vertical="top" wrapText="1"/>
    </xf>
    <xf numFmtId="0" fontId="0" fillId="0" borderId="78" xfId="0" applyFill="1" applyBorder="1" applyAlignment="1">
      <alignment horizontal="center"/>
    </xf>
    <xf numFmtId="0" fontId="5" fillId="0" borderId="77" xfId="0" applyFont="1" applyFill="1" applyBorder="1" applyAlignment="1">
      <alignment horizontal="justify" vertical="top" wrapText="1"/>
    </xf>
    <xf numFmtId="0" fontId="5" fillId="0" borderId="0" xfId="0" applyFont="1" applyFill="1" applyBorder="1" applyAlignment="1">
      <alignment horizontal="justify" vertical="top" wrapText="1"/>
    </xf>
    <xf numFmtId="0" fontId="5" fillId="0" borderId="78" xfId="0" applyFont="1" applyFill="1" applyBorder="1" applyAlignment="1">
      <alignment horizontal="justify" vertical="top" wrapText="1"/>
    </xf>
    <xf numFmtId="0" fontId="0" fillId="0" borderId="17" xfId="0" applyFill="1" applyBorder="1" applyAlignment="1">
      <alignment horizontal="center" vertical="center"/>
    </xf>
    <xf numFmtId="0" fontId="0" fillId="0" borderId="0" xfId="0" applyFill="1"/>
    <xf numFmtId="0" fontId="1" fillId="0" borderId="0" xfId="0" applyFont="1" applyFill="1" applyBorder="1" applyAlignment="1">
      <alignment horizontal="justify" vertical="top"/>
    </xf>
    <xf numFmtId="0" fontId="7" fillId="0" borderId="0" xfId="0" applyFont="1" applyFill="1" applyBorder="1" applyAlignment="1">
      <alignment horizontal="center"/>
    </xf>
    <xf numFmtId="169" fontId="7" fillId="0" borderId="0" xfId="25" applyNumberFormat="1" applyFont="1" applyFill="1" applyBorder="1" applyAlignment="1">
      <alignment horizontal="right" wrapText="1"/>
    </xf>
    <xf numFmtId="2" fontId="0" fillId="0" borderId="0" xfId="0" applyNumberFormat="1" applyFill="1" applyBorder="1" applyAlignment="1">
      <alignment horizontal="right" vertical="center"/>
    </xf>
    <xf numFmtId="4" fontId="0" fillId="0" borderId="0" xfId="0" applyNumberFormat="1" applyFill="1" applyBorder="1" applyAlignment="1">
      <alignment horizontal="right"/>
    </xf>
    <xf numFmtId="49" fontId="5" fillId="0" borderId="16" xfId="0" applyNumberFormat="1" applyFont="1" applyFill="1" applyBorder="1" applyAlignment="1">
      <alignment horizontal="center" vertical="center"/>
    </xf>
    <xf numFmtId="0" fontId="0" fillId="0" borderId="2" xfId="0" applyFill="1" applyBorder="1" applyAlignment="1">
      <alignment horizontal="center" vertical="center"/>
    </xf>
    <xf numFmtId="0" fontId="0" fillId="0" borderId="2" xfId="0" applyFill="1" applyBorder="1" applyAlignment="1">
      <alignment horizontal="right" vertical="center"/>
    </xf>
    <xf numFmtId="0" fontId="0" fillId="0" borderId="59" xfId="0" applyFill="1" applyBorder="1" applyAlignment="1">
      <alignment horizontal="left" vertical="center"/>
    </xf>
    <xf numFmtId="0" fontId="0" fillId="0" borderId="16" xfId="0" applyFill="1" applyBorder="1" applyAlignment="1">
      <alignment horizontal="left" vertical="center"/>
    </xf>
    <xf numFmtId="0" fontId="1" fillId="0" borderId="2" xfId="25" applyNumberFormat="1" applyFont="1" applyFill="1" applyBorder="1" applyAlignment="1">
      <alignment horizontal="center"/>
    </xf>
    <xf numFmtId="0" fontId="7" fillId="0" borderId="2" xfId="25" applyNumberFormat="1" applyFont="1" applyFill="1" applyBorder="1" applyAlignment="1">
      <alignment horizontal="center"/>
    </xf>
    <xf numFmtId="0" fontId="0" fillId="0" borderId="0" xfId="0" applyFill="1" applyBorder="1"/>
    <xf numFmtId="0" fontId="1" fillId="0" borderId="2" xfId="0" applyFont="1" applyFill="1" applyBorder="1" applyAlignment="1">
      <alignment horizontal="center" vertical="center"/>
    </xf>
    <xf numFmtId="1" fontId="0" fillId="0" borderId="2" xfId="0" applyNumberFormat="1" applyFill="1" applyBorder="1" applyAlignment="1">
      <alignment horizontal="center" vertical="center"/>
    </xf>
    <xf numFmtId="0" fontId="5" fillId="0" borderId="77" xfId="0" applyFont="1" applyFill="1" applyBorder="1" applyAlignment="1">
      <alignment horizontal="left" vertical="center"/>
    </xf>
    <xf numFmtId="0" fontId="0" fillId="0" borderId="0" xfId="0" applyFill="1" applyBorder="1" applyAlignment="1">
      <alignment horizontal="left" vertical="center"/>
    </xf>
    <xf numFmtId="0" fontId="0" fillId="0" borderId="78" xfId="0" applyFill="1" applyBorder="1" applyAlignment="1">
      <alignment horizontal="left" vertical="center"/>
    </xf>
    <xf numFmtId="1" fontId="0" fillId="0" borderId="2" xfId="0" applyNumberFormat="1" applyFill="1" applyBorder="1" applyAlignment="1">
      <alignment horizontal="right" vertical="center"/>
    </xf>
    <xf numFmtId="0" fontId="0" fillId="0" borderId="77" xfId="0" applyFill="1" applyBorder="1" applyAlignment="1">
      <alignment horizontal="left" vertical="center"/>
    </xf>
    <xf numFmtId="4" fontId="5" fillId="0" borderId="7" xfId="0" applyNumberFormat="1" applyFont="1" applyFill="1" applyBorder="1" applyAlignment="1">
      <alignment horizontal="right"/>
    </xf>
    <xf numFmtId="0" fontId="5" fillId="0" borderId="16" xfId="0" applyFont="1" applyFill="1" applyBorder="1" applyAlignment="1">
      <alignment horizontal="center" vertical="center"/>
    </xf>
    <xf numFmtId="0" fontId="0" fillId="0" borderId="2" xfId="0" applyFill="1" applyBorder="1" applyAlignment="1">
      <alignment horizontal="left" vertical="center"/>
    </xf>
    <xf numFmtId="0" fontId="1" fillId="0" borderId="77" xfId="0" applyFont="1" applyFill="1" applyBorder="1" applyAlignment="1">
      <alignment horizontal="justify" vertical="top"/>
    </xf>
    <xf numFmtId="0" fontId="0" fillId="0" borderId="0" xfId="0" applyFill="1" applyBorder="1" applyAlignment="1">
      <alignment horizontal="justify" vertical="top"/>
    </xf>
    <xf numFmtId="0" fontId="0" fillId="0" borderId="78" xfId="0" applyFill="1" applyBorder="1" applyAlignment="1">
      <alignment horizontal="justify" vertical="top"/>
    </xf>
    <xf numFmtId="0" fontId="5" fillId="0" borderId="77" xfId="0" applyFont="1" applyFill="1" applyBorder="1" applyAlignment="1">
      <alignment horizontal="justify" vertical="top"/>
    </xf>
    <xf numFmtId="4" fontId="1" fillId="0" borderId="7" xfId="0" applyNumberFormat="1" applyFont="1" applyFill="1" applyBorder="1" applyAlignment="1">
      <alignment horizontal="right"/>
    </xf>
    <xf numFmtId="0" fontId="1" fillId="0" borderId="77" xfId="0" applyFont="1" applyFill="1" applyBorder="1" applyAlignment="1">
      <alignment horizontal="justify" vertical="center"/>
    </xf>
    <xf numFmtId="0" fontId="1" fillId="0" borderId="0" xfId="0" applyFont="1" applyFill="1" applyBorder="1" applyAlignment="1">
      <alignment horizontal="justify" vertical="center"/>
    </xf>
    <xf numFmtId="0" fontId="1" fillId="0" borderId="78" xfId="0" applyFont="1" applyFill="1" applyBorder="1" applyAlignment="1">
      <alignment horizontal="justify" vertical="center"/>
    </xf>
    <xf numFmtId="0" fontId="0" fillId="0" borderId="77" xfId="0" applyFill="1" applyBorder="1" applyAlignment="1">
      <alignment horizontal="left"/>
    </xf>
    <xf numFmtId="0" fontId="0" fillId="0" borderId="0" xfId="0" applyFill="1" applyBorder="1" applyAlignment="1">
      <alignment horizontal="left"/>
    </xf>
    <xf numFmtId="0" fontId="0" fillId="0" borderId="78" xfId="0" applyFill="1" applyBorder="1" applyAlignment="1">
      <alignment horizontal="left"/>
    </xf>
    <xf numFmtId="0" fontId="1" fillId="0" borderId="77" xfId="0" applyFont="1" applyFill="1" applyBorder="1" applyAlignment="1">
      <alignment horizontal="left"/>
    </xf>
    <xf numFmtId="0" fontId="0" fillId="0" borderId="77" xfId="0" applyFill="1" applyBorder="1" applyAlignment="1">
      <alignment horizontal="left" vertical="top" wrapText="1"/>
    </xf>
    <xf numFmtId="0" fontId="0" fillId="0" borderId="0" xfId="0" applyFill="1" applyBorder="1" applyAlignment="1">
      <alignment horizontal="left" vertical="top" wrapText="1"/>
    </xf>
    <xf numFmtId="0" fontId="0" fillId="0" borderId="78" xfId="0" applyFill="1" applyBorder="1" applyAlignment="1">
      <alignment horizontal="left" vertical="top" wrapText="1"/>
    </xf>
    <xf numFmtId="0" fontId="5" fillId="0" borderId="7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78" xfId="0" applyFont="1" applyFill="1" applyBorder="1" applyAlignment="1">
      <alignment horizontal="left" vertical="top" wrapText="1"/>
    </xf>
    <xf numFmtId="0" fontId="0" fillId="0" borderId="77" xfId="0" applyFill="1" applyBorder="1" applyAlignment="1">
      <alignment horizontal="left" vertical="center" wrapText="1"/>
    </xf>
    <xf numFmtId="0" fontId="0" fillId="0" borderId="0" xfId="0" applyFill="1" applyBorder="1" applyAlignment="1">
      <alignment horizontal="left" vertical="center" wrapText="1"/>
    </xf>
    <xf numFmtId="0" fontId="0" fillId="0" borderId="78" xfId="0" applyFill="1" applyBorder="1" applyAlignment="1">
      <alignment horizontal="left" vertical="center" wrapText="1"/>
    </xf>
    <xf numFmtId="0" fontId="0" fillId="0" borderId="77" xfId="0" applyFill="1" applyBorder="1" applyAlignment="1">
      <alignment horizontal="justify" vertical="center"/>
    </xf>
    <xf numFmtId="0" fontId="0" fillId="0" borderId="0" xfId="0" applyFill="1" applyBorder="1" applyAlignment="1">
      <alignment horizontal="justify" vertical="center"/>
    </xf>
    <xf numFmtId="0" fontId="0" fillId="0" borderId="78" xfId="0" applyFill="1" applyBorder="1" applyAlignment="1">
      <alignment horizontal="justify" vertical="center"/>
    </xf>
    <xf numFmtId="0" fontId="5" fillId="0" borderId="7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78" xfId="0" applyFont="1" applyFill="1" applyBorder="1" applyAlignment="1">
      <alignment horizontal="left" vertical="center" wrapText="1"/>
    </xf>
    <xf numFmtId="0" fontId="5" fillId="0" borderId="0" xfId="0" applyFont="1" applyFill="1" applyBorder="1" applyAlignment="1">
      <alignment horizontal="justify" vertical="top"/>
    </xf>
    <xf numFmtId="0" fontId="5" fillId="0" borderId="78" xfId="0" applyFont="1" applyFill="1" applyBorder="1" applyAlignment="1">
      <alignment horizontal="justify" vertical="top"/>
    </xf>
    <xf numFmtId="0" fontId="5" fillId="0" borderId="0" xfId="0" applyFont="1" applyBorder="1" applyAlignment="1">
      <alignment vertical="top"/>
    </xf>
    <xf numFmtId="49" fontId="7" fillId="0" borderId="22" xfId="0" applyNumberFormat="1" applyFont="1" applyFill="1" applyBorder="1" applyAlignment="1" applyProtection="1">
      <alignment horizontal="left" vertical="center"/>
      <protection locked="0"/>
    </xf>
    <xf numFmtId="0" fontId="0" fillId="0" borderId="49" xfId="0" applyFill="1" applyBorder="1" applyAlignment="1">
      <alignment horizontal="left" vertical="center"/>
    </xf>
    <xf numFmtId="0" fontId="0" fillId="0" borderId="35" xfId="0" applyFill="1" applyBorder="1" applyAlignment="1">
      <alignment horizontal="center" vertical="center"/>
    </xf>
    <xf numFmtId="0" fontId="0" fillId="0" borderId="35" xfId="0" applyFill="1" applyBorder="1" applyAlignment="1">
      <alignment horizontal="right" vertical="center"/>
    </xf>
    <xf numFmtId="2" fontId="0" fillId="0" borderId="35" xfId="0" applyNumberFormat="1" applyFill="1" applyBorder="1" applyAlignment="1">
      <alignment horizontal="right" vertical="center"/>
    </xf>
    <xf numFmtId="4" fontId="0" fillId="0" borderId="50" xfId="0" applyNumberFormat="1" applyFill="1" applyBorder="1" applyAlignment="1">
      <alignment horizontal="right" vertical="center"/>
    </xf>
    <xf numFmtId="49" fontId="5" fillId="0" borderId="16" xfId="0" applyNumberFormat="1" applyFont="1" applyBorder="1" applyAlignment="1">
      <alignment horizontal="center" vertical="center"/>
    </xf>
    <xf numFmtId="4" fontId="1" fillId="0" borderId="2" xfId="25" applyNumberFormat="1" applyFont="1" applyFill="1" applyBorder="1" applyAlignment="1">
      <alignment horizontal="right" wrapText="1"/>
    </xf>
    <xf numFmtId="4" fontId="1" fillId="0" borderId="59" xfId="0" applyNumberFormat="1" applyFont="1" applyFill="1" applyBorder="1" applyAlignment="1">
      <alignment horizontal="right"/>
    </xf>
    <xf numFmtId="0" fontId="0" fillId="0" borderId="16" xfId="0" applyBorder="1" applyAlignment="1">
      <alignment horizontal="center" vertical="center"/>
    </xf>
    <xf numFmtId="0" fontId="5" fillId="0" borderId="77" xfId="0" applyFont="1" applyFill="1" applyBorder="1" applyAlignment="1">
      <alignment horizontal="left"/>
    </xf>
    <xf numFmtId="0" fontId="1" fillId="0" borderId="0" xfId="0" applyFont="1" applyFill="1" applyBorder="1" applyAlignment="1">
      <alignment horizontal="left"/>
    </xf>
    <xf numFmtId="0" fontId="1" fillId="0" borderId="78" xfId="0" applyFont="1" applyFill="1" applyBorder="1" applyAlignment="1">
      <alignment horizontal="left"/>
    </xf>
    <xf numFmtId="0" fontId="0" fillId="0" borderId="24" xfId="0" applyFill="1" applyBorder="1" applyAlignment="1">
      <alignment horizontal="center" vertical="center"/>
    </xf>
    <xf numFmtId="0" fontId="1" fillId="0" borderId="78" xfId="0" applyFont="1" applyFill="1" applyBorder="1" applyAlignment="1">
      <alignment horizontal="justify" vertical="top"/>
    </xf>
    <xf numFmtId="0" fontId="0" fillId="0" borderId="77" xfId="0" applyFill="1" applyBorder="1" applyAlignment="1">
      <alignment horizontal="justify" vertical="top" wrapText="1"/>
    </xf>
    <xf numFmtId="0" fontId="0" fillId="0" borderId="0" xfId="0" applyFill="1" applyBorder="1" applyAlignment="1">
      <alignment horizontal="justify" vertical="top" wrapText="1"/>
    </xf>
    <xf numFmtId="0" fontId="0" fillId="0" borderId="78" xfId="0" applyFill="1" applyBorder="1" applyAlignment="1">
      <alignment horizontal="justify" vertical="top" wrapText="1"/>
    </xf>
    <xf numFmtId="0" fontId="1" fillId="0" borderId="17" xfId="0" quotePrefix="1" applyFont="1" applyFill="1" applyBorder="1" applyAlignment="1">
      <alignment horizontal="center" vertical="top"/>
    </xf>
    <xf numFmtId="0" fontId="1" fillId="0" borderId="3" xfId="0" applyFont="1" applyFill="1" applyBorder="1" applyAlignment="1">
      <alignment horizontal="center"/>
    </xf>
    <xf numFmtId="169" fontId="1" fillId="0" borderId="3" xfId="25" applyNumberFormat="1" applyFont="1" applyFill="1" applyBorder="1" applyAlignment="1">
      <alignment horizontal="right" wrapText="1"/>
    </xf>
    <xf numFmtId="2" fontId="0" fillId="0" borderId="3" xfId="0" applyNumberFormat="1" applyFill="1" applyBorder="1" applyAlignment="1">
      <alignment horizontal="right"/>
    </xf>
    <xf numFmtId="4" fontId="0" fillId="0" borderId="23" xfId="0" applyNumberFormat="1" applyFill="1" applyBorder="1" applyAlignment="1">
      <alignment horizontal="right"/>
    </xf>
    <xf numFmtId="0" fontId="0" fillId="0" borderId="0" xfId="0" applyFill="1" applyBorder="1" applyProtection="1">
      <protection locked="0"/>
    </xf>
    <xf numFmtId="0" fontId="0" fillId="0" borderId="3" xfId="0" applyFill="1" applyBorder="1" applyAlignment="1">
      <alignment horizontal="center"/>
    </xf>
    <xf numFmtId="0" fontId="1" fillId="0" borderId="3" xfId="25" applyNumberFormat="1" applyFont="1" applyFill="1" applyBorder="1" applyAlignment="1">
      <alignment horizontal="center"/>
    </xf>
    <xf numFmtId="4" fontId="0" fillId="0" borderId="3" xfId="0" applyNumberFormat="1" applyFill="1" applyBorder="1" applyAlignment="1">
      <alignment horizontal="right"/>
    </xf>
    <xf numFmtId="4" fontId="5" fillId="0" borderId="8" xfId="0" applyNumberFormat="1" applyFont="1" applyFill="1" applyBorder="1" applyAlignment="1">
      <alignment horizontal="right"/>
    </xf>
    <xf numFmtId="0" fontId="0" fillId="0" borderId="80" xfId="0" applyNumberFormat="1" applyFill="1" applyBorder="1" applyAlignment="1">
      <alignment horizontal="center" wrapText="1"/>
    </xf>
    <xf numFmtId="4" fontId="5" fillId="0" borderId="23" xfId="0" applyNumberFormat="1" applyFont="1" applyFill="1" applyBorder="1" applyAlignment="1">
      <alignment horizontal="right"/>
    </xf>
    <xf numFmtId="49" fontId="0" fillId="0" borderId="22" xfId="0" applyNumberFormat="1" applyFill="1" applyBorder="1" applyAlignment="1" applyProtection="1">
      <alignment horizontal="center"/>
      <protection locked="0"/>
    </xf>
    <xf numFmtId="0" fontId="5" fillId="0" borderId="2" xfId="0" applyFont="1" applyFill="1" applyBorder="1" applyAlignment="1">
      <alignment horizontal="center" vertical="center"/>
    </xf>
    <xf numFmtId="0" fontId="5" fillId="0" borderId="7" xfId="0" applyFont="1" applyFill="1" applyBorder="1" applyAlignment="1">
      <alignment horizontal="center" vertical="center"/>
    </xf>
    <xf numFmtId="2" fontId="0" fillId="0" borderId="2" xfId="0" applyNumberFormat="1" applyFill="1" applyBorder="1" applyAlignment="1">
      <alignment horizontal="right" vertical="center"/>
    </xf>
    <xf numFmtId="4" fontId="0" fillId="0" borderId="7" xfId="0" applyNumberFormat="1" applyFill="1" applyBorder="1" applyAlignment="1">
      <alignment horizontal="right" vertical="center"/>
    </xf>
    <xf numFmtId="0" fontId="1" fillId="0" borderId="78" xfId="0" applyNumberFormat="1" applyFont="1" applyFill="1" applyBorder="1" applyAlignment="1">
      <alignment horizontal="center" wrapText="1"/>
    </xf>
    <xf numFmtId="2" fontId="1" fillId="0" borderId="2" xfId="0" applyNumberFormat="1" applyFont="1" applyFill="1" applyBorder="1" applyAlignment="1">
      <alignment horizontal="right"/>
    </xf>
    <xf numFmtId="0" fontId="7" fillId="0" borderId="2" xfId="0" applyNumberFormat="1" applyFont="1" applyFill="1" applyBorder="1" applyAlignment="1">
      <alignment horizontal="center"/>
    </xf>
    <xf numFmtId="0" fontId="0" fillId="0" borderId="35" xfId="0" applyFill="1" applyBorder="1" applyAlignment="1">
      <alignment horizontal="left" vertical="center"/>
    </xf>
    <xf numFmtId="0" fontId="0" fillId="0" borderId="58" xfId="0" applyFill="1" applyBorder="1" applyAlignment="1">
      <alignment horizontal="left" vertical="center"/>
    </xf>
    <xf numFmtId="0" fontId="0" fillId="0" borderId="17" xfId="0" applyFill="1" applyBorder="1" applyAlignment="1">
      <alignment horizontal="left" vertical="center"/>
    </xf>
    <xf numFmtId="0" fontId="7" fillId="0" borderId="3" xfId="0" applyFont="1" applyFill="1" applyBorder="1" applyAlignment="1">
      <alignment horizontal="center"/>
    </xf>
    <xf numFmtId="49" fontId="0" fillId="0" borderId="56" xfId="0" applyNumberFormat="1" applyFill="1" applyBorder="1" applyProtection="1">
      <protection locked="0"/>
    </xf>
    <xf numFmtId="0" fontId="0" fillId="0" borderId="57" xfId="0" applyFill="1" applyBorder="1" applyProtection="1">
      <protection locked="0"/>
    </xf>
    <xf numFmtId="49" fontId="0" fillId="0" borderId="24" xfId="0" applyNumberFormat="1" applyFill="1" applyBorder="1" applyProtection="1">
      <protection locked="0"/>
    </xf>
    <xf numFmtId="0" fontId="7" fillId="0" borderId="59" xfId="0" applyFont="1" applyFill="1" applyBorder="1" applyAlignment="1" applyProtection="1">
      <alignment horizontal="left" vertical="center"/>
      <protection locked="0"/>
    </xf>
    <xf numFmtId="0" fontId="0" fillId="0" borderId="24" xfId="0" applyFill="1" applyBorder="1" applyAlignment="1">
      <alignment horizontal="center" vertical="top"/>
    </xf>
    <xf numFmtId="4" fontId="0" fillId="0" borderId="7" xfId="0" applyNumberFormat="1" applyBorder="1"/>
    <xf numFmtId="0" fontId="5" fillId="0" borderId="79" xfId="0" applyFont="1" applyFill="1" applyBorder="1" applyAlignment="1">
      <alignment horizontal="justify" vertical="top"/>
    </xf>
    <xf numFmtId="0" fontId="5" fillId="0" borderId="22" xfId="0" applyFont="1" applyFill="1" applyBorder="1" applyAlignment="1">
      <alignment horizontal="justify" vertical="top"/>
    </xf>
    <xf numFmtId="0" fontId="5" fillId="0" borderId="80" xfId="0" applyFont="1" applyFill="1" applyBorder="1" applyAlignment="1">
      <alignment horizontal="justify" vertical="top"/>
    </xf>
    <xf numFmtId="0" fontId="0" fillId="0" borderId="58" xfId="0" applyFill="1" applyBorder="1" applyProtection="1">
      <protection locked="0"/>
    </xf>
    <xf numFmtId="0" fontId="0" fillId="0" borderId="7" xfId="0" applyBorder="1"/>
    <xf numFmtId="49" fontId="0" fillId="0" borderId="21" xfId="0" applyNumberFormat="1" applyFill="1" applyBorder="1" applyAlignment="1" applyProtection="1">
      <alignment horizontal="center"/>
      <protection locked="0"/>
    </xf>
    <xf numFmtId="49" fontId="0" fillId="0" borderId="23" xfId="0" applyNumberFormat="1" applyFill="1" applyBorder="1" applyAlignment="1" applyProtection="1">
      <alignment horizontal="center"/>
      <protection locked="0"/>
    </xf>
    <xf numFmtId="0" fontId="1" fillId="0" borderId="3" xfId="25" applyNumberFormat="1" applyFont="1" applyFill="1" applyBorder="1" applyAlignment="1">
      <alignment horizontal="center" wrapText="1"/>
    </xf>
    <xf numFmtId="4" fontId="0" fillId="0" borderId="80" xfId="0" applyNumberFormat="1" applyFill="1" applyBorder="1" applyAlignment="1">
      <alignment horizontal="right"/>
    </xf>
    <xf numFmtId="0" fontId="0" fillId="0" borderId="21" xfId="0" applyFill="1" applyBorder="1" applyAlignment="1">
      <alignment horizontal="center" vertical="center"/>
    </xf>
    <xf numFmtId="0" fontId="7" fillId="0" borderId="3" xfId="0" applyNumberFormat="1" applyFont="1" applyFill="1" applyBorder="1" applyAlignment="1">
      <alignment horizontal="center"/>
    </xf>
    <xf numFmtId="4" fontId="1" fillId="0" borderId="3" xfId="0" applyNumberFormat="1" applyFont="1" applyFill="1" applyBorder="1" applyAlignment="1">
      <alignment horizontal="right"/>
    </xf>
    <xf numFmtId="0" fontId="0" fillId="0" borderId="7" xfId="0" applyFill="1" applyBorder="1"/>
    <xf numFmtId="0" fontId="0" fillId="0" borderId="3" xfId="0" applyBorder="1"/>
    <xf numFmtId="0" fontId="0" fillId="0" borderId="8" xfId="0" applyBorder="1"/>
    <xf numFmtId="0" fontId="18" fillId="0" borderId="81" xfId="0" applyFont="1" applyFill="1" applyBorder="1" applyAlignment="1" applyProtection="1">
      <alignment vertical="center"/>
      <protection locked="0"/>
    </xf>
    <xf numFmtId="0" fontId="7" fillId="0" borderId="85" xfId="0" applyFont="1" applyFill="1" applyBorder="1" applyAlignment="1" applyProtection="1">
      <alignment horizontal="left" vertical="center"/>
      <protection locked="0"/>
    </xf>
    <xf numFmtId="0" fontId="6" fillId="0" borderId="21" xfId="0" applyFont="1" applyFill="1" applyBorder="1" applyAlignment="1" applyProtection="1">
      <alignment vertical="center"/>
      <protection locked="0"/>
    </xf>
    <xf numFmtId="0" fontId="6" fillId="0" borderId="22" xfId="0" applyFont="1" applyFill="1" applyBorder="1" applyAlignment="1" applyProtection="1">
      <alignment vertical="center"/>
      <protection locked="0"/>
    </xf>
    <xf numFmtId="0" fontId="6" fillId="0" borderId="23" xfId="0" applyFont="1" applyFill="1" applyBorder="1" applyAlignment="1" applyProtection="1">
      <alignment vertical="center"/>
      <protection locked="0"/>
    </xf>
    <xf numFmtId="4" fontId="3" fillId="0" borderId="5" xfId="0" applyNumberFormat="1" applyFont="1" applyFill="1" applyBorder="1" applyAlignment="1">
      <alignment vertical="center" wrapText="1"/>
    </xf>
    <xf numFmtId="0" fontId="4" fillId="4" borderId="9" xfId="0" applyFont="1" applyFill="1" applyBorder="1" applyAlignment="1">
      <alignment horizontal="left" vertical="center" wrapText="1"/>
    </xf>
    <xf numFmtId="0" fontId="4" fillId="14" borderId="18" xfId="0" applyNumberFormat="1" applyFont="1" applyFill="1" applyBorder="1" applyAlignment="1">
      <alignment horizontal="center" vertical="center" wrapText="1"/>
    </xf>
    <xf numFmtId="0" fontId="4" fillId="14" borderId="5" xfId="0" applyFont="1" applyFill="1" applyBorder="1" applyAlignment="1">
      <alignment horizontal="center" vertical="center" wrapText="1"/>
    </xf>
    <xf numFmtId="0" fontId="4" fillId="14" borderId="5" xfId="0" applyFont="1" applyFill="1" applyBorder="1" applyAlignment="1">
      <alignment vertical="center" wrapText="1"/>
    </xf>
    <xf numFmtId="164" fontId="4" fillId="14" borderId="5" xfId="25" applyNumberFormat="1" applyFont="1" applyFill="1" applyBorder="1" applyAlignment="1">
      <alignment horizontal="center" vertical="center" wrapText="1"/>
    </xf>
    <xf numFmtId="164" fontId="15" fillId="14" borderId="5" xfId="25" applyNumberFormat="1" applyFont="1" applyFill="1" applyBorder="1" applyAlignment="1">
      <alignment horizontal="center" vertical="center" wrapText="1"/>
    </xf>
    <xf numFmtId="164" fontId="4" fillId="14" borderId="5" xfId="25" applyNumberFormat="1" applyFont="1" applyFill="1" applyBorder="1" applyAlignment="1">
      <alignment horizontal="right" vertical="center" wrapText="1"/>
    </xf>
    <xf numFmtId="164" fontId="4" fillId="14" borderId="11" xfId="25" applyFont="1" applyFill="1" applyBorder="1" applyAlignment="1">
      <alignment horizontal="right" vertical="center" wrapText="1"/>
    </xf>
    <xf numFmtId="0" fontId="3" fillId="0" borderId="18" xfId="0" applyFont="1" applyFill="1" applyBorder="1" applyAlignment="1">
      <alignment horizontal="center" vertical="distributed" wrapText="1"/>
    </xf>
    <xf numFmtId="164" fontId="3" fillId="0" borderId="11" xfId="25" applyFont="1" applyFill="1" applyBorder="1" applyAlignment="1">
      <alignment horizontal="center" vertical="distributed" wrapText="1"/>
    </xf>
    <xf numFmtId="0" fontId="3" fillId="3"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9" xfId="0" applyFont="1" applyFill="1" applyBorder="1" applyAlignment="1">
      <alignment horizontal="left" vertical="center" wrapText="1"/>
    </xf>
    <xf numFmtId="164" fontId="3" fillId="3" borderId="19" xfId="25" applyFont="1" applyFill="1" applyBorder="1" applyAlignment="1">
      <alignment horizontal="center" vertical="center" wrapText="1"/>
    </xf>
    <xf numFmtId="164" fontId="3" fillId="3" borderId="12" xfId="25" applyFont="1" applyFill="1" applyBorder="1" applyAlignment="1">
      <alignment horizontal="center" vertical="center" wrapText="1"/>
    </xf>
    <xf numFmtId="0" fontId="4" fillId="7" borderId="28" xfId="0" quotePrefix="1" applyNumberFormat="1" applyFont="1" applyFill="1" applyBorder="1" applyAlignment="1">
      <alignment horizontal="center" vertical="center" wrapText="1"/>
    </xf>
    <xf numFmtId="0" fontId="4" fillId="7" borderId="29" xfId="0" applyFont="1" applyFill="1" applyBorder="1" applyAlignment="1">
      <alignment horizontal="center" vertical="center" wrapText="1"/>
    </xf>
    <xf numFmtId="0" fontId="4" fillId="7" borderId="29" xfId="0" applyFont="1" applyFill="1" applyBorder="1" applyAlignment="1">
      <alignment vertical="center" wrapText="1"/>
    </xf>
    <xf numFmtId="164" fontId="4" fillId="7" borderId="29" xfId="25" applyNumberFormat="1" applyFont="1" applyFill="1" applyBorder="1" applyAlignment="1">
      <alignment horizontal="center" vertical="center" wrapText="1"/>
    </xf>
    <xf numFmtId="164" fontId="15" fillId="7" borderId="29" xfId="25" applyNumberFormat="1" applyFont="1" applyFill="1" applyBorder="1" applyAlignment="1">
      <alignment horizontal="center" vertical="center" wrapText="1"/>
    </xf>
    <xf numFmtId="164" fontId="4" fillId="7" borderId="29" xfId="25" applyNumberFormat="1" applyFont="1" applyFill="1" applyBorder="1" applyAlignment="1">
      <alignment horizontal="right" vertical="center" wrapText="1"/>
    </xf>
    <xf numFmtId="164" fontId="4" fillId="7" borderId="31" xfId="25" applyFont="1" applyFill="1" applyBorder="1" applyAlignment="1">
      <alignment horizontal="right" vertical="center" wrapText="1"/>
    </xf>
    <xf numFmtId="0" fontId="3" fillId="0" borderId="19" xfId="0" applyFont="1" applyFill="1" applyBorder="1" applyAlignment="1">
      <alignment vertical="center" wrapText="1"/>
    </xf>
    <xf numFmtId="164" fontId="3" fillId="0" borderId="19" xfId="25" applyFont="1" applyFill="1" applyBorder="1" applyAlignment="1">
      <alignment horizontal="center" vertical="center" wrapText="1"/>
    </xf>
    <xf numFmtId="0" fontId="3" fillId="0" borderId="19" xfId="0" applyFont="1" applyFill="1" applyBorder="1" applyAlignment="1">
      <alignment horizontal="center" vertical="center" wrapText="1"/>
    </xf>
    <xf numFmtId="0" fontId="4" fillId="7" borderId="20" xfId="0" applyNumberFormat="1" applyFont="1" applyFill="1" applyBorder="1" applyAlignment="1">
      <alignment horizontal="center" vertical="center" wrapText="1"/>
    </xf>
    <xf numFmtId="0" fontId="4" fillId="7" borderId="19" xfId="0" applyFont="1" applyFill="1" applyBorder="1" applyAlignment="1">
      <alignment horizontal="center" vertical="center" wrapText="1"/>
    </xf>
    <xf numFmtId="0" fontId="4" fillId="7" borderId="19" xfId="0" applyFont="1" applyFill="1" applyBorder="1" applyAlignment="1">
      <alignment vertical="center" wrapText="1"/>
    </xf>
    <xf numFmtId="164" fontId="4" fillId="7" borderId="19" xfId="25" applyNumberFormat="1" applyFont="1" applyFill="1" applyBorder="1" applyAlignment="1">
      <alignment horizontal="center" vertical="center" wrapText="1"/>
    </xf>
    <xf numFmtId="164" fontId="15" fillId="7" borderId="19" xfId="25" applyNumberFormat="1" applyFont="1" applyFill="1" applyBorder="1" applyAlignment="1">
      <alignment horizontal="center" vertical="center" wrapText="1"/>
    </xf>
    <xf numFmtId="164" fontId="4" fillId="7" borderId="19" xfId="25" applyNumberFormat="1" applyFont="1" applyFill="1" applyBorder="1" applyAlignment="1">
      <alignment horizontal="right" vertical="center" wrapText="1"/>
    </xf>
    <xf numFmtId="164" fontId="4" fillId="7" borderId="12" xfId="25" applyFont="1" applyFill="1" applyBorder="1" applyAlignment="1">
      <alignment horizontal="right" vertical="center" wrapText="1"/>
    </xf>
    <xf numFmtId="0" fontId="4" fillId="7" borderId="18" xfId="0" quotePrefix="1" applyFont="1" applyFill="1" applyBorder="1" applyAlignment="1">
      <alignment horizontal="center" vertical="center" wrapText="1"/>
    </xf>
    <xf numFmtId="164" fontId="4" fillId="7" borderId="11" xfId="25" applyFont="1" applyFill="1" applyBorder="1" applyAlignment="1">
      <alignment vertical="center" wrapText="1"/>
    </xf>
    <xf numFmtId="164" fontId="3" fillId="2" borderId="11" xfId="25" applyFont="1" applyFill="1" applyBorder="1" applyAlignment="1">
      <alignment vertical="center" wrapText="1"/>
    </xf>
    <xf numFmtId="0" fontId="3" fillId="0" borderId="18" xfId="0" applyNumberFormat="1" applyFont="1" applyFill="1" applyBorder="1" applyAlignment="1">
      <alignment horizontal="center" vertical="center" wrapText="1"/>
    </xf>
    <xf numFmtId="164" fontId="3" fillId="2" borderId="11" xfId="25" applyFont="1" applyFill="1" applyBorder="1" applyAlignment="1">
      <alignment horizontal="right" vertical="center" wrapText="1"/>
    </xf>
    <xf numFmtId="164" fontId="3" fillId="0" borderId="11" xfId="25" applyFont="1" applyFill="1" applyBorder="1" applyAlignment="1">
      <alignment vertical="center"/>
    </xf>
    <xf numFmtId="164" fontId="3" fillId="0" borderId="11" xfId="25" applyFont="1" applyFill="1" applyBorder="1" applyAlignment="1">
      <alignment horizontal="right" vertical="center" wrapText="1"/>
    </xf>
    <xf numFmtId="0" fontId="3" fillId="2" borderId="18" xfId="0" quotePrefix="1" applyFont="1" applyFill="1" applyBorder="1" applyAlignment="1">
      <alignment horizontal="center" vertical="center" wrapText="1"/>
    </xf>
    <xf numFmtId="164" fontId="3" fillId="0" borderId="11" xfId="25" applyFont="1" applyBorder="1" applyAlignment="1">
      <alignment vertical="center" wrapText="1"/>
    </xf>
    <xf numFmtId="0" fontId="4" fillId="0" borderId="18" xfId="0" applyNumberFormat="1" applyFont="1" applyFill="1" applyBorder="1" applyAlignment="1">
      <alignment horizontal="center" vertical="center"/>
    </xf>
    <xf numFmtId="0" fontId="3" fillId="0" borderId="20" xfId="0" applyNumberFormat="1" applyFont="1" applyFill="1" applyBorder="1" applyAlignment="1">
      <alignment horizontal="center" vertical="center" wrapText="1"/>
    </xf>
    <xf numFmtId="164" fontId="3" fillId="0" borderId="19" xfId="25" applyFont="1" applyFill="1" applyBorder="1" applyAlignment="1">
      <alignment vertical="center" wrapText="1"/>
    </xf>
    <xf numFmtId="164" fontId="3" fillId="0" borderId="12" xfId="25" applyFont="1" applyFill="1" applyBorder="1" applyAlignment="1">
      <alignment vertical="center" wrapText="1"/>
    </xf>
    <xf numFmtId="0" fontId="3" fillId="0" borderId="5" xfId="0" applyFont="1" applyFill="1" applyBorder="1" applyAlignment="1">
      <alignment vertical="distributed"/>
    </xf>
    <xf numFmtId="2" fontId="3" fillId="0" borderId="5" xfId="0" applyNumberFormat="1" applyFont="1" applyFill="1" applyBorder="1" applyAlignment="1">
      <alignment vertical="distributed"/>
    </xf>
    <xf numFmtId="0" fontId="4" fillId="4" borderId="15" xfId="0" applyFont="1" applyFill="1" applyBorder="1" applyAlignment="1">
      <alignment horizontal="left" vertical="center" wrapText="1"/>
    </xf>
    <xf numFmtId="0" fontId="0" fillId="4" borderId="9" xfId="0" applyFill="1" applyBorder="1"/>
    <xf numFmtId="0" fontId="0" fillId="4" borderId="13" xfId="0" applyFill="1" applyBorder="1"/>
    <xf numFmtId="0" fontId="9" fillId="4" borderId="43" xfId="0" applyFont="1" applyFill="1" applyBorder="1" applyAlignment="1">
      <alignment horizontal="center" vertical="center" wrapText="1"/>
    </xf>
    <xf numFmtId="0" fontId="13" fillId="4" borderId="44" xfId="0" applyFont="1" applyFill="1" applyBorder="1" applyAlignment="1">
      <alignment horizontal="center" vertical="center"/>
    </xf>
    <xf numFmtId="0" fontId="13" fillId="4" borderId="45" xfId="0" applyFont="1" applyFill="1" applyBorder="1" applyAlignment="1">
      <alignment horizontal="center" vertical="center"/>
    </xf>
    <xf numFmtId="0" fontId="6" fillId="4" borderId="46"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7" fillId="4" borderId="48" xfId="0" applyFont="1" applyFill="1" applyBorder="1" applyAlignment="1">
      <alignment horizontal="center" vertical="center" wrapText="1"/>
    </xf>
    <xf numFmtId="0" fontId="8" fillId="4" borderId="46" xfId="25" applyNumberFormat="1" applyFont="1" applyFill="1" applyBorder="1" applyAlignment="1">
      <alignment horizontal="center" vertical="center" wrapText="1"/>
    </xf>
    <xf numFmtId="0" fontId="8" fillId="4" borderId="47" xfId="25" applyNumberFormat="1" applyFont="1" applyFill="1" applyBorder="1" applyAlignment="1">
      <alignment horizontal="center" vertical="center" wrapText="1"/>
    </xf>
    <xf numFmtId="0" fontId="2" fillId="4" borderId="48" xfId="25" applyNumberFormat="1" applyFont="1" applyFill="1" applyBorder="1" applyAlignment="1">
      <alignment horizontal="center" vertical="center" wrapText="1"/>
    </xf>
    <xf numFmtId="0" fontId="4" fillId="4" borderId="49" xfId="0" applyNumberFormat="1" applyFont="1" applyFill="1" applyBorder="1" applyAlignment="1">
      <alignment horizontal="center" vertical="center" wrapText="1"/>
    </xf>
    <xf numFmtId="0" fontId="0" fillId="4" borderId="16" xfId="0" applyNumberFormat="1" applyFill="1" applyBorder="1" applyAlignment="1">
      <alignment horizontal="center"/>
    </xf>
    <xf numFmtId="0" fontId="0" fillId="4" borderId="17" xfId="0" applyNumberFormat="1" applyFill="1" applyBorder="1" applyAlignment="1">
      <alignment horizontal="center"/>
    </xf>
    <xf numFmtId="0" fontId="4" fillId="4" borderId="35" xfId="0" applyFont="1" applyFill="1" applyBorder="1" applyAlignment="1">
      <alignment horizontal="center" vertical="center" wrapText="1"/>
    </xf>
    <xf numFmtId="0" fontId="0" fillId="4" borderId="2" xfId="0" applyFill="1" applyBorder="1"/>
    <xf numFmtId="0" fontId="0" fillId="4" borderId="3" xfId="0" applyFill="1" applyBorder="1"/>
    <xf numFmtId="0" fontId="4" fillId="4" borderId="15" xfId="0" applyNumberFormat="1" applyFont="1" applyFill="1" applyBorder="1" applyAlignment="1">
      <alignment horizontal="left" vertical="center"/>
    </xf>
    <xf numFmtId="0" fontId="4" fillId="4" borderId="9" xfId="0" applyNumberFormat="1" applyFont="1" applyFill="1" applyBorder="1" applyAlignment="1">
      <alignment horizontal="left" vertical="center"/>
    </xf>
    <xf numFmtId="164" fontId="5" fillId="4" borderId="50" xfId="25" applyFont="1"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4" fillId="0" borderId="15" xfId="0" applyFont="1" applyFill="1" applyBorder="1" applyAlignment="1">
      <alignment horizontal="center"/>
    </xf>
    <xf numFmtId="0" fontId="4" fillId="0" borderId="13" xfId="0" applyFont="1" applyFill="1" applyBorder="1" applyAlignment="1">
      <alignment horizontal="center"/>
    </xf>
    <xf numFmtId="4" fontId="9" fillId="4" borderId="15" xfId="0" applyNumberFormat="1" applyFont="1" applyFill="1" applyBorder="1" applyAlignment="1">
      <alignment horizontal="center" vertical="center"/>
    </xf>
    <xf numFmtId="0" fontId="13" fillId="4" borderId="9" xfId="0" applyFont="1" applyFill="1" applyBorder="1" applyAlignment="1">
      <alignment vertical="center"/>
    </xf>
    <xf numFmtId="0" fontId="13" fillId="4" borderId="13" xfId="0" applyFont="1" applyFill="1" applyBorder="1" applyAlignment="1">
      <alignment vertical="center"/>
    </xf>
    <xf numFmtId="0" fontId="4" fillId="4" borderId="56"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58" xfId="0" applyFont="1" applyFill="1" applyBorder="1" applyAlignment="1">
      <alignment horizontal="center" vertical="center" wrapText="1"/>
    </xf>
    <xf numFmtId="0" fontId="4" fillId="4" borderId="22" xfId="0" applyFont="1" applyFill="1" applyBorder="1" applyAlignment="1">
      <alignment horizontal="left" vertical="center" wrapText="1"/>
    </xf>
    <xf numFmtId="0" fontId="4" fillId="4" borderId="9" xfId="0" applyFont="1" applyFill="1" applyBorder="1" applyAlignment="1">
      <alignment horizontal="left" vertical="center" wrapText="1"/>
    </xf>
    <xf numFmtId="0" fontId="5" fillId="4" borderId="9" xfId="0" applyFont="1" applyFill="1" applyBorder="1" applyAlignment="1">
      <alignment horizontal="left" vertical="center" wrapText="1"/>
    </xf>
    <xf numFmtId="0" fontId="4" fillId="4" borderId="51"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3" fillId="4" borderId="55"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5" fillId="4" borderId="47" xfId="0" applyFont="1" applyFill="1" applyBorder="1" applyAlignment="1">
      <alignment horizontal="center" vertical="center" wrapText="1"/>
    </xf>
    <xf numFmtId="0" fontId="1" fillId="4" borderId="47" xfId="0" applyFont="1" applyFill="1" applyBorder="1" applyAlignment="1">
      <alignment horizontal="center" vertical="center" wrapText="1"/>
    </xf>
    <xf numFmtId="4" fontId="6" fillId="4" borderId="46" xfId="0" applyNumberFormat="1" applyFont="1" applyFill="1" applyBorder="1" applyAlignment="1">
      <alignment horizontal="right" vertical="center" wrapText="1"/>
    </xf>
    <xf numFmtId="4" fontId="6" fillId="4" borderId="47" xfId="0" applyNumberFormat="1" applyFont="1" applyFill="1" applyBorder="1" applyAlignment="1">
      <alignment horizontal="right" vertical="center" wrapText="1"/>
    </xf>
    <xf numFmtId="0" fontId="7" fillId="4" borderId="47" xfId="0" applyFont="1" applyFill="1" applyBorder="1" applyAlignment="1">
      <alignment horizontal="right" vertical="center" wrapText="1"/>
    </xf>
    <xf numFmtId="0" fontId="13" fillId="0" borderId="14" xfId="0" applyFont="1" applyBorder="1" applyAlignment="1">
      <alignment horizontal="center"/>
    </xf>
    <xf numFmtId="0" fontId="13" fillId="0" borderId="4" xfId="0" applyFont="1" applyBorder="1" applyAlignment="1">
      <alignment horizontal="center"/>
    </xf>
    <xf numFmtId="0" fontId="13" fillId="0" borderId="6" xfId="0" applyFont="1" applyBorder="1" applyAlignment="1">
      <alignment horizontal="center"/>
    </xf>
    <xf numFmtId="0" fontId="9" fillId="4" borderId="56" xfId="0" applyFont="1" applyFill="1" applyBorder="1" applyAlignment="1">
      <alignment horizontal="center" vertical="center" wrapText="1"/>
    </xf>
    <xf numFmtId="0" fontId="9" fillId="4" borderId="57" xfId="0" applyFont="1" applyFill="1" applyBorder="1" applyAlignment="1">
      <alignment horizontal="center" vertical="center" wrapText="1"/>
    </xf>
    <xf numFmtId="0" fontId="9" fillId="4" borderId="58" xfId="0" applyFont="1" applyFill="1" applyBorder="1" applyAlignment="1">
      <alignment horizontal="center" vertical="center" wrapText="1"/>
    </xf>
    <xf numFmtId="0" fontId="9" fillId="4" borderId="22" xfId="0" applyFont="1" applyFill="1" applyBorder="1" applyAlignment="1">
      <alignment horizontal="left" vertical="center" wrapText="1"/>
    </xf>
    <xf numFmtId="0" fontId="9" fillId="4" borderId="23" xfId="0" applyFont="1" applyFill="1" applyBorder="1" applyAlignment="1">
      <alignment horizontal="left" vertical="center" wrapText="1"/>
    </xf>
    <xf numFmtId="0" fontId="9" fillId="4" borderId="9"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 fillId="0" borderId="77" xfId="0" applyFont="1" applyFill="1" applyBorder="1" applyAlignment="1">
      <alignment horizontal="justify" vertical="top"/>
    </xf>
    <xf numFmtId="0" fontId="1" fillId="0" borderId="0" xfId="0" applyFont="1" applyFill="1" applyBorder="1" applyAlignment="1">
      <alignment horizontal="justify" vertical="top"/>
    </xf>
    <xf numFmtId="0" fontId="1" fillId="0" borderId="78" xfId="0" applyFont="1" applyFill="1" applyBorder="1" applyAlignment="1">
      <alignment horizontal="justify" vertical="top"/>
    </xf>
    <xf numFmtId="0" fontId="5" fillId="0" borderId="79"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0" borderId="80" xfId="0" applyFont="1" applyFill="1" applyBorder="1" applyAlignment="1">
      <alignment horizontal="left" vertical="top" wrapText="1"/>
    </xf>
    <xf numFmtId="0" fontId="1" fillId="0" borderId="77" xfId="0" applyFont="1" applyFill="1" applyBorder="1" applyAlignment="1">
      <alignment horizontal="justify" vertical="center"/>
    </xf>
    <xf numFmtId="0" fontId="1" fillId="0" borderId="0" xfId="0" applyFont="1" applyFill="1" applyBorder="1" applyAlignment="1">
      <alignment horizontal="justify" vertical="center"/>
    </xf>
    <xf numFmtId="0" fontId="1" fillId="0" borderId="78" xfId="0" applyFont="1" applyFill="1" applyBorder="1" applyAlignment="1">
      <alignment horizontal="justify" vertical="center"/>
    </xf>
    <xf numFmtId="0" fontId="0" fillId="0" borderId="77" xfId="0" applyFill="1" applyBorder="1" applyAlignment="1">
      <alignment horizontal="justify" vertical="top"/>
    </xf>
    <xf numFmtId="0" fontId="0" fillId="0" borderId="0" xfId="0" applyFill="1" applyBorder="1" applyAlignment="1">
      <alignment horizontal="justify" vertical="top"/>
    </xf>
    <xf numFmtId="0" fontId="0" fillId="0" borderId="78" xfId="0" applyFill="1" applyBorder="1" applyAlignment="1">
      <alignment horizontal="justify" vertical="top"/>
    </xf>
    <xf numFmtId="0" fontId="5" fillId="0" borderId="77" xfId="0" applyFont="1" applyFill="1" applyBorder="1" applyAlignment="1">
      <alignment horizontal="justify" vertical="center"/>
    </xf>
    <xf numFmtId="0" fontId="5" fillId="0" borderId="0" xfId="0" applyFont="1" applyFill="1" applyBorder="1" applyAlignment="1">
      <alignment horizontal="justify" vertical="center"/>
    </xf>
    <xf numFmtId="0" fontId="5" fillId="0" borderId="78" xfId="0" applyFont="1" applyFill="1" applyBorder="1" applyAlignment="1">
      <alignment horizontal="justify" vertical="center"/>
    </xf>
    <xf numFmtId="0" fontId="0" fillId="0" borderId="0" xfId="0" applyBorder="1" applyAlignment="1">
      <alignment horizontal="justify" vertical="center"/>
    </xf>
    <xf numFmtId="0" fontId="0" fillId="0" borderId="78" xfId="0" applyBorder="1" applyAlignment="1">
      <alignment horizontal="justify" vertical="center"/>
    </xf>
    <xf numFmtId="0" fontId="5" fillId="0" borderId="77" xfId="0" applyFont="1" applyFill="1" applyBorder="1" applyAlignment="1">
      <alignment horizontal="left" vertical="center"/>
    </xf>
    <xf numFmtId="0" fontId="5" fillId="0" borderId="0" xfId="0" applyFont="1" applyFill="1" applyBorder="1" applyAlignment="1">
      <alignment horizontal="left" vertical="center"/>
    </xf>
    <xf numFmtId="0" fontId="5" fillId="0" borderId="78" xfId="0" applyFont="1" applyFill="1" applyBorder="1" applyAlignment="1">
      <alignment horizontal="left" vertical="center"/>
    </xf>
    <xf numFmtId="0" fontId="5" fillId="0" borderId="2" xfId="0" applyFont="1" applyFill="1" applyBorder="1" applyAlignment="1">
      <alignment horizontal="left"/>
    </xf>
    <xf numFmtId="0" fontId="0" fillId="0" borderId="77" xfId="0" applyFill="1" applyBorder="1" applyAlignment="1">
      <alignment horizontal="left" vertical="center" wrapText="1"/>
    </xf>
    <xf numFmtId="0" fontId="0" fillId="0" borderId="0" xfId="0" applyFill="1" applyBorder="1" applyAlignment="1">
      <alignment horizontal="left" vertical="center" wrapText="1"/>
    </xf>
    <xf numFmtId="0" fontId="0" fillId="0" borderId="78" xfId="0" applyFill="1" applyBorder="1" applyAlignment="1">
      <alignment horizontal="left" vertical="center" wrapText="1"/>
    </xf>
    <xf numFmtId="0" fontId="0" fillId="0" borderId="2" xfId="0" applyFill="1" applyBorder="1" applyAlignment="1">
      <alignment horizontal="left" vertical="center"/>
    </xf>
    <xf numFmtId="0" fontId="1" fillId="0" borderId="77"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8" xfId="0" applyFont="1" applyFill="1" applyBorder="1" applyAlignment="1">
      <alignment horizontal="left" vertical="top" wrapText="1"/>
    </xf>
    <xf numFmtId="0" fontId="1" fillId="0" borderId="2" xfId="0" applyFont="1" applyFill="1" applyBorder="1" applyAlignment="1">
      <alignment horizontal="left" vertical="center"/>
    </xf>
    <xf numFmtId="0" fontId="5" fillId="0" borderId="77" xfId="0" applyFont="1" applyFill="1" applyBorder="1" applyAlignment="1">
      <alignment horizontal="justify" vertical="top"/>
    </xf>
    <xf numFmtId="0" fontId="5" fillId="0" borderId="0" xfId="0" applyFont="1" applyFill="1" applyBorder="1" applyAlignment="1">
      <alignment horizontal="justify" vertical="top"/>
    </xf>
    <xf numFmtId="0" fontId="5" fillId="0" borderId="78" xfId="0" applyFont="1" applyFill="1" applyBorder="1" applyAlignment="1">
      <alignment horizontal="justify" vertical="top"/>
    </xf>
    <xf numFmtId="0" fontId="5" fillId="0" borderId="79" xfId="0" applyFont="1" applyFill="1" applyBorder="1" applyAlignment="1">
      <alignment horizontal="justify" vertical="top"/>
    </xf>
    <xf numFmtId="0" fontId="5" fillId="0" borderId="22" xfId="0" applyFont="1" applyFill="1" applyBorder="1" applyAlignment="1">
      <alignment horizontal="justify" vertical="top"/>
    </xf>
    <xf numFmtId="0" fontId="5" fillId="0" borderId="80" xfId="0" applyFont="1" applyFill="1" applyBorder="1" applyAlignment="1">
      <alignment horizontal="justify" vertical="top"/>
    </xf>
    <xf numFmtId="0" fontId="5" fillId="0" borderId="26" xfId="0" applyFont="1" applyFill="1" applyBorder="1" applyAlignment="1">
      <alignment horizontal="center" vertical="center"/>
    </xf>
    <xf numFmtId="0" fontId="5" fillId="0" borderId="2" xfId="0" applyFont="1" applyFill="1" applyBorder="1" applyAlignment="1">
      <alignment horizontal="left" vertical="center"/>
    </xf>
    <xf numFmtId="0" fontId="5" fillId="0" borderId="7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78" xfId="0" applyFont="1" applyFill="1" applyBorder="1" applyAlignment="1">
      <alignment horizontal="left" vertical="top" wrapText="1"/>
    </xf>
    <xf numFmtId="0" fontId="1" fillId="0" borderId="77" xfId="0" applyFont="1" applyFill="1" applyBorder="1" applyAlignment="1">
      <alignment horizontal="left" vertical="center"/>
    </xf>
    <xf numFmtId="0" fontId="0" fillId="0" borderId="0" xfId="0" applyFill="1" applyBorder="1" applyAlignment="1">
      <alignment horizontal="left" vertical="center"/>
    </xf>
    <xf numFmtId="0" fontId="0" fillId="0" borderId="78" xfId="0" applyFill="1" applyBorder="1" applyAlignment="1">
      <alignment horizontal="left" vertical="center"/>
    </xf>
    <xf numFmtId="0" fontId="0" fillId="0" borderId="0" xfId="0" applyFill="1" applyBorder="1" applyAlignment="1">
      <alignment horizontal="justify" vertical="center"/>
    </xf>
    <xf numFmtId="0" fontId="0" fillId="0" borderId="78" xfId="0" applyFill="1" applyBorder="1" applyAlignment="1">
      <alignment horizontal="justify" vertical="center"/>
    </xf>
    <xf numFmtId="0" fontId="0" fillId="0" borderId="77" xfId="0" applyFill="1" applyBorder="1" applyAlignment="1">
      <alignment horizontal="justify" vertical="center"/>
    </xf>
    <xf numFmtId="0" fontId="1" fillId="0" borderId="77" xfId="0" applyFont="1" applyFill="1" applyBorder="1" applyAlignment="1">
      <alignment horizontal="left" vertical="center" wrapText="1"/>
    </xf>
    <xf numFmtId="0" fontId="0" fillId="0" borderId="77" xfId="0" applyFill="1" applyBorder="1" applyAlignment="1">
      <alignment horizontal="left" vertical="top" wrapText="1"/>
    </xf>
    <xf numFmtId="0" fontId="0" fillId="0" borderId="0" xfId="0" applyFill="1" applyBorder="1" applyAlignment="1">
      <alignment horizontal="left" vertical="top" wrapText="1"/>
    </xf>
    <xf numFmtId="0" fontId="0" fillId="0" borderId="78" xfId="0" applyFill="1" applyBorder="1" applyAlignment="1">
      <alignment horizontal="left" vertical="top" wrapText="1"/>
    </xf>
    <xf numFmtId="0" fontId="5" fillId="0" borderId="77" xfId="0" applyFont="1" applyFill="1" applyBorder="1" applyAlignment="1">
      <alignment horizontal="left"/>
    </xf>
    <xf numFmtId="0" fontId="5" fillId="0" borderId="0" xfId="0" applyFont="1" applyFill="1" applyBorder="1" applyAlignment="1">
      <alignment horizontal="left"/>
    </xf>
    <xf numFmtId="0" fontId="0" fillId="0" borderId="0" xfId="0" applyFill="1" applyBorder="1" applyAlignment="1">
      <alignment horizontal="left"/>
    </xf>
    <xf numFmtId="0" fontId="0" fillId="0" borderId="78" xfId="0" applyFill="1" applyBorder="1" applyAlignment="1">
      <alignment horizontal="left"/>
    </xf>
    <xf numFmtId="0" fontId="1" fillId="0" borderId="77" xfId="0" applyFont="1" applyFill="1" applyBorder="1" applyAlignment="1">
      <alignment horizontal="justify"/>
    </xf>
    <xf numFmtId="0" fontId="1" fillId="0" borderId="0" xfId="0" applyFont="1" applyFill="1" applyBorder="1" applyAlignment="1">
      <alignment horizontal="justify"/>
    </xf>
    <xf numFmtId="0" fontId="1" fillId="0" borderId="78" xfId="0" applyFont="1" applyFill="1" applyBorder="1" applyAlignment="1">
      <alignment horizontal="justify"/>
    </xf>
    <xf numFmtId="0" fontId="0" fillId="0" borderId="79" xfId="0" applyFill="1" applyBorder="1" applyAlignment="1">
      <alignment horizontal="left"/>
    </xf>
    <xf numFmtId="0" fontId="0" fillId="0" borderId="22" xfId="0" applyFill="1" applyBorder="1" applyAlignment="1">
      <alignment horizontal="left"/>
    </xf>
    <xf numFmtId="0" fontId="0" fillId="0" borderId="80" xfId="0" applyFill="1" applyBorder="1" applyAlignment="1">
      <alignment horizontal="left"/>
    </xf>
    <xf numFmtId="0" fontId="0" fillId="0" borderId="77" xfId="0" applyFill="1" applyBorder="1" applyAlignment="1">
      <alignment horizontal="justify" vertical="top" wrapText="1"/>
    </xf>
    <xf numFmtId="0" fontId="0" fillId="0" borderId="0" xfId="0" applyFill="1" applyBorder="1" applyAlignment="1">
      <alignment horizontal="justify" vertical="top" wrapText="1"/>
    </xf>
    <xf numFmtId="0" fontId="0" fillId="0" borderId="78" xfId="0" applyFill="1" applyBorder="1" applyAlignment="1">
      <alignment horizontal="justify" vertical="top" wrapText="1"/>
    </xf>
    <xf numFmtId="0" fontId="1" fillId="0" borderId="77" xfId="0" applyFont="1" applyFill="1" applyBorder="1" applyAlignment="1">
      <alignment horizontal="justify" vertical="top" wrapText="1"/>
    </xf>
    <xf numFmtId="0" fontId="0" fillId="0" borderId="0" xfId="0" applyBorder="1" applyAlignment="1">
      <alignment horizontal="justify" vertical="top" wrapText="1"/>
    </xf>
    <xf numFmtId="0" fontId="0" fillId="0" borderId="78" xfId="0" applyBorder="1" applyAlignment="1">
      <alignment horizontal="justify" vertical="top" wrapText="1"/>
    </xf>
    <xf numFmtId="0" fontId="0" fillId="0" borderId="0" xfId="0" applyBorder="1" applyAlignment="1">
      <alignment horizontal="left" vertical="top" wrapText="1"/>
    </xf>
    <xf numFmtId="0" fontId="0" fillId="0" borderId="78" xfId="0" applyBorder="1" applyAlignment="1">
      <alignment horizontal="left" vertical="top" wrapText="1"/>
    </xf>
    <xf numFmtId="0" fontId="1" fillId="0" borderId="77" xfId="0" applyFont="1" applyFill="1" applyBorder="1" applyAlignment="1">
      <alignment horizontal="left"/>
    </xf>
    <xf numFmtId="0" fontId="1" fillId="0" borderId="0" xfId="0" applyFont="1" applyFill="1" applyBorder="1" applyAlignment="1">
      <alignment horizontal="left"/>
    </xf>
    <xf numFmtId="0" fontId="1" fillId="0" borderId="78" xfId="0" applyFont="1" applyFill="1" applyBorder="1" applyAlignment="1">
      <alignment horizontal="left"/>
    </xf>
    <xf numFmtId="0" fontId="5" fillId="0" borderId="77" xfId="0" applyFont="1" applyBorder="1" applyAlignment="1">
      <alignment horizontal="left" vertical="top" wrapText="1"/>
    </xf>
    <xf numFmtId="0" fontId="5" fillId="0" borderId="0" xfId="0" applyFont="1" applyBorder="1" applyAlignment="1">
      <alignment horizontal="left" vertical="top" wrapText="1"/>
    </xf>
    <xf numFmtId="0" fontId="5" fillId="0" borderId="78" xfId="0" applyFont="1" applyBorder="1" applyAlignment="1">
      <alignment horizontal="left" vertical="top" wrapText="1"/>
    </xf>
    <xf numFmtId="0" fontId="0" fillId="0" borderId="77" xfId="0" applyFill="1" applyBorder="1" applyAlignment="1">
      <alignment horizontal="left" vertical="center"/>
    </xf>
    <xf numFmtId="49" fontId="0" fillId="0" borderId="21" xfId="0" applyNumberFormat="1" applyFill="1" applyBorder="1" applyAlignment="1" applyProtection="1">
      <alignment horizontal="center"/>
      <protection locked="0"/>
    </xf>
    <xf numFmtId="49" fontId="0" fillId="0" borderId="22" xfId="0" applyNumberFormat="1" applyFill="1" applyBorder="1" applyAlignment="1" applyProtection="1">
      <alignment horizontal="center"/>
      <protection locked="0"/>
    </xf>
    <xf numFmtId="49" fontId="0" fillId="0" borderId="23" xfId="0" applyNumberFormat="1" applyFill="1" applyBorder="1" applyAlignment="1" applyProtection="1">
      <alignment horizontal="center"/>
      <protection locked="0"/>
    </xf>
    <xf numFmtId="0" fontId="5" fillId="0" borderId="8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84" xfId="0" applyFont="1" applyFill="1" applyBorder="1" applyAlignment="1">
      <alignment horizontal="center" vertical="center"/>
    </xf>
    <xf numFmtId="0" fontId="0" fillId="0" borderId="81" xfId="0" applyFill="1" applyBorder="1" applyAlignment="1">
      <alignment horizontal="left"/>
    </xf>
    <xf numFmtId="0" fontId="0" fillId="0" borderId="57" xfId="0" applyFill="1" applyBorder="1" applyAlignment="1">
      <alignment horizontal="left"/>
    </xf>
    <xf numFmtId="0" fontId="0" fillId="0" borderId="82" xfId="0" applyFill="1" applyBorder="1" applyAlignment="1">
      <alignment horizontal="left"/>
    </xf>
    <xf numFmtId="0" fontId="1" fillId="0" borderId="79" xfId="0" applyFont="1" applyFill="1" applyBorder="1" applyAlignment="1">
      <alignment horizontal="justify" vertical="top" wrapText="1"/>
    </xf>
    <xf numFmtId="0" fontId="1" fillId="0" borderId="22" xfId="0" applyFont="1" applyFill="1" applyBorder="1" applyAlignment="1">
      <alignment horizontal="justify" vertical="top" wrapText="1"/>
    </xf>
    <xf numFmtId="0" fontId="1" fillId="0" borderId="80" xfId="0" applyFont="1" applyFill="1" applyBorder="1" applyAlignment="1">
      <alignment horizontal="justify" vertical="top" wrapText="1"/>
    </xf>
    <xf numFmtId="0" fontId="1" fillId="0" borderId="0" xfId="0" applyFont="1" applyFill="1" applyBorder="1" applyAlignment="1">
      <alignment horizontal="justify" vertical="top" wrapText="1"/>
    </xf>
    <xf numFmtId="0" fontId="1" fillId="0" borderId="78" xfId="0" applyFont="1" applyFill="1" applyBorder="1" applyAlignment="1">
      <alignment horizontal="justify" vertical="top" wrapText="1"/>
    </xf>
    <xf numFmtId="0" fontId="0" fillId="0" borderId="81" xfId="0" applyFill="1" applyBorder="1" applyAlignment="1">
      <alignment horizontal="justify" vertical="top" wrapText="1"/>
    </xf>
    <xf numFmtId="0" fontId="0" fillId="0" borderId="57" xfId="0" applyFill="1" applyBorder="1" applyAlignment="1">
      <alignment horizontal="justify" vertical="top" wrapText="1"/>
    </xf>
    <xf numFmtId="0" fontId="0" fillId="0" borderId="82" xfId="0" applyFill="1" applyBorder="1" applyAlignment="1">
      <alignment horizontal="justify" vertical="top" wrapText="1"/>
    </xf>
    <xf numFmtId="0" fontId="5" fillId="0" borderId="79" xfId="0" applyFont="1" applyFill="1" applyBorder="1" applyAlignment="1">
      <alignment horizontal="justify" vertical="center"/>
    </xf>
    <xf numFmtId="0" fontId="5" fillId="0" borderId="22" xfId="0" applyFont="1" applyFill="1" applyBorder="1" applyAlignment="1">
      <alignment horizontal="justify" vertical="center"/>
    </xf>
    <xf numFmtId="0" fontId="5" fillId="0" borderId="80" xfId="0" applyFont="1" applyFill="1" applyBorder="1" applyAlignment="1">
      <alignment horizontal="justify" vertical="center"/>
    </xf>
    <xf numFmtId="0" fontId="5" fillId="0" borderId="78" xfId="0" applyFont="1" applyFill="1" applyBorder="1" applyAlignment="1">
      <alignment horizontal="left"/>
    </xf>
    <xf numFmtId="0" fontId="5" fillId="0" borderId="79" xfId="0" applyFont="1" applyFill="1" applyBorder="1" applyAlignment="1">
      <alignment horizontal="justify" vertical="top" wrapText="1"/>
    </xf>
    <xf numFmtId="0" fontId="5" fillId="0" borderId="22" xfId="0" applyFont="1" applyFill="1" applyBorder="1" applyAlignment="1">
      <alignment horizontal="justify" vertical="top" wrapText="1"/>
    </xf>
    <xf numFmtId="0" fontId="5" fillId="0" borderId="80" xfId="0" applyFont="1" applyFill="1" applyBorder="1" applyAlignment="1">
      <alignment horizontal="justify" vertical="top" wrapText="1"/>
    </xf>
    <xf numFmtId="0" fontId="19" fillId="0" borderId="77"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19" fillId="0" borderId="78" xfId="0" applyFont="1" applyFill="1" applyBorder="1" applyAlignment="1">
      <alignment horizontal="justify" vertical="top" wrapText="1"/>
    </xf>
    <xf numFmtId="0" fontId="1" fillId="0" borderId="0" xfId="0" applyFont="1" applyFill="1" applyBorder="1" applyAlignment="1">
      <alignment horizontal="left" vertical="center" wrapText="1"/>
    </xf>
    <xf numFmtId="0" fontId="1" fillId="0" borderId="78" xfId="0" applyFont="1" applyFill="1" applyBorder="1" applyAlignment="1">
      <alignment horizontal="left" vertical="center" wrapText="1"/>
    </xf>
    <xf numFmtId="0" fontId="0" fillId="0" borderId="22" xfId="0" applyFill="1" applyBorder="1"/>
    <xf numFmtId="0" fontId="0" fillId="0" borderId="80" xfId="0" applyFill="1" applyBorder="1"/>
    <xf numFmtId="0" fontId="0" fillId="0" borderId="77" xfId="0" applyFill="1" applyBorder="1" applyAlignment="1">
      <alignment horizontal="left"/>
    </xf>
    <xf numFmtId="0" fontId="0" fillId="0" borderId="81" xfId="0" applyFill="1" applyBorder="1" applyAlignment="1">
      <alignment horizontal="left" vertical="center"/>
    </xf>
    <xf numFmtId="0" fontId="0" fillId="0" borderId="57" xfId="0" applyFill="1" applyBorder="1" applyAlignment="1">
      <alignment horizontal="left" vertical="center"/>
    </xf>
    <xf numFmtId="0" fontId="0" fillId="0" borderId="82" xfId="0" applyFill="1" applyBorder="1" applyAlignment="1">
      <alignment horizontal="left" vertical="center"/>
    </xf>
    <xf numFmtId="0" fontId="5" fillId="0" borderId="77" xfId="0" applyFont="1" applyBorder="1" applyAlignment="1">
      <alignment horizontal="left" shrinkToFit="1"/>
    </xf>
    <xf numFmtId="0" fontId="5" fillId="0" borderId="0" xfId="0" applyFont="1" applyBorder="1" applyAlignment="1">
      <alignment horizontal="left" shrinkToFit="1"/>
    </xf>
    <xf numFmtId="0" fontId="5" fillId="0" borderId="78" xfId="0" applyFont="1" applyBorder="1" applyAlignment="1">
      <alignment horizontal="left" shrinkToFit="1"/>
    </xf>
    <xf numFmtId="0" fontId="5" fillId="0" borderId="47" xfId="0" applyFont="1" applyBorder="1" applyAlignment="1">
      <alignment horizontal="center"/>
    </xf>
    <xf numFmtId="0" fontId="0" fillId="0" borderId="47" xfId="0" applyBorder="1" applyAlignment="1">
      <alignment horizontal="center"/>
    </xf>
    <xf numFmtId="0" fontId="0" fillId="0" borderId="0" xfId="0" applyAlignment="1">
      <alignment horizontal="center"/>
    </xf>
    <xf numFmtId="0" fontId="1" fillId="0" borderId="0" xfId="0" applyFont="1" applyAlignment="1">
      <alignment horizontal="center"/>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0" fillId="0" borderId="78" xfId="0" applyBorder="1"/>
    <xf numFmtId="0" fontId="0" fillId="0" borderId="86" xfId="0" applyBorder="1" applyAlignment="1">
      <alignment horizontal="center"/>
    </xf>
    <xf numFmtId="0" fontId="0" fillId="0" borderId="87" xfId="0" applyBorder="1" applyAlignment="1">
      <alignment horizontal="center"/>
    </xf>
    <xf numFmtId="0" fontId="1" fillId="0" borderId="24" xfId="0"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0" xfId="0" applyFont="1" applyFill="1" applyBorder="1" applyAlignment="1">
      <alignment horizontal="center" vertical="center"/>
    </xf>
    <xf numFmtId="0" fontId="0" fillId="0" borderId="78" xfId="0" applyFill="1" applyBorder="1"/>
    <xf numFmtId="0" fontId="0" fillId="0" borderId="0" xfId="0" applyBorder="1" applyAlignment="1">
      <alignment horizontal="center"/>
    </xf>
    <xf numFmtId="0" fontId="0" fillId="0" borderId="59" xfId="0" applyBorder="1" applyAlignment="1">
      <alignment horizont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5" fillId="0" borderId="15" xfId="0" applyFont="1" applyBorder="1" applyAlignment="1">
      <alignment horizontal="center"/>
    </xf>
    <xf numFmtId="0" fontId="5" fillId="0" borderId="9" xfId="0" applyFont="1" applyBorder="1" applyAlignment="1">
      <alignment horizontal="center"/>
    </xf>
    <xf numFmtId="0" fontId="5" fillId="0" borderId="13" xfId="0" applyFont="1" applyBorder="1" applyAlignment="1">
      <alignment horizontal="center"/>
    </xf>
    <xf numFmtId="0" fontId="1" fillId="0" borderId="56" xfId="0" applyFont="1" applyBorder="1" applyAlignment="1">
      <alignment horizontal="left" vertical="center" wrapText="1"/>
    </xf>
    <xf numFmtId="0" fontId="0" fillId="0" borderId="57" xfId="0" applyBorder="1" applyAlignment="1">
      <alignment horizontal="left" vertical="center" wrapText="1"/>
    </xf>
    <xf numFmtId="0" fontId="0" fillId="0" borderId="58" xfId="0" applyBorder="1" applyAlignment="1">
      <alignment horizontal="left" vertical="center" wrapText="1"/>
    </xf>
    <xf numFmtId="0" fontId="1" fillId="0" borderId="15" xfId="0" applyFont="1" applyBorder="1" applyAlignment="1">
      <alignment horizontal="center"/>
    </xf>
    <xf numFmtId="0" fontId="0" fillId="0" borderId="9" xfId="0" applyBorder="1" applyAlignment="1">
      <alignment horizontal="center"/>
    </xf>
    <xf numFmtId="0" fontId="0" fillId="0" borderId="13" xfId="0" applyBorder="1" applyAlignment="1">
      <alignment horizontal="center"/>
    </xf>
    <xf numFmtId="0" fontId="0" fillId="0" borderId="24" xfId="0" applyBorder="1" applyAlignment="1">
      <alignment horizontal="left" vertical="center" wrapText="1"/>
    </xf>
    <xf numFmtId="0" fontId="0" fillId="0" borderId="0" xfId="0" applyBorder="1" applyAlignment="1">
      <alignment horizontal="left" vertical="center" wrapText="1"/>
    </xf>
    <xf numFmtId="0" fontId="0" fillId="0" borderId="59" xfId="0" applyBorder="1" applyAlignment="1">
      <alignment horizontal="left" vertical="center" wrapText="1"/>
    </xf>
    <xf numFmtId="0" fontId="5" fillId="0" borderId="88" xfId="0" applyFont="1" applyBorder="1" applyAlignment="1">
      <alignment horizontal="center" vertical="center"/>
    </xf>
    <xf numFmtId="0" fontId="5" fillId="0" borderId="55" xfId="0" applyFont="1" applyBorder="1" applyAlignment="1">
      <alignment horizontal="center"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0" fontId="0" fillId="0" borderId="53" xfId="0" applyBorder="1" applyAlignment="1">
      <alignment horizontal="center" vertical="center" wrapText="1"/>
    </xf>
    <xf numFmtId="10" fontId="5" fillId="15" borderId="47" xfId="0" applyNumberFormat="1" applyFont="1" applyFill="1" applyBorder="1" applyAlignment="1" applyProtection="1">
      <alignment horizontal="center" vertical="center"/>
      <protection locked="0"/>
    </xf>
    <xf numFmtId="0" fontId="0" fillId="0" borderId="54" xfId="0" applyBorder="1" applyAlignment="1">
      <alignment horizontal="center" vertical="center" wrapText="1"/>
    </xf>
    <xf numFmtId="10" fontId="22" fillId="0" borderId="91" xfId="0" applyNumberFormat="1" applyFont="1" applyBorder="1" applyAlignment="1">
      <alignment horizontal="center" vertical="center"/>
    </xf>
    <xf numFmtId="0" fontId="0" fillId="0" borderId="74" xfId="0" applyBorder="1" applyAlignment="1">
      <alignment horizontal="left" vertical="center" wrapText="1"/>
    </xf>
    <xf numFmtId="0" fontId="0" fillId="0" borderId="76" xfId="0" applyBorder="1" applyAlignment="1">
      <alignment horizontal="left" vertical="center" wrapText="1"/>
    </xf>
    <xf numFmtId="0" fontId="0" fillId="0" borderId="75" xfId="0" applyBorder="1" applyAlignment="1">
      <alignment horizontal="left" vertical="center" wrapText="1"/>
    </xf>
    <xf numFmtId="0" fontId="5" fillId="0" borderId="91" xfId="0" applyFont="1" applyBorder="1" applyAlignment="1">
      <alignment horizontal="center" vertical="center"/>
    </xf>
    <xf numFmtId="0" fontId="1" fillId="0" borderId="92" xfId="0" applyFont="1" applyBorder="1" applyAlignment="1">
      <alignment horizontal="left" vertical="center" wrapText="1"/>
    </xf>
    <xf numFmtId="0" fontId="0" fillId="0" borderId="86" xfId="0" applyBorder="1"/>
    <xf numFmtId="0" fontId="0" fillId="0" borderId="87" xfId="0" applyBorder="1"/>
    <xf numFmtId="0" fontId="23" fillId="0" borderId="93" xfId="0" applyFont="1" applyBorder="1" applyAlignment="1">
      <alignment horizontal="center" vertical="center" wrapText="1"/>
    </xf>
    <xf numFmtId="0" fontId="0" fillId="0" borderId="74" xfId="0" applyBorder="1"/>
    <xf numFmtId="0" fontId="0" fillId="0" borderId="76" xfId="0" applyBorder="1"/>
    <xf numFmtId="0" fontId="0" fillId="0" borderId="75" xfId="0" applyBorder="1"/>
    <xf numFmtId="0" fontId="0" fillId="0" borderId="72" xfId="0" applyBorder="1" applyAlignment="1">
      <alignment horizontal="center" vertical="center" wrapText="1"/>
    </xf>
    <xf numFmtId="0" fontId="23" fillId="0" borderId="91" xfId="0" applyFont="1" applyBorder="1" applyAlignment="1">
      <alignment horizontal="center" vertical="center" wrapText="1"/>
    </xf>
    <xf numFmtId="0" fontId="24" fillId="0" borderId="4" xfId="0" applyFont="1" applyBorder="1" applyAlignment="1">
      <alignment horizontal="left" vertical="center" wrapText="1"/>
    </xf>
    <xf numFmtId="0" fontId="24" fillId="0" borderId="6" xfId="0" applyFont="1" applyBorder="1" applyAlignment="1">
      <alignment horizontal="left" vertical="center" wrapText="1"/>
    </xf>
    <xf numFmtId="0" fontId="0" fillId="0" borderId="94" xfId="0" applyBorder="1" applyAlignment="1">
      <alignment vertical="center"/>
    </xf>
    <xf numFmtId="0" fontId="1" fillId="0" borderId="53" xfId="0" applyFont="1" applyBorder="1" applyAlignment="1">
      <alignment horizontal="center" vertical="center" wrapText="1"/>
    </xf>
    <xf numFmtId="10" fontId="22" fillId="0" borderId="94" xfId="0" applyNumberFormat="1" applyFont="1" applyBorder="1" applyAlignment="1">
      <alignment horizontal="center" vertical="center"/>
    </xf>
    <xf numFmtId="0" fontId="1" fillId="0" borderId="95" xfId="0" applyFont="1" applyBorder="1" applyAlignment="1">
      <alignment horizontal="center" vertical="center"/>
    </xf>
    <xf numFmtId="10" fontId="5" fillId="16" borderId="96" xfId="0" applyNumberFormat="1" applyFont="1" applyFill="1" applyBorder="1" applyAlignment="1">
      <alignment horizontal="center" vertical="center"/>
    </xf>
    <xf numFmtId="0" fontId="1" fillId="0" borderId="97" xfId="0" applyFont="1" applyBorder="1" applyAlignment="1">
      <alignment horizontal="center" vertical="center" wrapText="1"/>
    </xf>
    <xf numFmtId="0" fontId="24" fillId="0" borderId="86" xfId="0" applyFont="1" applyBorder="1" applyAlignment="1">
      <alignment horizontal="left" vertical="center" wrapText="1"/>
    </xf>
    <xf numFmtId="0" fontId="24" fillId="0" borderId="87" xfId="0" applyFont="1" applyBorder="1" applyAlignment="1">
      <alignment horizontal="left" vertical="center" wrapText="1"/>
    </xf>
    <xf numFmtId="0" fontId="0" fillId="0" borderId="24" xfId="0" applyBorder="1" applyAlignment="1">
      <alignment horizontal="center" vertical="center"/>
    </xf>
    <xf numFmtId="0" fontId="1" fillId="0" borderId="86" xfId="0" applyFont="1" applyBorder="1" applyAlignment="1">
      <alignment horizontal="left" vertical="center" wrapText="1"/>
    </xf>
    <xf numFmtId="0" fontId="1" fillId="0" borderId="87" xfId="0" applyFont="1" applyBorder="1" applyAlignment="1">
      <alignment horizontal="left" vertical="center" wrapText="1"/>
    </xf>
    <xf numFmtId="0" fontId="0" fillId="0" borderId="60" xfId="0" applyBorder="1" applyAlignment="1">
      <alignment horizontal="center" vertical="center" wrapText="1"/>
    </xf>
    <xf numFmtId="10" fontId="5" fillId="15" borderId="48" xfId="0" applyNumberFormat="1" applyFont="1" applyFill="1" applyBorder="1" applyAlignment="1" applyProtection="1">
      <alignment horizontal="center" vertical="center"/>
      <protection locked="0"/>
    </xf>
    <xf numFmtId="0" fontId="0" fillId="0" borderId="61" xfId="0" applyBorder="1" applyAlignment="1">
      <alignment horizontal="center" vertical="center" wrapText="1"/>
    </xf>
    <xf numFmtId="0" fontId="5" fillId="0" borderId="98" xfId="0" applyFont="1" applyBorder="1" applyAlignment="1">
      <alignmen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13" xfId="0" applyFont="1" applyBorder="1" applyAlignment="1">
      <alignment horizontal="center" vertical="center"/>
    </xf>
    <xf numFmtId="0" fontId="23" fillId="0" borderId="0" xfId="0" applyFont="1" applyBorder="1" applyAlignment="1">
      <alignment vertical="center" wrapText="1"/>
    </xf>
    <xf numFmtId="0" fontId="5" fillId="0" borderId="99" xfId="0" applyFont="1" applyBorder="1" applyAlignment="1">
      <alignment horizontal="center" vertical="center"/>
    </xf>
    <xf numFmtId="10" fontId="22" fillId="0" borderId="15" xfId="0" applyNumberFormat="1" applyFont="1" applyBorder="1" applyAlignment="1">
      <alignment horizontal="center" vertical="center"/>
    </xf>
    <xf numFmtId="10" fontId="22" fillId="0" borderId="13" xfId="0" applyNumberFormat="1" applyFont="1" applyBorder="1"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center" vertical="center" wrapText="1"/>
    </xf>
    <xf numFmtId="10" fontId="5" fillId="0" borderId="0" xfId="0" applyNumberFormat="1" applyFont="1" applyFill="1" applyBorder="1" applyAlignment="1" applyProtection="1">
      <alignment horizontal="center" vertical="center"/>
      <protection locked="0"/>
    </xf>
    <xf numFmtId="0" fontId="0" fillId="0" borderId="100" xfId="0" applyBorder="1" applyAlignment="1">
      <alignment horizontal="center"/>
    </xf>
    <xf numFmtId="0" fontId="1" fillId="0" borderId="24" xfId="0" applyFont="1"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vertical="center"/>
    </xf>
    <xf numFmtId="0" fontId="0" fillId="0" borderId="77" xfId="0" applyBorder="1" applyAlignment="1">
      <alignment horizontal="center"/>
    </xf>
    <xf numFmtId="0" fontId="0" fillId="0" borderId="24" xfId="0" applyBorder="1" applyAlignment="1">
      <alignment horizontal="center" vertical="center" wrapText="1"/>
    </xf>
    <xf numFmtId="0" fontId="0" fillId="0" borderId="21" xfId="0" applyBorder="1"/>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45" xfId="0" applyBorder="1" applyAlignment="1">
      <alignment horizontal="left" vertical="center" wrapText="1"/>
    </xf>
    <xf numFmtId="0" fontId="5" fillId="0" borderId="52" xfId="0" applyFont="1" applyBorder="1" applyAlignment="1">
      <alignment horizontal="center" vertical="center"/>
    </xf>
    <xf numFmtId="0" fontId="5" fillId="0" borderId="101" xfId="0" applyFont="1" applyBorder="1" applyAlignment="1">
      <alignment horizontal="center" vertical="center"/>
    </xf>
    <xf numFmtId="0" fontId="0" fillId="0" borderId="14"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92" xfId="0" applyBorder="1" applyAlignment="1">
      <alignment horizontal="left" vertical="center" wrapText="1"/>
    </xf>
    <xf numFmtId="0" fontId="1" fillId="0" borderId="91" xfId="0" applyFont="1" applyBorder="1" applyAlignment="1">
      <alignment horizontal="center" vertical="center" wrapText="1"/>
    </xf>
    <xf numFmtId="0" fontId="24" fillId="0" borderId="14" xfId="0" applyFont="1" applyBorder="1" applyAlignment="1">
      <alignment horizontal="left" vertical="center" wrapText="1"/>
    </xf>
    <xf numFmtId="0" fontId="0" fillId="0" borderId="59" xfId="0" applyBorder="1" applyAlignment="1">
      <alignment vertical="center"/>
    </xf>
    <xf numFmtId="0" fontId="1" fillId="0" borderId="95" xfId="0" applyFont="1" applyBorder="1" applyAlignment="1">
      <alignment horizontal="center" vertical="center" wrapText="1"/>
    </xf>
    <xf numFmtId="10" fontId="5" fillId="15" borderId="96" xfId="0" applyNumberFormat="1" applyFont="1" applyFill="1" applyBorder="1" applyAlignment="1" applyProtection="1">
      <alignment horizontal="center" vertical="center"/>
      <protection locked="0"/>
    </xf>
    <xf numFmtId="0" fontId="0" fillId="0" borderId="97" xfId="0" applyBorder="1" applyAlignment="1">
      <alignment horizontal="center" vertical="center" wrapText="1"/>
    </xf>
    <xf numFmtId="0" fontId="1" fillId="0" borderId="60" xfId="0" applyFont="1" applyBorder="1" applyAlignment="1">
      <alignment horizontal="center" vertical="center"/>
    </xf>
    <xf numFmtId="10" fontId="5" fillId="16" borderId="48" xfId="0" applyNumberFormat="1" applyFont="1" applyFill="1" applyBorder="1" applyAlignment="1">
      <alignment horizontal="center" vertical="center"/>
    </xf>
    <xf numFmtId="0" fontId="1" fillId="0" borderId="61" xfId="0" applyFont="1" applyBorder="1" applyAlignment="1">
      <alignment horizontal="center" vertical="center" wrapText="1"/>
    </xf>
    <xf numFmtId="0" fontId="24" fillId="0" borderId="92" xfId="0" applyFont="1" applyBorder="1" applyAlignment="1">
      <alignment horizontal="left" vertical="center" wrapText="1"/>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0" fillId="0" borderId="98" xfId="0" applyBorder="1" applyAlignment="1">
      <alignment horizontal="center" vertical="center"/>
    </xf>
    <xf numFmtId="0" fontId="0" fillId="0" borderId="102" xfId="0" applyBorder="1" applyAlignment="1">
      <alignment horizontal="left" vertical="center" wrapText="1"/>
    </xf>
    <xf numFmtId="0" fontId="0" fillId="0" borderId="103" xfId="0" applyBorder="1"/>
    <xf numFmtId="0" fontId="0" fillId="0" borderId="104" xfId="0" applyBorder="1"/>
    <xf numFmtId="0" fontId="3" fillId="0" borderId="105" xfId="0" applyFont="1" applyFill="1" applyBorder="1" applyAlignment="1">
      <alignment horizontal="center" vertical="distributed" wrapText="1"/>
    </xf>
    <xf numFmtId="0" fontId="3" fillId="0" borderId="106" xfId="0" applyFont="1" applyFill="1" applyBorder="1" applyAlignment="1">
      <alignment horizontal="center" vertical="distributed" wrapText="1"/>
    </xf>
    <xf numFmtId="0" fontId="3" fillId="0" borderId="106" xfId="0" applyFont="1" applyFill="1" applyBorder="1" applyAlignment="1">
      <alignment horizontal="center" vertical="center"/>
    </xf>
    <xf numFmtId="0" fontId="3" fillId="0" borderId="106" xfId="0" applyFont="1" applyFill="1" applyBorder="1" applyAlignment="1">
      <alignment vertical="center" wrapText="1"/>
    </xf>
    <xf numFmtId="164" fontId="3" fillId="0" borderId="106" xfId="25" applyFont="1" applyFill="1" applyBorder="1" applyAlignment="1">
      <alignment horizontal="center" vertical="center" wrapText="1"/>
    </xf>
    <xf numFmtId="164" fontId="3" fillId="0" borderId="107" xfId="25" applyFont="1" applyFill="1" applyBorder="1" applyAlignment="1">
      <alignment horizontal="center" vertical="distributed" wrapText="1"/>
    </xf>
    <xf numFmtId="0" fontId="4" fillId="14" borderId="20" xfId="0" applyNumberFormat="1" applyFont="1" applyFill="1" applyBorder="1" applyAlignment="1">
      <alignment horizontal="center" vertical="center" wrapText="1"/>
    </xf>
    <xf numFmtId="0" fontId="4" fillId="14" borderId="19" xfId="0" applyFont="1" applyFill="1" applyBorder="1" applyAlignment="1">
      <alignment horizontal="center" vertical="center" wrapText="1"/>
    </xf>
    <xf numFmtId="0" fontId="4" fillId="14" borderId="19" xfId="0" applyFont="1" applyFill="1" applyBorder="1" applyAlignment="1">
      <alignment vertical="center" wrapText="1"/>
    </xf>
    <xf numFmtId="164" fontId="4" fillId="14" borderId="19" xfId="25" applyNumberFormat="1" applyFont="1" applyFill="1" applyBorder="1" applyAlignment="1">
      <alignment horizontal="center" vertical="center" wrapText="1"/>
    </xf>
    <xf numFmtId="164" fontId="15" fillId="14" borderId="19" xfId="25" applyNumberFormat="1" applyFont="1" applyFill="1" applyBorder="1" applyAlignment="1">
      <alignment horizontal="center" vertical="center" wrapText="1"/>
    </xf>
    <xf numFmtId="164" fontId="4" fillId="14" borderId="19" xfId="25" applyNumberFormat="1" applyFont="1" applyFill="1" applyBorder="1" applyAlignment="1">
      <alignment horizontal="right" vertical="center" wrapText="1"/>
    </xf>
    <xf numFmtId="164" fontId="4" fillId="14" borderId="12" xfId="25" applyFont="1" applyFill="1" applyBorder="1" applyAlignment="1">
      <alignment horizontal="right" vertical="center" wrapText="1"/>
    </xf>
    <xf numFmtId="0" fontId="3" fillId="0" borderId="106" xfId="0" applyFont="1" applyFill="1" applyBorder="1" applyAlignment="1">
      <alignment horizontal="center" vertical="center" wrapText="1"/>
    </xf>
    <xf numFmtId="0" fontId="3" fillId="0" borderId="106" xfId="0" applyFont="1" applyFill="1" applyBorder="1" applyAlignment="1">
      <alignment horizontal="left" vertical="distributed" wrapText="1"/>
    </xf>
    <xf numFmtId="0" fontId="3" fillId="0" borderId="20" xfId="0" applyFont="1" applyFill="1" applyBorder="1" applyAlignment="1">
      <alignment horizontal="center" vertical="distributed" wrapText="1"/>
    </xf>
    <xf numFmtId="0" fontId="3" fillId="0" borderId="19" xfId="0" applyFont="1" applyFill="1" applyBorder="1" applyAlignment="1">
      <alignment horizontal="center" vertical="center"/>
    </xf>
    <xf numFmtId="0" fontId="3" fillId="0" borderId="19" xfId="0" applyFont="1" applyFill="1" applyBorder="1" applyAlignment="1">
      <alignment horizontal="left" vertical="distributed" wrapText="1"/>
    </xf>
    <xf numFmtId="164" fontId="3" fillId="0" borderId="12" xfId="25" applyFont="1" applyFill="1" applyBorder="1" applyAlignment="1">
      <alignment horizontal="center" vertical="center" wrapText="1"/>
    </xf>
    <xf numFmtId="0" fontId="3" fillId="0" borderId="19" xfId="0" applyFont="1" applyFill="1" applyBorder="1" applyAlignment="1">
      <alignment horizontal="center" vertical="distributed" wrapText="1"/>
    </xf>
    <xf numFmtId="164" fontId="3" fillId="0" borderId="12" xfId="25" applyFont="1" applyFill="1" applyBorder="1" applyAlignment="1">
      <alignment horizontal="center" vertical="distributed" wrapText="1"/>
    </xf>
    <xf numFmtId="0" fontId="3" fillId="0" borderId="105" xfId="0" applyNumberFormat="1" applyFont="1" applyFill="1" applyBorder="1" applyAlignment="1">
      <alignment horizontal="center" vertical="center"/>
    </xf>
    <xf numFmtId="164" fontId="3" fillId="0" borderId="107" xfId="25" applyFont="1" applyFill="1" applyBorder="1" applyAlignment="1">
      <alignment horizontal="center" vertical="center" wrapText="1"/>
    </xf>
    <xf numFmtId="0" fontId="3" fillId="0" borderId="20" xfId="0" applyNumberFormat="1" applyFont="1" applyFill="1" applyBorder="1" applyAlignment="1">
      <alignment horizontal="center" vertical="center"/>
    </xf>
    <xf numFmtId="0" fontId="4" fillId="14" borderId="105" xfId="0" applyNumberFormat="1" applyFont="1" applyFill="1" applyBorder="1" applyAlignment="1">
      <alignment horizontal="center" vertical="center" wrapText="1"/>
    </xf>
    <xf numFmtId="0" fontId="4" fillId="14" borderId="106" xfId="0" applyFont="1" applyFill="1" applyBorder="1" applyAlignment="1">
      <alignment horizontal="center" vertical="center" wrapText="1"/>
    </xf>
    <xf numFmtId="0" fontId="4" fillId="14" borderId="106" xfId="0" applyFont="1" applyFill="1" applyBorder="1" applyAlignment="1">
      <alignment vertical="center" wrapText="1"/>
    </xf>
    <xf numFmtId="164" fontId="4" fillId="14" borderId="106" xfId="25" applyNumberFormat="1" applyFont="1" applyFill="1" applyBorder="1" applyAlignment="1">
      <alignment horizontal="center" vertical="center" wrapText="1"/>
    </xf>
    <xf numFmtId="164" fontId="15" fillId="14" borderId="106" xfId="25" applyNumberFormat="1" applyFont="1" applyFill="1" applyBorder="1" applyAlignment="1">
      <alignment horizontal="center" vertical="center" wrapText="1"/>
    </xf>
    <xf numFmtId="164" fontId="4" fillId="14" borderId="106" xfId="25" applyNumberFormat="1" applyFont="1" applyFill="1" applyBorder="1" applyAlignment="1">
      <alignment horizontal="right" vertical="center" wrapText="1"/>
    </xf>
    <xf numFmtId="164" fontId="4" fillId="14" borderId="107" xfId="25" applyFont="1" applyFill="1" applyBorder="1" applyAlignment="1">
      <alignment horizontal="right" vertical="center" wrapText="1"/>
    </xf>
    <xf numFmtId="164" fontId="3" fillId="0" borderId="19" xfId="25" applyFont="1" applyFill="1" applyBorder="1" applyAlignment="1">
      <alignment horizontal="right" vertical="center" wrapText="1"/>
    </xf>
    <xf numFmtId="0" fontId="3" fillId="0" borderId="19" xfId="0" applyFont="1" applyFill="1" applyBorder="1" applyAlignment="1">
      <alignment horizontal="left" vertical="center" wrapText="1"/>
    </xf>
    <xf numFmtId="0" fontId="3" fillId="0" borderId="105" xfId="0" applyFont="1" applyFill="1" applyBorder="1" applyAlignment="1">
      <alignment horizontal="center" vertical="center" wrapText="1"/>
    </xf>
    <xf numFmtId="0" fontId="3" fillId="0" borderId="106" xfId="0" applyFont="1" applyFill="1" applyBorder="1" applyAlignment="1">
      <alignment horizontal="left" vertical="center" wrapText="1"/>
    </xf>
    <xf numFmtId="164" fontId="3" fillId="0" borderId="106" xfId="25" applyFont="1" applyFill="1" applyBorder="1" applyAlignment="1">
      <alignment horizontal="right" vertical="center" wrapText="1"/>
    </xf>
    <xf numFmtId="0" fontId="3" fillId="0" borderId="20" xfId="0" applyFont="1" applyFill="1" applyBorder="1" applyAlignment="1">
      <alignment horizontal="center" vertical="center" wrapText="1"/>
    </xf>
    <xf numFmtId="0" fontId="3" fillId="3" borderId="20" xfId="0" applyNumberFormat="1" applyFont="1" applyFill="1" applyBorder="1" applyAlignment="1">
      <alignment horizontal="center" vertical="center"/>
    </xf>
    <xf numFmtId="0" fontId="0" fillId="3" borderId="19" xfId="0" applyFill="1" applyBorder="1" applyAlignment="1">
      <alignment horizontal="center" vertical="center"/>
    </xf>
    <xf numFmtId="0" fontId="0" fillId="3" borderId="19" xfId="0" applyFill="1" applyBorder="1" applyAlignment="1">
      <alignment vertical="center" wrapText="1"/>
    </xf>
    <xf numFmtId="164" fontId="1" fillId="0" borderId="19" xfId="25" applyNumberFormat="1" applyFont="1" applyFill="1" applyBorder="1" applyAlignment="1">
      <alignment horizontal="right" vertical="center"/>
    </xf>
    <xf numFmtId="164" fontId="0" fillId="0" borderId="19" xfId="25" applyNumberFormat="1" applyFont="1" applyFill="1" applyBorder="1" applyAlignment="1">
      <alignment vertical="center"/>
    </xf>
    <xf numFmtId="164" fontId="0" fillId="3" borderId="19" xfId="25" applyNumberFormat="1" applyFont="1" applyFill="1" applyBorder="1" applyAlignment="1">
      <alignment vertical="center"/>
    </xf>
    <xf numFmtId="164" fontId="0" fillId="3" borderId="12" xfId="25" applyFont="1" applyFill="1" applyBorder="1" applyAlignment="1">
      <alignment vertical="center"/>
    </xf>
    <xf numFmtId="164" fontId="1" fillId="3" borderId="19" xfId="25" applyNumberFormat="1" applyFont="1" applyFill="1" applyBorder="1" applyAlignment="1">
      <alignment horizontal="right" vertical="center"/>
    </xf>
    <xf numFmtId="0" fontId="3" fillId="3" borderId="19" xfId="0" applyFont="1" applyFill="1" applyBorder="1" applyAlignment="1">
      <alignment horizontal="center" vertical="center"/>
    </xf>
    <xf numFmtId="0" fontId="3" fillId="3" borderId="19" xfId="0" applyFont="1" applyFill="1" applyBorder="1" applyAlignment="1">
      <alignment vertical="center" wrapText="1"/>
    </xf>
    <xf numFmtId="0" fontId="3" fillId="3" borderId="105" xfId="0" applyNumberFormat="1" applyFont="1" applyFill="1" applyBorder="1" applyAlignment="1">
      <alignment horizontal="center" vertical="center"/>
    </xf>
    <xf numFmtId="0" fontId="3" fillId="3" borderId="106" xfId="0" applyFont="1" applyFill="1" applyBorder="1" applyAlignment="1">
      <alignment horizontal="center" vertical="center"/>
    </xf>
    <xf numFmtId="0" fontId="3" fillId="3" borderId="106" xfId="0" applyFont="1" applyFill="1" applyBorder="1" applyAlignment="1">
      <alignment vertical="center" wrapText="1"/>
    </xf>
    <xf numFmtId="164" fontId="3" fillId="3" borderId="106" xfId="25" applyFont="1" applyFill="1" applyBorder="1" applyAlignment="1">
      <alignment horizontal="center" vertical="center" wrapText="1"/>
    </xf>
    <xf numFmtId="164" fontId="3" fillId="3" borderId="107" xfId="25" applyFont="1" applyFill="1" applyBorder="1" applyAlignment="1">
      <alignment horizontal="center" vertical="center" wrapText="1"/>
    </xf>
    <xf numFmtId="0" fontId="3" fillId="0" borderId="106" xfId="0" quotePrefix="1" applyFont="1" applyFill="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vertical="center"/>
    </xf>
    <xf numFmtId="2" fontId="3" fillId="0" borderId="29" xfId="0" applyNumberFormat="1" applyFont="1" applyBorder="1" applyAlignment="1">
      <alignment horizontal="center" vertical="center" wrapText="1"/>
    </xf>
    <xf numFmtId="1" fontId="3" fillId="0" borderId="29" xfId="23" applyNumberFormat="1" applyFont="1" applyBorder="1" applyAlignment="1">
      <alignment horizontal="center" vertical="center"/>
    </xf>
    <xf numFmtId="1" fontId="3" fillId="0" borderId="30" xfId="23" applyNumberFormat="1" applyFont="1" applyBorder="1" applyAlignment="1">
      <alignment horizontal="center" vertical="center"/>
    </xf>
    <xf numFmtId="164" fontId="4" fillId="0" borderId="31" xfId="25" applyFont="1" applyBorder="1" applyAlignment="1">
      <alignment horizontal="right" vertical="center"/>
    </xf>
    <xf numFmtId="0" fontId="4" fillId="0" borderId="18" xfId="0" applyFont="1" applyBorder="1" applyAlignment="1">
      <alignment horizontal="center" vertical="center"/>
    </xf>
    <xf numFmtId="0" fontId="4" fillId="0" borderId="5" xfId="0" applyFont="1" applyBorder="1" applyAlignment="1">
      <alignment vertical="center"/>
    </xf>
    <xf numFmtId="2" fontId="3" fillId="2" borderId="5" xfId="0" applyNumberFormat="1" applyFont="1" applyFill="1" applyBorder="1" applyAlignment="1">
      <alignment horizontal="center" vertical="center" wrapText="1"/>
    </xf>
    <xf numFmtId="1" fontId="3" fillId="8" borderId="5" xfId="23" applyNumberFormat="1" applyFont="1" applyFill="1" applyBorder="1" applyAlignment="1">
      <alignment horizontal="center" vertical="center"/>
    </xf>
    <xf numFmtId="1" fontId="3" fillId="2" borderId="5" xfId="23" applyNumberFormat="1" applyFont="1" applyFill="1" applyBorder="1" applyAlignment="1">
      <alignment horizontal="center" vertical="center"/>
    </xf>
    <xf numFmtId="1" fontId="3" fillId="2" borderId="32" xfId="23" applyNumberFormat="1" applyFont="1" applyFill="1" applyBorder="1" applyAlignment="1">
      <alignment horizontal="center" vertical="center"/>
    </xf>
    <xf numFmtId="1" fontId="3" fillId="8" borderId="32" xfId="23" applyNumberFormat="1" applyFont="1" applyFill="1" applyBorder="1" applyAlignment="1">
      <alignment horizontal="center" vertical="center"/>
    </xf>
    <xf numFmtId="164" fontId="4" fillId="0" borderId="11" xfId="25" applyFont="1" applyBorder="1" applyAlignment="1">
      <alignment horizontal="right" vertical="center"/>
    </xf>
    <xf numFmtId="1" fontId="3" fillId="0" borderId="5" xfId="23" applyNumberFormat="1" applyFont="1" applyFill="1" applyBorder="1" applyAlignment="1">
      <alignment horizontal="center" vertical="center"/>
    </xf>
    <xf numFmtId="0" fontId="4" fillId="9" borderId="18" xfId="0" applyFont="1" applyFill="1" applyBorder="1" applyAlignment="1">
      <alignment horizontal="center" vertical="center"/>
    </xf>
    <xf numFmtId="0" fontId="4" fillId="9" borderId="5" xfId="0" applyFont="1" applyFill="1" applyBorder="1" applyAlignment="1">
      <alignment vertical="center"/>
    </xf>
    <xf numFmtId="2" fontId="3" fillId="9" borderId="5" xfId="0" applyNumberFormat="1" applyFont="1" applyFill="1" applyBorder="1" applyAlignment="1">
      <alignment horizontal="center" vertical="center" wrapText="1"/>
    </xf>
    <xf numFmtId="1" fontId="3" fillId="9" borderId="5" xfId="23" applyNumberFormat="1" applyFont="1" applyFill="1" applyBorder="1" applyAlignment="1">
      <alignment horizontal="center" vertical="center"/>
    </xf>
    <xf numFmtId="1" fontId="3" fillId="9" borderId="32" xfId="23" applyNumberFormat="1" applyFont="1" applyFill="1" applyBorder="1" applyAlignment="1">
      <alignment horizontal="center" vertical="center"/>
    </xf>
    <xf numFmtId="164" fontId="4" fillId="9" borderId="11" xfId="25" applyFont="1" applyFill="1" applyBorder="1" applyAlignment="1">
      <alignment horizontal="right" vertical="center"/>
    </xf>
    <xf numFmtId="0" fontId="4" fillId="0" borderId="5" xfId="0" applyFont="1" applyBorder="1" applyAlignment="1">
      <alignment vertical="center" wrapText="1"/>
    </xf>
    <xf numFmtId="1" fontId="3" fillId="0" borderId="32" xfId="23" applyNumberFormat="1" applyFont="1" applyFill="1" applyBorder="1" applyAlignment="1">
      <alignment horizontal="center" vertical="center"/>
    </xf>
    <xf numFmtId="0" fontId="4" fillId="0" borderId="5" xfId="0" applyFont="1" applyBorder="1" applyAlignment="1">
      <alignment horizontal="left" vertical="center"/>
    </xf>
    <xf numFmtId="2" fontId="3" fillId="0" borderId="5" xfId="0" applyNumberFormat="1" applyFont="1" applyBorder="1" applyAlignment="1">
      <alignment horizontal="center" vertical="center" wrapText="1"/>
    </xf>
    <xf numFmtId="1" fontId="3" fillId="0" borderId="5" xfId="23" applyNumberFormat="1" applyFont="1" applyBorder="1" applyAlignment="1">
      <alignment horizontal="center" vertical="center"/>
    </xf>
    <xf numFmtId="1" fontId="3" fillId="0" borderId="32" xfId="23" applyNumberFormat="1" applyFont="1" applyBorder="1" applyAlignment="1">
      <alignment horizontal="center" vertical="center"/>
    </xf>
    <xf numFmtId="0" fontId="4" fillId="0" borderId="20" xfId="0" applyFont="1" applyBorder="1" applyAlignment="1">
      <alignment horizontal="center" vertical="center"/>
    </xf>
    <xf numFmtId="0" fontId="4" fillId="0" borderId="19" xfId="0" applyFont="1" applyBorder="1" applyAlignment="1">
      <alignment horizontal="left" vertical="center"/>
    </xf>
    <xf numFmtId="2" fontId="3" fillId="0" borderId="19" xfId="0" applyNumberFormat="1" applyFont="1" applyBorder="1" applyAlignment="1">
      <alignment horizontal="center" vertical="center" wrapText="1"/>
    </xf>
    <xf numFmtId="0" fontId="4" fillId="0" borderId="33" xfId="0" applyFont="1" applyBorder="1" applyAlignment="1">
      <alignment horizontal="left" vertical="center"/>
    </xf>
    <xf numFmtId="0" fontId="4" fillId="0" borderId="12" xfId="0" applyFont="1" applyBorder="1" applyAlignment="1">
      <alignment horizontal="left" vertical="center"/>
    </xf>
    <xf numFmtId="0" fontId="3" fillId="4" borderId="39" xfId="0" applyFont="1" applyFill="1" applyBorder="1" applyAlignment="1">
      <alignment horizontal="right" vertical="center" wrapText="1"/>
    </xf>
    <xf numFmtId="0" fontId="3" fillId="4" borderId="40" xfId="0" applyFont="1" applyFill="1" applyBorder="1" applyAlignment="1">
      <alignment horizontal="right" vertical="center" wrapText="1"/>
    </xf>
    <xf numFmtId="0" fontId="3" fillId="4" borderId="41" xfId="0" applyFont="1" applyFill="1" applyBorder="1" applyAlignment="1">
      <alignment horizontal="right" vertical="center" wrapText="1"/>
    </xf>
    <xf numFmtId="2" fontId="4" fillId="4" borderId="29" xfId="23" applyNumberFormat="1" applyFont="1" applyFill="1" applyBorder="1" applyAlignment="1">
      <alignment horizontal="center" vertical="center"/>
    </xf>
    <xf numFmtId="164" fontId="4" fillId="4" borderId="31" xfId="25" applyFont="1" applyFill="1" applyBorder="1" applyAlignment="1">
      <alignment vertical="center"/>
    </xf>
    <xf numFmtId="0" fontId="3" fillId="4" borderId="42"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3" fillId="4" borderId="34" xfId="0" applyFont="1" applyFill="1" applyBorder="1" applyAlignment="1">
      <alignment horizontal="right" vertical="center" wrapText="1"/>
    </xf>
    <xf numFmtId="164" fontId="4" fillId="4" borderId="5" xfId="25" applyFont="1" applyFill="1" applyBorder="1" applyAlignment="1">
      <alignment horizontal="center" vertical="center"/>
    </xf>
    <xf numFmtId="164" fontId="4" fillId="4" borderId="11" xfId="25" applyFont="1" applyFill="1" applyBorder="1" applyAlignment="1">
      <alignment vertical="center"/>
    </xf>
    <xf numFmtId="2" fontId="4" fillId="4" borderId="5" xfId="23" applyNumberFormat="1" applyFont="1" applyFill="1" applyBorder="1" applyAlignment="1">
      <alignment horizontal="center" vertical="center"/>
    </xf>
    <xf numFmtId="2" fontId="4" fillId="4" borderId="11" xfId="23" applyNumberFormat="1" applyFont="1" applyFill="1" applyBorder="1" applyAlignment="1">
      <alignment horizontal="center" vertical="center"/>
    </xf>
    <xf numFmtId="0" fontId="3" fillId="4" borderId="36" xfId="0" applyFont="1" applyFill="1" applyBorder="1" applyAlignment="1">
      <alignment horizontal="right" vertical="center" wrapText="1"/>
    </xf>
    <xf numFmtId="0" fontId="3" fillId="4" borderId="37" xfId="0" applyFont="1" applyFill="1" applyBorder="1" applyAlignment="1">
      <alignment horizontal="right" vertical="center" wrapText="1"/>
    </xf>
    <xf numFmtId="0" fontId="3" fillId="4" borderId="38" xfId="0" applyFont="1" applyFill="1" applyBorder="1" applyAlignment="1">
      <alignment horizontal="right" vertical="center" wrapText="1"/>
    </xf>
    <xf numFmtId="164" fontId="4" fillId="4" borderId="19" xfId="25" applyFont="1" applyFill="1" applyBorder="1" applyAlignment="1">
      <alignment horizontal="center" vertical="center"/>
    </xf>
    <xf numFmtId="164" fontId="4" fillId="4" borderId="12" xfId="25" applyFont="1" applyFill="1" applyBorder="1" applyAlignment="1">
      <alignment horizontal="center" vertical="center"/>
    </xf>
    <xf numFmtId="0" fontId="3" fillId="2" borderId="105" xfId="0" applyFont="1" applyFill="1" applyBorder="1" applyAlignment="1">
      <alignment horizontal="center" vertical="center" wrapText="1"/>
    </xf>
    <xf numFmtId="0" fontId="3" fillId="2" borderId="106" xfId="0" applyFont="1" applyFill="1" applyBorder="1" applyAlignment="1">
      <alignment horizontal="center" vertical="center" wrapText="1"/>
    </xf>
    <xf numFmtId="4" fontId="3" fillId="2" borderId="106" xfId="0" applyNumberFormat="1" applyFont="1" applyFill="1" applyBorder="1" applyAlignment="1">
      <alignment horizontal="center" vertical="center" wrapText="1"/>
    </xf>
    <xf numFmtId="164" fontId="3" fillId="0" borderId="106" xfId="0" applyNumberFormat="1" applyFont="1" applyFill="1" applyBorder="1" applyAlignment="1">
      <alignment horizontal="center" vertical="center" wrapText="1"/>
    </xf>
    <xf numFmtId="164" fontId="3" fillId="2" borderId="106" xfId="0" applyNumberFormat="1" applyFont="1" applyFill="1" applyBorder="1" applyAlignment="1">
      <alignment horizontal="center" vertical="center" wrapText="1"/>
    </xf>
    <xf numFmtId="164" fontId="3" fillId="2" borderId="107" xfId="0" applyNumberFormat="1" applyFont="1" applyFill="1" applyBorder="1" applyAlignment="1">
      <alignment vertical="center" wrapText="1"/>
    </xf>
    <xf numFmtId="0" fontId="3"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4" fontId="3" fillId="2" borderId="19" xfId="0" applyNumberFormat="1" applyFont="1" applyFill="1" applyBorder="1" applyAlignment="1">
      <alignment horizontal="center" vertical="center" wrapText="1"/>
    </xf>
    <xf numFmtId="164" fontId="3" fillId="0" borderId="19" xfId="0" applyNumberFormat="1" applyFont="1" applyFill="1" applyBorder="1" applyAlignment="1">
      <alignment horizontal="center" vertical="center" wrapText="1"/>
    </xf>
    <xf numFmtId="164" fontId="3" fillId="2" borderId="19" xfId="0" applyNumberFormat="1" applyFont="1" applyFill="1" applyBorder="1" applyAlignment="1">
      <alignment horizontal="center" vertical="center" wrapText="1"/>
    </xf>
    <xf numFmtId="164" fontId="3" fillId="2" borderId="12" xfId="0" applyNumberFormat="1" applyFont="1" applyFill="1" applyBorder="1" applyAlignment="1">
      <alignment vertical="center" wrapText="1"/>
    </xf>
    <xf numFmtId="4" fontId="3" fillId="0" borderId="106" xfId="0" applyNumberFormat="1" applyFont="1" applyFill="1" applyBorder="1" applyAlignment="1">
      <alignment horizontal="right" vertical="center" wrapText="1"/>
    </xf>
    <xf numFmtId="164" fontId="3" fillId="0" borderId="107" xfId="0" applyNumberFormat="1" applyFont="1" applyFill="1" applyBorder="1" applyAlignment="1">
      <alignment vertical="center" wrapText="1"/>
    </xf>
    <xf numFmtId="4" fontId="3" fillId="0" borderId="19" xfId="0" applyNumberFormat="1" applyFont="1" applyFill="1" applyBorder="1" applyAlignment="1">
      <alignment horizontal="right" vertical="center" wrapText="1"/>
    </xf>
    <xf numFmtId="164" fontId="3" fillId="0" borderId="12" xfId="0" applyNumberFormat="1" applyFont="1" applyFill="1" applyBorder="1" applyAlignment="1">
      <alignment vertical="center" wrapText="1"/>
    </xf>
    <xf numFmtId="164" fontId="3" fillId="0" borderId="106" xfId="25" applyFont="1" applyFill="1" applyBorder="1" applyAlignment="1">
      <alignment horizontal="center" vertical="center"/>
    </xf>
    <xf numFmtId="164" fontId="3" fillId="0" borderId="19" xfId="25" applyFont="1" applyFill="1" applyBorder="1" applyAlignment="1">
      <alignment horizontal="center" vertical="center"/>
    </xf>
    <xf numFmtId="0" fontId="3" fillId="0" borderId="105" xfId="0" applyNumberFormat="1" applyFont="1" applyFill="1" applyBorder="1" applyAlignment="1">
      <alignment horizontal="center" vertical="center" wrapText="1"/>
    </xf>
    <xf numFmtId="164" fontId="3" fillId="0" borderId="107" xfId="25" applyFont="1" applyFill="1" applyBorder="1" applyAlignment="1">
      <alignment vertical="center" wrapText="1"/>
    </xf>
    <xf numFmtId="0" fontId="4" fillId="7" borderId="105" xfId="0" quotePrefix="1" applyFont="1" applyFill="1" applyBorder="1" applyAlignment="1">
      <alignment horizontal="center" vertical="center" wrapText="1"/>
    </xf>
    <xf numFmtId="0" fontId="4" fillId="7" borderId="106" xfId="0" applyFont="1" applyFill="1" applyBorder="1" applyAlignment="1">
      <alignment horizontal="center" vertical="center" wrapText="1"/>
    </xf>
    <xf numFmtId="0" fontId="4" fillId="7" borderId="106" xfId="0" quotePrefix="1" applyFont="1" applyFill="1" applyBorder="1" applyAlignment="1">
      <alignment horizontal="center" vertical="center" wrapText="1"/>
    </xf>
    <xf numFmtId="0" fontId="4" fillId="7" borderId="106" xfId="0" applyFont="1" applyFill="1" applyBorder="1" applyAlignment="1">
      <alignment horizontal="left" vertical="center" wrapText="1"/>
    </xf>
    <xf numFmtId="164" fontId="3" fillId="7" borderId="106" xfId="25" applyFont="1" applyFill="1" applyBorder="1" applyAlignment="1">
      <alignment horizontal="right" vertical="center" wrapText="1"/>
    </xf>
    <xf numFmtId="164" fontId="3" fillId="7" borderId="106" xfId="25" applyFont="1" applyFill="1" applyBorder="1" applyAlignment="1">
      <alignment horizontal="center" vertical="center" wrapText="1"/>
    </xf>
    <xf numFmtId="164" fontId="4" fillId="7" borderId="107" xfId="25" applyFont="1" applyFill="1" applyBorder="1" applyAlignment="1">
      <alignment vertical="center" wrapText="1"/>
    </xf>
    <xf numFmtId="164" fontId="3" fillId="2" borderId="19" xfId="25" applyFont="1" applyFill="1" applyBorder="1" applyAlignment="1">
      <alignment horizontal="right" vertical="center" wrapText="1"/>
    </xf>
    <xf numFmtId="164" fontId="3" fillId="2" borderId="12" xfId="25" applyFont="1" applyFill="1" applyBorder="1" applyAlignment="1">
      <alignment horizontal="right" vertical="center" wrapText="1"/>
    </xf>
    <xf numFmtId="0" fontId="4" fillId="7" borderId="20" xfId="0" quotePrefix="1" applyFont="1" applyFill="1" applyBorder="1" applyAlignment="1">
      <alignment horizontal="center" vertical="center" wrapText="1"/>
    </xf>
    <xf numFmtId="0" fontId="4" fillId="7" borderId="19" xfId="0" quotePrefix="1" applyFont="1" applyFill="1" applyBorder="1" applyAlignment="1">
      <alignment horizontal="center" vertical="center" wrapText="1"/>
    </xf>
    <xf numFmtId="0" fontId="4" fillId="7" borderId="19" xfId="0" applyFont="1" applyFill="1" applyBorder="1" applyAlignment="1">
      <alignment horizontal="left" vertical="center" wrapText="1"/>
    </xf>
    <xf numFmtId="164" fontId="3" fillId="7" borderId="19" xfId="25" applyFont="1" applyFill="1" applyBorder="1" applyAlignment="1">
      <alignment horizontal="right" vertical="center" wrapText="1"/>
    </xf>
    <xf numFmtId="164" fontId="3" fillId="7" borderId="19" xfId="25" applyFont="1" applyFill="1" applyBorder="1" applyAlignment="1">
      <alignment horizontal="center" vertical="center" wrapText="1"/>
    </xf>
    <xf numFmtId="164" fontId="4" fillId="7" borderId="12" xfId="25" applyFont="1" applyFill="1" applyBorder="1" applyAlignment="1">
      <alignment vertical="center" wrapText="1"/>
    </xf>
    <xf numFmtId="164" fontId="3" fillId="0" borderId="19" xfId="25" applyFont="1" applyFill="1" applyBorder="1" applyAlignment="1">
      <alignment horizontal="right" vertical="center"/>
    </xf>
    <xf numFmtId="164" fontId="3" fillId="0" borderId="19" xfId="25" applyFont="1" applyFill="1" applyBorder="1" applyAlignment="1">
      <alignment vertical="center"/>
    </xf>
    <xf numFmtId="0" fontId="3" fillId="2" borderId="19" xfId="0" applyFont="1" applyFill="1" applyBorder="1" applyAlignment="1">
      <alignment horizontal="left" vertical="center" wrapText="1"/>
    </xf>
    <xf numFmtId="164" fontId="3" fillId="0" borderId="12" xfId="25" applyFont="1" applyFill="1" applyBorder="1" applyAlignment="1">
      <alignment horizontal="right" vertical="center" wrapText="1"/>
    </xf>
    <xf numFmtId="164" fontId="3" fillId="0" borderId="106" xfId="25" applyFont="1" applyFill="1" applyBorder="1" applyAlignment="1">
      <alignment horizontal="right" vertical="center"/>
    </xf>
    <xf numFmtId="164" fontId="3" fillId="0" borderId="107" xfId="25" applyFont="1" applyFill="1" applyBorder="1" applyAlignment="1">
      <alignment vertical="center"/>
    </xf>
    <xf numFmtId="164" fontId="3" fillId="0" borderId="12" xfId="25" applyFont="1" applyFill="1" applyBorder="1" applyAlignment="1">
      <alignment vertical="center"/>
    </xf>
    <xf numFmtId="164" fontId="3" fillId="2" borderId="19" xfId="25" applyFont="1" applyFill="1" applyBorder="1" applyAlignment="1">
      <alignment horizontal="center" vertical="center" wrapText="1"/>
    </xf>
    <xf numFmtId="0" fontId="3" fillId="0" borderId="19" xfId="0" applyFont="1" applyFill="1" applyBorder="1" applyAlignment="1"/>
    <xf numFmtId="0" fontId="3" fillId="3" borderId="106" xfId="0" applyFont="1" applyFill="1" applyBorder="1" applyAlignment="1">
      <alignment horizontal="left" vertical="center" wrapText="1"/>
    </xf>
    <xf numFmtId="164" fontId="3" fillId="2" borderId="106" xfId="25" applyFont="1" applyFill="1" applyBorder="1" applyAlignment="1">
      <alignment horizontal="right" vertical="center" wrapText="1"/>
    </xf>
    <xf numFmtId="164" fontId="3" fillId="0" borderId="107" xfId="25" applyFont="1" applyFill="1" applyBorder="1" applyAlignment="1">
      <alignment horizontal="right" vertical="center" wrapText="1"/>
    </xf>
    <xf numFmtId="0" fontId="3" fillId="0" borderId="19" xfId="0" quotePrefix="1" applyFont="1" applyFill="1" applyBorder="1" applyAlignment="1">
      <alignment horizontal="center" vertical="center"/>
    </xf>
    <xf numFmtId="0" fontId="3" fillId="2" borderId="106" xfId="0" applyFont="1" applyFill="1" applyBorder="1" applyAlignment="1">
      <alignment horizontal="center" vertical="center"/>
    </xf>
    <xf numFmtId="164" fontId="3" fillId="0" borderId="106" xfId="25" applyFont="1" applyFill="1" applyBorder="1" applyAlignment="1">
      <alignment vertical="center"/>
    </xf>
    <xf numFmtId="0" fontId="4" fillId="0" borderId="105" xfId="0" applyNumberFormat="1" applyFont="1" applyFill="1" applyBorder="1" applyAlignment="1">
      <alignment horizontal="center" vertical="center"/>
    </xf>
    <xf numFmtId="0" fontId="4" fillId="0" borderId="106" xfId="0" applyFont="1" applyFill="1" applyBorder="1" applyAlignment="1">
      <alignment horizontal="center" vertical="center"/>
    </xf>
    <xf numFmtId="0" fontId="4" fillId="0" borderId="106" xfId="0" quotePrefix="1" applyFont="1" applyFill="1" applyBorder="1" applyAlignment="1">
      <alignment horizontal="center" vertical="center"/>
    </xf>
    <xf numFmtId="0" fontId="4" fillId="0" borderId="106" xfId="0" applyFont="1" applyFill="1" applyBorder="1" applyAlignment="1">
      <alignment vertical="center" wrapText="1"/>
    </xf>
    <xf numFmtId="164" fontId="4" fillId="0" borderId="106" xfId="25" applyFont="1" applyFill="1" applyBorder="1" applyAlignment="1">
      <alignment horizontal="right" vertical="center"/>
    </xf>
    <xf numFmtId="164" fontId="4" fillId="0" borderId="106" xfId="25" applyFont="1" applyFill="1" applyBorder="1" applyAlignment="1">
      <alignment vertical="center"/>
    </xf>
  </cellXfs>
  <cellStyles count="27">
    <cellStyle name="Normal" xfId="0" builtinId="0"/>
    <cellStyle name="Normal 10" xfId="1"/>
    <cellStyle name="Normal 11" xfId="2"/>
    <cellStyle name="Normal 12" xfId="3"/>
    <cellStyle name="Normal 13" xfId="4"/>
    <cellStyle name="Normal 14" xfId="5"/>
    <cellStyle name="Normal 15" xfId="6"/>
    <cellStyle name="Normal 16" xfId="7"/>
    <cellStyle name="Normal 17" xfId="8"/>
    <cellStyle name="Normal 18" xfId="9"/>
    <cellStyle name="Normal 19" xfId="10"/>
    <cellStyle name="Normal 2" xfId="11"/>
    <cellStyle name="Normal 20" xfId="12"/>
    <cellStyle name="Normal 21" xfId="13"/>
    <cellStyle name="Normal 22" xfId="14"/>
    <cellStyle name="Normal 23" xfId="15"/>
    <cellStyle name="Normal 24" xfId="26"/>
    <cellStyle name="Normal 3" xfId="16"/>
    <cellStyle name="Normal 4" xfId="17"/>
    <cellStyle name="Normal 5" xfId="18"/>
    <cellStyle name="Normal 6" xfId="19"/>
    <cellStyle name="Normal 7" xfId="20"/>
    <cellStyle name="Normal 8" xfId="21"/>
    <cellStyle name="Normal 9" xfId="22"/>
    <cellStyle name="Porcentagem" xfId="23" builtinId="5"/>
    <cellStyle name="Total 2" xfId="24"/>
    <cellStyle name="Vírgula" xfId="25" builtinId="3"/>
  </cellStyles>
  <dxfs count="28">
    <dxf>
      <fill>
        <patternFill>
          <bgColor rgb="FFCCFFFF"/>
        </patternFill>
      </fill>
    </dxf>
    <dxf>
      <font>
        <b/>
        <i val="0"/>
        <color rgb="FFFF0000"/>
      </font>
    </dxf>
    <dxf>
      <fill>
        <patternFill>
          <bgColor rgb="FFCCFFFF"/>
        </patternFill>
      </fill>
    </dxf>
    <dxf>
      <fill>
        <patternFill>
          <bgColor rgb="FFCCFFFF"/>
        </patternFill>
      </fill>
    </dxf>
    <dxf>
      <font>
        <b/>
        <i val="0"/>
        <color rgb="FFFF0000"/>
      </font>
    </dxf>
    <dxf>
      <fill>
        <patternFill>
          <bgColor rgb="FFCCFFFF"/>
        </patternFill>
      </fill>
    </dxf>
    <dxf>
      <font>
        <b/>
        <i val="0"/>
        <color rgb="FFFF0000"/>
      </font>
    </dxf>
    <dxf>
      <fill>
        <patternFill>
          <bgColor rgb="FFCCFFFF"/>
        </patternFill>
      </fill>
    </dxf>
    <dxf>
      <font>
        <b/>
        <i val="0"/>
        <color rgb="FFFF0000"/>
      </font>
      <fill>
        <patternFill>
          <bgColor theme="0"/>
        </patternFill>
      </fill>
    </dxf>
    <dxf>
      <font>
        <b/>
        <i val="0"/>
        <color theme="0"/>
      </font>
      <fill>
        <patternFill>
          <bgColor rgb="FFFF0000"/>
        </patternFill>
      </fill>
    </dxf>
    <dxf>
      <font>
        <b/>
        <i val="0"/>
        <color theme="0"/>
      </font>
      <fill>
        <patternFill>
          <bgColor rgb="FF00B050"/>
        </patternFill>
      </fill>
    </dxf>
    <dxf>
      <font>
        <color theme="0"/>
      </font>
      <fill>
        <patternFill>
          <bgColor rgb="FF00B050"/>
        </patternFill>
      </fill>
    </dxf>
    <dxf>
      <font>
        <color theme="0"/>
      </font>
      <fill>
        <patternFill>
          <bgColor rgb="FFFF0000"/>
        </patternFill>
      </fill>
    </dxf>
    <dxf>
      <font>
        <b/>
        <i val="0"/>
        <color theme="0"/>
      </font>
      <fill>
        <patternFill>
          <bgColor rgb="FF00B0F0"/>
        </patternFill>
      </fill>
    </dxf>
    <dxf>
      <font>
        <b/>
        <i val="0"/>
        <color theme="0"/>
      </font>
      <fill>
        <patternFill>
          <bgColor rgb="FFFF0000"/>
        </patternFill>
      </fill>
    </dxf>
    <dxf>
      <font>
        <b/>
        <i val="0"/>
        <color theme="0"/>
      </font>
      <fill>
        <patternFill>
          <bgColor rgb="FFFF0000"/>
        </patternFill>
      </fill>
    </dxf>
    <dxf>
      <font>
        <color theme="0"/>
      </font>
      <fill>
        <patternFill>
          <bgColor rgb="FF00B050"/>
        </patternFill>
      </fill>
    </dxf>
    <dxf>
      <font>
        <color theme="0"/>
      </font>
      <fill>
        <patternFill>
          <bgColor rgb="FFFF0000"/>
        </patternFill>
      </fill>
    </dxf>
    <dxf>
      <font>
        <b/>
        <i val="0"/>
        <condense val="0"/>
        <extend val="0"/>
        <color indexed="10"/>
      </font>
    </dxf>
    <dxf>
      <font>
        <b/>
        <i val="0"/>
        <condense val="0"/>
        <extend val="0"/>
        <color indexed="10"/>
      </font>
    </dxf>
    <dxf>
      <font>
        <b/>
        <i val="0"/>
        <condense val="0"/>
        <extend val="0"/>
        <color indexed="18"/>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F0"/>
        </patternFill>
      </fill>
    </dxf>
    <dxf>
      <font>
        <b/>
        <i val="0"/>
        <color theme="0"/>
      </font>
      <fill>
        <patternFill>
          <bgColor rgb="FFFF0000"/>
        </patternFill>
      </fill>
    </dxf>
    <dxf>
      <font>
        <b/>
        <i val="0"/>
        <condense val="0"/>
        <extend val="0"/>
        <color indexed="10"/>
      </font>
    </dxf>
    <dxf>
      <fill>
        <patternFill>
          <bgColor indexed="4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8.png"/></Relationships>
</file>

<file path=xl/drawings/_rels/drawing2.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5.png"/><Relationship Id="rId4" Type="http://schemas.openxmlformats.org/officeDocument/2006/relationships/image" Target="../media/image1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10.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4.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4.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19050</xdr:rowOff>
    </xdr:from>
    <xdr:to>
      <xdr:col>10</xdr:col>
      <xdr:colOff>466725</xdr:colOff>
      <xdr:row>9</xdr:row>
      <xdr:rowOff>0</xdr:rowOff>
    </xdr:to>
    <xdr:sp macro="" textlink="">
      <xdr:nvSpPr>
        <xdr:cNvPr id="2" name="Text Box 1"/>
        <xdr:cNvSpPr txBox="1">
          <a:spLocks noChangeArrowheads="1"/>
        </xdr:cNvSpPr>
      </xdr:nvSpPr>
      <xdr:spPr bwMode="auto">
        <a:xfrm>
          <a:off x="4276725" y="523875"/>
          <a:ext cx="3514725" cy="95250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5</xdr:row>
      <xdr:rowOff>0</xdr:rowOff>
    </xdr:from>
    <xdr:to>
      <xdr:col>10</xdr:col>
      <xdr:colOff>276225</xdr:colOff>
      <xdr:row>7</xdr:row>
      <xdr:rowOff>0</xdr:rowOff>
    </xdr:to>
    <xdr:pic>
      <xdr:nvPicPr>
        <xdr:cNvPr id="3" name="Picture 2"/>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419600" y="828675"/>
          <a:ext cx="3181350" cy="323850"/>
        </a:xfrm>
        <a:prstGeom prst="rect">
          <a:avLst/>
        </a:prstGeom>
        <a:noFill/>
        <a:ln w="9525">
          <a:noFill/>
          <a:miter lim="800000"/>
          <a:headEnd/>
          <a:tailEnd/>
        </a:ln>
      </xdr:spPr>
    </xdr:pic>
    <xdr:clientData/>
  </xdr:twoCellAnchor>
  <xdr:twoCellAnchor editAs="oneCell">
    <xdr:from>
      <xdr:col>1</xdr:col>
      <xdr:colOff>28575</xdr:colOff>
      <xdr:row>3</xdr:row>
      <xdr:rowOff>9525</xdr:rowOff>
    </xdr:from>
    <xdr:to>
      <xdr:col>1</xdr:col>
      <xdr:colOff>28575</xdr:colOff>
      <xdr:row>8</xdr:row>
      <xdr:rowOff>66675</xdr:rowOff>
    </xdr:to>
    <xdr:pic>
      <xdr:nvPicPr>
        <xdr:cNvPr id="4" name="Picture 9"/>
        <xdr:cNvPicPr>
          <a:picLocks noChangeAspect="1" noChangeArrowheads="1"/>
        </xdr:cNvPicPr>
      </xdr:nvPicPr>
      <xdr:blipFill>
        <a:blip xmlns:r="http://schemas.openxmlformats.org/officeDocument/2006/relationships" r:embed="rId2" cstate="print"/>
        <a:srcRect/>
        <a:stretch>
          <a:fillRect/>
        </a:stretch>
      </xdr:blipFill>
      <xdr:spPr bwMode="auto">
        <a:xfrm>
          <a:off x="228600" y="514350"/>
          <a:ext cx="3800315" cy="866775"/>
        </a:xfrm>
        <a:prstGeom prst="rect">
          <a:avLst/>
        </a:prstGeom>
        <a:noFill/>
        <a:ln w="9525">
          <a:noFill/>
          <a:miter lim="800000"/>
          <a:headEnd/>
          <a:tailEnd/>
        </a:ln>
      </xdr:spPr>
    </xdr:pic>
    <xdr:clientData/>
  </xdr:twoCellAnchor>
  <xdr:twoCellAnchor editAs="oneCell">
    <xdr:from>
      <xdr:col>1</xdr:col>
      <xdr:colOff>600075</xdr:colOff>
      <xdr:row>8</xdr:row>
      <xdr:rowOff>123825</xdr:rowOff>
    </xdr:from>
    <xdr:to>
      <xdr:col>1</xdr:col>
      <xdr:colOff>600075</xdr:colOff>
      <xdr:row>17</xdr:row>
      <xdr:rowOff>152612</xdr:rowOff>
    </xdr:to>
    <xdr:pic>
      <xdr:nvPicPr>
        <xdr:cNvPr id="5" name="Imagem 4" descr="Tabela 9.2.PNG"/>
        <xdr:cNvPicPr>
          <a:picLocks noChangeAspect="1"/>
        </xdr:cNvPicPr>
      </xdr:nvPicPr>
      <xdr:blipFill>
        <a:blip xmlns:r="http://schemas.openxmlformats.org/officeDocument/2006/relationships" r:embed="rId3" cstate="print"/>
        <a:stretch>
          <a:fillRect/>
        </a:stretch>
      </xdr:blipFill>
      <xdr:spPr>
        <a:xfrm>
          <a:off x="800100" y="1438275"/>
          <a:ext cx="2781688" cy="1514687"/>
        </a:xfrm>
        <a:prstGeom prst="rect">
          <a:avLst/>
        </a:prstGeom>
      </xdr:spPr>
    </xdr:pic>
    <xdr:clientData/>
  </xdr:twoCellAnchor>
  <xdr:twoCellAnchor editAs="oneCell">
    <xdr:from>
      <xdr:col>5</xdr:col>
      <xdr:colOff>9525</xdr:colOff>
      <xdr:row>9</xdr:row>
      <xdr:rowOff>9525</xdr:rowOff>
    </xdr:from>
    <xdr:to>
      <xdr:col>5</xdr:col>
      <xdr:colOff>9525</xdr:colOff>
      <xdr:row>16</xdr:row>
      <xdr:rowOff>161925</xdr:rowOff>
    </xdr:to>
    <xdr:pic>
      <xdr:nvPicPr>
        <xdr:cNvPr id="6" name="Imagem 5" descr="explicação incógnitas.PNG"/>
        <xdr:cNvPicPr>
          <a:picLocks noChangeAspect="1"/>
        </xdr:cNvPicPr>
      </xdr:nvPicPr>
      <xdr:blipFill>
        <a:blip xmlns:r="http://schemas.openxmlformats.org/officeDocument/2006/relationships" r:embed="rId4" cstate="print"/>
        <a:stretch>
          <a:fillRect/>
        </a:stretch>
      </xdr:blipFill>
      <xdr:spPr>
        <a:xfrm>
          <a:off x="4286250" y="1485900"/>
          <a:ext cx="3514725" cy="1285875"/>
        </a:xfrm>
        <a:prstGeom prst="rect">
          <a:avLst/>
        </a:prstGeom>
      </xdr:spPr>
    </xdr:pic>
    <xdr:clientData/>
  </xdr:twoCellAnchor>
  <xdr:twoCellAnchor editAs="oneCell">
    <xdr:from>
      <xdr:col>1</xdr:col>
      <xdr:colOff>628650</xdr:colOff>
      <xdr:row>9</xdr:row>
      <xdr:rowOff>57150</xdr:rowOff>
    </xdr:from>
    <xdr:to>
      <xdr:col>4</xdr:col>
      <xdr:colOff>571888</xdr:colOff>
      <xdr:row>18</xdr:row>
      <xdr:rowOff>95462</xdr:rowOff>
    </xdr:to>
    <xdr:pic>
      <xdr:nvPicPr>
        <xdr:cNvPr id="7" name="Imagem 6" descr="Tabela 9.2.PNG"/>
        <xdr:cNvPicPr>
          <a:picLocks noChangeAspect="1"/>
        </xdr:cNvPicPr>
      </xdr:nvPicPr>
      <xdr:blipFill>
        <a:blip xmlns:r="http://schemas.openxmlformats.org/officeDocument/2006/relationships" r:embed="rId3" cstate="print"/>
        <a:stretch>
          <a:fillRect/>
        </a:stretch>
      </xdr:blipFill>
      <xdr:spPr>
        <a:xfrm>
          <a:off x="828675" y="1533525"/>
          <a:ext cx="2781688" cy="1514687"/>
        </a:xfrm>
        <a:prstGeom prst="rect">
          <a:avLst/>
        </a:prstGeom>
      </xdr:spPr>
    </xdr:pic>
    <xdr:clientData/>
  </xdr:twoCellAnchor>
  <xdr:twoCellAnchor editAs="oneCell">
    <xdr:from>
      <xdr:col>5</xdr:col>
      <xdr:colOff>9525</xdr:colOff>
      <xdr:row>9</xdr:row>
      <xdr:rowOff>9525</xdr:rowOff>
    </xdr:from>
    <xdr:to>
      <xdr:col>10</xdr:col>
      <xdr:colOff>476250</xdr:colOff>
      <xdr:row>16</xdr:row>
      <xdr:rowOff>161925</xdr:rowOff>
    </xdr:to>
    <xdr:pic>
      <xdr:nvPicPr>
        <xdr:cNvPr id="8" name="Imagem 7" descr="explicação incógnitas.PNG"/>
        <xdr:cNvPicPr>
          <a:picLocks noChangeAspect="1"/>
        </xdr:cNvPicPr>
      </xdr:nvPicPr>
      <xdr:blipFill>
        <a:blip xmlns:r="http://schemas.openxmlformats.org/officeDocument/2006/relationships" r:embed="rId4" cstate="print"/>
        <a:stretch>
          <a:fillRect/>
        </a:stretch>
      </xdr:blipFill>
      <xdr:spPr>
        <a:xfrm>
          <a:off x="4286250" y="1485900"/>
          <a:ext cx="3514725" cy="1285875"/>
        </a:xfrm>
        <a:prstGeom prst="rect">
          <a:avLst/>
        </a:prstGeom>
      </xdr:spPr>
    </xdr:pic>
    <xdr:clientData/>
  </xdr:twoCellAnchor>
  <xdr:twoCellAnchor editAs="oneCell">
    <xdr:from>
      <xdr:col>1</xdr:col>
      <xdr:colOff>191558</xdr:colOff>
      <xdr:row>3</xdr:row>
      <xdr:rowOff>51859</xdr:rowOff>
    </xdr:from>
    <xdr:to>
      <xdr:col>4</xdr:col>
      <xdr:colOff>1153423</xdr:colOff>
      <xdr:row>8</xdr:row>
      <xdr:rowOff>109009</xdr:rowOff>
    </xdr:to>
    <xdr:pic>
      <xdr:nvPicPr>
        <xdr:cNvPr id="9" name="Picture 9"/>
        <xdr:cNvPicPr>
          <a:picLocks noChangeAspect="1" noChangeArrowheads="1"/>
        </xdr:cNvPicPr>
      </xdr:nvPicPr>
      <xdr:blipFill>
        <a:blip xmlns:r="http://schemas.openxmlformats.org/officeDocument/2006/relationships" r:embed="rId2" cstate="print"/>
        <a:srcRect/>
        <a:stretch>
          <a:fillRect/>
        </a:stretch>
      </xdr:blipFill>
      <xdr:spPr bwMode="auto">
        <a:xfrm>
          <a:off x="392641" y="549276"/>
          <a:ext cx="3798199" cy="850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3</xdr:row>
      <xdr:rowOff>19050</xdr:rowOff>
    </xdr:from>
    <xdr:to>
      <xdr:col>10</xdr:col>
      <xdr:colOff>466725</xdr:colOff>
      <xdr:row>9</xdr:row>
      <xdr:rowOff>0</xdr:rowOff>
    </xdr:to>
    <xdr:sp macro="" textlink="">
      <xdr:nvSpPr>
        <xdr:cNvPr id="2" name="Text Box 1"/>
        <xdr:cNvSpPr txBox="1">
          <a:spLocks noChangeArrowheads="1"/>
        </xdr:cNvSpPr>
      </xdr:nvSpPr>
      <xdr:spPr bwMode="auto">
        <a:xfrm>
          <a:off x="4171950" y="523875"/>
          <a:ext cx="3514725" cy="95250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5</xdr:row>
      <xdr:rowOff>0</xdr:rowOff>
    </xdr:from>
    <xdr:to>
      <xdr:col>10</xdr:col>
      <xdr:colOff>276225</xdr:colOff>
      <xdr:row>7</xdr:row>
      <xdr:rowOff>0</xdr:rowOff>
    </xdr:to>
    <xdr:pic>
      <xdr:nvPicPr>
        <xdr:cNvPr id="3" name="Picture 2"/>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314825" y="828675"/>
          <a:ext cx="3181350" cy="323850"/>
        </a:xfrm>
        <a:prstGeom prst="rect">
          <a:avLst/>
        </a:prstGeom>
        <a:noFill/>
        <a:ln w="9525">
          <a:noFill/>
          <a:miter lim="800000"/>
          <a:headEnd/>
          <a:tailEnd/>
        </a:ln>
      </xdr:spPr>
    </xdr:pic>
    <xdr:clientData/>
  </xdr:twoCellAnchor>
  <xdr:twoCellAnchor editAs="oneCell">
    <xdr:from>
      <xdr:col>1</xdr:col>
      <xdr:colOff>44823</xdr:colOff>
      <xdr:row>4</xdr:row>
      <xdr:rowOff>100854</xdr:rowOff>
    </xdr:from>
    <xdr:to>
      <xdr:col>1</xdr:col>
      <xdr:colOff>44823</xdr:colOff>
      <xdr:row>8</xdr:row>
      <xdr:rowOff>10646</xdr:rowOff>
    </xdr:to>
    <xdr:pic>
      <xdr:nvPicPr>
        <xdr:cNvPr id="4" name="Picture 5"/>
        <xdr:cNvPicPr>
          <a:picLocks noChangeAspect="1" noChangeArrowheads="1"/>
        </xdr:cNvPicPr>
      </xdr:nvPicPr>
      <xdr:blipFill>
        <a:blip xmlns:r="http://schemas.openxmlformats.org/officeDocument/2006/relationships" r:embed="rId2" cstate="print"/>
        <a:srcRect/>
        <a:stretch>
          <a:fillRect/>
        </a:stretch>
      </xdr:blipFill>
      <xdr:spPr bwMode="auto">
        <a:xfrm>
          <a:off x="244848" y="767604"/>
          <a:ext cx="3827370" cy="557492"/>
        </a:xfrm>
        <a:prstGeom prst="rect">
          <a:avLst/>
        </a:prstGeom>
        <a:noFill/>
        <a:ln w="1">
          <a:noFill/>
          <a:miter lim="800000"/>
          <a:headEnd/>
          <a:tailEnd type="none" w="med" len="med"/>
        </a:ln>
        <a:effectLst/>
      </xdr:spPr>
    </xdr:pic>
    <xdr:clientData/>
  </xdr:twoCellAnchor>
  <xdr:twoCellAnchor editAs="oneCell">
    <xdr:from>
      <xdr:col>1</xdr:col>
      <xdr:colOff>577297</xdr:colOff>
      <xdr:row>9</xdr:row>
      <xdr:rowOff>8282</xdr:rowOff>
    </xdr:from>
    <xdr:to>
      <xdr:col>1</xdr:col>
      <xdr:colOff>577297</xdr:colOff>
      <xdr:row>17</xdr:row>
      <xdr:rowOff>37049</xdr:rowOff>
    </xdr:to>
    <xdr:pic>
      <xdr:nvPicPr>
        <xdr:cNvPr id="5" name="Imagem 4" descr="tabela 9-2 - simples fornecimento.PNG"/>
        <xdr:cNvPicPr>
          <a:picLocks noChangeAspect="1"/>
        </xdr:cNvPicPr>
      </xdr:nvPicPr>
      <xdr:blipFill>
        <a:blip xmlns:r="http://schemas.openxmlformats.org/officeDocument/2006/relationships" r:embed="rId3" cstate="print"/>
        <a:stretch>
          <a:fillRect/>
        </a:stretch>
      </xdr:blipFill>
      <xdr:spPr>
        <a:xfrm>
          <a:off x="777322" y="1484657"/>
          <a:ext cx="2802399" cy="1343217"/>
        </a:xfrm>
        <a:prstGeom prst="rect">
          <a:avLst/>
        </a:prstGeom>
      </xdr:spPr>
    </xdr:pic>
    <xdr:clientData/>
  </xdr:twoCellAnchor>
  <xdr:twoCellAnchor editAs="oneCell">
    <xdr:from>
      <xdr:col>5</xdr:col>
      <xdr:colOff>200026</xdr:colOff>
      <xdr:row>9</xdr:row>
      <xdr:rowOff>9526</xdr:rowOff>
    </xdr:from>
    <xdr:to>
      <xdr:col>5</xdr:col>
      <xdr:colOff>200026</xdr:colOff>
      <xdr:row>16</xdr:row>
      <xdr:rowOff>152400</xdr:rowOff>
    </xdr:to>
    <xdr:pic>
      <xdr:nvPicPr>
        <xdr:cNvPr id="6" name="Imagem 5" descr="explicação incógnitas - simples fornecimento.PNG"/>
        <xdr:cNvPicPr>
          <a:picLocks noChangeAspect="1"/>
        </xdr:cNvPicPr>
      </xdr:nvPicPr>
      <xdr:blipFill>
        <a:blip xmlns:r="http://schemas.openxmlformats.org/officeDocument/2006/relationships" r:embed="rId4" cstate="print"/>
        <a:stretch>
          <a:fillRect/>
        </a:stretch>
      </xdr:blipFill>
      <xdr:spPr>
        <a:xfrm>
          <a:off x="4371976" y="1485901"/>
          <a:ext cx="3152774" cy="1276349"/>
        </a:xfrm>
        <a:prstGeom prst="rect">
          <a:avLst/>
        </a:prstGeom>
      </xdr:spPr>
    </xdr:pic>
    <xdr:clientData/>
  </xdr:twoCellAnchor>
  <xdr:twoCellAnchor editAs="oneCell">
    <xdr:from>
      <xdr:col>1</xdr:col>
      <xdr:colOff>76200</xdr:colOff>
      <xdr:row>3</xdr:row>
      <xdr:rowOff>9525</xdr:rowOff>
    </xdr:from>
    <xdr:to>
      <xdr:col>4</xdr:col>
      <xdr:colOff>1169895</xdr:colOff>
      <xdr:row>6</xdr:row>
      <xdr:rowOff>81242</xdr:rowOff>
    </xdr:to>
    <xdr:pic>
      <xdr:nvPicPr>
        <xdr:cNvPr id="7" name="Picture 5"/>
        <xdr:cNvPicPr>
          <a:picLocks noChangeAspect="1" noChangeArrowheads="1"/>
        </xdr:cNvPicPr>
      </xdr:nvPicPr>
      <xdr:blipFill>
        <a:blip xmlns:r="http://schemas.openxmlformats.org/officeDocument/2006/relationships" r:embed="rId2" cstate="print"/>
        <a:srcRect/>
        <a:stretch>
          <a:fillRect/>
        </a:stretch>
      </xdr:blipFill>
      <xdr:spPr bwMode="auto">
        <a:xfrm>
          <a:off x="276225" y="514350"/>
          <a:ext cx="3827370" cy="557492"/>
        </a:xfrm>
        <a:prstGeom prst="rect">
          <a:avLst/>
        </a:prstGeom>
        <a:noFill/>
        <a:ln w="1">
          <a:noFill/>
          <a:miter lim="800000"/>
          <a:headEnd/>
          <a:tailEnd type="none" w="med" len="med"/>
        </a:ln>
        <a:effectLst/>
      </xdr:spPr>
    </xdr:pic>
    <xdr:clientData/>
  </xdr:twoCellAnchor>
  <xdr:twoCellAnchor editAs="oneCell">
    <xdr:from>
      <xdr:col>1</xdr:col>
      <xdr:colOff>609600</xdr:colOff>
      <xdr:row>8</xdr:row>
      <xdr:rowOff>95250</xdr:rowOff>
    </xdr:from>
    <xdr:to>
      <xdr:col>4</xdr:col>
      <xdr:colOff>678324</xdr:colOff>
      <xdr:row>16</xdr:row>
      <xdr:rowOff>143067</xdr:rowOff>
    </xdr:to>
    <xdr:pic>
      <xdr:nvPicPr>
        <xdr:cNvPr id="8" name="Imagem 7" descr="tabela 9-2 - simples fornecimento.PNG"/>
        <xdr:cNvPicPr>
          <a:picLocks noChangeAspect="1"/>
        </xdr:cNvPicPr>
      </xdr:nvPicPr>
      <xdr:blipFill>
        <a:blip xmlns:r="http://schemas.openxmlformats.org/officeDocument/2006/relationships" r:embed="rId3" cstate="print"/>
        <a:stretch>
          <a:fillRect/>
        </a:stretch>
      </xdr:blipFill>
      <xdr:spPr>
        <a:xfrm>
          <a:off x="809625" y="1409700"/>
          <a:ext cx="2802399" cy="1343217"/>
        </a:xfrm>
        <a:prstGeom prst="rect">
          <a:avLst/>
        </a:prstGeom>
      </xdr:spPr>
    </xdr:pic>
    <xdr:clientData/>
  </xdr:twoCellAnchor>
  <xdr:twoCellAnchor editAs="oneCell">
    <xdr:from>
      <xdr:col>5</xdr:col>
      <xdr:colOff>219075</xdr:colOff>
      <xdr:row>9</xdr:row>
      <xdr:rowOff>19050</xdr:rowOff>
    </xdr:from>
    <xdr:to>
      <xdr:col>10</xdr:col>
      <xdr:colOff>323849</xdr:colOff>
      <xdr:row>16</xdr:row>
      <xdr:rowOff>161924</xdr:rowOff>
    </xdr:to>
    <xdr:pic>
      <xdr:nvPicPr>
        <xdr:cNvPr id="9" name="Imagem 8" descr="explicação incógnitas - simples fornecimento.PNG"/>
        <xdr:cNvPicPr>
          <a:picLocks noChangeAspect="1"/>
        </xdr:cNvPicPr>
      </xdr:nvPicPr>
      <xdr:blipFill>
        <a:blip xmlns:r="http://schemas.openxmlformats.org/officeDocument/2006/relationships" r:embed="rId4" cstate="print"/>
        <a:stretch>
          <a:fillRect/>
        </a:stretch>
      </xdr:blipFill>
      <xdr:spPr>
        <a:xfrm>
          <a:off x="4391025" y="1495425"/>
          <a:ext cx="3152774" cy="12763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4</xdr:col>
      <xdr:colOff>3820</xdr:colOff>
      <xdr:row>4</xdr:row>
      <xdr:rowOff>19132</xdr:rowOff>
    </xdr:to>
    <xdr:sp macro="" textlink="">
      <xdr:nvSpPr>
        <xdr:cNvPr id="2" name="Texto 2"/>
        <xdr:cNvSpPr>
          <a:spLocks noChangeArrowheads="1"/>
        </xdr:cNvSpPr>
      </xdr:nvSpPr>
      <xdr:spPr bwMode="auto">
        <a:xfrm>
          <a:off x="66675" y="0"/>
          <a:ext cx="3509020" cy="714457"/>
        </a:xfrm>
        <a:prstGeom prst="roundRect">
          <a:avLst>
            <a:gd name="adj" fmla="val 16667"/>
          </a:avLst>
        </a:prstGeom>
        <a:noFill/>
        <a:ln w="28575">
          <a:solidFill>
            <a:srgbClr val="000000"/>
          </a:solidFill>
          <a:round/>
          <a:headEnd/>
          <a:tailEnd/>
        </a:ln>
      </xdr:spPr>
      <xdr:txBody>
        <a:bodyPr vertOverflow="clip" wrap="square" lIns="36576" tIns="27432" rIns="36576" bIns="27432" anchor="b"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pt-BR" sz="1400" b="1" i="0" baseline="0">
              <a:effectLst/>
              <a:latin typeface="+mn-lt"/>
              <a:ea typeface="+mn-ea"/>
              <a:cs typeface="+mn-cs"/>
            </a:rPr>
            <a:t>COMPOSIÇÕES DE CUSTO</a:t>
          </a:r>
          <a:endParaRPr lang="pt-BR" sz="1400" b="1">
            <a:effectLst/>
          </a:endParaRPr>
        </a:p>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38</xdr:row>
      <xdr:rowOff>0</xdr:rowOff>
    </xdr:from>
    <xdr:to>
      <xdr:col>4</xdr:col>
      <xdr:colOff>3808</xdr:colOff>
      <xdr:row>42</xdr:row>
      <xdr:rowOff>26700</xdr:rowOff>
    </xdr:to>
    <xdr:sp macro="" textlink="">
      <xdr:nvSpPr>
        <xdr:cNvPr id="3" name="Texto 2"/>
        <xdr:cNvSpPr>
          <a:spLocks noChangeArrowheads="1"/>
        </xdr:cNvSpPr>
      </xdr:nvSpPr>
      <xdr:spPr bwMode="auto">
        <a:xfrm>
          <a:off x="47625" y="7105650"/>
          <a:ext cx="3537583" cy="722025"/>
        </a:xfrm>
        <a:prstGeom prst="roundRect">
          <a:avLst>
            <a:gd name="adj" fmla="val 16667"/>
          </a:avLst>
        </a:prstGeom>
        <a:noFill/>
        <a:ln w="28575">
          <a:solidFill>
            <a:srgbClr val="000000"/>
          </a:solidFill>
          <a:round/>
          <a:headEnd/>
          <a:tailEnd/>
        </a:ln>
      </xdr:spPr>
      <xdr:txBody>
        <a:bodyPr vertOverflow="clip" wrap="square" lIns="36576" tIns="27432" rIns="36576" bIns="27432" anchor="b"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pt-BR" sz="1400" b="1" i="0" baseline="0">
              <a:effectLst/>
              <a:latin typeface="+mn-lt"/>
              <a:ea typeface="+mn-ea"/>
              <a:cs typeface="+mn-cs"/>
            </a:rPr>
            <a:t>COMPOSIÇÕES DE CUSTO</a:t>
          </a:r>
          <a:endParaRPr lang="pt-BR" sz="1400">
            <a:effectLst/>
          </a:endParaRPr>
        </a:p>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76</xdr:row>
      <xdr:rowOff>0</xdr:rowOff>
    </xdr:from>
    <xdr:to>
      <xdr:col>4</xdr:col>
      <xdr:colOff>3808</xdr:colOff>
      <xdr:row>80</xdr:row>
      <xdr:rowOff>95973</xdr:rowOff>
    </xdr:to>
    <xdr:sp macro="" textlink="">
      <xdr:nvSpPr>
        <xdr:cNvPr id="4" name="Texto 2"/>
        <xdr:cNvSpPr>
          <a:spLocks noChangeArrowheads="1"/>
        </xdr:cNvSpPr>
      </xdr:nvSpPr>
      <xdr:spPr bwMode="auto">
        <a:xfrm>
          <a:off x="47625" y="12827000"/>
          <a:ext cx="4126016" cy="720390"/>
        </a:xfrm>
        <a:prstGeom prst="roundRect">
          <a:avLst>
            <a:gd name="adj" fmla="val 16667"/>
          </a:avLst>
        </a:prstGeom>
        <a:noFill/>
        <a:ln w="28575">
          <a:solidFill>
            <a:srgbClr val="000000"/>
          </a:solidFill>
          <a:round/>
          <a:headEnd/>
          <a:tailEnd/>
        </a:ln>
      </xdr:spPr>
      <xdr:txBody>
        <a:bodyPr vertOverflow="clip" wrap="square" lIns="36576" tIns="27432" rIns="36576" bIns="27432" anchor="b"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pt-BR" sz="1400" b="1" i="0" baseline="0">
              <a:effectLst/>
              <a:latin typeface="+mn-lt"/>
              <a:ea typeface="+mn-ea"/>
              <a:cs typeface="+mn-cs"/>
            </a:rPr>
            <a:t>COMPOSIÇÕES DE CUSTO</a:t>
          </a:r>
          <a:endParaRPr lang="pt-BR" sz="1400">
            <a:effectLst/>
          </a:endParaRPr>
        </a:p>
        <a:p>
          <a:pPr algn="ctr" rtl="0">
            <a:defRPr sz="1000"/>
          </a:pPr>
          <a:endParaRPr lang="pt-BR" sz="1400" b="1"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4</xdr:col>
      <xdr:colOff>3820</xdr:colOff>
      <xdr:row>4</xdr:row>
      <xdr:rowOff>19132</xdr:rowOff>
    </xdr:to>
    <xdr:sp macro="" textlink="">
      <xdr:nvSpPr>
        <xdr:cNvPr id="2" name="Texto 2"/>
        <xdr:cNvSpPr>
          <a:spLocks noChangeArrowheads="1"/>
        </xdr:cNvSpPr>
      </xdr:nvSpPr>
      <xdr:spPr bwMode="auto">
        <a:xfrm>
          <a:off x="66675" y="0"/>
          <a:ext cx="3509020" cy="714457"/>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37</xdr:row>
      <xdr:rowOff>0</xdr:rowOff>
    </xdr:from>
    <xdr:to>
      <xdr:col>4</xdr:col>
      <xdr:colOff>3808</xdr:colOff>
      <xdr:row>41</xdr:row>
      <xdr:rowOff>26700</xdr:rowOff>
    </xdr:to>
    <xdr:sp macro="" textlink="">
      <xdr:nvSpPr>
        <xdr:cNvPr id="3" name="Texto 2"/>
        <xdr:cNvSpPr>
          <a:spLocks noChangeArrowheads="1"/>
        </xdr:cNvSpPr>
      </xdr:nvSpPr>
      <xdr:spPr bwMode="auto">
        <a:xfrm>
          <a:off x="47625" y="7277100"/>
          <a:ext cx="3537583" cy="72202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75</xdr:row>
      <xdr:rowOff>0</xdr:rowOff>
    </xdr:from>
    <xdr:to>
      <xdr:col>4</xdr:col>
      <xdr:colOff>3808</xdr:colOff>
      <xdr:row>79</xdr:row>
      <xdr:rowOff>95974</xdr:rowOff>
    </xdr:to>
    <xdr:sp macro="" textlink="">
      <xdr:nvSpPr>
        <xdr:cNvPr id="4" name="Texto 2"/>
        <xdr:cNvSpPr>
          <a:spLocks noChangeArrowheads="1"/>
        </xdr:cNvSpPr>
      </xdr:nvSpPr>
      <xdr:spPr bwMode="auto">
        <a:xfrm>
          <a:off x="47625" y="14458950"/>
          <a:ext cx="3537583" cy="724623"/>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2</xdr:col>
      <xdr:colOff>247650</xdr:colOff>
      <xdr:row>4</xdr:row>
      <xdr:rowOff>9525</xdr:rowOff>
    </xdr:to>
    <xdr:sp macro="" textlink="">
      <xdr:nvSpPr>
        <xdr:cNvPr id="2" name="Texto 2"/>
        <xdr:cNvSpPr>
          <a:spLocks noChangeArrowheads="1"/>
        </xdr:cNvSpPr>
      </xdr:nvSpPr>
      <xdr:spPr bwMode="auto">
        <a:xfrm>
          <a:off x="66675" y="0"/>
          <a:ext cx="3505200" cy="704850"/>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74</xdr:row>
      <xdr:rowOff>0</xdr:rowOff>
    </xdr:from>
    <xdr:to>
      <xdr:col>2</xdr:col>
      <xdr:colOff>247650</xdr:colOff>
      <xdr:row>77</xdr:row>
      <xdr:rowOff>104775</xdr:rowOff>
    </xdr:to>
    <xdr:sp macro="" textlink="">
      <xdr:nvSpPr>
        <xdr:cNvPr id="3" name="Texto 2"/>
        <xdr:cNvSpPr>
          <a:spLocks noChangeArrowheads="1"/>
        </xdr:cNvSpPr>
      </xdr:nvSpPr>
      <xdr:spPr bwMode="auto">
        <a:xfrm>
          <a:off x="47625" y="14268450"/>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38</xdr:row>
      <xdr:rowOff>0</xdr:rowOff>
    </xdr:from>
    <xdr:to>
      <xdr:col>2</xdr:col>
      <xdr:colOff>247650</xdr:colOff>
      <xdr:row>41</xdr:row>
      <xdr:rowOff>123824</xdr:rowOff>
    </xdr:to>
    <xdr:sp macro="" textlink="">
      <xdr:nvSpPr>
        <xdr:cNvPr id="4" name="Texto 2"/>
        <xdr:cNvSpPr>
          <a:spLocks noChangeArrowheads="1"/>
        </xdr:cNvSpPr>
      </xdr:nvSpPr>
      <xdr:spPr bwMode="auto">
        <a:xfrm>
          <a:off x="47625" y="7077075"/>
          <a:ext cx="3543300" cy="69532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113</xdr:row>
      <xdr:rowOff>0</xdr:rowOff>
    </xdr:from>
    <xdr:to>
      <xdr:col>2</xdr:col>
      <xdr:colOff>247650</xdr:colOff>
      <xdr:row>116</xdr:row>
      <xdr:rowOff>123825</xdr:rowOff>
    </xdr:to>
    <xdr:sp macro="" textlink="">
      <xdr:nvSpPr>
        <xdr:cNvPr id="5" name="Texto 2"/>
        <xdr:cNvSpPr>
          <a:spLocks noChangeArrowheads="1"/>
        </xdr:cNvSpPr>
      </xdr:nvSpPr>
      <xdr:spPr bwMode="auto">
        <a:xfrm>
          <a:off x="47625" y="21440775"/>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66675</xdr:colOff>
      <xdr:row>190</xdr:row>
      <xdr:rowOff>0</xdr:rowOff>
    </xdr:from>
    <xdr:to>
      <xdr:col>2</xdr:col>
      <xdr:colOff>247650</xdr:colOff>
      <xdr:row>193</xdr:row>
      <xdr:rowOff>133350</xdr:rowOff>
    </xdr:to>
    <xdr:sp macro="" textlink="">
      <xdr:nvSpPr>
        <xdr:cNvPr id="6" name="Texto 2"/>
        <xdr:cNvSpPr>
          <a:spLocks noChangeArrowheads="1"/>
        </xdr:cNvSpPr>
      </xdr:nvSpPr>
      <xdr:spPr bwMode="auto">
        <a:xfrm>
          <a:off x="66675" y="35775900"/>
          <a:ext cx="351472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229</xdr:row>
      <xdr:rowOff>0</xdr:rowOff>
    </xdr:from>
    <xdr:to>
      <xdr:col>2</xdr:col>
      <xdr:colOff>247650</xdr:colOff>
      <xdr:row>232</xdr:row>
      <xdr:rowOff>142876</xdr:rowOff>
    </xdr:to>
    <xdr:sp macro="" textlink="">
      <xdr:nvSpPr>
        <xdr:cNvPr id="7" name="Texto 2"/>
        <xdr:cNvSpPr>
          <a:spLocks noChangeArrowheads="1"/>
        </xdr:cNvSpPr>
      </xdr:nvSpPr>
      <xdr:spPr bwMode="auto">
        <a:xfrm>
          <a:off x="47625" y="43072050"/>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268</xdr:row>
      <xdr:rowOff>0</xdr:rowOff>
    </xdr:from>
    <xdr:to>
      <xdr:col>2</xdr:col>
      <xdr:colOff>247650</xdr:colOff>
      <xdr:row>271</xdr:row>
      <xdr:rowOff>76200</xdr:rowOff>
    </xdr:to>
    <xdr:sp macro="" textlink="">
      <xdr:nvSpPr>
        <xdr:cNvPr id="8" name="Texto 2"/>
        <xdr:cNvSpPr>
          <a:spLocks noChangeArrowheads="1"/>
        </xdr:cNvSpPr>
      </xdr:nvSpPr>
      <xdr:spPr bwMode="auto">
        <a:xfrm>
          <a:off x="47625" y="50320575"/>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0</xdr:row>
      <xdr:rowOff>0</xdr:rowOff>
    </xdr:from>
    <xdr:to>
      <xdr:col>2</xdr:col>
      <xdr:colOff>247650</xdr:colOff>
      <xdr:row>4</xdr:row>
      <xdr:rowOff>19050</xdr:rowOff>
    </xdr:to>
    <xdr:sp macro="" textlink="">
      <xdr:nvSpPr>
        <xdr:cNvPr id="9" name="Texto 2"/>
        <xdr:cNvSpPr>
          <a:spLocks noChangeArrowheads="1"/>
        </xdr:cNvSpPr>
      </xdr:nvSpPr>
      <xdr:spPr bwMode="auto">
        <a:xfrm>
          <a:off x="47625" y="0"/>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66675</xdr:colOff>
      <xdr:row>38</xdr:row>
      <xdr:rowOff>0</xdr:rowOff>
    </xdr:from>
    <xdr:to>
      <xdr:col>2</xdr:col>
      <xdr:colOff>247650</xdr:colOff>
      <xdr:row>41</xdr:row>
      <xdr:rowOff>133349</xdr:rowOff>
    </xdr:to>
    <xdr:sp macro="" textlink="">
      <xdr:nvSpPr>
        <xdr:cNvPr id="10" name="Texto 2"/>
        <xdr:cNvSpPr>
          <a:spLocks noChangeArrowheads="1"/>
        </xdr:cNvSpPr>
      </xdr:nvSpPr>
      <xdr:spPr bwMode="auto">
        <a:xfrm>
          <a:off x="66675" y="7077075"/>
          <a:ext cx="3505200" cy="704850"/>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38</xdr:row>
      <xdr:rowOff>0</xdr:rowOff>
    </xdr:from>
    <xdr:to>
      <xdr:col>2</xdr:col>
      <xdr:colOff>247650</xdr:colOff>
      <xdr:row>41</xdr:row>
      <xdr:rowOff>142874</xdr:rowOff>
    </xdr:to>
    <xdr:sp macro="" textlink="">
      <xdr:nvSpPr>
        <xdr:cNvPr id="11" name="Texto 2"/>
        <xdr:cNvSpPr>
          <a:spLocks noChangeArrowheads="1"/>
        </xdr:cNvSpPr>
      </xdr:nvSpPr>
      <xdr:spPr bwMode="auto">
        <a:xfrm>
          <a:off x="47625" y="7077075"/>
          <a:ext cx="3533775" cy="7143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twoCellAnchor editAs="oneCell">
    <xdr:from>
      <xdr:col>0</xdr:col>
      <xdr:colOff>47625</xdr:colOff>
      <xdr:row>152</xdr:row>
      <xdr:rowOff>0</xdr:rowOff>
    </xdr:from>
    <xdr:to>
      <xdr:col>2</xdr:col>
      <xdr:colOff>247650</xdr:colOff>
      <xdr:row>155</xdr:row>
      <xdr:rowOff>133350</xdr:rowOff>
    </xdr:to>
    <xdr:sp macro="" textlink="">
      <xdr:nvSpPr>
        <xdr:cNvPr id="12" name="Texto 2"/>
        <xdr:cNvSpPr>
          <a:spLocks noChangeArrowheads="1"/>
        </xdr:cNvSpPr>
      </xdr:nvSpPr>
      <xdr:spPr bwMode="auto">
        <a:xfrm>
          <a:off x="47625" y="28603575"/>
          <a:ext cx="3543300" cy="67627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66675</xdr:colOff>
      <xdr:row>152</xdr:row>
      <xdr:rowOff>0</xdr:rowOff>
    </xdr:from>
    <xdr:to>
      <xdr:col>2</xdr:col>
      <xdr:colOff>247650</xdr:colOff>
      <xdr:row>155</xdr:row>
      <xdr:rowOff>133350</xdr:rowOff>
    </xdr:to>
    <xdr:sp macro="" textlink="">
      <xdr:nvSpPr>
        <xdr:cNvPr id="13" name="Texto 2"/>
        <xdr:cNvSpPr>
          <a:spLocks noChangeArrowheads="1"/>
        </xdr:cNvSpPr>
      </xdr:nvSpPr>
      <xdr:spPr bwMode="auto">
        <a:xfrm>
          <a:off x="66675" y="28603575"/>
          <a:ext cx="3505200" cy="685800"/>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defRPr sz="1000"/>
          </a:pPr>
          <a:endParaRPr lang="pt-BR" sz="1400" b="1" i="0" u="none" strike="noStrike" baseline="0">
            <a:solidFill>
              <a:srgbClr val="000000"/>
            </a:solidFill>
            <a:latin typeface="Arial"/>
            <a:cs typeface="Arial"/>
          </a:endParaRPr>
        </a:p>
      </xdr:txBody>
    </xdr:sp>
    <xdr:clientData/>
  </xdr:twoCellAnchor>
  <xdr:twoCellAnchor editAs="oneCell">
    <xdr:from>
      <xdr:col>0</xdr:col>
      <xdr:colOff>47625</xdr:colOff>
      <xdr:row>152</xdr:row>
      <xdr:rowOff>0</xdr:rowOff>
    </xdr:from>
    <xdr:to>
      <xdr:col>2</xdr:col>
      <xdr:colOff>247650</xdr:colOff>
      <xdr:row>155</xdr:row>
      <xdr:rowOff>142875</xdr:rowOff>
    </xdr:to>
    <xdr:sp macro="" textlink="">
      <xdr:nvSpPr>
        <xdr:cNvPr id="14" name="Texto 2"/>
        <xdr:cNvSpPr>
          <a:spLocks noChangeArrowheads="1"/>
        </xdr:cNvSpPr>
      </xdr:nvSpPr>
      <xdr:spPr bwMode="auto">
        <a:xfrm>
          <a:off x="47625" y="28603575"/>
          <a:ext cx="3533775" cy="695325"/>
        </a:xfrm>
        <a:prstGeom prst="roundRect">
          <a:avLst>
            <a:gd name="adj" fmla="val 16667"/>
          </a:avLst>
        </a:prstGeom>
        <a:noFill/>
        <a:ln w="28575">
          <a:solidFill>
            <a:srgbClr val="000000"/>
          </a:solidFill>
          <a:round/>
          <a:headEnd/>
          <a:tailEnd/>
        </a:ln>
      </xdr:spPr>
      <xdr:txBody>
        <a:bodyPr vertOverflow="clip" wrap="square" lIns="36576" tIns="27432" rIns="36576" bIns="27432" anchor="ctr" upright="1"/>
        <a:lstStyle/>
        <a:p>
          <a:pPr algn="ctr" rtl="0"/>
          <a:r>
            <a:rPr lang="pt-BR" sz="1400" b="1" i="0" baseline="0">
              <a:effectLst/>
              <a:latin typeface="+mn-lt"/>
              <a:ea typeface="+mn-ea"/>
              <a:cs typeface="+mn-cs"/>
            </a:rPr>
            <a:t>COMPOSIÇÕES DE CUSTO</a:t>
          </a:r>
          <a:endParaRPr lang="pt-BR" sz="1400">
            <a:effectLst/>
          </a:endParaRPr>
        </a:p>
      </xdr:txBody>
    </xdr:sp>
    <xdr:clientData/>
  </xdr:twoCellAnchor>
</xdr:wsDr>
</file>

<file path=xl/queryTables/queryTable1.xml><?xml version="1.0" encoding="utf-8"?>
<queryTable xmlns="http://schemas.openxmlformats.org/spreadsheetml/2006/main" name="INTERCEPTOR-COLETORA" connectionId="1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INTPARTED" connectionId="17"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INTPARTEC" connectionId="15"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INTPARTEB" connectionId="1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INTPARTEA" connectionId="13"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queryTable" Target="../queryTables/queryTable2.xml"/><Relationship Id="rId1" Type="http://schemas.openxmlformats.org/officeDocument/2006/relationships/printerSettings" Target="../printerSettings/printerSettings11.bin"/><Relationship Id="rId5" Type="http://schemas.openxmlformats.org/officeDocument/2006/relationships/queryTable" Target="../queryTables/queryTable5.xml"/><Relationship Id="rId4" Type="http://schemas.openxmlformats.org/officeDocument/2006/relationships/queryTable" Target="../queryTables/queryTable4.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9.vml"/></Relationships>
</file>

<file path=xl/worksheets/_rels/sheet9.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725"/>
  <sheetViews>
    <sheetView tabSelected="1" view="pageBreakPreview" zoomScale="80" zoomScaleNormal="85" zoomScaleSheetLayoutView="80" workbookViewId="0">
      <selection activeCell="C641" sqref="C641"/>
    </sheetView>
  </sheetViews>
  <sheetFormatPr defaultRowHeight="14.25" x14ac:dyDescent="0.2"/>
  <cols>
    <col min="1" max="1" width="16" style="135" customWidth="1"/>
    <col min="2" max="2" width="16" style="1" customWidth="1"/>
    <col min="3" max="3" width="15.140625" style="1" customWidth="1"/>
    <col min="4" max="4" width="78.7109375" style="1" customWidth="1"/>
    <col min="5" max="5" width="11" style="2" customWidth="1"/>
    <col min="6" max="6" width="14.140625" style="23" customWidth="1"/>
    <col min="7" max="7" width="13.5703125" style="24" bestFit="1" customWidth="1"/>
    <col min="8" max="8" width="14.42578125" style="23" customWidth="1"/>
    <col min="9" max="9" width="17.42578125" style="5" customWidth="1"/>
    <col min="10" max="10" width="5.7109375" style="5" customWidth="1"/>
    <col min="11" max="11" width="16.5703125" style="26" bestFit="1" customWidth="1"/>
    <col min="12" max="12" width="17.85546875" style="26" customWidth="1"/>
    <col min="13" max="13" width="18.28515625" style="26" customWidth="1"/>
    <col min="14" max="14" width="15.7109375" style="26" customWidth="1"/>
    <col min="15" max="15" width="18.85546875" style="26" customWidth="1"/>
    <col min="16" max="16" width="14.28515625" style="26" bestFit="1" customWidth="1"/>
    <col min="17" max="17" width="11.85546875" style="26" customWidth="1"/>
    <col min="18" max="18" width="13.5703125" style="26" bestFit="1" customWidth="1"/>
    <col min="19" max="19" width="13.7109375" style="26" customWidth="1"/>
    <col min="20" max="20" width="9.140625" style="26"/>
    <col min="21" max="21" width="14.85546875" style="26" customWidth="1"/>
    <col min="22" max="63" width="9.140625" style="26"/>
    <col min="64" max="16384" width="9.140625" style="7"/>
  </cols>
  <sheetData>
    <row r="1" spans="1:18" ht="23.25" customHeight="1" x14ac:dyDescent="0.2">
      <c r="A1" s="612" t="s">
        <v>7</v>
      </c>
      <c r="B1" s="613"/>
      <c r="C1" s="613"/>
      <c r="D1" s="613"/>
      <c r="E1" s="613"/>
      <c r="F1" s="613"/>
      <c r="G1" s="613"/>
      <c r="H1" s="613"/>
      <c r="I1" s="614"/>
      <c r="J1" s="140"/>
      <c r="K1" s="25"/>
      <c r="L1" s="25"/>
      <c r="M1" s="25"/>
      <c r="N1" s="25"/>
      <c r="O1" s="25"/>
      <c r="P1" s="25"/>
      <c r="Q1" s="25"/>
      <c r="R1" s="25"/>
    </row>
    <row r="2" spans="1:18" ht="5.0999999999999996" customHeight="1" thickBot="1" x14ac:dyDescent="0.25">
      <c r="A2" s="134"/>
      <c r="B2" s="42"/>
      <c r="C2" s="42"/>
      <c r="D2" s="42"/>
      <c r="E2" s="43"/>
      <c r="F2" s="21"/>
      <c r="G2" s="22"/>
      <c r="H2" s="44"/>
      <c r="I2" s="45"/>
      <c r="J2" s="140"/>
      <c r="K2" s="25"/>
      <c r="L2" s="25"/>
      <c r="M2" s="25"/>
      <c r="N2" s="25"/>
      <c r="O2" s="25"/>
      <c r="P2" s="25"/>
      <c r="Q2" s="25"/>
      <c r="R2" s="25"/>
    </row>
    <row r="3" spans="1:18" ht="15.75" thickBot="1" x14ac:dyDescent="0.25">
      <c r="A3" s="627" t="s">
        <v>688</v>
      </c>
      <c r="B3" s="628"/>
      <c r="C3" s="628"/>
      <c r="D3" s="628"/>
      <c r="E3" s="96"/>
      <c r="F3" s="97"/>
      <c r="G3" s="98"/>
      <c r="H3" s="99" t="s">
        <v>8</v>
      </c>
      <c r="I3" s="229" t="s">
        <v>1934</v>
      </c>
      <c r="J3" s="140"/>
      <c r="K3" s="25"/>
      <c r="L3" s="25"/>
      <c r="M3" s="25"/>
      <c r="N3" s="25"/>
      <c r="O3" s="25"/>
      <c r="P3" s="25"/>
      <c r="Q3" s="25"/>
      <c r="R3" s="25"/>
    </row>
    <row r="4" spans="1:18" ht="5.0999999999999996" customHeight="1" thickBot="1" x14ac:dyDescent="0.25">
      <c r="A4" s="134"/>
      <c r="B4" s="42"/>
      <c r="C4" s="42"/>
      <c r="D4" s="42"/>
      <c r="E4" s="43"/>
      <c r="F4" s="21"/>
      <c r="G4" s="22"/>
      <c r="H4" s="44"/>
      <c r="I4" s="45"/>
      <c r="J4" s="140"/>
      <c r="K4" s="25"/>
      <c r="L4" s="25"/>
      <c r="M4" s="25"/>
      <c r="N4" s="25"/>
      <c r="O4" s="25"/>
      <c r="P4" s="25"/>
      <c r="Q4" s="25"/>
      <c r="R4" s="25"/>
    </row>
    <row r="5" spans="1:18" ht="15.75" thickBot="1" x14ac:dyDescent="0.25">
      <c r="A5" s="609" t="s">
        <v>690</v>
      </c>
      <c r="B5" s="610"/>
      <c r="C5" s="610"/>
      <c r="D5" s="610"/>
      <c r="E5" s="610"/>
      <c r="F5" s="610"/>
      <c r="G5" s="610"/>
      <c r="H5" s="610"/>
      <c r="I5" s="611"/>
      <c r="J5" s="140"/>
      <c r="M5" s="25"/>
      <c r="N5" s="25"/>
      <c r="O5" s="25"/>
      <c r="P5" s="25"/>
      <c r="Q5" s="25"/>
      <c r="R5" s="25"/>
    </row>
    <row r="6" spans="1:18" ht="5.0999999999999996" customHeight="1" thickBot="1" x14ac:dyDescent="0.25">
      <c r="A6" s="134"/>
      <c r="B6" s="42"/>
      <c r="C6" s="42"/>
      <c r="D6" s="42"/>
      <c r="E6" s="43"/>
      <c r="F6" s="21"/>
      <c r="G6" s="22"/>
      <c r="H6" s="44"/>
      <c r="I6" s="45"/>
      <c r="J6" s="140"/>
      <c r="L6" s="25"/>
      <c r="M6" s="25"/>
      <c r="N6" s="25"/>
      <c r="O6" s="25"/>
      <c r="P6" s="25"/>
      <c r="Q6" s="25"/>
      <c r="R6" s="25"/>
    </row>
    <row r="7" spans="1:18" ht="15.75" thickBot="1" x14ac:dyDescent="0.25">
      <c r="A7" s="609" t="s">
        <v>693</v>
      </c>
      <c r="B7" s="610"/>
      <c r="C7" s="610"/>
      <c r="D7" s="610"/>
      <c r="E7" s="610"/>
      <c r="F7" s="610"/>
      <c r="G7" s="610"/>
      <c r="H7" s="610"/>
      <c r="I7" s="611"/>
      <c r="J7" s="140"/>
      <c r="M7" s="25"/>
      <c r="N7" s="25"/>
      <c r="O7" s="25"/>
      <c r="P7" s="25"/>
      <c r="Q7" s="25"/>
      <c r="R7" s="25"/>
    </row>
    <row r="8" spans="1:18" ht="5.0999999999999996" customHeight="1" thickBot="1" x14ac:dyDescent="0.25">
      <c r="A8" s="134"/>
      <c r="B8" s="42"/>
      <c r="C8" s="42"/>
      <c r="D8" s="42"/>
      <c r="E8" s="43"/>
      <c r="F8" s="21"/>
      <c r="G8" s="22"/>
      <c r="H8" s="44"/>
      <c r="I8" s="45"/>
      <c r="J8" s="140"/>
      <c r="K8" s="25"/>
      <c r="L8" s="25"/>
      <c r="M8" s="25"/>
      <c r="N8" s="25"/>
      <c r="O8" s="25"/>
      <c r="P8" s="25"/>
      <c r="Q8" s="25"/>
      <c r="R8" s="25"/>
    </row>
    <row r="9" spans="1:18" ht="15" x14ac:dyDescent="0.2">
      <c r="A9" s="621" t="s">
        <v>24</v>
      </c>
      <c r="B9" s="624" t="s">
        <v>5</v>
      </c>
      <c r="C9" s="624" t="s">
        <v>4</v>
      </c>
      <c r="D9" s="624" t="s">
        <v>3</v>
      </c>
      <c r="E9" s="615" t="s">
        <v>193</v>
      </c>
      <c r="F9" s="618" t="s">
        <v>6</v>
      </c>
      <c r="G9" s="228" t="s">
        <v>41</v>
      </c>
      <c r="H9" s="228" t="s">
        <v>41</v>
      </c>
      <c r="I9" s="629" t="s">
        <v>14</v>
      </c>
      <c r="J9" s="140"/>
      <c r="K9" s="25"/>
      <c r="L9" s="129"/>
      <c r="M9" s="129"/>
      <c r="N9" s="129"/>
      <c r="O9" s="129"/>
      <c r="P9" s="25"/>
      <c r="Q9" s="25"/>
      <c r="R9" s="25"/>
    </row>
    <row r="10" spans="1:18" ht="25.5" customHeight="1" x14ac:dyDescent="0.2">
      <c r="A10" s="622"/>
      <c r="B10" s="625"/>
      <c r="C10" s="625"/>
      <c r="D10" s="625"/>
      <c r="E10" s="616"/>
      <c r="F10" s="619"/>
      <c r="G10" s="100" t="s">
        <v>42</v>
      </c>
      <c r="H10" s="100" t="s">
        <v>42</v>
      </c>
      <c r="I10" s="630"/>
      <c r="J10" s="140"/>
      <c r="K10" s="25"/>
      <c r="L10" s="129"/>
      <c r="M10" s="129"/>
      <c r="N10" s="129"/>
      <c r="O10" s="129"/>
      <c r="P10" s="25"/>
      <c r="Q10" s="25"/>
      <c r="R10" s="25"/>
    </row>
    <row r="11" spans="1:18" ht="23.25" customHeight="1" thickBot="1" x14ac:dyDescent="0.25">
      <c r="A11" s="623"/>
      <c r="B11" s="626"/>
      <c r="C11" s="626"/>
      <c r="D11" s="626"/>
      <c r="E11" s="617"/>
      <c r="F11" s="620"/>
      <c r="G11" s="101" t="s">
        <v>43</v>
      </c>
      <c r="H11" s="101" t="s">
        <v>44</v>
      </c>
      <c r="I11" s="631"/>
      <c r="J11" s="140"/>
      <c r="M11" s="129"/>
      <c r="N11" s="129"/>
      <c r="O11" s="129"/>
      <c r="P11" s="25"/>
      <c r="Q11" s="25"/>
      <c r="R11" s="25"/>
    </row>
    <row r="12" spans="1:18" ht="14.45" customHeight="1" thickBot="1" x14ac:dyDescent="0.25">
      <c r="A12" s="266"/>
      <c r="B12" s="267"/>
      <c r="C12" s="267"/>
      <c r="D12" s="268" t="s">
        <v>45</v>
      </c>
      <c r="E12" s="269"/>
      <c r="F12" s="270"/>
      <c r="G12" s="271"/>
      <c r="H12" s="270"/>
      <c r="I12" s="272"/>
      <c r="J12" s="141"/>
      <c r="M12" s="25"/>
      <c r="N12" s="25"/>
      <c r="O12" s="25"/>
      <c r="P12" s="25"/>
      <c r="Q12" s="25"/>
      <c r="R12" s="25"/>
    </row>
    <row r="13" spans="1:18" ht="30.75" thickBot="1" x14ac:dyDescent="0.3">
      <c r="A13" s="273"/>
      <c r="B13" s="274"/>
      <c r="C13" s="274"/>
      <c r="D13" s="275" t="s">
        <v>1540</v>
      </c>
      <c r="E13" s="276"/>
      <c r="F13" s="277"/>
      <c r="G13" s="278"/>
      <c r="H13" s="277"/>
      <c r="I13" s="279"/>
      <c r="J13" s="141"/>
      <c r="M13" s="129"/>
      <c r="N13" s="159">
        <v>0</v>
      </c>
      <c r="O13" s="160">
        <v>0.18</v>
      </c>
      <c r="P13" s="161">
        <v>0.28000000000000003</v>
      </c>
      <c r="Q13" s="25"/>
      <c r="R13" s="25"/>
    </row>
    <row r="14" spans="1:18" ht="15" customHeight="1" thickBot="1" x14ac:dyDescent="0.3">
      <c r="A14" s="297" t="str">
        <f>A57</f>
        <v>01</v>
      </c>
      <c r="B14" s="298"/>
      <c r="C14" s="298"/>
      <c r="D14" s="299" t="str">
        <f>D57</f>
        <v xml:space="preserve">MOBILIZAÇÃO E DESMOBILIZAÇÃO                                 </v>
      </c>
      <c r="E14" s="298"/>
      <c r="F14" s="300"/>
      <c r="G14" s="301"/>
      <c r="H14" s="302"/>
      <c r="I14" s="303">
        <f>I57</f>
        <v>303743.57000000007</v>
      </c>
      <c r="J14" s="140"/>
      <c r="K14" s="632" t="s">
        <v>365</v>
      </c>
      <c r="L14" s="633"/>
      <c r="M14" s="129"/>
      <c r="N14" s="158">
        <f>I71</f>
        <v>675303.96</v>
      </c>
      <c r="O14" s="162" t="e">
        <f>#REF!+#REF!+#REF!+#REF!+#REF!+I418+I445+I468+I471+I556+I494+COMPOSIÇÕES!#REF!+I496+I590+I607+#REF!</f>
        <v>#REF!</v>
      </c>
      <c r="P14" s="163" t="e">
        <f>I56-O14-N14</f>
        <v>#REF!</v>
      </c>
      <c r="Q14" s="25"/>
      <c r="R14" s="25"/>
    </row>
    <row r="15" spans="1:18" ht="7.5" customHeight="1" thickBot="1" x14ac:dyDescent="0.3">
      <c r="A15" s="273"/>
      <c r="B15" s="274"/>
      <c r="C15" s="274"/>
      <c r="D15" s="274"/>
      <c r="E15" s="276"/>
      <c r="F15" s="277"/>
      <c r="G15" s="278"/>
      <c r="H15" s="277"/>
      <c r="I15" s="279"/>
      <c r="J15" s="141"/>
      <c r="K15" s="26" t="s">
        <v>366</v>
      </c>
      <c r="L15" s="26" t="s">
        <v>367</v>
      </c>
      <c r="M15" s="129"/>
      <c r="N15" s="159"/>
      <c r="O15" s="160"/>
      <c r="P15" s="161"/>
      <c r="Q15" s="25"/>
      <c r="R15" s="25"/>
    </row>
    <row r="16" spans="1:18" ht="15" customHeight="1" thickBot="1" x14ac:dyDescent="0.3">
      <c r="A16" s="297" t="str">
        <f>A70</f>
        <v>02</v>
      </c>
      <c r="B16" s="298"/>
      <c r="C16" s="298"/>
      <c r="D16" s="299" t="str">
        <f>D70</f>
        <v>ADMINISTRAÇÃO DA OBRA</v>
      </c>
      <c r="E16" s="298"/>
      <c r="F16" s="300"/>
      <c r="G16" s="301"/>
      <c r="H16" s="302"/>
      <c r="I16" s="303">
        <f>I70</f>
        <v>675303.96</v>
      </c>
      <c r="J16" s="140"/>
      <c r="K16" s="264">
        <f>'BDI M'!C31</f>
        <v>0.14015654848966586</v>
      </c>
      <c r="L16" s="265">
        <f>'BDI S'!C34</f>
        <v>0.24177388293418933</v>
      </c>
      <c r="M16" s="129"/>
      <c r="N16" s="158"/>
      <c r="O16" s="162"/>
      <c r="P16" s="163"/>
      <c r="Q16" s="25"/>
      <c r="R16" s="25"/>
    </row>
    <row r="17" spans="1:18" ht="7.5" customHeight="1" thickBot="1" x14ac:dyDescent="0.3">
      <c r="A17" s="273"/>
      <c r="B17" s="274"/>
      <c r="C17" s="274"/>
      <c r="D17" s="274"/>
      <c r="E17" s="276"/>
      <c r="F17" s="277"/>
      <c r="G17" s="278"/>
      <c r="H17" s="277"/>
      <c r="I17" s="279"/>
      <c r="J17" s="141"/>
      <c r="M17" s="129"/>
      <c r="N17" s="159"/>
      <c r="O17" s="160"/>
      <c r="P17" s="161"/>
      <c r="Q17" s="25"/>
      <c r="R17" s="25"/>
    </row>
    <row r="18" spans="1:18" ht="15" customHeight="1" thickBot="1" x14ac:dyDescent="0.3">
      <c r="A18" s="297" t="str">
        <f>A73</f>
        <v>03</v>
      </c>
      <c r="B18" s="298"/>
      <c r="C18" s="298"/>
      <c r="D18" s="299" t="str">
        <f>D73</f>
        <v>ELEVATÓRIA 01</v>
      </c>
      <c r="E18" s="298"/>
      <c r="F18" s="300"/>
      <c r="G18" s="301"/>
      <c r="H18" s="302"/>
      <c r="I18" s="303">
        <f>I73</f>
        <v>276854.78999999998</v>
      </c>
      <c r="J18" s="140"/>
      <c r="K18" s="632" t="e">
        <f>I18/#REF!</f>
        <v>#REF!</v>
      </c>
      <c r="L18" s="633" t="s">
        <v>368</v>
      </c>
      <c r="M18" s="129"/>
      <c r="N18" s="158"/>
      <c r="O18" s="162"/>
      <c r="P18" s="163"/>
      <c r="Q18" s="25"/>
      <c r="R18" s="25"/>
    </row>
    <row r="19" spans="1:18" ht="7.5" customHeight="1" x14ac:dyDescent="0.25">
      <c r="A19" s="273"/>
      <c r="B19" s="274"/>
      <c r="C19" s="274"/>
      <c r="D19" s="274"/>
      <c r="E19" s="276"/>
      <c r="F19" s="277"/>
      <c r="G19" s="278"/>
      <c r="H19" s="277"/>
      <c r="I19" s="279"/>
      <c r="J19" s="141"/>
      <c r="M19" s="129"/>
      <c r="N19" s="159"/>
      <c r="O19" s="160"/>
      <c r="P19" s="161"/>
      <c r="Q19" s="25"/>
      <c r="R19" s="25"/>
    </row>
    <row r="20" spans="1:18" ht="15" customHeight="1" thickBot="1" x14ac:dyDescent="0.3">
      <c r="A20" s="297" t="str">
        <f>A130</f>
        <v>04</v>
      </c>
      <c r="B20" s="298"/>
      <c r="C20" s="298"/>
      <c r="D20" s="299" t="str">
        <f>D130</f>
        <v>LINHA DE RECALQUE 01</v>
      </c>
      <c r="E20" s="298"/>
      <c r="F20" s="300"/>
      <c r="G20" s="301"/>
      <c r="H20" s="302"/>
      <c r="I20" s="303">
        <f>I130</f>
        <v>74405.08</v>
      </c>
      <c r="J20" s="141"/>
      <c r="M20" s="129"/>
      <c r="N20" s="355"/>
      <c r="O20" s="356"/>
      <c r="P20" s="357"/>
      <c r="Q20" s="25"/>
      <c r="R20" s="25"/>
    </row>
    <row r="21" spans="1:18" ht="7.5" customHeight="1" x14ac:dyDescent="0.25">
      <c r="A21" s="273"/>
      <c r="B21" s="274"/>
      <c r="C21" s="274"/>
      <c r="D21" s="274"/>
      <c r="E21" s="276"/>
      <c r="F21" s="277"/>
      <c r="G21" s="278"/>
      <c r="H21" s="277"/>
      <c r="I21" s="279"/>
      <c r="J21" s="141"/>
      <c r="M21" s="129"/>
      <c r="N21" s="159"/>
      <c r="O21" s="160"/>
      <c r="P21" s="161"/>
      <c r="Q21" s="25"/>
      <c r="R21" s="25"/>
    </row>
    <row r="22" spans="1:18" ht="15" customHeight="1" thickBot="1" x14ac:dyDescent="0.3">
      <c r="A22" s="297" t="str">
        <f>A176</f>
        <v>05</v>
      </c>
      <c r="B22" s="298"/>
      <c r="C22" s="298"/>
      <c r="D22" s="299" t="str">
        <f>D176</f>
        <v>REDE INTERCEPTORA E COLETORA DE ESGOTOS</v>
      </c>
      <c r="E22" s="298"/>
      <c r="F22" s="300"/>
      <c r="G22" s="301"/>
      <c r="H22" s="302"/>
      <c r="I22" s="303">
        <f>I176</f>
        <v>1243517.1099999999</v>
      </c>
      <c r="J22" s="141"/>
      <c r="M22" s="129"/>
      <c r="N22" s="355"/>
      <c r="O22" s="356"/>
      <c r="P22" s="357"/>
      <c r="Q22" s="25"/>
      <c r="R22" s="25"/>
    </row>
    <row r="23" spans="1:18" ht="7.5" customHeight="1" x14ac:dyDescent="0.25">
      <c r="A23" s="273"/>
      <c r="B23" s="274"/>
      <c r="C23" s="274"/>
      <c r="D23" s="274"/>
      <c r="E23" s="276"/>
      <c r="F23" s="277"/>
      <c r="G23" s="278"/>
      <c r="H23" s="277"/>
      <c r="I23" s="279"/>
      <c r="J23" s="141"/>
      <c r="M23" s="129"/>
      <c r="N23" s="159"/>
      <c r="O23" s="160"/>
      <c r="P23" s="161"/>
      <c r="Q23" s="25"/>
      <c r="R23" s="25"/>
    </row>
    <row r="24" spans="1:18" ht="15" customHeight="1" thickBot="1" x14ac:dyDescent="0.3">
      <c r="A24" s="297" t="str">
        <f>A245</f>
        <v>06</v>
      </c>
      <c r="B24" s="298"/>
      <c r="C24" s="298"/>
      <c r="D24" s="299" t="str">
        <f>D245</f>
        <v>ELEVATÓRIA FINAL</v>
      </c>
      <c r="E24" s="298"/>
      <c r="F24" s="300"/>
      <c r="G24" s="301"/>
      <c r="H24" s="302"/>
      <c r="I24" s="303">
        <f>I245</f>
        <v>517841.01</v>
      </c>
      <c r="J24" s="141"/>
      <c r="M24" s="129"/>
      <c r="N24" s="355"/>
      <c r="O24" s="356"/>
      <c r="P24" s="357"/>
      <c r="Q24" s="25"/>
      <c r="R24" s="25"/>
    </row>
    <row r="25" spans="1:18" ht="7.5" customHeight="1" x14ac:dyDescent="0.25">
      <c r="A25" s="273"/>
      <c r="B25" s="274"/>
      <c r="C25" s="274"/>
      <c r="D25" s="274"/>
      <c r="E25" s="276"/>
      <c r="F25" s="277"/>
      <c r="G25" s="278"/>
      <c r="H25" s="277"/>
      <c r="I25" s="279"/>
      <c r="J25" s="141"/>
      <c r="M25" s="129"/>
      <c r="N25" s="159"/>
      <c r="O25" s="160"/>
      <c r="P25" s="161"/>
      <c r="Q25" s="25"/>
      <c r="R25" s="25"/>
    </row>
    <row r="26" spans="1:18" ht="15" customHeight="1" thickBot="1" x14ac:dyDescent="0.3">
      <c r="A26" s="297" t="str">
        <f>A305</f>
        <v>07</v>
      </c>
      <c r="B26" s="298"/>
      <c r="C26" s="298"/>
      <c r="D26" s="299" t="str">
        <f>D305</f>
        <v>LINHA DE RECALQUE 02</v>
      </c>
      <c r="E26" s="298"/>
      <c r="F26" s="300"/>
      <c r="G26" s="301"/>
      <c r="H26" s="302"/>
      <c r="I26" s="303">
        <f>I305</f>
        <v>235646.89</v>
      </c>
      <c r="J26" s="141"/>
      <c r="M26" s="129"/>
      <c r="N26" s="355"/>
      <c r="O26" s="356"/>
      <c r="P26" s="357"/>
      <c r="Q26" s="25"/>
      <c r="R26" s="25"/>
    </row>
    <row r="27" spans="1:18" ht="7.5" customHeight="1" thickBot="1" x14ac:dyDescent="0.3">
      <c r="A27" s="273"/>
      <c r="B27" s="274"/>
      <c r="C27" s="274"/>
      <c r="D27" s="274"/>
      <c r="E27" s="276"/>
      <c r="F27" s="277"/>
      <c r="G27" s="278"/>
      <c r="H27" s="277"/>
      <c r="I27" s="279"/>
      <c r="J27" s="141"/>
      <c r="M27" s="129"/>
      <c r="N27" s="159"/>
      <c r="O27" s="160"/>
      <c r="P27" s="161"/>
      <c r="Q27" s="25"/>
      <c r="R27" s="25"/>
    </row>
    <row r="28" spans="1:18" ht="15" customHeight="1" thickBot="1" x14ac:dyDescent="0.3">
      <c r="A28" s="304" t="str">
        <f>A354</f>
        <v>08</v>
      </c>
      <c r="B28" s="305"/>
      <c r="C28" s="305"/>
      <c r="D28" s="306" t="str">
        <f>D354</f>
        <v>ESTAÇÃO DE TRATAMENTO DE ESGOTOS</v>
      </c>
      <c r="E28" s="305"/>
      <c r="F28" s="307"/>
      <c r="G28" s="308"/>
      <c r="H28" s="309"/>
      <c r="I28" s="310">
        <f>I354</f>
        <v>5487929.8899999987</v>
      </c>
      <c r="J28" s="140"/>
      <c r="K28" s="632"/>
      <c r="L28" s="633"/>
      <c r="M28" s="129"/>
      <c r="N28" s="158"/>
      <c r="O28" s="162"/>
      <c r="P28" s="163"/>
      <c r="Q28" s="25"/>
      <c r="R28" s="25"/>
    </row>
    <row r="29" spans="1:18" ht="7.5" customHeight="1" thickBot="1" x14ac:dyDescent="0.3">
      <c r="A29" s="273"/>
      <c r="B29" s="274"/>
      <c r="C29" s="274"/>
      <c r="D29" s="274"/>
      <c r="E29" s="276"/>
      <c r="F29" s="277"/>
      <c r="G29" s="278"/>
      <c r="H29" s="277"/>
      <c r="I29" s="279"/>
      <c r="J29" s="141"/>
      <c r="M29" s="129"/>
      <c r="N29" s="159"/>
      <c r="O29" s="160"/>
      <c r="P29" s="161"/>
      <c r="Q29" s="25"/>
      <c r="R29" s="25"/>
    </row>
    <row r="30" spans="1:18" ht="15" customHeight="1" thickBot="1" x14ac:dyDescent="0.3">
      <c r="A30" s="297" t="str">
        <f>A355</f>
        <v>08.01</v>
      </c>
      <c r="B30" s="298"/>
      <c r="C30" s="298"/>
      <c r="D30" s="299" t="str">
        <f>D355</f>
        <v>TERRAPLENAGEM GERAL</v>
      </c>
      <c r="E30" s="298"/>
      <c r="F30" s="300"/>
      <c r="G30" s="301"/>
      <c r="H30" s="302"/>
      <c r="I30" s="303">
        <f>I355</f>
        <v>715901.64</v>
      </c>
      <c r="J30" s="140"/>
      <c r="K30" s="632"/>
      <c r="L30" s="633"/>
      <c r="M30" s="129"/>
      <c r="N30" s="158"/>
      <c r="O30" s="162"/>
      <c r="P30" s="163"/>
      <c r="Q30" s="25"/>
      <c r="R30" s="25"/>
    </row>
    <row r="31" spans="1:18" ht="7.5" customHeight="1" thickBot="1" x14ac:dyDescent="0.3">
      <c r="A31" s="273"/>
      <c r="B31" s="274"/>
      <c r="C31" s="274"/>
      <c r="D31" s="274"/>
      <c r="E31" s="276"/>
      <c r="F31" s="277"/>
      <c r="G31" s="278"/>
      <c r="H31" s="277"/>
      <c r="I31" s="279"/>
      <c r="J31" s="141"/>
      <c r="M31" s="129"/>
      <c r="N31" s="159"/>
      <c r="O31" s="160"/>
      <c r="P31" s="161"/>
      <c r="Q31" s="25"/>
      <c r="R31" s="25"/>
    </row>
    <row r="32" spans="1:18" ht="15" customHeight="1" thickBot="1" x14ac:dyDescent="0.3">
      <c r="A32" s="297" t="str">
        <f>A368</f>
        <v>08.02</v>
      </c>
      <c r="B32" s="298"/>
      <c r="C32" s="298"/>
      <c r="D32" s="299" t="str">
        <f>D368</f>
        <v>TRATAMENTO PRELIMINAR MECANIZADO</v>
      </c>
      <c r="E32" s="298"/>
      <c r="F32" s="300"/>
      <c r="G32" s="301"/>
      <c r="H32" s="302"/>
      <c r="I32" s="303">
        <f>I368</f>
        <v>664314.65</v>
      </c>
      <c r="J32" s="140"/>
      <c r="K32" s="632"/>
      <c r="L32" s="633"/>
      <c r="M32" s="129"/>
      <c r="N32" s="158"/>
      <c r="O32" s="162"/>
      <c r="P32" s="163"/>
      <c r="Q32" s="25"/>
      <c r="R32" s="25"/>
    </row>
    <row r="33" spans="1:18" ht="7.5" customHeight="1" thickBot="1" x14ac:dyDescent="0.3">
      <c r="A33" s="273"/>
      <c r="B33" s="274"/>
      <c r="C33" s="274"/>
      <c r="D33" s="274"/>
      <c r="E33" s="276"/>
      <c r="F33" s="277"/>
      <c r="G33" s="278"/>
      <c r="H33" s="277"/>
      <c r="I33" s="279"/>
      <c r="J33" s="141"/>
      <c r="M33" s="129"/>
      <c r="N33" s="159"/>
      <c r="O33" s="160"/>
      <c r="P33" s="161"/>
      <c r="Q33" s="25"/>
      <c r="R33" s="25"/>
    </row>
    <row r="34" spans="1:18" ht="15" customHeight="1" thickBot="1" x14ac:dyDescent="0.3">
      <c r="A34" s="297" t="str">
        <f>A387</f>
        <v>08.03</v>
      </c>
      <c r="B34" s="298"/>
      <c r="C34" s="298"/>
      <c r="D34" s="299" t="str">
        <f>D387</f>
        <v xml:space="preserve">REATORES UASB </v>
      </c>
      <c r="E34" s="298"/>
      <c r="F34" s="300"/>
      <c r="G34" s="301"/>
      <c r="H34" s="302"/>
      <c r="I34" s="303">
        <f>I387</f>
        <v>1200132.9299999997</v>
      </c>
      <c r="J34" s="140"/>
      <c r="K34" s="632"/>
      <c r="L34" s="633"/>
      <c r="M34" s="129"/>
      <c r="N34" s="158"/>
      <c r="O34" s="162"/>
      <c r="P34" s="163"/>
      <c r="Q34" s="25"/>
      <c r="R34" s="25"/>
    </row>
    <row r="35" spans="1:18" ht="7.5" customHeight="1" thickBot="1" x14ac:dyDescent="0.3">
      <c r="A35" s="273"/>
      <c r="B35" s="274"/>
      <c r="C35" s="274"/>
      <c r="D35" s="274"/>
      <c r="E35" s="276"/>
      <c r="F35" s="277"/>
      <c r="G35" s="278"/>
      <c r="H35" s="277"/>
      <c r="I35" s="279"/>
      <c r="J35" s="141"/>
      <c r="M35" s="129"/>
      <c r="N35" s="159"/>
      <c r="O35" s="160"/>
      <c r="P35" s="161"/>
      <c r="Q35" s="25"/>
      <c r="R35" s="25"/>
    </row>
    <row r="36" spans="1:18" ht="15" customHeight="1" thickBot="1" x14ac:dyDescent="0.3">
      <c r="A36" s="297" t="str">
        <f>A420</f>
        <v>08.04</v>
      </c>
      <c r="B36" s="298"/>
      <c r="C36" s="298"/>
      <c r="D36" s="299" t="str">
        <f>D420</f>
        <v>FILTRO BIOLÓGICO PERCOLADOR</v>
      </c>
      <c r="E36" s="298"/>
      <c r="F36" s="300"/>
      <c r="G36" s="301"/>
      <c r="H36" s="302"/>
      <c r="I36" s="303">
        <f>I420</f>
        <v>750869.94</v>
      </c>
      <c r="J36" s="140"/>
      <c r="K36" s="632"/>
      <c r="L36" s="633"/>
      <c r="M36" s="129"/>
      <c r="N36" s="158"/>
      <c r="O36" s="162"/>
      <c r="P36" s="163"/>
      <c r="Q36" s="25"/>
      <c r="R36" s="25"/>
    </row>
    <row r="37" spans="1:18" ht="7.5" customHeight="1" thickBot="1" x14ac:dyDescent="0.3">
      <c r="A37" s="273"/>
      <c r="B37" s="274"/>
      <c r="C37" s="274"/>
      <c r="D37" s="274"/>
      <c r="E37" s="276"/>
      <c r="F37" s="277"/>
      <c r="G37" s="278"/>
      <c r="H37" s="277"/>
      <c r="I37" s="279"/>
      <c r="J37" s="141"/>
      <c r="M37" s="129"/>
      <c r="N37" s="159"/>
      <c r="O37" s="160"/>
      <c r="P37" s="161"/>
      <c r="Q37" s="25"/>
      <c r="R37" s="25"/>
    </row>
    <row r="38" spans="1:18" ht="15" customHeight="1" thickBot="1" x14ac:dyDescent="0.3">
      <c r="A38" s="297" t="str">
        <f>A447</f>
        <v>08.05</v>
      </c>
      <c r="B38" s="298"/>
      <c r="C38" s="298"/>
      <c r="D38" s="299" t="str">
        <f>D447</f>
        <v>DECANTADOR</v>
      </c>
      <c r="E38" s="298"/>
      <c r="F38" s="300"/>
      <c r="G38" s="301"/>
      <c r="H38" s="302"/>
      <c r="I38" s="303">
        <f>I447</f>
        <v>384835.85999999993</v>
      </c>
      <c r="J38" s="140"/>
      <c r="K38" s="632"/>
      <c r="L38" s="633"/>
      <c r="M38" s="129"/>
      <c r="N38" s="158"/>
      <c r="O38" s="162"/>
      <c r="P38" s="163"/>
      <c r="Q38" s="25"/>
      <c r="R38" s="25"/>
    </row>
    <row r="39" spans="1:18" ht="7.5" customHeight="1" thickBot="1" x14ac:dyDescent="0.3">
      <c r="A39" s="273"/>
      <c r="B39" s="274"/>
      <c r="C39" s="274"/>
      <c r="D39" s="274"/>
      <c r="E39" s="276"/>
      <c r="F39" s="277"/>
      <c r="G39" s="278"/>
      <c r="H39" s="277"/>
      <c r="I39" s="279"/>
      <c r="J39" s="141"/>
      <c r="M39" s="129"/>
      <c r="N39" s="159"/>
      <c r="O39" s="160"/>
      <c r="P39" s="161"/>
      <c r="Q39" s="25"/>
      <c r="R39" s="25"/>
    </row>
    <row r="40" spans="1:18" ht="15" customHeight="1" thickBot="1" x14ac:dyDescent="0.3">
      <c r="A40" s="297" t="str">
        <f>A473</f>
        <v>08.06</v>
      </c>
      <c r="B40" s="298"/>
      <c r="C40" s="298"/>
      <c r="D40" s="299" t="str">
        <f>D473</f>
        <v>ELEVATÓRIA DE RECIRCULAÇÃO</v>
      </c>
      <c r="E40" s="298"/>
      <c r="F40" s="300"/>
      <c r="G40" s="301"/>
      <c r="H40" s="302"/>
      <c r="I40" s="303">
        <f>I473</f>
        <v>144224.14999999997</v>
      </c>
      <c r="J40" s="140"/>
      <c r="K40" s="632"/>
      <c r="L40" s="633"/>
      <c r="M40" s="129"/>
      <c r="N40" s="158"/>
      <c r="O40" s="162"/>
      <c r="P40" s="163"/>
      <c r="Q40" s="25"/>
      <c r="R40" s="25"/>
    </row>
    <row r="41" spans="1:18" ht="7.5" customHeight="1" x14ac:dyDescent="0.25">
      <c r="A41" s="273"/>
      <c r="B41" s="274"/>
      <c r="C41" s="274"/>
      <c r="D41" s="274"/>
      <c r="E41" s="276"/>
      <c r="F41" s="277"/>
      <c r="G41" s="278"/>
      <c r="H41" s="277"/>
      <c r="I41" s="279"/>
      <c r="J41" s="141"/>
      <c r="M41" s="129"/>
      <c r="N41" s="159"/>
      <c r="O41" s="160"/>
      <c r="P41" s="161"/>
      <c r="Q41" s="25"/>
      <c r="R41" s="25"/>
    </row>
    <row r="42" spans="1:18" ht="15" x14ac:dyDescent="0.25">
      <c r="A42" s="297" t="str">
        <f>A498</f>
        <v>08.07</v>
      </c>
      <c r="B42" s="298"/>
      <c r="C42" s="298"/>
      <c r="D42" s="299" t="str">
        <f>D498</f>
        <v>SANITIZAÇÃO POR ULTRA VIOLETA</v>
      </c>
      <c r="E42" s="298"/>
      <c r="F42" s="300"/>
      <c r="G42" s="301"/>
      <c r="H42" s="302"/>
      <c r="I42" s="303">
        <f>I498</f>
        <v>255813.43</v>
      </c>
      <c r="J42" s="141"/>
      <c r="M42" s="129"/>
      <c r="N42" s="355"/>
      <c r="O42" s="356"/>
      <c r="P42" s="357"/>
      <c r="Q42" s="25"/>
      <c r="R42" s="25"/>
    </row>
    <row r="43" spans="1:18" ht="7.5" customHeight="1" thickBot="1" x14ac:dyDescent="0.3">
      <c r="A43" s="273"/>
      <c r="B43" s="274"/>
      <c r="C43" s="274"/>
      <c r="D43" s="274"/>
      <c r="E43" s="276"/>
      <c r="F43" s="277"/>
      <c r="G43" s="278"/>
      <c r="H43" s="277"/>
      <c r="I43" s="279"/>
      <c r="J43" s="141"/>
      <c r="M43" s="129"/>
      <c r="N43" s="355"/>
      <c r="O43" s="356"/>
      <c r="P43" s="357"/>
      <c r="Q43" s="25"/>
      <c r="R43" s="25"/>
    </row>
    <row r="44" spans="1:18" ht="15" customHeight="1" thickBot="1" x14ac:dyDescent="0.3">
      <c r="A44" s="297" t="str">
        <f>A521</f>
        <v>08.08</v>
      </c>
      <c r="B44" s="298"/>
      <c r="C44" s="298"/>
      <c r="D44" s="299" t="str">
        <f>D521</f>
        <v>QUEIMADOR DE BIOGÁS</v>
      </c>
      <c r="E44" s="298"/>
      <c r="F44" s="300"/>
      <c r="G44" s="301"/>
      <c r="H44" s="302"/>
      <c r="I44" s="303">
        <f>I521</f>
        <v>12875.470000000001</v>
      </c>
      <c r="J44" s="140"/>
      <c r="K44" s="632"/>
      <c r="L44" s="633"/>
      <c r="M44" s="129"/>
      <c r="N44" s="158"/>
      <c r="O44" s="162"/>
      <c r="P44" s="163"/>
      <c r="Q44" s="25"/>
      <c r="R44" s="25"/>
    </row>
    <row r="45" spans="1:18" ht="7.5" customHeight="1" thickBot="1" x14ac:dyDescent="0.3">
      <c r="A45" s="273"/>
      <c r="B45" s="274"/>
      <c r="C45" s="274"/>
      <c r="D45" s="274"/>
      <c r="E45" s="276"/>
      <c r="F45" s="277"/>
      <c r="G45" s="278"/>
      <c r="H45" s="277"/>
      <c r="I45" s="279"/>
      <c r="J45" s="141"/>
      <c r="M45" s="129"/>
      <c r="N45" s="159"/>
      <c r="O45" s="160"/>
      <c r="P45" s="161"/>
      <c r="Q45" s="25"/>
      <c r="R45" s="25"/>
    </row>
    <row r="46" spans="1:18" ht="15" customHeight="1" thickBot="1" x14ac:dyDescent="0.3">
      <c r="A46" s="297" t="str">
        <f>A530</f>
        <v>08.09</v>
      </c>
      <c r="B46" s="298"/>
      <c r="C46" s="298"/>
      <c r="D46" s="299" t="str">
        <f>D530</f>
        <v>LEITOS DE SECAGEM</v>
      </c>
      <c r="E46" s="298"/>
      <c r="F46" s="300"/>
      <c r="G46" s="301"/>
      <c r="H46" s="302"/>
      <c r="I46" s="303">
        <f>I530</f>
        <v>211333.06000000003</v>
      </c>
      <c r="J46" s="140"/>
      <c r="K46" s="632"/>
      <c r="L46" s="633"/>
      <c r="M46" s="129"/>
      <c r="N46" s="158"/>
      <c r="O46" s="162"/>
      <c r="P46" s="163"/>
      <c r="Q46" s="25"/>
      <c r="R46" s="25"/>
    </row>
    <row r="47" spans="1:18" ht="7.5" customHeight="1" thickBot="1" x14ac:dyDescent="0.3">
      <c r="A47" s="273"/>
      <c r="B47" s="274"/>
      <c r="C47" s="274"/>
      <c r="D47" s="274"/>
      <c r="E47" s="276"/>
      <c r="F47" s="277"/>
      <c r="G47" s="278"/>
      <c r="H47" s="277"/>
      <c r="I47" s="279"/>
      <c r="J47" s="141"/>
      <c r="M47" s="129"/>
      <c r="N47" s="159"/>
      <c r="O47" s="160"/>
      <c r="P47" s="161"/>
      <c r="Q47" s="25"/>
      <c r="R47" s="25"/>
    </row>
    <row r="48" spans="1:18" ht="15" customHeight="1" thickBot="1" x14ac:dyDescent="0.3">
      <c r="A48" s="297" t="str">
        <f>A560</f>
        <v>08.10</v>
      </c>
      <c r="B48" s="298"/>
      <c r="C48" s="298"/>
      <c r="D48" s="299" t="str">
        <f>D560</f>
        <v>EDIFICAÇÃO ADMINISTRATIVA - UNIDADE DE APOIO</v>
      </c>
      <c r="E48" s="298"/>
      <c r="F48" s="300"/>
      <c r="G48" s="301"/>
      <c r="H48" s="302"/>
      <c r="I48" s="303">
        <f>I560</f>
        <v>130306.38000000003</v>
      </c>
      <c r="J48" s="140"/>
      <c r="K48" s="632"/>
      <c r="L48" s="633"/>
      <c r="M48" s="129"/>
      <c r="N48" s="158"/>
      <c r="O48" s="162"/>
      <c r="P48" s="163"/>
      <c r="Q48" s="25"/>
      <c r="R48" s="25"/>
    </row>
    <row r="49" spans="1:18" ht="7.5" customHeight="1" thickBot="1" x14ac:dyDescent="0.3">
      <c r="A49" s="273"/>
      <c r="B49" s="274"/>
      <c r="C49" s="274"/>
      <c r="D49" s="274"/>
      <c r="E49" s="276"/>
      <c r="F49" s="277"/>
      <c r="G49" s="278"/>
      <c r="H49" s="277"/>
      <c r="I49" s="279"/>
      <c r="J49" s="141"/>
      <c r="M49" s="129"/>
      <c r="N49" s="159"/>
      <c r="O49" s="160"/>
      <c r="P49" s="161"/>
      <c r="Q49" s="25"/>
      <c r="R49" s="25"/>
    </row>
    <row r="50" spans="1:18" ht="15" customHeight="1" thickBot="1" x14ac:dyDescent="0.3">
      <c r="A50" s="297" t="str">
        <f>A592</f>
        <v>08.11</v>
      </c>
      <c r="B50" s="298"/>
      <c r="C50" s="298"/>
      <c r="D50" s="299" t="str">
        <f>D592</f>
        <v>INTERLIGAÇÕES DE PROCESSOS, DRENAGEM E ÁGUA FRIA</v>
      </c>
      <c r="E50" s="298"/>
      <c r="F50" s="300"/>
      <c r="G50" s="301"/>
      <c r="H50" s="302"/>
      <c r="I50" s="303">
        <f>I592</f>
        <v>250506.43</v>
      </c>
      <c r="J50" s="140"/>
      <c r="K50" s="632"/>
      <c r="L50" s="633"/>
      <c r="M50" s="129"/>
      <c r="N50" s="158"/>
      <c r="O50" s="162"/>
      <c r="P50" s="163"/>
      <c r="Q50" s="25"/>
      <c r="R50" s="25"/>
    </row>
    <row r="51" spans="1:18" ht="7.5" customHeight="1" x14ac:dyDescent="0.25">
      <c r="A51" s="273"/>
      <c r="B51" s="274"/>
      <c r="C51" s="274"/>
      <c r="D51" s="274"/>
      <c r="E51" s="276"/>
      <c r="F51" s="277"/>
      <c r="G51" s="278"/>
      <c r="H51" s="277"/>
      <c r="I51" s="279"/>
      <c r="J51" s="141"/>
      <c r="M51" s="129"/>
      <c r="N51" s="159"/>
      <c r="O51" s="160"/>
      <c r="P51" s="161"/>
      <c r="Q51" s="25"/>
      <c r="R51" s="25"/>
    </row>
    <row r="52" spans="1:18" ht="18.75" customHeight="1" x14ac:dyDescent="0.25">
      <c r="A52" s="297" t="str">
        <f>A609</f>
        <v>08.12</v>
      </c>
      <c r="B52" s="298"/>
      <c r="C52" s="298"/>
      <c r="D52" s="299" t="str">
        <f>D609</f>
        <v>INSTALAÇÕES ELÉTRICAS DA ESTAÇÃO DE TRATAMENTO DE ESGOTOS (ETE)</v>
      </c>
      <c r="E52" s="298"/>
      <c r="F52" s="300"/>
      <c r="G52" s="301"/>
      <c r="H52" s="302"/>
      <c r="I52" s="303">
        <f>I609</f>
        <v>341993.33999999997</v>
      </c>
      <c r="J52" s="141"/>
      <c r="M52" s="129"/>
      <c r="N52" s="355"/>
      <c r="O52" s="356"/>
      <c r="P52" s="357"/>
      <c r="Q52" s="25"/>
      <c r="R52" s="25"/>
    </row>
    <row r="53" spans="1:18" ht="7.5" customHeight="1" thickBot="1" x14ac:dyDescent="0.3">
      <c r="A53" s="273"/>
      <c r="B53" s="274"/>
      <c r="C53" s="274"/>
      <c r="D53" s="274"/>
      <c r="E53" s="276"/>
      <c r="F53" s="277"/>
      <c r="G53" s="278"/>
      <c r="H53" s="277"/>
      <c r="I53" s="279"/>
      <c r="J53" s="141"/>
      <c r="M53" s="129"/>
      <c r="N53" s="355"/>
      <c r="O53" s="356"/>
      <c r="P53" s="357"/>
      <c r="Q53" s="25"/>
      <c r="R53" s="25"/>
    </row>
    <row r="54" spans="1:18" ht="15" customHeight="1" thickBot="1" x14ac:dyDescent="0.3">
      <c r="A54" s="297" t="str">
        <f>A619</f>
        <v>08.13</v>
      </c>
      <c r="B54" s="298"/>
      <c r="C54" s="298"/>
      <c r="D54" s="299" t="str">
        <f>D619</f>
        <v>URBANIZAÇÃO</v>
      </c>
      <c r="E54" s="298"/>
      <c r="F54" s="300"/>
      <c r="G54" s="301"/>
      <c r="H54" s="302"/>
      <c r="I54" s="303">
        <f>I619</f>
        <v>424822.61</v>
      </c>
      <c r="J54" s="140"/>
      <c r="K54" s="632"/>
      <c r="L54" s="633"/>
      <c r="M54" s="129"/>
      <c r="N54" s="158"/>
      <c r="O54" s="162"/>
      <c r="P54" s="163"/>
      <c r="Q54" s="25"/>
      <c r="R54" s="25"/>
    </row>
    <row r="55" spans="1:18" ht="7.5" customHeight="1" thickBot="1" x14ac:dyDescent="0.3">
      <c r="A55" s="273"/>
      <c r="B55" s="274"/>
      <c r="C55" s="274"/>
      <c r="D55" s="274"/>
      <c r="E55" s="276"/>
      <c r="F55" s="277"/>
      <c r="G55" s="278"/>
      <c r="H55" s="277"/>
      <c r="I55" s="279"/>
      <c r="J55" s="141"/>
      <c r="M55" s="129"/>
      <c r="N55" s="159"/>
      <c r="O55" s="160"/>
      <c r="P55" s="161"/>
      <c r="Q55" s="25"/>
      <c r="R55" s="25"/>
    </row>
    <row r="56" spans="1:18" ht="15" customHeight="1" thickBot="1" x14ac:dyDescent="0.3">
      <c r="A56" s="587"/>
      <c r="B56" s="588"/>
      <c r="C56" s="588"/>
      <c r="D56" s="589" t="s">
        <v>195</v>
      </c>
      <c r="E56" s="588"/>
      <c r="F56" s="590"/>
      <c r="G56" s="591"/>
      <c r="H56" s="592"/>
      <c r="I56" s="593">
        <f>SUM(I14:I54)-I28</f>
        <v>8815242.3000000007</v>
      </c>
      <c r="J56" s="140"/>
      <c r="K56" s="632">
        <v>7456600.3099999996</v>
      </c>
      <c r="L56" s="633">
        <v>4240770.95</v>
      </c>
      <c r="M56" s="129">
        <f>I56-K56</f>
        <v>1358641.9900000012</v>
      </c>
      <c r="N56" s="158">
        <f>L56/I56</f>
        <v>0.48107253387691906</v>
      </c>
      <c r="O56" s="162"/>
      <c r="P56" s="163"/>
      <c r="Q56" s="25"/>
      <c r="R56" s="25"/>
    </row>
    <row r="57" spans="1:18" ht="15" customHeight="1" thickTop="1" thickBot="1" x14ac:dyDescent="0.25">
      <c r="A57" s="577" t="s">
        <v>1058</v>
      </c>
      <c r="B57" s="578"/>
      <c r="C57" s="578"/>
      <c r="D57" s="579" t="s">
        <v>78</v>
      </c>
      <c r="E57" s="578"/>
      <c r="F57" s="580"/>
      <c r="G57" s="581"/>
      <c r="H57" s="582"/>
      <c r="I57" s="583">
        <f>SUM(I58:I68)</f>
        <v>303743.57000000007</v>
      </c>
      <c r="J57" s="140"/>
      <c r="K57" s="139">
        <f>I57/I56</f>
        <v>3.4456633143254617E-2</v>
      </c>
      <c r="L57" s="26">
        <v>6.71</v>
      </c>
      <c r="M57" s="132">
        <f>I14+I16+I18+I28</f>
        <v>6743832.209999999</v>
      </c>
      <c r="N57" s="25"/>
      <c r="O57" s="25"/>
      <c r="P57" s="25"/>
      <c r="R57" s="25"/>
    </row>
    <row r="58" spans="1:18" ht="30" customHeight="1" thickTop="1" x14ac:dyDescent="0.2">
      <c r="A58" s="284" t="s">
        <v>77</v>
      </c>
      <c r="B58" s="281" t="s">
        <v>46</v>
      </c>
      <c r="C58" s="281">
        <v>72840</v>
      </c>
      <c r="D58" s="285" t="s">
        <v>49</v>
      </c>
      <c r="E58" s="281" t="s">
        <v>22</v>
      </c>
      <c r="F58" s="146">
        <v>200000</v>
      </c>
      <c r="G58" s="146">
        <v>0.48</v>
      </c>
      <c r="H58" s="151">
        <f t="shared" ref="H58" si="0">G58*(1+$L$16)</f>
        <v>0.5960514638084109</v>
      </c>
      <c r="I58" s="152">
        <f t="shared" ref="I58" si="1">ROUND(F58*H58,2)</f>
        <v>119210.29</v>
      </c>
      <c r="J58" s="142"/>
      <c r="K58" s="25"/>
      <c r="L58" s="133"/>
      <c r="M58" s="25"/>
      <c r="N58" s="25"/>
      <c r="O58" s="25"/>
      <c r="P58" s="25"/>
      <c r="R58" s="25"/>
    </row>
    <row r="59" spans="1:18" s="26" customFormat="1" ht="45" customHeight="1" x14ac:dyDescent="0.2">
      <c r="A59" s="284" t="s">
        <v>68</v>
      </c>
      <c r="B59" s="281" t="s">
        <v>46</v>
      </c>
      <c r="C59" s="154">
        <v>93207</v>
      </c>
      <c r="D59" s="148" t="s">
        <v>1432</v>
      </c>
      <c r="E59" s="281" t="s">
        <v>16</v>
      </c>
      <c r="F59" s="146">
        <v>50</v>
      </c>
      <c r="G59" s="146">
        <v>596.67999999999995</v>
      </c>
      <c r="H59" s="151">
        <f t="shared" ref="H59:H68" si="2">G59*(1+$L$16)</f>
        <v>740.94164046917206</v>
      </c>
      <c r="I59" s="152">
        <f t="shared" ref="I59:I68" si="3">ROUND(F59*H59,2)</f>
        <v>37047.08</v>
      </c>
      <c r="J59" s="142"/>
      <c r="K59" s="130">
        <f>SUM(H30:H51)</f>
        <v>0</v>
      </c>
      <c r="L59" s="132"/>
      <c r="M59" s="25"/>
      <c r="N59" s="25"/>
      <c r="O59" s="25"/>
      <c r="P59" s="25"/>
      <c r="R59" s="25"/>
    </row>
    <row r="60" spans="1:18" s="26" customFormat="1" ht="45" customHeight="1" x14ac:dyDescent="0.2">
      <c r="A60" s="284" t="s">
        <v>69</v>
      </c>
      <c r="B60" s="281" t="s">
        <v>46</v>
      </c>
      <c r="C60" s="154">
        <v>93584</v>
      </c>
      <c r="D60" s="148" t="s">
        <v>1433</v>
      </c>
      <c r="E60" s="281" t="s">
        <v>16</v>
      </c>
      <c r="F60" s="146">
        <v>80</v>
      </c>
      <c r="G60" s="146">
        <v>437.42</v>
      </c>
      <c r="H60" s="151">
        <f t="shared" si="2"/>
        <v>543.17673187307309</v>
      </c>
      <c r="I60" s="152">
        <f t="shared" si="3"/>
        <v>43454.14</v>
      </c>
      <c r="J60" s="142"/>
      <c r="K60" s="25"/>
      <c r="L60" s="25"/>
      <c r="M60" s="25"/>
      <c r="N60" s="25"/>
      <c r="O60" s="25"/>
      <c r="P60" s="25"/>
      <c r="R60" s="25"/>
    </row>
    <row r="61" spans="1:18" ht="30" customHeight="1" x14ac:dyDescent="0.2">
      <c r="A61" s="284" t="s">
        <v>70</v>
      </c>
      <c r="B61" s="281" t="s">
        <v>46</v>
      </c>
      <c r="C61" s="154">
        <v>41598</v>
      </c>
      <c r="D61" s="148" t="s">
        <v>1434</v>
      </c>
      <c r="E61" s="281" t="s">
        <v>20</v>
      </c>
      <c r="F61" s="146">
        <v>1</v>
      </c>
      <c r="G61" s="146">
        <v>1328.79</v>
      </c>
      <c r="H61" s="151">
        <f t="shared" si="2"/>
        <v>1650.0567179041213</v>
      </c>
      <c r="I61" s="152">
        <f t="shared" si="3"/>
        <v>1650.06</v>
      </c>
      <c r="J61" s="142"/>
      <c r="K61" s="25"/>
      <c r="L61" s="133"/>
      <c r="M61" s="25"/>
      <c r="N61" s="25"/>
      <c r="O61" s="25"/>
      <c r="P61" s="25"/>
      <c r="R61" s="25"/>
    </row>
    <row r="62" spans="1:18" x14ac:dyDescent="0.2">
      <c r="A62" s="284" t="s">
        <v>71</v>
      </c>
      <c r="B62" s="281" t="s">
        <v>46</v>
      </c>
      <c r="C62" s="281" t="s">
        <v>47</v>
      </c>
      <c r="D62" s="285" t="s">
        <v>48</v>
      </c>
      <c r="E62" s="281" t="s">
        <v>16</v>
      </c>
      <c r="F62" s="146">
        <v>24</v>
      </c>
      <c r="G62" s="146">
        <v>319.02999999999997</v>
      </c>
      <c r="H62" s="151">
        <f t="shared" si="2"/>
        <v>396.1631218724944</v>
      </c>
      <c r="I62" s="152">
        <f t="shared" si="3"/>
        <v>9507.91</v>
      </c>
      <c r="J62" s="142"/>
      <c r="K62" s="25"/>
      <c r="L62" s="25"/>
      <c r="M62" s="25"/>
      <c r="N62" s="25"/>
      <c r="O62" s="25"/>
      <c r="P62" s="25"/>
      <c r="R62" s="25"/>
    </row>
    <row r="63" spans="1:18" ht="30" customHeight="1" x14ac:dyDescent="0.2">
      <c r="A63" s="284" t="s">
        <v>79</v>
      </c>
      <c r="B63" s="281" t="s">
        <v>46</v>
      </c>
      <c r="C63" s="281" t="s">
        <v>162</v>
      </c>
      <c r="D63" s="285" t="s">
        <v>166</v>
      </c>
      <c r="E63" s="281" t="s">
        <v>16</v>
      </c>
      <c r="F63" s="146">
        <f>2*3*23</f>
        <v>138</v>
      </c>
      <c r="G63" s="146">
        <v>52.37</v>
      </c>
      <c r="H63" s="151">
        <f t="shared" si="2"/>
        <v>65.031698249263499</v>
      </c>
      <c r="I63" s="152">
        <f t="shared" si="3"/>
        <v>8974.3700000000008</v>
      </c>
      <c r="J63" s="142"/>
      <c r="K63" s="25"/>
      <c r="L63" s="133"/>
      <c r="M63" s="25"/>
      <c r="N63" s="25"/>
      <c r="O63" s="25"/>
      <c r="P63" s="25"/>
      <c r="R63" s="25"/>
    </row>
    <row r="64" spans="1:18" s="26" customFormat="1" ht="45" customHeight="1" x14ac:dyDescent="0.2">
      <c r="A64" s="284" t="s">
        <v>160</v>
      </c>
      <c r="B64" s="281" t="s">
        <v>46</v>
      </c>
      <c r="C64" s="281" t="s">
        <v>163</v>
      </c>
      <c r="D64" s="285" t="s">
        <v>164</v>
      </c>
      <c r="E64" s="281" t="s">
        <v>18</v>
      </c>
      <c r="F64" s="146">
        <v>200</v>
      </c>
      <c r="G64" s="146">
        <v>26.28</v>
      </c>
      <c r="H64" s="151">
        <f t="shared" si="2"/>
        <v>32.633817643510497</v>
      </c>
      <c r="I64" s="152">
        <f t="shared" si="3"/>
        <v>6526.76</v>
      </c>
      <c r="J64" s="142"/>
      <c r="K64" s="25"/>
      <c r="L64" s="25"/>
      <c r="M64" s="25"/>
      <c r="N64" s="25"/>
      <c r="O64" s="25"/>
      <c r="P64" s="25"/>
      <c r="R64" s="25"/>
    </row>
    <row r="65" spans="1:63" s="26" customFormat="1" ht="28.5" x14ac:dyDescent="0.2">
      <c r="A65" s="284" t="s">
        <v>161</v>
      </c>
      <c r="B65" s="281" t="s">
        <v>46</v>
      </c>
      <c r="C65" s="281">
        <v>93212</v>
      </c>
      <c r="D65" s="285" t="s">
        <v>1437</v>
      </c>
      <c r="E65" s="281" t="s">
        <v>16</v>
      </c>
      <c r="F65" s="146">
        <v>50</v>
      </c>
      <c r="G65" s="146">
        <v>577.16</v>
      </c>
      <c r="H65" s="151">
        <f t="shared" si="2"/>
        <v>716.70221427429669</v>
      </c>
      <c r="I65" s="152">
        <f t="shared" si="3"/>
        <v>35835.11</v>
      </c>
      <c r="J65" s="142"/>
      <c r="K65" s="25"/>
      <c r="L65" s="25"/>
      <c r="M65" s="25"/>
      <c r="N65" s="25"/>
      <c r="O65" s="25"/>
      <c r="P65" s="25"/>
      <c r="R65" s="25"/>
    </row>
    <row r="66" spans="1:63" s="26" customFormat="1" ht="57" x14ac:dyDescent="0.2">
      <c r="A66" s="284" t="s">
        <v>349</v>
      </c>
      <c r="B66" s="281" t="s">
        <v>46</v>
      </c>
      <c r="C66" s="281">
        <v>95463</v>
      </c>
      <c r="D66" s="285" t="s">
        <v>1435</v>
      </c>
      <c r="E66" s="281" t="s">
        <v>20</v>
      </c>
      <c r="F66" s="146">
        <v>2</v>
      </c>
      <c r="G66" s="146">
        <v>1361.71</v>
      </c>
      <c r="H66" s="151">
        <f t="shared" si="2"/>
        <v>1690.935914130315</v>
      </c>
      <c r="I66" s="152">
        <f t="shared" si="3"/>
        <v>3381.87</v>
      </c>
      <c r="J66" s="142"/>
      <c r="K66" s="25"/>
      <c r="L66" s="25"/>
      <c r="M66" s="25"/>
      <c r="N66" s="25"/>
      <c r="O66" s="25"/>
      <c r="P66" s="25"/>
      <c r="R66" s="25"/>
    </row>
    <row r="67" spans="1:63" ht="42.75" x14ac:dyDescent="0.2">
      <c r="A67" s="284" t="s">
        <v>350</v>
      </c>
      <c r="B67" s="281" t="s">
        <v>46</v>
      </c>
      <c r="C67" s="281" t="s">
        <v>375</v>
      </c>
      <c r="D67" s="285" t="s">
        <v>376</v>
      </c>
      <c r="E67" s="281" t="s">
        <v>20</v>
      </c>
      <c r="F67" s="146">
        <v>2</v>
      </c>
      <c r="G67" s="146">
        <v>1506.7</v>
      </c>
      <c r="H67" s="151">
        <f t="shared" si="2"/>
        <v>1870.9807094169432</v>
      </c>
      <c r="I67" s="152">
        <f t="shared" si="3"/>
        <v>3741.96</v>
      </c>
      <c r="J67" s="142"/>
      <c r="K67" s="25"/>
      <c r="L67" s="133"/>
      <c r="M67" s="25"/>
      <c r="N67" s="25"/>
      <c r="O67" s="25"/>
      <c r="P67" s="25"/>
      <c r="R67" s="25"/>
    </row>
    <row r="68" spans="1:63" s="26" customFormat="1" ht="45" customHeight="1" x14ac:dyDescent="0.2">
      <c r="A68" s="284" t="s">
        <v>1438</v>
      </c>
      <c r="B68" s="281" t="s">
        <v>46</v>
      </c>
      <c r="C68" s="281">
        <v>93210</v>
      </c>
      <c r="D68" s="285" t="s">
        <v>1436</v>
      </c>
      <c r="E68" s="281" t="s">
        <v>16</v>
      </c>
      <c r="F68" s="146">
        <v>80</v>
      </c>
      <c r="G68" s="146">
        <v>346.42</v>
      </c>
      <c r="H68" s="151">
        <f t="shared" si="2"/>
        <v>430.17530852606188</v>
      </c>
      <c r="I68" s="152">
        <f t="shared" si="3"/>
        <v>34414.019999999997</v>
      </c>
      <c r="J68" s="142"/>
      <c r="K68" s="25"/>
      <c r="L68" s="25"/>
      <c r="M68" s="25"/>
      <c r="N68" s="25"/>
      <c r="O68" s="25"/>
      <c r="P68" s="25"/>
      <c r="R68" s="25"/>
    </row>
    <row r="69" spans="1:63" ht="15" customHeight="1" x14ac:dyDescent="0.2">
      <c r="A69" s="286"/>
      <c r="B69" s="287"/>
      <c r="C69" s="288"/>
      <c r="D69" s="289"/>
      <c r="E69" s="287"/>
      <c r="F69" s="290"/>
      <c r="G69" s="291"/>
      <c r="H69" s="292"/>
      <c r="I69" s="293"/>
      <c r="J69" s="143"/>
      <c r="K69" s="25"/>
      <c r="L69" s="25"/>
      <c r="M69" s="25"/>
      <c r="N69" s="25"/>
      <c r="O69" s="25"/>
      <c r="P69" s="25"/>
      <c r="R69" s="25"/>
    </row>
    <row r="70" spans="1:63" ht="15" customHeight="1" thickBot="1" x14ac:dyDescent="0.25">
      <c r="A70" s="358" t="s">
        <v>1059</v>
      </c>
      <c r="B70" s="298"/>
      <c r="C70" s="298"/>
      <c r="D70" s="299" t="s">
        <v>159</v>
      </c>
      <c r="E70" s="298"/>
      <c r="F70" s="300"/>
      <c r="G70" s="301"/>
      <c r="H70" s="302"/>
      <c r="I70" s="303">
        <f>SUM(I71:I71)</f>
        <v>675303.96</v>
      </c>
      <c r="J70" s="144"/>
      <c r="K70" s="25"/>
      <c r="L70" s="25"/>
      <c r="M70" s="25"/>
      <c r="N70" s="25"/>
      <c r="O70" s="25"/>
      <c r="P70" s="25"/>
      <c r="R70" s="25"/>
    </row>
    <row r="71" spans="1:63" s="26" customFormat="1" ht="30" customHeight="1" thickTop="1" thickBot="1" x14ac:dyDescent="0.25">
      <c r="A71" s="284" t="s">
        <v>687</v>
      </c>
      <c r="B71" s="150" t="s">
        <v>336</v>
      </c>
      <c r="C71" s="294" t="str">
        <f>COMPOSIÇÕES!C13</f>
        <v>CE-001</v>
      </c>
      <c r="D71" s="285" t="s">
        <v>384</v>
      </c>
      <c r="E71" s="287" t="s">
        <v>21</v>
      </c>
      <c r="F71" s="282">
        <v>12</v>
      </c>
      <c r="G71" s="151">
        <f>COMPOSIÇÕES!I13</f>
        <v>45318.5</v>
      </c>
      <c r="H71" s="151">
        <f>G71*(1+$L$16)</f>
        <v>56275.329713753061</v>
      </c>
      <c r="I71" s="152">
        <f>ROUND(F71*H71,2)</f>
        <v>675303.96</v>
      </c>
      <c r="J71" s="251"/>
      <c r="K71" s="261">
        <f>I71/I56</f>
        <v>7.6606397988629296E-2</v>
      </c>
      <c r="L71" s="132"/>
      <c r="M71" s="25" t="s">
        <v>385</v>
      </c>
      <c r="N71" s="25"/>
      <c r="O71" s="25"/>
      <c r="P71" s="25"/>
      <c r="R71" s="25"/>
    </row>
    <row r="72" spans="1:63" ht="15" customHeight="1" thickTop="1" x14ac:dyDescent="0.2">
      <c r="A72" s="284"/>
      <c r="B72" s="287"/>
      <c r="C72" s="287"/>
      <c r="D72" s="289"/>
      <c r="E72" s="287"/>
      <c r="F72" s="290"/>
      <c r="G72" s="291"/>
      <c r="H72" s="291"/>
      <c r="I72" s="293"/>
      <c r="J72" s="143"/>
      <c r="K72" s="25"/>
      <c r="L72" s="132"/>
      <c r="M72" s="25"/>
      <c r="N72" s="25"/>
      <c r="O72" s="25"/>
      <c r="P72" s="25"/>
      <c r="R72" s="25"/>
    </row>
    <row r="73" spans="1:63" ht="15" x14ac:dyDescent="0.2">
      <c r="A73" s="358" t="s">
        <v>1060</v>
      </c>
      <c r="B73" s="298"/>
      <c r="C73" s="298"/>
      <c r="D73" s="299" t="s">
        <v>749</v>
      </c>
      <c r="E73" s="298" t="s">
        <v>62</v>
      </c>
      <c r="F73" s="300"/>
      <c r="G73" s="301"/>
      <c r="H73" s="302"/>
      <c r="I73" s="338">
        <f>I74+I80+I94+I107+I123</f>
        <v>276854.78999999998</v>
      </c>
      <c r="J73" s="143"/>
      <c r="K73" s="25" t="e">
        <f>I73/F129</f>
        <v>#DIV/0!</v>
      </c>
      <c r="L73" s="132"/>
      <c r="M73" s="25"/>
      <c r="N73" s="25"/>
      <c r="O73" s="25"/>
      <c r="P73" s="25"/>
      <c r="R73" s="25"/>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row>
    <row r="74" spans="1:63" s="26" customFormat="1" ht="15.75" thickBot="1" x14ac:dyDescent="0.25">
      <c r="A74" s="903" t="s">
        <v>73</v>
      </c>
      <c r="B74" s="904"/>
      <c r="C74" s="904"/>
      <c r="D74" s="905" t="s">
        <v>339</v>
      </c>
      <c r="E74" s="904"/>
      <c r="F74" s="906"/>
      <c r="G74" s="907"/>
      <c r="H74" s="908"/>
      <c r="I74" s="909">
        <f>SUM(I75:I78)</f>
        <v>2226.54</v>
      </c>
      <c r="J74" s="262"/>
      <c r="K74" s="25"/>
      <c r="L74" s="132"/>
      <c r="M74" s="25"/>
      <c r="N74" s="25"/>
      <c r="O74" s="25"/>
      <c r="P74" s="25"/>
      <c r="R74" s="25"/>
    </row>
    <row r="75" spans="1:63" s="26" customFormat="1" ht="28.5" x14ac:dyDescent="0.2">
      <c r="A75" s="897" t="s">
        <v>454</v>
      </c>
      <c r="B75" s="898" t="s">
        <v>46</v>
      </c>
      <c r="C75" s="899" t="s">
        <v>758</v>
      </c>
      <c r="D75" s="900" t="s">
        <v>759</v>
      </c>
      <c r="E75" s="898" t="s">
        <v>17</v>
      </c>
      <c r="F75" s="901">
        <f>800.34*0.2</f>
        <v>160.06800000000001</v>
      </c>
      <c r="G75" s="901">
        <v>0.49</v>
      </c>
      <c r="H75" s="901">
        <f>ROUND((1+$L$16)*G75,2)</f>
        <v>0.61</v>
      </c>
      <c r="I75" s="902">
        <f t="shared" ref="I75:I78" si="4">ROUND(F75*H75,2)</f>
        <v>97.64</v>
      </c>
      <c r="J75" s="262"/>
      <c r="K75" s="25"/>
      <c r="L75" s="132"/>
      <c r="M75" s="25"/>
      <c r="N75" s="25"/>
      <c r="O75" s="25"/>
      <c r="P75" s="25"/>
      <c r="R75" s="25"/>
    </row>
    <row r="76" spans="1:63" s="26" customFormat="1" ht="28.5" x14ac:dyDescent="0.2">
      <c r="A76" s="570" t="s">
        <v>455</v>
      </c>
      <c r="B76" s="323" t="s">
        <v>46</v>
      </c>
      <c r="C76" s="226">
        <v>72898</v>
      </c>
      <c r="D76" s="156" t="s">
        <v>743</v>
      </c>
      <c r="E76" s="323" t="s">
        <v>17</v>
      </c>
      <c r="F76" s="146">
        <f>F75</f>
        <v>160.06800000000001</v>
      </c>
      <c r="G76" s="146">
        <v>3.57</v>
      </c>
      <c r="H76" s="146">
        <f t="shared" ref="H76:H78" si="5">ROUND((1+$L$16)*G76,2)</f>
        <v>4.43</v>
      </c>
      <c r="I76" s="571">
        <f t="shared" si="4"/>
        <v>709.1</v>
      </c>
      <c r="J76" s="262"/>
      <c r="K76" s="25"/>
      <c r="L76" s="132"/>
      <c r="M76" s="25"/>
      <c r="N76" s="25"/>
      <c r="O76" s="25"/>
      <c r="P76" s="25"/>
      <c r="R76" s="25"/>
    </row>
    <row r="77" spans="1:63" s="26" customFormat="1" ht="28.5" x14ac:dyDescent="0.2">
      <c r="A77" s="570" t="s">
        <v>456</v>
      </c>
      <c r="B77" s="323" t="s">
        <v>46</v>
      </c>
      <c r="C77" s="226">
        <v>72900</v>
      </c>
      <c r="D77" s="156" t="s">
        <v>744</v>
      </c>
      <c r="E77" s="323" t="s">
        <v>17</v>
      </c>
      <c r="F77" s="146">
        <f>F76</f>
        <v>160.06800000000001</v>
      </c>
      <c r="G77" s="146">
        <v>4.8899999999999997</v>
      </c>
      <c r="H77" s="146">
        <f t="shared" si="5"/>
        <v>6.07</v>
      </c>
      <c r="I77" s="571">
        <f t="shared" si="4"/>
        <v>971.61</v>
      </c>
      <c r="J77" s="262"/>
      <c r="K77" s="25"/>
      <c r="L77" s="132"/>
      <c r="M77" s="25"/>
      <c r="N77" s="25"/>
      <c r="O77" s="25"/>
      <c r="P77" s="25"/>
      <c r="R77" s="25"/>
    </row>
    <row r="78" spans="1:63" s="26" customFormat="1" x14ac:dyDescent="0.2">
      <c r="A78" s="570" t="s">
        <v>457</v>
      </c>
      <c r="B78" s="323" t="s">
        <v>46</v>
      </c>
      <c r="C78" s="154">
        <v>79472</v>
      </c>
      <c r="D78" s="148" t="s">
        <v>760</v>
      </c>
      <c r="E78" s="226" t="s">
        <v>16</v>
      </c>
      <c r="F78" s="146">
        <v>800.34</v>
      </c>
      <c r="G78" s="146">
        <v>0.45</v>
      </c>
      <c r="H78" s="146">
        <f t="shared" si="5"/>
        <v>0.56000000000000005</v>
      </c>
      <c r="I78" s="571">
        <f t="shared" si="4"/>
        <v>448.19</v>
      </c>
      <c r="J78" s="262"/>
      <c r="K78" s="25"/>
      <c r="L78" s="132"/>
      <c r="M78" s="25"/>
      <c r="N78" s="25"/>
      <c r="O78" s="25"/>
      <c r="P78" s="25"/>
      <c r="R78" s="25"/>
    </row>
    <row r="79" spans="1:63" s="336" customFormat="1" x14ac:dyDescent="0.2">
      <c r="A79" s="570"/>
      <c r="B79" s="323"/>
      <c r="C79" s="226"/>
      <c r="D79" s="147"/>
      <c r="E79" s="323"/>
      <c r="F79" s="146"/>
      <c r="G79" s="146"/>
      <c r="H79" s="146"/>
      <c r="I79" s="571"/>
      <c r="J79" s="335"/>
      <c r="K79" s="335"/>
      <c r="L79" s="335"/>
      <c r="M79" s="335"/>
      <c r="N79" s="335"/>
      <c r="O79" s="335"/>
    </row>
    <row r="80" spans="1:63" s="336" customFormat="1" ht="15" x14ac:dyDescent="0.2">
      <c r="A80" s="563" t="s">
        <v>75</v>
      </c>
      <c r="B80" s="564"/>
      <c r="C80" s="564"/>
      <c r="D80" s="565" t="s">
        <v>1694</v>
      </c>
      <c r="E80" s="564"/>
      <c r="F80" s="566"/>
      <c r="G80" s="567"/>
      <c r="H80" s="568"/>
      <c r="I80" s="569">
        <f>SUM(I81:I92)</f>
        <v>14996.689999999999</v>
      </c>
      <c r="J80" s="335"/>
      <c r="K80" s="335"/>
      <c r="L80" s="335"/>
      <c r="M80" s="335"/>
      <c r="N80" s="335"/>
      <c r="O80" s="335"/>
    </row>
    <row r="81" spans="1:18" s="336" customFormat="1" ht="32.25" customHeight="1" x14ac:dyDescent="0.2">
      <c r="A81" s="570" t="s">
        <v>458</v>
      </c>
      <c r="B81" s="323" t="s">
        <v>46</v>
      </c>
      <c r="C81" s="226" t="s">
        <v>703</v>
      </c>
      <c r="D81" s="147" t="s">
        <v>704</v>
      </c>
      <c r="E81" s="323" t="s">
        <v>16</v>
      </c>
      <c r="F81" s="146">
        <f>5.1*9.2</f>
        <v>46.919999999999995</v>
      </c>
      <c r="G81" s="146">
        <v>8.3000000000000007</v>
      </c>
      <c r="H81" s="146">
        <f t="shared" ref="H81:H100" si="6">ROUND((1+$L$16)*G81,2)</f>
        <v>10.31</v>
      </c>
      <c r="I81" s="571">
        <f t="shared" ref="I81:I83" si="7">ROUND(F81*H81,2)</f>
        <v>483.75</v>
      </c>
      <c r="J81" s="335"/>
      <c r="K81" s="335"/>
      <c r="L81" s="335"/>
      <c r="M81" s="335"/>
      <c r="N81" s="335"/>
      <c r="O81" s="335"/>
    </row>
    <row r="82" spans="1:18" s="336" customFormat="1" ht="28.5" x14ac:dyDescent="0.2">
      <c r="A82" s="570" t="s">
        <v>459</v>
      </c>
      <c r="B82" s="323" t="s">
        <v>46</v>
      </c>
      <c r="C82" s="226">
        <v>83338</v>
      </c>
      <c r="D82" s="147" t="s">
        <v>768</v>
      </c>
      <c r="E82" s="226" t="s">
        <v>17</v>
      </c>
      <c r="F82" s="146">
        <f>8.2*4.1*1*0.9</f>
        <v>30.257999999999999</v>
      </c>
      <c r="G82" s="146">
        <v>2.41</v>
      </c>
      <c r="H82" s="146">
        <f t="shared" si="6"/>
        <v>2.99</v>
      </c>
      <c r="I82" s="571">
        <f t="shared" si="7"/>
        <v>90.47</v>
      </c>
      <c r="J82" s="335"/>
      <c r="K82" s="335"/>
      <c r="L82" s="335"/>
      <c r="M82" s="335"/>
      <c r="N82" s="335"/>
      <c r="O82" s="335"/>
    </row>
    <row r="83" spans="1:18" ht="18.75" customHeight="1" x14ac:dyDescent="0.2">
      <c r="A83" s="570" t="s">
        <v>460</v>
      </c>
      <c r="B83" s="154" t="s">
        <v>336</v>
      </c>
      <c r="C83" s="154" t="str">
        <f>COMPOSIÇÕES!C45</f>
        <v>CE-002</v>
      </c>
      <c r="D83" s="148" t="str">
        <f>COMPOSIÇÕES!D45</f>
        <v>ESCAVACAO MECANICA DE VALAS (SOLO COM AGUA), ENTRE 1,00 E 3,00 M.</v>
      </c>
      <c r="E83" s="154" t="s">
        <v>17</v>
      </c>
      <c r="F83" s="146">
        <f>8.2*4.1*4.5*0.9</f>
        <v>136.161</v>
      </c>
      <c r="G83" s="146">
        <f>COMPOSIÇÕES!I78</f>
        <v>55.28</v>
      </c>
      <c r="H83" s="146">
        <f t="shared" si="6"/>
        <v>68.650000000000006</v>
      </c>
      <c r="I83" s="313">
        <f t="shared" si="7"/>
        <v>9347.4500000000007</v>
      </c>
      <c r="J83" s="143"/>
      <c r="K83" s="25"/>
      <c r="L83" s="132"/>
      <c r="M83" s="25"/>
      <c r="N83" s="25"/>
      <c r="O83" s="25"/>
      <c r="P83" s="25"/>
      <c r="R83" s="25"/>
    </row>
    <row r="84" spans="1:18" s="336" customFormat="1" x14ac:dyDescent="0.2">
      <c r="A84" s="570" t="s">
        <v>461</v>
      </c>
      <c r="B84" s="323" t="s">
        <v>46</v>
      </c>
      <c r="C84" s="226">
        <v>93358</v>
      </c>
      <c r="D84" s="147" t="s">
        <v>767</v>
      </c>
      <c r="E84" s="226" t="s">
        <v>17</v>
      </c>
      <c r="F84" s="146">
        <f>(F82+F83)*0.1</f>
        <v>16.641900000000003</v>
      </c>
      <c r="G84" s="146">
        <v>65.819999999999993</v>
      </c>
      <c r="H84" s="146">
        <f t="shared" si="6"/>
        <v>81.73</v>
      </c>
      <c r="I84" s="571">
        <f t="shared" ref="I84" si="8">ROUND(F84*H84,2)</f>
        <v>1360.14</v>
      </c>
      <c r="J84" s="335"/>
      <c r="K84" s="335"/>
      <c r="L84" s="335"/>
      <c r="M84" s="335"/>
      <c r="N84" s="335"/>
      <c r="O84" s="335"/>
    </row>
    <row r="85" spans="1:18" s="336" customFormat="1" ht="28.5" x14ac:dyDescent="0.2">
      <c r="A85" s="570" t="s">
        <v>462</v>
      </c>
      <c r="B85" s="323" t="s">
        <v>46</v>
      </c>
      <c r="C85" s="154">
        <v>93382</v>
      </c>
      <c r="D85" s="148" t="s">
        <v>705</v>
      </c>
      <c r="E85" s="154" t="s">
        <v>17</v>
      </c>
      <c r="F85" s="607">
        <f>(8.2*4.1-6.2*2.1)*2</f>
        <v>41.199999999999989</v>
      </c>
      <c r="G85" s="146">
        <v>23.98</v>
      </c>
      <c r="H85" s="146">
        <f>ROUND((1+$L$16)*G85,2)</f>
        <v>29.78</v>
      </c>
      <c r="I85" s="571">
        <f>ROUND(F85*H85,2)</f>
        <v>1226.94</v>
      </c>
      <c r="J85" s="335"/>
      <c r="K85" s="335">
        <f>(8.2*4.1-6.2*2.1)*2.4</f>
        <v>49.439999999999984</v>
      </c>
      <c r="L85" s="335"/>
      <c r="M85" s="335"/>
      <c r="N85" s="335"/>
      <c r="O85" s="335"/>
    </row>
    <row r="86" spans="1:18" s="26" customFormat="1" ht="28.5" x14ac:dyDescent="0.2">
      <c r="A86" s="570" t="s">
        <v>463</v>
      </c>
      <c r="B86" s="154" t="s">
        <v>46</v>
      </c>
      <c r="C86" s="154">
        <v>79480</v>
      </c>
      <c r="D86" s="148" t="s">
        <v>1695</v>
      </c>
      <c r="E86" s="154" t="s">
        <v>17</v>
      </c>
      <c r="F86" s="607">
        <f>(8.2*4.1-6.2*2.1)*1</f>
        <v>20.599999999999994</v>
      </c>
      <c r="G86" s="146">
        <v>2.57</v>
      </c>
      <c r="H86" s="146">
        <f t="shared" ref="H86:H88" si="9">ROUND((1+$L$16)*G86,2)</f>
        <v>3.19</v>
      </c>
      <c r="I86" s="313">
        <f>ROUND(F86*H86,2)</f>
        <v>65.709999999999994</v>
      </c>
      <c r="J86" s="262"/>
      <c r="K86" s="25"/>
      <c r="L86" s="132"/>
      <c r="M86" s="25"/>
      <c r="N86" s="25"/>
      <c r="O86" s="25"/>
      <c r="P86" s="25"/>
      <c r="R86" s="25"/>
    </row>
    <row r="87" spans="1:18" s="26" customFormat="1" ht="28.5" x14ac:dyDescent="0.2">
      <c r="A87" s="570" t="s">
        <v>464</v>
      </c>
      <c r="B87" s="154" t="s">
        <v>46</v>
      </c>
      <c r="C87" s="154">
        <v>72898</v>
      </c>
      <c r="D87" s="148" t="s">
        <v>1696</v>
      </c>
      <c r="E87" s="154" t="s">
        <v>17</v>
      </c>
      <c r="F87" s="146">
        <f>F86*1.3</f>
        <v>26.779999999999994</v>
      </c>
      <c r="G87" s="146">
        <v>3.57</v>
      </c>
      <c r="H87" s="146">
        <f t="shared" si="9"/>
        <v>4.43</v>
      </c>
      <c r="I87" s="313">
        <f>ROUND(F87*H87,2)</f>
        <v>118.64</v>
      </c>
      <c r="J87" s="262"/>
      <c r="K87" s="25"/>
      <c r="L87" s="132"/>
      <c r="M87" s="25"/>
      <c r="N87" s="25">
        <v>170</v>
      </c>
      <c r="O87" s="25"/>
      <c r="P87" s="25"/>
      <c r="R87" s="25"/>
    </row>
    <row r="88" spans="1:18" s="26" customFormat="1" ht="28.5" x14ac:dyDescent="0.2">
      <c r="A88" s="570" t="s">
        <v>465</v>
      </c>
      <c r="B88" s="154" t="s">
        <v>46</v>
      </c>
      <c r="C88" s="154">
        <v>72885</v>
      </c>
      <c r="D88" s="148" t="s">
        <v>1697</v>
      </c>
      <c r="E88" s="154" t="s">
        <v>698</v>
      </c>
      <c r="F88" s="190">
        <f>F87*5</f>
        <v>133.89999999999998</v>
      </c>
      <c r="G88" s="146">
        <v>1.36</v>
      </c>
      <c r="H88" s="146">
        <f t="shared" si="9"/>
        <v>1.69</v>
      </c>
      <c r="I88" s="313">
        <f t="shared" ref="I88" si="10">ROUND(F88*H88,2)</f>
        <v>226.29</v>
      </c>
      <c r="J88" s="262"/>
      <c r="K88" s="25"/>
      <c r="L88" s="132"/>
      <c r="M88" s="25"/>
      <c r="N88" s="25">
        <v>54</v>
      </c>
      <c r="O88" s="25"/>
      <c r="P88" s="25"/>
      <c r="R88" s="25"/>
    </row>
    <row r="89" spans="1:18" s="26" customFormat="1" ht="28.5" x14ac:dyDescent="0.2">
      <c r="A89" s="570" t="s">
        <v>466</v>
      </c>
      <c r="B89" s="154" t="s">
        <v>46</v>
      </c>
      <c r="C89" s="154">
        <v>79480</v>
      </c>
      <c r="D89" s="148" t="s">
        <v>1698</v>
      </c>
      <c r="E89" s="154" t="s">
        <v>17</v>
      </c>
      <c r="F89" s="146">
        <f>F86+F97</f>
        <v>90.054999999999993</v>
      </c>
      <c r="G89" s="146">
        <v>2.57</v>
      </c>
      <c r="H89" s="146">
        <f t="shared" ref="H89:H92" si="11">ROUND((1+$L$16)*G89,2)</f>
        <v>3.19</v>
      </c>
      <c r="I89" s="313">
        <f>ROUND(F89*H89,2)</f>
        <v>287.27999999999997</v>
      </c>
      <c r="J89" s="262"/>
      <c r="K89" s="25"/>
      <c r="L89" s="132"/>
      <c r="M89" s="25"/>
      <c r="N89" s="25"/>
      <c r="O89" s="25"/>
      <c r="P89" s="25"/>
      <c r="R89" s="25"/>
    </row>
    <row r="90" spans="1:18" s="26" customFormat="1" ht="28.5" x14ac:dyDescent="0.2">
      <c r="A90" s="570" t="s">
        <v>467</v>
      </c>
      <c r="B90" s="154" t="s">
        <v>46</v>
      </c>
      <c r="C90" s="154">
        <v>72898</v>
      </c>
      <c r="D90" s="148" t="s">
        <v>1699</v>
      </c>
      <c r="E90" s="154" t="s">
        <v>17</v>
      </c>
      <c r="F90" s="146">
        <f>F89*1.3</f>
        <v>117.0715</v>
      </c>
      <c r="G90" s="146">
        <v>3.57</v>
      </c>
      <c r="H90" s="146">
        <f t="shared" si="11"/>
        <v>4.43</v>
      </c>
      <c r="I90" s="313">
        <f>ROUND(F90*H90,2)</f>
        <v>518.63</v>
      </c>
      <c r="J90" s="262"/>
      <c r="K90" s="25"/>
      <c r="L90" s="132"/>
      <c r="M90" s="25"/>
      <c r="N90" s="25">
        <v>170</v>
      </c>
      <c r="O90" s="25"/>
      <c r="P90" s="25"/>
      <c r="R90" s="25"/>
    </row>
    <row r="91" spans="1:18" s="26" customFormat="1" ht="28.5" x14ac:dyDescent="0.2">
      <c r="A91" s="570" t="s">
        <v>504</v>
      </c>
      <c r="B91" s="154" t="s">
        <v>46</v>
      </c>
      <c r="C91" s="154">
        <v>72885</v>
      </c>
      <c r="D91" s="148" t="s">
        <v>1700</v>
      </c>
      <c r="E91" s="154" t="s">
        <v>698</v>
      </c>
      <c r="F91" s="190">
        <f>F90*5</f>
        <v>585.35749999999996</v>
      </c>
      <c r="G91" s="146">
        <v>1.36</v>
      </c>
      <c r="H91" s="146">
        <f t="shared" si="11"/>
        <v>1.69</v>
      </c>
      <c r="I91" s="313">
        <f t="shared" ref="I91" si="12">ROUND(F91*H91,2)</f>
        <v>989.25</v>
      </c>
      <c r="J91" s="262"/>
      <c r="K91" s="25"/>
      <c r="L91" s="132"/>
      <c r="M91" s="25"/>
      <c r="N91" s="25">
        <v>54</v>
      </c>
      <c r="O91" s="25"/>
      <c r="P91" s="25"/>
      <c r="R91" s="25"/>
    </row>
    <row r="92" spans="1:18" s="26" customFormat="1" ht="27.75" customHeight="1" x14ac:dyDescent="0.2">
      <c r="A92" s="570" t="s">
        <v>1732</v>
      </c>
      <c r="B92" s="154" t="s">
        <v>46</v>
      </c>
      <c r="C92" s="154" t="s">
        <v>58</v>
      </c>
      <c r="D92" s="148" t="s">
        <v>1701</v>
      </c>
      <c r="E92" s="154" t="s">
        <v>17</v>
      </c>
      <c r="F92" s="146">
        <f>F90</f>
        <v>117.0715</v>
      </c>
      <c r="G92" s="146">
        <v>1.94</v>
      </c>
      <c r="H92" s="146">
        <f t="shared" si="11"/>
        <v>2.41</v>
      </c>
      <c r="I92" s="313">
        <f>ROUND(F92*H92,2)</f>
        <v>282.14</v>
      </c>
      <c r="J92" s="262"/>
      <c r="K92" s="25"/>
      <c r="L92" s="132"/>
      <c r="M92" s="25"/>
      <c r="N92" s="25"/>
      <c r="O92" s="25"/>
      <c r="P92" s="25"/>
      <c r="R92" s="25"/>
    </row>
    <row r="93" spans="1:18" s="336" customFormat="1" x14ac:dyDescent="0.2">
      <c r="A93" s="570"/>
      <c r="B93" s="323"/>
      <c r="C93" s="226"/>
      <c r="D93" s="147"/>
      <c r="E93" s="226"/>
      <c r="F93" s="146"/>
      <c r="G93" s="146"/>
      <c r="H93" s="146"/>
      <c r="I93" s="571"/>
      <c r="J93" s="335"/>
      <c r="K93" s="335"/>
      <c r="L93" s="335"/>
      <c r="M93" s="335"/>
      <c r="N93" s="335"/>
      <c r="O93" s="335"/>
    </row>
    <row r="94" spans="1:18" s="336" customFormat="1" ht="15" x14ac:dyDescent="0.2">
      <c r="A94" s="563" t="s">
        <v>249</v>
      </c>
      <c r="B94" s="564"/>
      <c r="C94" s="564"/>
      <c r="D94" s="565" t="s">
        <v>1693</v>
      </c>
      <c r="E94" s="564"/>
      <c r="F94" s="566"/>
      <c r="G94" s="567"/>
      <c r="H94" s="568"/>
      <c r="I94" s="569">
        <f>SUM(I95:I105)</f>
        <v>50169.81</v>
      </c>
      <c r="J94" s="335"/>
      <c r="K94" s="335"/>
      <c r="L94" s="335"/>
      <c r="M94" s="335"/>
      <c r="N94" s="335"/>
      <c r="O94" s="335"/>
    </row>
    <row r="95" spans="1:18" s="336" customFormat="1" x14ac:dyDescent="0.2">
      <c r="A95" s="570" t="s">
        <v>468</v>
      </c>
      <c r="B95" s="154" t="s">
        <v>46</v>
      </c>
      <c r="C95" s="226" t="s">
        <v>60</v>
      </c>
      <c r="D95" s="156" t="s">
        <v>61</v>
      </c>
      <c r="E95" s="323" t="s">
        <v>15</v>
      </c>
      <c r="F95" s="146">
        <f>8*44</f>
        <v>352</v>
      </c>
      <c r="G95" s="146">
        <v>6.17</v>
      </c>
      <c r="H95" s="146">
        <f t="shared" ref="H95" si="13">ROUND((1+$L$16)*G95,2)</f>
        <v>7.66</v>
      </c>
      <c r="I95" s="313">
        <f>ROUND(F95*H95,2)</f>
        <v>2696.32</v>
      </c>
      <c r="J95" s="335"/>
      <c r="K95" s="335"/>
      <c r="L95" s="335"/>
      <c r="M95" s="335"/>
      <c r="N95" s="335"/>
      <c r="O95" s="335"/>
    </row>
    <row r="96" spans="1:18" s="336" customFormat="1" x14ac:dyDescent="0.2">
      <c r="A96" s="570" t="s">
        <v>469</v>
      </c>
      <c r="B96" s="154" t="s">
        <v>46</v>
      </c>
      <c r="C96" s="226">
        <v>40780</v>
      </c>
      <c r="D96" s="156" t="s">
        <v>763</v>
      </c>
      <c r="E96" s="323" t="s">
        <v>16</v>
      </c>
      <c r="F96" s="146">
        <f>2.1*6</f>
        <v>12.600000000000001</v>
      </c>
      <c r="G96" s="146">
        <v>9.4</v>
      </c>
      <c r="H96" s="146">
        <f t="shared" si="6"/>
        <v>11.67</v>
      </c>
      <c r="I96" s="313">
        <f>ROUND(F96*H96,2)</f>
        <v>147.04</v>
      </c>
      <c r="J96" s="335"/>
      <c r="K96" s="335"/>
      <c r="L96" s="335"/>
      <c r="M96" s="335"/>
      <c r="N96" s="335"/>
      <c r="O96" s="335"/>
    </row>
    <row r="97" spans="1:22" s="336" customFormat="1" ht="15" thickBot="1" x14ac:dyDescent="0.25">
      <c r="A97" s="912" t="s">
        <v>470</v>
      </c>
      <c r="B97" s="913" t="s">
        <v>46</v>
      </c>
      <c r="C97" s="586">
        <v>6454</v>
      </c>
      <c r="D97" s="914" t="s">
        <v>1691</v>
      </c>
      <c r="E97" s="913" t="s">
        <v>17</v>
      </c>
      <c r="F97" s="585">
        <f>3*2.9*1.55+1.8*2.9*1+2.9*7*2.5</f>
        <v>69.454999999999998</v>
      </c>
      <c r="G97" s="585">
        <v>155.35</v>
      </c>
      <c r="H97" s="585">
        <f t="shared" ref="H97" si="14">ROUND((1+$L$16)*G97,2)</f>
        <v>192.91</v>
      </c>
      <c r="I97" s="915">
        <f>ROUND(F97*H97,2)</f>
        <v>13398.56</v>
      </c>
      <c r="J97" s="335"/>
      <c r="K97" s="335"/>
      <c r="L97" s="335"/>
      <c r="M97" s="335"/>
      <c r="N97" s="335"/>
      <c r="O97" s="335"/>
    </row>
    <row r="98" spans="1:22" s="336" customFormat="1" ht="28.5" x14ac:dyDescent="0.2">
      <c r="A98" s="897" t="s">
        <v>471</v>
      </c>
      <c r="B98" s="910" t="s">
        <v>46</v>
      </c>
      <c r="C98" s="910">
        <v>95241</v>
      </c>
      <c r="D98" s="911" t="s">
        <v>706</v>
      </c>
      <c r="E98" s="898" t="s">
        <v>16</v>
      </c>
      <c r="F98" s="901">
        <f>2.1*6.2</f>
        <v>13.020000000000001</v>
      </c>
      <c r="G98" s="901">
        <v>19.88</v>
      </c>
      <c r="H98" s="901">
        <f t="shared" si="6"/>
        <v>24.69</v>
      </c>
      <c r="I98" s="902">
        <f t="shared" ref="I98:I102" si="15">ROUND(F98*H98,2)</f>
        <v>321.45999999999998</v>
      </c>
      <c r="J98" s="335"/>
      <c r="K98" s="335"/>
      <c r="L98" s="335"/>
      <c r="M98" s="335"/>
      <c r="N98" s="335"/>
      <c r="O98" s="335"/>
    </row>
    <row r="99" spans="1:22" s="336" customFormat="1" ht="42.75" x14ac:dyDescent="0.2">
      <c r="A99" s="570" t="s">
        <v>761</v>
      </c>
      <c r="B99" s="226" t="s">
        <v>46</v>
      </c>
      <c r="C99" s="226">
        <v>92481</v>
      </c>
      <c r="D99" s="148" t="s">
        <v>769</v>
      </c>
      <c r="E99" s="226" t="s">
        <v>16</v>
      </c>
      <c r="F99" s="146">
        <f>6.2*2.1</f>
        <v>13.020000000000001</v>
      </c>
      <c r="G99" s="146">
        <v>148.88999999999999</v>
      </c>
      <c r="H99" s="146">
        <f t="shared" si="6"/>
        <v>184.89</v>
      </c>
      <c r="I99" s="571">
        <f>ROUND(F99*H99,2)</f>
        <v>2407.27</v>
      </c>
      <c r="J99" s="335"/>
      <c r="K99" s="330">
        <f>6.2*2.1</f>
        <v>13.020000000000001</v>
      </c>
      <c r="L99" s="335"/>
      <c r="M99" s="335"/>
      <c r="N99" s="335"/>
      <c r="O99" s="335"/>
    </row>
    <row r="100" spans="1:22" s="336" customFormat="1" ht="57" x14ac:dyDescent="0.2">
      <c r="A100" s="570" t="s">
        <v>946</v>
      </c>
      <c r="B100" s="226" t="s">
        <v>46</v>
      </c>
      <c r="C100" s="226">
        <v>92408</v>
      </c>
      <c r="D100" s="148" t="s">
        <v>770</v>
      </c>
      <c r="E100" s="226" t="s">
        <v>16</v>
      </c>
      <c r="F100" s="146">
        <f>110.1-F99</f>
        <v>97.08</v>
      </c>
      <c r="G100" s="146">
        <v>126.28</v>
      </c>
      <c r="H100" s="146">
        <f t="shared" si="6"/>
        <v>156.81</v>
      </c>
      <c r="I100" s="571">
        <f>ROUND(F100*H100,2)</f>
        <v>15223.11</v>
      </c>
      <c r="J100" s="335"/>
      <c r="K100" s="330">
        <f>15.06*2+2.1*2.4+2.1*1.8+2.9*2*2.2+3.5*2*3.2+4.1*2*1.6</f>
        <v>87.220000000000013</v>
      </c>
      <c r="L100" s="335"/>
      <c r="M100" s="335"/>
      <c r="N100" s="335"/>
      <c r="O100" s="335"/>
    </row>
    <row r="101" spans="1:22" s="336" customFormat="1" x14ac:dyDescent="0.2">
      <c r="A101" s="570" t="s">
        <v>947</v>
      </c>
      <c r="B101" s="226" t="s">
        <v>46</v>
      </c>
      <c r="C101" s="226">
        <v>34439</v>
      </c>
      <c r="D101" s="148" t="s">
        <v>771</v>
      </c>
      <c r="E101" s="226" t="s">
        <v>170</v>
      </c>
      <c r="F101" s="146">
        <f>1276+156</f>
        <v>1432</v>
      </c>
      <c r="G101" s="146">
        <v>4</v>
      </c>
      <c r="H101" s="146">
        <f>ROUND((1+$K$16)*G101,2)</f>
        <v>4.5599999999999996</v>
      </c>
      <c r="I101" s="571">
        <f t="shared" si="15"/>
        <v>6529.92</v>
      </c>
      <c r="J101" s="335"/>
      <c r="K101" s="335"/>
      <c r="L101" s="335"/>
      <c r="M101" s="335"/>
      <c r="N101" s="335"/>
      <c r="O101" s="335"/>
    </row>
    <row r="102" spans="1:22" s="336" customFormat="1" x14ac:dyDescent="0.2">
      <c r="A102" s="570" t="s">
        <v>948</v>
      </c>
      <c r="B102" s="226" t="s">
        <v>46</v>
      </c>
      <c r="C102" s="226">
        <v>33</v>
      </c>
      <c r="D102" s="148" t="s">
        <v>772</v>
      </c>
      <c r="E102" s="226" t="s">
        <v>170</v>
      </c>
      <c r="F102" s="146">
        <v>111</v>
      </c>
      <c r="G102" s="146">
        <v>4.1900000000000004</v>
      </c>
      <c r="H102" s="146">
        <f>ROUND((1+$K$16)*G102,2)</f>
        <v>4.78</v>
      </c>
      <c r="I102" s="571">
        <f t="shared" si="15"/>
        <v>530.58000000000004</v>
      </c>
      <c r="J102" s="335"/>
      <c r="K102" s="335"/>
      <c r="L102" s="335"/>
      <c r="M102" s="335"/>
      <c r="N102" s="335"/>
      <c r="O102" s="335"/>
    </row>
    <row r="103" spans="1:22" s="336" customFormat="1" ht="28.5" x14ac:dyDescent="0.2">
      <c r="A103" s="570" t="s">
        <v>949</v>
      </c>
      <c r="B103" s="154" t="s">
        <v>46</v>
      </c>
      <c r="C103" s="226">
        <v>94973</v>
      </c>
      <c r="D103" s="156" t="s">
        <v>707</v>
      </c>
      <c r="E103" s="154" t="s">
        <v>17</v>
      </c>
      <c r="F103" s="146">
        <v>15.6</v>
      </c>
      <c r="G103" s="146">
        <v>318.3</v>
      </c>
      <c r="H103" s="146">
        <f t="shared" ref="H103:H105" si="16">ROUND((1+$L$16)*G103,2)</f>
        <v>395.26</v>
      </c>
      <c r="I103" s="571">
        <f>ROUND(F103*H103,2)</f>
        <v>6166.06</v>
      </c>
      <c r="J103" s="337"/>
      <c r="K103" s="335"/>
      <c r="L103" s="335"/>
      <c r="M103" s="335"/>
      <c r="N103" s="335"/>
      <c r="O103" s="335"/>
    </row>
    <row r="104" spans="1:22" s="26" customFormat="1" ht="28.5" x14ac:dyDescent="0.2">
      <c r="A104" s="570" t="s">
        <v>950</v>
      </c>
      <c r="B104" s="154" t="s">
        <v>46</v>
      </c>
      <c r="C104" s="154">
        <v>92874</v>
      </c>
      <c r="D104" s="148" t="s">
        <v>773</v>
      </c>
      <c r="E104" s="154" t="s">
        <v>17</v>
      </c>
      <c r="F104" s="146">
        <f>F103</f>
        <v>15.6</v>
      </c>
      <c r="G104" s="146">
        <v>27.56</v>
      </c>
      <c r="H104" s="146">
        <f t="shared" si="16"/>
        <v>34.22</v>
      </c>
      <c r="I104" s="313">
        <f t="shared" ref="I104:I121" si="17">ROUND(F104*H104,2)</f>
        <v>533.83000000000004</v>
      </c>
      <c r="J104" s="262"/>
      <c r="K104" s="25"/>
      <c r="L104" s="132"/>
      <c r="M104" s="25"/>
      <c r="N104" s="25"/>
      <c r="O104" s="25"/>
      <c r="P104" s="25"/>
      <c r="Q104" s="25"/>
      <c r="S104" s="25"/>
    </row>
    <row r="105" spans="1:22" s="336" customFormat="1" ht="28.5" x14ac:dyDescent="0.2">
      <c r="A105" s="570" t="s">
        <v>951</v>
      </c>
      <c r="B105" s="154" t="s">
        <v>46</v>
      </c>
      <c r="C105" s="226" t="s">
        <v>377</v>
      </c>
      <c r="D105" s="156" t="s">
        <v>708</v>
      </c>
      <c r="E105" s="154" t="s">
        <v>16</v>
      </c>
      <c r="F105" s="146">
        <f>1.7*1.2+1.8*1.7+2.4*1.7+2.9*2*2.2+3.5*2*3.2+4.1*2*1.6</f>
        <v>57.46</v>
      </c>
      <c r="G105" s="146">
        <v>31.05</v>
      </c>
      <c r="H105" s="146">
        <f t="shared" si="16"/>
        <v>38.56</v>
      </c>
      <c r="I105" s="571">
        <f t="shared" si="17"/>
        <v>2215.66</v>
      </c>
      <c r="J105" s="335"/>
      <c r="K105" s="335"/>
      <c r="L105" s="335"/>
      <c r="M105" s="335"/>
      <c r="N105" s="335"/>
      <c r="O105" s="335"/>
    </row>
    <row r="106" spans="1:22" s="336" customFormat="1" x14ac:dyDescent="0.2">
      <c r="A106" s="570"/>
      <c r="B106" s="154"/>
      <c r="C106" s="226"/>
      <c r="D106" s="156"/>
      <c r="E106" s="154"/>
      <c r="F106" s="146"/>
      <c r="G106" s="146"/>
      <c r="H106" s="146"/>
      <c r="I106" s="571"/>
      <c r="J106" s="335"/>
      <c r="K106" s="335"/>
      <c r="L106" s="335"/>
      <c r="M106" s="335"/>
      <c r="N106" s="335"/>
      <c r="O106" s="335"/>
    </row>
    <row r="107" spans="1:22" s="336" customFormat="1" ht="15" x14ac:dyDescent="0.2">
      <c r="A107" s="563" t="s">
        <v>317</v>
      </c>
      <c r="B107" s="564"/>
      <c r="C107" s="564"/>
      <c r="D107" s="565" t="s">
        <v>1703</v>
      </c>
      <c r="E107" s="564"/>
      <c r="F107" s="566"/>
      <c r="G107" s="567"/>
      <c r="H107" s="568"/>
      <c r="I107" s="569">
        <f>SUM(I108:I121)</f>
        <v>181446.08000000002</v>
      </c>
      <c r="J107" s="335"/>
      <c r="K107" s="335"/>
      <c r="L107" s="335"/>
      <c r="M107" s="335"/>
      <c r="N107" s="335"/>
      <c r="O107" s="335"/>
    </row>
    <row r="108" spans="1:22" s="128" customFormat="1" ht="28.5" x14ac:dyDescent="0.2">
      <c r="A108" s="570" t="s">
        <v>472</v>
      </c>
      <c r="B108" s="226" t="s">
        <v>336</v>
      </c>
      <c r="C108" s="226" t="str">
        <f>COMPOSIÇÕES!C49</f>
        <v>CE-003</v>
      </c>
      <c r="D108" s="147" t="s">
        <v>919</v>
      </c>
      <c r="E108" s="226" t="s">
        <v>19</v>
      </c>
      <c r="F108" s="146">
        <v>1</v>
      </c>
      <c r="G108" s="146">
        <f>COMPOSIÇÕES!I49</f>
        <v>6251.47</v>
      </c>
      <c r="H108" s="146">
        <f t="shared" ref="H108:H121" si="18">ROUND((1+$L$16)*G108,2)</f>
        <v>7762.91</v>
      </c>
      <c r="I108" s="313">
        <f t="shared" si="17"/>
        <v>7762.91</v>
      </c>
      <c r="J108" s="251"/>
      <c r="K108" s="138"/>
      <c r="L108" s="138"/>
      <c r="M108" s="138"/>
      <c r="N108" s="25"/>
      <c r="O108" s="25"/>
      <c r="P108" s="25"/>
      <c r="Q108" s="26"/>
      <c r="R108" s="25"/>
      <c r="S108" s="26"/>
      <c r="T108" s="26"/>
      <c r="U108" s="26"/>
      <c r="V108" s="26"/>
    </row>
    <row r="109" spans="1:22" s="128" customFormat="1" ht="28.5" x14ac:dyDescent="0.2">
      <c r="A109" s="570" t="s">
        <v>473</v>
      </c>
      <c r="B109" s="226" t="s">
        <v>46</v>
      </c>
      <c r="C109" s="226">
        <v>73661</v>
      </c>
      <c r="D109" s="147" t="s">
        <v>337</v>
      </c>
      <c r="E109" s="226" t="s">
        <v>19</v>
      </c>
      <c r="F109" s="146">
        <v>1</v>
      </c>
      <c r="G109" s="146">
        <v>1752.73</v>
      </c>
      <c r="H109" s="146">
        <f t="shared" si="18"/>
        <v>2176.4899999999998</v>
      </c>
      <c r="I109" s="313">
        <f t="shared" si="17"/>
        <v>2176.4899999999998</v>
      </c>
      <c r="J109" s="251"/>
      <c r="K109" s="138"/>
      <c r="L109" s="138"/>
      <c r="M109" s="138"/>
      <c r="N109" s="25"/>
      <c r="O109" s="25"/>
      <c r="P109" s="25"/>
      <c r="Q109" s="26"/>
      <c r="R109" s="25"/>
      <c r="S109" s="26"/>
      <c r="T109" s="26"/>
      <c r="U109" s="26"/>
      <c r="V109" s="26"/>
    </row>
    <row r="110" spans="1:22" s="336" customFormat="1" ht="28.5" x14ac:dyDescent="0.2">
      <c r="A110" s="570" t="s">
        <v>737</v>
      </c>
      <c r="B110" s="226" t="s">
        <v>66</v>
      </c>
      <c r="C110" s="154"/>
      <c r="D110" s="148" t="s">
        <v>775</v>
      </c>
      <c r="E110" s="154" t="s">
        <v>20</v>
      </c>
      <c r="F110" s="146">
        <v>2</v>
      </c>
      <c r="G110" s="146">
        <f>11970*1.05</f>
        <v>12568.5</v>
      </c>
      <c r="H110" s="146">
        <f>ROUND((1+$K$16)*G110,2)</f>
        <v>14330.06</v>
      </c>
      <c r="I110" s="571">
        <f t="shared" si="17"/>
        <v>28660.12</v>
      </c>
      <c r="J110" s="335"/>
      <c r="K110" s="335"/>
      <c r="L110" s="335"/>
      <c r="M110" s="335"/>
      <c r="N110" s="335"/>
      <c r="O110" s="335"/>
    </row>
    <row r="111" spans="1:22" s="336" customFormat="1" x14ac:dyDescent="0.2">
      <c r="A111" s="570" t="s">
        <v>762</v>
      </c>
      <c r="B111" s="226" t="s">
        <v>46</v>
      </c>
      <c r="C111" s="226" t="s">
        <v>400</v>
      </c>
      <c r="D111" s="147" t="s">
        <v>401</v>
      </c>
      <c r="E111" s="226" t="s">
        <v>19</v>
      </c>
      <c r="F111" s="146">
        <v>2</v>
      </c>
      <c r="G111" s="146">
        <v>199.94</v>
      </c>
      <c r="H111" s="146">
        <f t="shared" si="18"/>
        <v>248.28</v>
      </c>
      <c r="I111" s="571">
        <f>ROUND(F111*H111,2)</f>
        <v>496.56</v>
      </c>
      <c r="J111" s="335"/>
      <c r="K111" s="335"/>
      <c r="L111" s="335"/>
      <c r="M111" s="335"/>
      <c r="N111" s="335"/>
      <c r="O111" s="335"/>
    </row>
    <row r="112" spans="1:22" s="128" customFormat="1" ht="57" x14ac:dyDescent="0.2">
      <c r="A112" s="570" t="s">
        <v>1539</v>
      </c>
      <c r="B112" s="226" t="s">
        <v>336</v>
      </c>
      <c r="C112" s="226" t="str">
        <f>COMPOSIÇÕES!C56</f>
        <v>CE-004</v>
      </c>
      <c r="D112" s="147" t="s">
        <v>753</v>
      </c>
      <c r="E112" s="226" t="s">
        <v>19</v>
      </c>
      <c r="F112" s="146">
        <v>1</v>
      </c>
      <c r="G112" s="146">
        <f>COMPOSIÇÕES!I56</f>
        <v>1039.79</v>
      </c>
      <c r="H112" s="146">
        <f t="shared" si="18"/>
        <v>1291.18</v>
      </c>
      <c r="I112" s="313">
        <f t="shared" si="17"/>
        <v>1291.18</v>
      </c>
      <c r="J112" s="251"/>
      <c r="K112" s="138"/>
      <c r="L112" s="138"/>
      <c r="M112" s="138"/>
      <c r="N112" s="25"/>
      <c r="O112" s="25"/>
      <c r="P112" s="25"/>
      <c r="Q112" s="26"/>
      <c r="R112" s="25"/>
      <c r="S112" s="26"/>
      <c r="T112" s="26"/>
      <c r="U112" s="26"/>
      <c r="V112" s="26"/>
    </row>
    <row r="113" spans="1:22" s="336" customFormat="1" ht="28.5" x14ac:dyDescent="0.2">
      <c r="A113" s="570" t="s">
        <v>1733</v>
      </c>
      <c r="B113" s="323" t="s">
        <v>336</v>
      </c>
      <c r="C113" s="154" t="str">
        <f>COMPOSIÇÕES!C68</f>
        <v>CE-005</v>
      </c>
      <c r="D113" s="148" t="s">
        <v>778</v>
      </c>
      <c r="E113" s="154" t="s">
        <v>20</v>
      </c>
      <c r="F113" s="146">
        <v>2</v>
      </c>
      <c r="G113" s="146">
        <f>COMPOSIÇÕES!I68</f>
        <v>522.31999999999994</v>
      </c>
      <c r="H113" s="146">
        <f t="shared" si="18"/>
        <v>648.6</v>
      </c>
      <c r="I113" s="571">
        <f t="shared" ref="I113" si="19">ROUND(F113*H113,2)</f>
        <v>1297.2</v>
      </c>
      <c r="J113" s="335"/>
      <c r="K113" s="335"/>
      <c r="L113" s="335"/>
      <c r="M113" s="335"/>
      <c r="N113" s="335"/>
      <c r="O113" s="335"/>
    </row>
    <row r="114" spans="1:22" s="336" customFormat="1" ht="28.5" x14ac:dyDescent="0.2">
      <c r="A114" s="570" t="s">
        <v>1734</v>
      </c>
      <c r="B114" s="323" t="s">
        <v>336</v>
      </c>
      <c r="C114" s="154" t="str">
        <f>COMPOSIÇÕES!C74</f>
        <v>CE-006</v>
      </c>
      <c r="D114" s="148" t="s">
        <v>709</v>
      </c>
      <c r="E114" s="154" t="s">
        <v>20</v>
      </c>
      <c r="F114" s="146">
        <v>4</v>
      </c>
      <c r="G114" s="146">
        <f>COMPOSIÇÕES!I74</f>
        <v>399.49</v>
      </c>
      <c r="H114" s="146">
        <f t="shared" si="18"/>
        <v>496.08</v>
      </c>
      <c r="I114" s="571">
        <f t="shared" si="17"/>
        <v>1984.32</v>
      </c>
      <c r="J114" s="335"/>
      <c r="K114" s="335"/>
      <c r="L114" s="335"/>
      <c r="M114" s="335"/>
      <c r="N114" s="335"/>
      <c r="O114" s="335"/>
    </row>
    <row r="115" spans="1:22" s="336" customFormat="1" ht="28.5" x14ac:dyDescent="0.2">
      <c r="A115" s="570" t="s">
        <v>1735</v>
      </c>
      <c r="B115" s="323" t="s">
        <v>336</v>
      </c>
      <c r="C115" s="154" t="str">
        <f>COMPOSIÇÕES!C80</f>
        <v>CE-007</v>
      </c>
      <c r="D115" s="148" t="s">
        <v>712</v>
      </c>
      <c r="E115" s="154" t="s">
        <v>20</v>
      </c>
      <c r="F115" s="146">
        <v>1</v>
      </c>
      <c r="G115" s="146">
        <f>COMPOSIÇÕES!I80</f>
        <v>322.78999999999996</v>
      </c>
      <c r="H115" s="146">
        <f t="shared" si="18"/>
        <v>400.83</v>
      </c>
      <c r="I115" s="571">
        <f t="shared" si="17"/>
        <v>400.83</v>
      </c>
      <c r="J115" s="335"/>
      <c r="K115" s="335"/>
      <c r="L115" s="335"/>
      <c r="M115" s="335"/>
      <c r="N115" s="335"/>
      <c r="O115" s="335"/>
    </row>
    <row r="116" spans="1:22" s="336" customFormat="1" ht="15" thickBot="1" x14ac:dyDescent="0.25">
      <c r="A116" s="912" t="s">
        <v>1736</v>
      </c>
      <c r="B116" s="916" t="s">
        <v>336</v>
      </c>
      <c r="C116" s="916" t="str">
        <f>COMPOSIÇÕES!C86</f>
        <v>CE-008</v>
      </c>
      <c r="D116" s="584" t="s">
        <v>710</v>
      </c>
      <c r="E116" s="913" t="s">
        <v>19</v>
      </c>
      <c r="F116" s="585">
        <v>1</v>
      </c>
      <c r="G116" s="585">
        <f>COMPOSIÇÕES!I86</f>
        <v>16381.03</v>
      </c>
      <c r="H116" s="585">
        <f t="shared" si="18"/>
        <v>20341.54</v>
      </c>
      <c r="I116" s="917">
        <f t="shared" si="17"/>
        <v>20341.54</v>
      </c>
      <c r="J116" s="335"/>
      <c r="K116" s="335"/>
      <c r="L116" s="335"/>
      <c r="M116" s="335"/>
      <c r="N116" s="335"/>
      <c r="O116" s="335"/>
    </row>
    <row r="117" spans="1:22" s="336" customFormat="1" x14ac:dyDescent="0.2">
      <c r="A117" s="897" t="s">
        <v>1737</v>
      </c>
      <c r="B117" s="898" t="s">
        <v>336</v>
      </c>
      <c r="C117" s="898" t="str">
        <f>'EEE01'!J2</f>
        <v>ELT-001</v>
      </c>
      <c r="D117" s="900" t="str">
        <f>'EEE01'!H4</f>
        <v>EEE1-SALA ELÉTRICA - ILUMINAÇÃO E TOMADAS</v>
      </c>
      <c r="E117" s="899" t="s">
        <v>19</v>
      </c>
      <c r="F117" s="901">
        <v>1</v>
      </c>
      <c r="G117" s="901">
        <f>'EEE01'!K35</f>
        <v>11480.33</v>
      </c>
      <c r="H117" s="901">
        <f t="shared" ref="H117:H119" si="20">ROUND((1+$L$16)*G117,2)</f>
        <v>14255.97</v>
      </c>
      <c r="I117" s="902">
        <f t="shared" ref="I117:I120" si="21">ROUND(F117*H117,2)</f>
        <v>14255.97</v>
      </c>
      <c r="J117" s="335"/>
      <c r="K117" s="335"/>
      <c r="L117" s="335"/>
      <c r="M117" s="335"/>
      <c r="N117" s="335"/>
      <c r="O117" s="335"/>
    </row>
    <row r="118" spans="1:22" s="336" customFormat="1" x14ac:dyDescent="0.2">
      <c r="A118" s="570" t="s">
        <v>1738</v>
      </c>
      <c r="B118" s="323" t="s">
        <v>336</v>
      </c>
      <c r="C118" s="323" t="str">
        <f>'EEE01'!J40</f>
        <v>ELT-002</v>
      </c>
      <c r="D118" s="148" t="str">
        <f>'EEE01'!H42</f>
        <v>EEE1-SALA ELÉTRICA -SPDA/ATERRAMENTO</v>
      </c>
      <c r="E118" s="154" t="s">
        <v>19</v>
      </c>
      <c r="F118" s="146">
        <v>1</v>
      </c>
      <c r="G118" s="146">
        <f>'EEE01'!K75</f>
        <v>5644.95</v>
      </c>
      <c r="H118" s="146">
        <f t="shared" si="20"/>
        <v>7009.75</v>
      </c>
      <c r="I118" s="571">
        <f t="shared" si="21"/>
        <v>7009.75</v>
      </c>
      <c r="J118" s="335"/>
      <c r="K118" s="335"/>
      <c r="L118" s="335"/>
      <c r="M118" s="335"/>
      <c r="N118" s="335"/>
      <c r="O118" s="335"/>
    </row>
    <row r="119" spans="1:22" s="336" customFormat="1" x14ac:dyDescent="0.2">
      <c r="A119" s="570" t="s">
        <v>1739</v>
      </c>
      <c r="B119" s="323" t="s">
        <v>336</v>
      </c>
      <c r="C119" s="323" t="str">
        <f>'EEE01'!J78</f>
        <v>ELT-003</v>
      </c>
      <c r="D119" s="148" t="str">
        <f>'EEE01'!H80</f>
        <v>EEE1-EQUIPAMENTOS E INSTRUMENTOS</v>
      </c>
      <c r="E119" s="154" t="s">
        <v>19</v>
      </c>
      <c r="F119" s="146">
        <v>1</v>
      </c>
      <c r="G119" s="146">
        <f>'EEE01'!K112</f>
        <v>42464</v>
      </c>
      <c r="H119" s="146">
        <f t="shared" si="20"/>
        <v>52730.69</v>
      </c>
      <c r="I119" s="571">
        <f t="shared" si="21"/>
        <v>52730.69</v>
      </c>
      <c r="J119" s="335"/>
      <c r="K119" s="335"/>
      <c r="L119" s="335"/>
      <c r="M119" s="335"/>
      <c r="N119" s="335"/>
      <c r="O119" s="335"/>
    </row>
    <row r="120" spans="1:22" s="128" customFormat="1" x14ac:dyDescent="0.2">
      <c r="A120" s="570" t="s">
        <v>1740</v>
      </c>
      <c r="B120" s="226" t="s">
        <v>66</v>
      </c>
      <c r="C120" s="226"/>
      <c r="D120" s="147" t="s">
        <v>2193</v>
      </c>
      <c r="E120" s="226" t="s">
        <v>19</v>
      </c>
      <c r="F120" s="146">
        <v>1</v>
      </c>
      <c r="G120" s="146">
        <v>17240.32</v>
      </c>
      <c r="H120" s="146">
        <f>ROUND((1+$K$16)*G120,2)</f>
        <v>19656.66</v>
      </c>
      <c r="I120" s="571">
        <f t="shared" si="21"/>
        <v>19656.66</v>
      </c>
      <c r="J120" s="251"/>
      <c r="K120" s="138"/>
      <c r="L120" s="138"/>
      <c r="M120" s="138"/>
      <c r="N120" s="25"/>
      <c r="O120" s="25"/>
      <c r="P120" s="25"/>
      <c r="Q120" s="26"/>
      <c r="R120" s="25"/>
      <c r="S120" s="26"/>
      <c r="T120" s="26"/>
      <c r="U120" s="26"/>
      <c r="V120" s="26"/>
    </row>
    <row r="121" spans="1:22" s="336" customFormat="1" ht="28.5" x14ac:dyDescent="0.2">
      <c r="A121" s="570" t="s">
        <v>2160</v>
      </c>
      <c r="B121" s="323" t="s">
        <v>336</v>
      </c>
      <c r="C121" s="323" t="str">
        <f>COMPOSIÇÕES!C111</f>
        <v>CE-009</v>
      </c>
      <c r="D121" s="148" t="s">
        <v>1026</v>
      </c>
      <c r="E121" s="154" t="s">
        <v>711</v>
      </c>
      <c r="F121" s="146">
        <v>1</v>
      </c>
      <c r="G121" s="146">
        <f>COMPOSIÇÕES!I111</f>
        <v>18829.400000000001</v>
      </c>
      <c r="H121" s="146">
        <f t="shared" si="18"/>
        <v>23381.86</v>
      </c>
      <c r="I121" s="571">
        <f t="shared" si="17"/>
        <v>23381.86</v>
      </c>
      <c r="J121" s="335"/>
      <c r="K121" s="335"/>
      <c r="L121" s="335"/>
      <c r="M121" s="335"/>
      <c r="N121" s="335"/>
      <c r="O121" s="335"/>
    </row>
    <row r="122" spans="1:22" ht="15" customHeight="1" x14ac:dyDescent="0.2">
      <c r="A122" s="284"/>
      <c r="B122" s="287"/>
      <c r="C122" s="287"/>
      <c r="D122" s="289"/>
      <c r="E122" s="287"/>
      <c r="F122" s="290"/>
      <c r="G122" s="291"/>
      <c r="H122" s="291"/>
      <c r="I122" s="293"/>
      <c r="J122" s="143"/>
      <c r="K122" s="25"/>
      <c r="L122" s="132"/>
      <c r="M122" s="25"/>
      <c r="N122" s="25"/>
      <c r="O122" s="25"/>
      <c r="P122" s="25"/>
      <c r="R122" s="25"/>
    </row>
    <row r="123" spans="1:22" s="26" customFormat="1" ht="15" x14ac:dyDescent="0.2">
      <c r="A123" s="563" t="s">
        <v>830</v>
      </c>
      <c r="B123" s="564"/>
      <c r="C123" s="564"/>
      <c r="D123" s="565" t="s">
        <v>754</v>
      </c>
      <c r="E123" s="564"/>
      <c r="F123" s="566"/>
      <c r="G123" s="567"/>
      <c r="H123" s="568"/>
      <c r="I123" s="569">
        <f>SUM(I124:I128)</f>
        <v>28015.670000000002</v>
      </c>
      <c r="J123" s="25"/>
      <c r="K123" s="25"/>
      <c r="L123" s="25"/>
      <c r="M123" s="25"/>
      <c r="N123" s="25"/>
      <c r="O123" s="25"/>
      <c r="P123" s="25"/>
      <c r="Q123" s="25"/>
      <c r="R123" s="25"/>
    </row>
    <row r="124" spans="1:22" s="26" customFormat="1" ht="28.5" x14ac:dyDescent="0.2">
      <c r="A124" s="334" t="s">
        <v>1741</v>
      </c>
      <c r="B124" s="226" t="s">
        <v>46</v>
      </c>
      <c r="C124" s="226" t="s">
        <v>764</v>
      </c>
      <c r="D124" s="156" t="s">
        <v>765</v>
      </c>
      <c r="E124" s="226" t="s">
        <v>16</v>
      </c>
      <c r="F124" s="146">
        <f>4.4*2.1</f>
        <v>9.240000000000002</v>
      </c>
      <c r="G124" s="146">
        <v>954.7</v>
      </c>
      <c r="H124" s="146">
        <f t="shared" ref="H124:H128" si="22">ROUND((1+$L$16)*G124,2)</f>
        <v>1185.52</v>
      </c>
      <c r="I124" s="313">
        <f t="shared" ref="I124:I127" si="23">ROUND(F124*H124,2)</f>
        <v>10954.2</v>
      </c>
      <c r="J124" s="319"/>
    </row>
    <row r="125" spans="1:22" s="26" customFormat="1" ht="42.75" x14ac:dyDescent="0.2">
      <c r="A125" s="334" t="s">
        <v>1742</v>
      </c>
      <c r="B125" s="226" t="s">
        <v>46</v>
      </c>
      <c r="C125" s="226">
        <v>94992</v>
      </c>
      <c r="D125" s="156" t="s">
        <v>755</v>
      </c>
      <c r="E125" s="226" t="s">
        <v>16</v>
      </c>
      <c r="F125" s="146">
        <v>71</v>
      </c>
      <c r="G125" s="146">
        <v>51.67</v>
      </c>
      <c r="H125" s="146">
        <f t="shared" si="22"/>
        <v>64.16</v>
      </c>
      <c r="I125" s="313">
        <f t="shared" si="23"/>
        <v>4555.3599999999997</v>
      </c>
      <c r="J125" s="319"/>
    </row>
    <row r="126" spans="1:22" s="26" customFormat="1" x14ac:dyDescent="0.2">
      <c r="A126" s="334" t="s">
        <v>1743</v>
      </c>
      <c r="B126" s="226" t="s">
        <v>46</v>
      </c>
      <c r="C126" s="226" t="s">
        <v>37</v>
      </c>
      <c r="D126" s="156" t="s">
        <v>756</v>
      </c>
      <c r="E126" s="226" t="s">
        <v>16</v>
      </c>
      <c r="F126" s="146">
        <v>126</v>
      </c>
      <c r="G126" s="146">
        <v>9.75</v>
      </c>
      <c r="H126" s="146">
        <f t="shared" si="22"/>
        <v>12.11</v>
      </c>
      <c r="I126" s="313">
        <f t="shared" si="23"/>
        <v>1525.86</v>
      </c>
      <c r="J126" s="319"/>
    </row>
    <row r="127" spans="1:22" s="26" customFormat="1" ht="28.5" x14ac:dyDescent="0.2">
      <c r="A127" s="334" t="s">
        <v>1744</v>
      </c>
      <c r="B127" s="226" t="s">
        <v>46</v>
      </c>
      <c r="C127" s="226">
        <v>94281</v>
      </c>
      <c r="D127" s="156" t="s">
        <v>757</v>
      </c>
      <c r="E127" s="226" t="s">
        <v>16</v>
      </c>
      <c r="F127" s="146">
        <v>55</v>
      </c>
      <c r="G127" s="146">
        <v>55</v>
      </c>
      <c r="H127" s="146">
        <f t="shared" si="22"/>
        <v>68.3</v>
      </c>
      <c r="I127" s="313">
        <f t="shared" si="23"/>
        <v>3756.5</v>
      </c>
      <c r="J127" s="319"/>
    </row>
    <row r="128" spans="1:22" ht="28.5" x14ac:dyDescent="0.2">
      <c r="A128" s="334" t="s">
        <v>1745</v>
      </c>
      <c r="B128" s="226" t="s">
        <v>46</v>
      </c>
      <c r="C128" s="226">
        <v>92393</v>
      </c>
      <c r="D128" s="156" t="s">
        <v>766</v>
      </c>
      <c r="E128" s="226" t="s">
        <v>16</v>
      </c>
      <c r="F128" s="146">
        <v>125</v>
      </c>
      <c r="G128" s="146">
        <v>46.54</v>
      </c>
      <c r="H128" s="146">
        <f t="shared" si="22"/>
        <v>57.79</v>
      </c>
      <c r="I128" s="313">
        <f t="shared" ref="I128" si="24">ROUND(F128*H128,2)</f>
        <v>7223.75</v>
      </c>
      <c r="J128" s="143"/>
      <c r="K128" s="25"/>
      <c r="L128" s="132"/>
      <c r="M128" s="25"/>
      <c r="N128" s="25"/>
      <c r="O128" s="25"/>
      <c r="P128" s="25"/>
      <c r="R128" s="25"/>
    </row>
    <row r="129" spans="1:63" ht="15" customHeight="1" x14ac:dyDescent="0.2">
      <c r="A129" s="284"/>
      <c r="B129" s="287"/>
      <c r="C129" s="287"/>
      <c r="D129" s="289"/>
      <c r="E129" s="287"/>
      <c r="F129" s="290"/>
      <c r="G129" s="291"/>
      <c r="H129" s="291"/>
      <c r="I129" s="293"/>
      <c r="J129" s="143"/>
      <c r="K129" s="25"/>
      <c r="L129" s="132"/>
      <c r="M129" s="25"/>
      <c r="N129" s="25"/>
      <c r="O129" s="25"/>
      <c r="P129" s="25"/>
      <c r="R129" s="25"/>
    </row>
    <row r="130" spans="1:63" ht="15" x14ac:dyDescent="0.2">
      <c r="A130" s="358" t="s">
        <v>1061</v>
      </c>
      <c r="B130" s="298"/>
      <c r="C130" s="298"/>
      <c r="D130" s="299" t="s">
        <v>750</v>
      </c>
      <c r="E130" s="298" t="s">
        <v>62</v>
      </c>
      <c r="F130" s="300"/>
      <c r="G130" s="301"/>
      <c r="H130" s="302"/>
      <c r="I130" s="303">
        <f>I131+I141+I146+I149+I163+I167+I153+I158</f>
        <v>74405.08</v>
      </c>
      <c r="J130" s="143"/>
      <c r="K130" s="25" t="e">
        <f>I130/F175</f>
        <v>#DIV/0!</v>
      </c>
      <c r="L130" s="132"/>
      <c r="M130" s="25"/>
      <c r="N130" s="25"/>
      <c r="O130" s="25"/>
      <c r="P130" s="25"/>
      <c r="R130" s="25"/>
      <c r="S130" s="7"/>
      <c r="T130" s="7"/>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row>
    <row r="131" spans="1:63" s="26" customFormat="1" ht="15" customHeight="1" x14ac:dyDescent="0.2">
      <c r="A131" s="563" t="s">
        <v>76</v>
      </c>
      <c r="B131" s="564"/>
      <c r="C131" s="564"/>
      <c r="D131" s="565" t="s">
        <v>339</v>
      </c>
      <c r="E131" s="564"/>
      <c r="F131" s="566"/>
      <c r="G131" s="567"/>
      <c r="H131" s="568"/>
      <c r="I131" s="569">
        <f>SUM(I132:I139)</f>
        <v>14604.58</v>
      </c>
      <c r="J131" s="262"/>
      <c r="K131" s="25"/>
      <c r="L131" s="132"/>
      <c r="M131" s="25"/>
      <c r="N131" s="25"/>
      <c r="O131" s="25"/>
      <c r="P131" s="25"/>
      <c r="R131" s="25"/>
    </row>
    <row r="132" spans="1:63" ht="28.5" x14ac:dyDescent="0.2">
      <c r="A132" s="320" t="s">
        <v>474</v>
      </c>
      <c r="B132" s="154" t="s">
        <v>46</v>
      </c>
      <c r="C132" s="154">
        <v>85323</v>
      </c>
      <c r="D132" s="148" t="s">
        <v>918</v>
      </c>
      <c r="E132" s="154" t="s">
        <v>18</v>
      </c>
      <c r="F132" s="146">
        <v>284.2</v>
      </c>
      <c r="G132" s="146">
        <v>1.56</v>
      </c>
      <c r="H132" s="146">
        <f t="shared" ref="H132:H139" si="25">ROUND((1+$L$16)*G132,2)</f>
        <v>1.94</v>
      </c>
      <c r="I132" s="313">
        <f t="shared" ref="I132:I138" si="26">ROUND(F132*H132,2)</f>
        <v>551.35</v>
      </c>
      <c r="J132" s="143"/>
      <c r="K132" s="25"/>
      <c r="L132" s="132"/>
      <c r="M132" s="25"/>
      <c r="N132" s="25"/>
      <c r="O132" s="25"/>
      <c r="P132" s="25"/>
      <c r="R132" s="25"/>
    </row>
    <row r="133" spans="1:63" ht="15" customHeight="1" x14ac:dyDescent="0.2">
      <c r="A133" s="320" t="s">
        <v>475</v>
      </c>
      <c r="B133" s="154" t="s">
        <v>46</v>
      </c>
      <c r="C133" s="154" t="s">
        <v>47</v>
      </c>
      <c r="D133" s="148" t="s">
        <v>48</v>
      </c>
      <c r="E133" s="154" t="s">
        <v>16</v>
      </c>
      <c r="F133" s="146">
        <v>6</v>
      </c>
      <c r="G133" s="146">
        <v>319.02999999999997</v>
      </c>
      <c r="H133" s="146">
        <f t="shared" si="25"/>
        <v>396.16</v>
      </c>
      <c r="I133" s="313">
        <f t="shared" si="26"/>
        <v>2376.96</v>
      </c>
      <c r="J133" s="143"/>
      <c r="K133" s="25"/>
      <c r="L133" s="132"/>
      <c r="M133" s="25"/>
      <c r="N133" s="25"/>
      <c r="O133" s="25"/>
      <c r="P133" s="25"/>
      <c r="R133" s="25"/>
    </row>
    <row r="134" spans="1:63" ht="28.5" x14ac:dyDescent="0.2">
      <c r="A134" s="320" t="s">
        <v>952</v>
      </c>
      <c r="B134" s="154" t="s">
        <v>46</v>
      </c>
      <c r="C134" s="226" t="s">
        <v>162</v>
      </c>
      <c r="D134" s="148" t="s">
        <v>728</v>
      </c>
      <c r="E134" s="154" t="s">
        <v>16</v>
      </c>
      <c r="F134" s="146">
        <f>2*3*10</f>
        <v>60</v>
      </c>
      <c r="G134" s="146">
        <v>52.37</v>
      </c>
      <c r="H134" s="146">
        <f t="shared" si="25"/>
        <v>65.03</v>
      </c>
      <c r="I134" s="313">
        <f t="shared" si="26"/>
        <v>3901.8</v>
      </c>
      <c r="J134" s="143"/>
      <c r="K134" s="25"/>
      <c r="L134" s="132"/>
      <c r="M134" s="25"/>
      <c r="N134" s="25"/>
      <c r="O134" s="25"/>
      <c r="P134" s="25"/>
      <c r="R134" s="25"/>
    </row>
    <row r="135" spans="1:63" x14ac:dyDescent="0.2">
      <c r="A135" s="320" t="s">
        <v>953</v>
      </c>
      <c r="B135" s="226" t="s">
        <v>46</v>
      </c>
      <c r="C135" s="226" t="s">
        <v>360</v>
      </c>
      <c r="D135" s="147" t="s">
        <v>361</v>
      </c>
      <c r="E135" s="226" t="s">
        <v>18</v>
      </c>
      <c r="F135" s="146">
        <f>F132</f>
        <v>284.2</v>
      </c>
      <c r="G135" s="146">
        <v>2.39</v>
      </c>
      <c r="H135" s="146">
        <f t="shared" si="25"/>
        <v>2.97</v>
      </c>
      <c r="I135" s="313">
        <f t="shared" si="26"/>
        <v>844.07</v>
      </c>
      <c r="J135" s="143"/>
      <c r="K135" s="25"/>
      <c r="L135" s="132"/>
      <c r="M135" s="25"/>
      <c r="N135" s="25"/>
      <c r="O135" s="25"/>
      <c r="P135" s="25"/>
      <c r="R135" s="25"/>
    </row>
    <row r="136" spans="1:63" ht="28.5" x14ac:dyDescent="0.2">
      <c r="A136" s="320" t="s">
        <v>954</v>
      </c>
      <c r="B136" s="226" t="s">
        <v>46</v>
      </c>
      <c r="C136" s="226">
        <v>13244</v>
      </c>
      <c r="D136" s="147" t="s">
        <v>729</v>
      </c>
      <c r="E136" s="226" t="s">
        <v>20</v>
      </c>
      <c r="F136" s="146">
        <f>_xlfn.FLOOR.PRECISE(F135/10)</f>
        <v>28</v>
      </c>
      <c r="G136" s="146">
        <v>53.2</v>
      </c>
      <c r="H136" s="146">
        <f>ROUND((1+$K$16)*G136,2)</f>
        <v>60.66</v>
      </c>
      <c r="I136" s="571">
        <f t="shared" si="26"/>
        <v>1698.48</v>
      </c>
      <c r="J136" s="143"/>
      <c r="K136" s="25"/>
      <c r="L136" s="132"/>
      <c r="M136" s="25"/>
      <c r="N136" s="25"/>
      <c r="O136" s="25"/>
      <c r="P136" s="25"/>
      <c r="R136" s="25"/>
    </row>
    <row r="137" spans="1:63" ht="15" customHeight="1" x14ac:dyDescent="0.2">
      <c r="A137" s="320" t="s">
        <v>955</v>
      </c>
      <c r="B137" s="226" t="s">
        <v>46</v>
      </c>
      <c r="C137" s="226" t="s">
        <v>50</v>
      </c>
      <c r="D137" s="147" t="s">
        <v>730</v>
      </c>
      <c r="E137" s="226" t="s">
        <v>16</v>
      </c>
      <c r="F137" s="146">
        <f>5*2*3</f>
        <v>30</v>
      </c>
      <c r="G137" s="146">
        <v>51.86</v>
      </c>
      <c r="H137" s="146">
        <f t="shared" si="25"/>
        <v>64.400000000000006</v>
      </c>
      <c r="I137" s="313">
        <f t="shared" si="26"/>
        <v>1932</v>
      </c>
      <c r="J137" s="143"/>
      <c r="K137" s="25"/>
      <c r="L137" s="132"/>
      <c r="M137" s="25"/>
      <c r="N137" s="25"/>
      <c r="O137" s="25"/>
      <c r="P137" s="25"/>
      <c r="R137" s="25"/>
    </row>
    <row r="138" spans="1:63" ht="15" customHeight="1" x14ac:dyDescent="0.2">
      <c r="A138" s="320" t="s">
        <v>956</v>
      </c>
      <c r="B138" s="226" t="s">
        <v>46</v>
      </c>
      <c r="C138" s="226" t="s">
        <v>165</v>
      </c>
      <c r="D138" s="147" t="s">
        <v>731</v>
      </c>
      <c r="E138" s="226" t="s">
        <v>16</v>
      </c>
      <c r="F138" s="146">
        <f>3*3*3</f>
        <v>27</v>
      </c>
      <c r="G138" s="374">
        <v>46.38</v>
      </c>
      <c r="H138" s="146">
        <f t="shared" si="25"/>
        <v>57.59</v>
      </c>
      <c r="I138" s="313">
        <f t="shared" si="26"/>
        <v>1554.93</v>
      </c>
      <c r="J138" s="143"/>
      <c r="K138" s="25"/>
      <c r="L138" s="132"/>
      <c r="M138" s="25"/>
      <c r="N138" s="25"/>
      <c r="O138" s="25"/>
      <c r="P138" s="25"/>
      <c r="R138" s="25"/>
    </row>
    <row r="139" spans="1:63" ht="15" customHeight="1" x14ac:dyDescent="0.2">
      <c r="A139" s="320" t="s">
        <v>957</v>
      </c>
      <c r="B139" s="226" t="s">
        <v>46</v>
      </c>
      <c r="C139" s="226">
        <v>9537</v>
      </c>
      <c r="D139" s="147" t="s">
        <v>727</v>
      </c>
      <c r="E139" s="226" t="s">
        <v>16</v>
      </c>
      <c r="F139" s="190">
        <f>F132*2</f>
        <v>568.4</v>
      </c>
      <c r="G139" s="146">
        <v>2.4700000000000002</v>
      </c>
      <c r="H139" s="146">
        <f t="shared" si="25"/>
        <v>3.07</v>
      </c>
      <c r="I139" s="313">
        <f t="shared" ref="I139" si="27">ROUND(F139*H139,2)</f>
        <v>1744.99</v>
      </c>
      <c r="J139" s="143"/>
      <c r="K139" s="25"/>
      <c r="L139" s="132"/>
      <c r="M139" s="25"/>
      <c r="N139" s="25"/>
      <c r="O139" s="25"/>
      <c r="P139" s="25"/>
      <c r="R139" s="25"/>
    </row>
    <row r="140" spans="1:63" ht="15" customHeight="1" x14ac:dyDescent="0.2">
      <c r="A140" s="320"/>
      <c r="B140" s="226"/>
      <c r="C140" s="226"/>
      <c r="D140" s="147"/>
      <c r="E140" s="226"/>
      <c r="F140" s="146"/>
      <c r="G140" s="146"/>
      <c r="H140" s="146"/>
      <c r="I140" s="313"/>
      <c r="J140" s="143"/>
      <c r="K140" s="25"/>
      <c r="L140" s="132"/>
      <c r="M140" s="25"/>
      <c r="N140" s="25"/>
      <c r="O140" s="25"/>
      <c r="P140" s="25"/>
      <c r="R140" s="25"/>
    </row>
    <row r="141" spans="1:63" s="26" customFormat="1" ht="15" customHeight="1" x14ac:dyDescent="0.2">
      <c r="A141" s="563" t="s">
        <v>100</v>
      </c>
      <c r="B141" s="564"/>
      <c r="C141" s="564"/>
      <c r="D141" s="565" t="s">
        <v>340</v>
      </c>
      <c r="E141" s="564"/>
      <c r="F141" s="566"/>
      <c r="G141" s="567"/>
      <c r="H141" s="568"/>
      <c r="I141" s="569">
        <f>SUM(I142:I144)</f>
        <v>4122.8099999999995</v>
      </c>
      <c r="J141" s="262"/>
      <c r="K141" s="25"/>
      <c r="L141" s="132"/>
      <c r="M141" s="25"/>
      <c r="N141" s="25"/>
      <c r="O141" s="25"/>
      <c r="P141" s="25"/>
      <c r="R141" s="25"/>
    </row>
    <row r="142" spans="1:63" ht="29.25" thickBot="1" x14ac:dyDescent="0.25">
      <c r="A142" s="920" t="s">
        <v>476</v>
      </c>
      <c r="B142" s="913" t="s">
        <v>336</v>
      </c>
      <c r="C142" s="913" t="str">
        <f>COMPOSIÇÕES!C138</f>
        <v>CE-010</v>
      </c>
      <c r="D142" s="584" t="str">
        <f>COMPOSIÇÕES!D138</f>
        <v>ESCAVACAO MECANICA DE VALAS (SOLO COM AGUA), PROFUNDIDADE ATE 1,50 M.</v>
      </c>
      <c r="E142" s="913" t="s">
        <v>17</v>
      </c>
      <c r="F142" s="585">
        <f>F132*0.65*1*0.15</f>
        <v>27.709499999999998</v>
      </c>
      <c r="G142" s="585">
        <f>COMPOSIÇÕES!I138</f>
        <v>15.5</v>
      </c>
      <c r="H142" s="585">
        <f t="shared" ref="H142" si="28">ROUND((1+$L$16)*G142,2)</f>
        <v>19.25</v>
      </c>
      <c r="I142" s="915">
        <f t="shared" ref="I142" si="29">ROUND(F142*H142,2)</f>
        <v>533.41</v>
      </c>
      <c r="J142" s="143"/>
      <c r="K142" s="25"/>
      <c r="L142" s="132"/>
      <c r="M142" s="25"/>
      <c r="N142" s="25"/>
      <c r="O142" s="25"/>
      <c r="P142" s="25"/>
      <c r="R142" s="25"/>
    </row>
    <row r="143" spans="1:63" ht="71.25" x14ac:dyDescent="0.2">
      <c r="A143" s="918" t="s">
        <v>477</v>
      </c>
      <c r="B143" s="899" t="s">
        <v>46</v>
      </c>
      <c r="C143" s="899">
        <v>90105</v>
      </c>
      <c r="D143" s="900" t="s">
        <v>732</v>
      </c>
      <c r="E143" s="899" t="s">
        <v>17</v>
      </c>
      <c r="F143" s="901">
        <f>F132*0.65*1*0.75</f>
        <v>138.54749999999999</v>
      </c>
      <c r="G143" s="901">
        <v>12.09</v>
      </c>
      <c r="H143" s="901">
        <f t="shared" ref="H143:H144" si="30">ROUND((1+$L$16)*G143,2)</f>
        <v>15.01</v>
      </c>
      <c r="I143" s="919">
        <f t="shared" ref="I143:I144" si="31">ROUND(F143*H143,2)</f>
        <v>2079.6</v>
      </c>
      <c r="J143" s="143"/>
      <c r="K143" s="25"/>
      <c r="L143" s="132"/>
      <c r="M143" s="25"/>
      <c r="N143" s="25"/>
      <c r="O143" s="25"/>
      <c r="P143" s="25"/>
      <c r="R143" s="25"/>
    </row>
    <row r="144" spans="1:63" x14ac:dyDescent="0.2">
      <c r="A144" s="320" t="s">
        <v>1325</v>
      </c>
      <c r="B144" s="154" t="s">
        <v>46</v>
      </c>
      <c r="C144" s="154">
        <v>93358</v>
      </c>
      <c r="D144" s="148" t="s">
        <v>776</v>
      </c>
      <c r="E144" s="154" t="s">
        <v>17</v>
      </c>
      <c r="F144" s="146">
        <f>F132*0.65*1*0.1</f>
        <v>18.472999999999999</v>
      </c>
      <c r="G144" s="146">
        <v>65.819999999999993</v>
      </c>
      <c r="H144" s="146">
        <f t="shared" si="30"/>
        <v>81.73</v>
      </c>
      <c r="I144" s="313">
        <f t="shared" si="31"/>
        <v>1509.8</v>
      </c>
      <c r="J144" s="143"/>
      <c r="K144" s="25"/>
      <c r="L144" s="132"/>
      <c r="M144" s="25"/>
      <c r="N144" s="25"/>
      <c r="O144" s="25"/>
      <c r="P144" s="25"/>
      <c r="R144" s="25"/>
    </row>
    <row r="145" spans="1:63" ht="15" customHeight="1" x14ac:dyDescent="0.2">
      <c r="A145" s="284"/>
      <c r="B145" s="150"/>
      <c r="C145" s="150"/>
      <c r="D145" s="149"/>
      <c r="E145" s="150"/>
      <c r="F145" s="146"/>
      <c r="G145" s="146"/>
      <c r="H145" s="151"/>
      <c r="I145" s="152"/>
      <c r="J145" s="143"/>
      <c r="K145" s="25"/>
      <c r="L145" s="132"/>
      <c r="M145" s="25"/>
      <c r="N145" s="25"/>
      <c r="O145" s="25"/>
      <c r="P145" s="25"/>
      <c r="R145" s="25"/>
    </row>
    <row r="146" spans="1:63" s="26" customFormat="1" ht="15" customHeight="1" x14ac:dyDescent="0.2">
      <c r="A146" s="563" t="s">
        <v>253</v>
      </c>
      <c r="B146" s="564"/>
      <c r="C146" s="564"/>
      <c r="D146" s="565" t="s">
        <v>341</v>
      </c>
      <c r="E146" s="564"/>
      <c r="F146" s="566"/>
      <c r="G146" s="567"/>
      <c r="H146" s="568"/>
      <c r="I146" s="569">
        <f>SUM(I147:I147)</f>
        <v>4856.9799999999996</v>
      </c>
      <c r="J146" s="262"/>
      <c r="K146" s="25"/>
      <c r="L146" s="132"/>
      <c r="M146" s="25"/>
      <c r="N146" s="25"/>
      <c r="O146" s="25"/>
      <c r="P146" s="25"/>
      <c r="R146" s="25"/>
    </row>
    <row r="147" spans="1:63" ht="42.75" x14ac:dyDescent="0.2">
      <c r="A147" s="320" t="s">
        <v>478</v>
      </c>
      <c r="B147" s="154" t="s">
        <v>46</v>
      </c>
      <c r="C147" s="226">
        <v>94043</v>
      </c>
      <c r="D147" s="147" t="s">
        <v>733</v>
      </c>
      <c r="E147" s="226" t="s">
        <v>16</v>
      </c>
      <c r="F147" s="146">
        <f>F132*1*1</f>
        <v>284.2</v>
      </c>
      <c r="G147" s="374">
        <v>13.76</v>
      </c>
      <c r="H147" s="146">
        <f t="shared" ref="H147" si="32">ROUND((1+$L$16)*G147,2)</f>
        <v>17.09</v>
      </c>
      <c r="I147" s="313">
        <f>ROUND(F147*H147,2)</f>
        <v>4856.9799999999996</v>
      </c>
      <c r="J147" s="143"/>
      <c r="K147" s="25"/>
      <c r="L147" s="132"/>
      <c r="M147" s="25"/>
      <c r="N147" s="25"/>
      <c r="O147" s="25"/>
      <c r="P147" s="25"/>
      <c r="R147" s="25"/>
    </row>
    <row r="148" spans="1:63" ht="15" customHeight="1" x14ac:dyDescent="0.2">
      <c r="A148" s="295"/>
      <c r="B148" s="150"/>
      <c r="C148" s="150"/>
      <c r="D148" s="149"/>
      <c r="E148" s="150"/>
      <c r="F148" s="146"/>
      <c r="G148" s="146"/>
      <c r="H148" s="151"/>
      <c r="I148" s="152"/>
      <c r="J148" s="143"/>
      <c r="K148" s="25"/>
      <c r="L148" s="132"/>
      <c r="M148" s="25"/>
      <c r="N148" s="25"/>
      <c r="O148" s="25"/>
      <c r="P148" s="25"/>
      <c r="R148" s="25"/>
    </row>
    <row r="149" spans="1:63" s="26" customFormat="1" ht="15" customHeight="1" x14ac:dyDescent="0.2">
      <c r="A149" s="563" t="s">
        <v>254</v>
      </c>
      <c r="B149" s="564"/>
      <c r="C149" s="564"/>
      <c r="D149" s="565" t="s">
        <v>734</v>
      </c>
      <c r="E149" s="564"/>
      <c r="F149" s="566"/>
      <c r="G149" s="567"/>
      <c r="H149" s="568"/>
      <c r="I149" s="569">
        <f>SUM(I150:I151)</f>
        <v>4991.12</v>
      </c>
      <c r="J149" s="262"/>
      <c r="K149" s="25"/>
      <c r="L149" s="132"/>
      <c r="M149" s="25"/>
      <c r="N149" s="25"/>
      <c r="O149" s="25"/>
      <c r="P149" s="25"/>
      <c r="R149" s="25"/>
    </row>
    <row r="150" spans="1:63" ht="28.5" x14ac:dyDescent="0.2">
      <c r="A150" s="320" t="s">
        <v>958</v>
      </c>
      <c r="B150" s="154" t="s">
        <v>46</v>
      </c>
      <c r="C150" s="154">
        <v>94097</v>
      </c>
      <c r="D150" s="148" t="s">
        <v>735</v>
      </c>
      <c r="E150" s="154" t="s">
        <v>16</v>
      </c>
      <c r="F150" s="146">
        <f>F132*0.65</f>
        <v>184.73</v>
      </c>
      <c r="G150" s="146">
        <v>4.91</v>
      </c>
      <c r="H150" s="146">
        <f t="shared" ref="H150:H151" si="33">ROUND((1+$L$16)*G150,2)</f>
        <v>6.1</v>
      </c>
      <c r="I150" s="313">
        <f>ROUND(F150*H150,2)</f>
        <v>1126.8499999999999</v>
      </c>
      <c r="J150" s="143"/>
      <c r="K150" s="25" t="e">
        <f>#REF!/F244</f>
        <v>#REF!</v>
      </c>
      <c r="L150" s="132"/>
      <c r="M150" s="25"/>
      <c r="N150" s="25"/>
      <c r="O150" s="25"/>
      <c r="P150" s="25"/>
      <c r="R150" s="25"/>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row>
    <row r="151" spans="1:63" ht="71.25" x14ac:dyDescent="0.2">
      <c r="A151" s="320" t="s">
        <v>959</v>
      </c>
      <c r="B151" s="154" t="s">
        <v>46</v>
      </c>
      <c r="C151" s="154">
        <v>93378</v>
      </c>
      <c r="D151" s="148" t="s">
        <v>736</v>
      </c>
      <c r="E151" s="154" t="s">
        <v>17</v>
      </c>
      <c r="F151" s="146">
        <f>F143+F144</f>
        <v>157.02049999999997</v>
      </c>
      <c r="G151" s="146">
        <v>19.82</v>
      </c>
      <c r="H151" s="146">
        <f t="shared" si="33"/>
        <v>24.61</v>
      </c>
      <c r="I151" s="313">
        <f>ROUND(F151*H151,2)</f>
        <v>3864.27</v>
      </c>
      <c r="J151" s="143"/>
      <c r="K151" s="25"/>
      <c r="L151" s="132"/>
      <c r="M151" s="25"/>
      <c r="N151" s="25"/>
      <c r="O151" s="25"/>
      <c r="P151" s="25"/>
      <c r="R151" s="25"/>
    </row>
    <row r="152" spans="1:63" x14ac:dyDescent="0.2">
      <c r="A152" s="320"/>
      <c r="B152" s="154"/>
      <c r="C152" s="154"/>
      <c r="D152" s="148"/>
      <c r="E152" s="154"/>
      <c r="F152" s="146"/>
      <c r="G152" s="146"/>
      <c r="H152" s="146"/>
      <c r="I152" s="313"/>
      <c r="J152" s="143"/>
      <c r="K152" s="25"/>
      <c r="L152" s="132"/>
      <c r="M152" s="25"/>
      <c r="N152" s="25"/>
      <c r="O152" s="25"/>
      <c r="P152" s="25"/>
      <c r="R152" s="25"/>
    </row>
    <row r="153" spans="1:63" s="26" customFormat="1" ht="15" customHeight="1" x14ac:dyDescent="0.2">
      <c r="A153" s="563" t="s">
        <v>316</v>
      </c>
      <c r="B153" s="564"/>
      <c r="C153" s="564"/>
      <c r="D153" s="565" t="s">
        <v>738</v>
      </c>
      <c r="E153" s="564"/>
      <c r="F153" s="566"/>
      <c r="G153" s="567"/>
      <c r="H153" s="568"/>
      <c r="I153" s="569">
        <f>SUM(I154:I156)</f>
        <v>552.36</v>
      </c>
      <c r="J153" s="262"/>
      <c r="K153" s="25"/>
      <c r="L153" s="132"/>
      <c r="M153" s="25"/>
      <c r="N153" s="25"/>
      <c r="O153" s="25"/>
      <c r="P153" s="25"/>
      <c r="R153" s="25"/>
    </row>
    <row r="154" spans="1:63" s="26" customFormat="1" ht="28.5" x14ac:dyDescent="0.2">
      <c r="A154" s="320" t="s">
        <v>976</v>
      </c>
      <c r="B154" s="154" t="s">
        <v>46</v>
      </c>
      <c r="C154" s="154">
        <v>79480</v>
      </c>
      <c r="D154" s="148" t="s">
        <v>825</v>
      </c>
      <c r="E154" s="154" t="s">
        <v>17</v>
      </c>
      <c r="F154" s="146">
        <f>F142</f>
        <v>27.709499999999998</v>
      </c>
      <c r="G154" s="146">
        <v>2.57</v>
      </c>
      <c r="H154" s="146">
        <f t="shared" ref="H154:H156" si="34">ROUND((1+$L$16)*G154,2)</f>
        <v>3.19</v>
      </c>
      <c r="I154" s="313">
        <f>ROUND(F154*H154,2)</f>
        <v>88.39</v>
      </c>
      <c r="J154" s="262"/>
      <c r="K154" s="25"/>
      <c r="L154" s="132"/>
      <c r="M154" s="25"/>
      <c r="N154" s="25"/>
      <c r="O154" s="25"/>
      <c r="P154" s="25"/>
      <c r="R154" s="25"/>
    </row>
    <row r="155" spans="1:63" s="26" customFormat="1" ht="28.5" x14ac:dyDescent="0.2">
      <c r="A155" s="320" t="s">
        <v>977</v>
      </c>
      <c r="B155" s="154" t="s">
        <v>46</v>
      </c>
      <c r="C155" s="154">
        <v>72898</v>
      </c>
      <c r="D155" s="148" t="s">
        <v>743</v>
      </c>
      <c r="E155" s="154" t="s">
        <v>17</v>
      </c>
      <c r="F155" s="146">
        <f>F154*1.3</f>
        <v>36.022349999999996</v>
      </c>
      <c r="G155" s="146">
        <v>3.57</v>
      </c>
      <c r="H155" s="146">
        <f t="shared" si="34"/>
        <v>4.43</v>
      </c>
      <c r="I155" s="313">
        <f>ROUND(F155*H155,2)</f>
        <v>159.58000000000001</v>
      </c>
      <c r="J155" s="262"/>
      <c r="K155" s="25"/>
      <c r="L155" s="132"/>
      <c r="M155" s="25"/>
      <c r="N155" s="25">
        <v>170</v>
      </c>
      <c r="O155" s="25"/>
      <c r="P155" s="25"/>
      <c r="R155" s="25"/>
    </row>
    <row r="156" spans="1:63" s="26" customFormat="1" ht="28.5" x14ac:dyDescent="0.2">
      <c r="A156" s="320" t="s">
        <v>978</v>
      </c>
      <c r="B156" s="154" t="s">
        <v>46</v>
      </c>
      <c r="C156" s="154">
        <v>72885</v>
      </c>
      <c r="D156" s="148" t="s">
        <v>334</v>
      </c>
      <c r="E156" s="154" t="s">
        <v>698</v>
      </c>
      <c r="F156" s="190">
        <f>F155*5</f>
        <v>180.11174999999997</v>
      </c>
      <c r="G156" s="146">
        <v>1.36</v>
      </c>
      <c r="H156" s="146">
        <f t="shared" si="34"/>
        <v>1.69</v>
      </c>
      <c r="I156" s="313">
        <f t="shared" ref="I156" si="35">ROUND(F156*H156,2)</f>
        <v>304.39</v>
      </c>
      <c r="J156" s="262"/>
      <c r="K156" s="25"/>
      <c r="L156" s="132"/>
      <c r="M156" s="25"/>
      <c r="N156" s="25">
        <v>54</v>
      </c>
      <c r="O156" s="25"/>
      <c r="P156" s="25"/>
      <c r="R156" s="25"/>
    </row>
    <row r="157" spans="1:63" s="260" customFormat="1" x14ac:dyDescent="0.2">
      <c r="A157" s="320"/>
      <c r="B157" s="154"/>
      <c r="C157" s="154"/>
      <c r="D157" s="148"/>
      <c r="E157" s="154"/>
      <c r="F157" s="146"/>
      <c r="G157" s="146"/>
      <c r="H157" s="146"/>
      <c r="I157" s="313"/>
      <c r="J157" s="331"/>
      <c r="K157" s="332"/>
      <c r="L157" s="333"/>
      <c r="M157" s="332"/>
      <c r="N157" s="332"/>
      <c r="O157" s="332"/>
      <c r="P157" s="332"/>
      <c r="R157" s="332"/>
    </row>
    <row r="158" spans="1:63" s="26" customFormat="1" ht="15" customHeight="1" x14ac:dyDescent="0.2">
      <c r="A158" s="563" t="s">
        <v>841</v>
      </c>
      <c r="B158" s="564"/>
      <c r="C158" s="564"/>
      <c r="D158" s="565" t="s">
        <v>1328</v>
      </c>
      <c r="E158" s="564"/>
      <c r="F158" s="566"/>
      <c r="G158" s="567"/>
      <c r="H158" s="568"/>
      <c r="I158" s="569">
        <f>SUM(I159:I161)</f>
        <v>552.36</v>
      </c>
      <c r="J158" s="262"/>
      <c r="K158" s="25"/>
      <c r="L158" s="132"/>
      <c r="M158" s="25"/>
      <c r="N158" s="25"/>
      <c r="O158" s="25"/>
      <c r="P158" s="25"/>
      <c r="R158" s="25"/>
    </row>
    <row r="159" spans="1:63" s="26" customFormat="1" ht="28.5" x14ac:dyDescent="0.2">
      <c r="A159" s="320" t="s">
        <v>479</v>
      </c>
      <c r="B159" s="154" t="s">
        <v>46</v>
      </c>
      <c r="C159" s="154">
        <v>79480</v>
      </c>
      <c r="D159" s="148" t="s">
        <v>825</v>
      </c>
      <c r="E159" s="154" t="s">
        <v>17</v>
      </c>
      <c r="F159" s="146">
        <f>F154</f>
        <v>27.709499999999998</v>
      </c>
      <c r="G159" s="146">
        <v>2.57</v>
      </c>
      <c r="H159" s="146">
        <f t="shared" ref="H159:H161" si="36">ROUND((1+$L$16)*G159,2)</f>
        <v>3.19</v>
      </c>
      <c r="I159" s="313">
        <f>ROUND(F159*H159,2)</f>
        <v>88.39</v>
      </c>
      <c r="J159" s="262"/>
      <c r="K159" s="25"/>
      <c r="L159" s="132"/>
      <c r="M159" s="25"/>
      <c r="N159" s="25"/>
      <c r="O159" s="25"/>
      <c r="P159" s="25"/>
      <c r="R159" s="25"/>
    </row>
    <row r="160" spans="1:63" s="26" customFormat="1" ht="28.5" x14ac:dyDescent="0.2">
      <c r="A160" s="320" t="s">
        <v>480</v>
      </c>
      <c r="B160" s="154" t="s">
        <v>46</v>
      </c>
      <c r="C160" s="154">
        <v>72898</v>
      </c>
      <c r="D160" s="148" t="s">
        <v>743</v>
      </c>
      <c r="E160" s="154" t="s">
        <v>17</v>
      </c>
      <c r="F160" s="146">
        <f>F159*1.3</f>
        <v>36.022349999999996</v>
      </c>
      <c r="G160" s="146">
        <v>3.57</v>
      </c>
      <c r="H160" s="146">
        <f t="shared" si="36"/>
        <v>4.43</v>
      </c>
      <c r="I160" s="313">
        <f>ROUND(F160*H160,2)</f>
        <v>159.58000000000001</v>
      </c>
      <c r="J160" s="262"/>
      <c r="K160" s="25"/>
      <c r="L160" s="132"/>
      <c r="M160" s="25"/>
      <c r="N160" s="25">
        <v>170</v>
      </c>
      <c r="O160" s="25"/>
      <c r="P160" s="25"/>
      <c r="R160" s="25"/>
    </row>
    <row r="161" spans="1:18" s="26" customFormat="1" ht="28.5" x14ac:dyDescent="0.2">
      <c r="A161" s="320" t="s">
        <v>481</v>
      </c>
      <c r="B161" s="154" t="s">
        <v>46</v>
      </c>
      <c r="C161" s="154">
        <v>72885</v>
      </c>
      <c r="D161" s="148" t="s">
        <v>334</v>
      </c>
      <c r="E161" s="154" t="s">
        <v>698</v>
      </c>
      <c r="F161" s="190">
        <f>F160*5</f>
        <v>180.11174999999997</v>
      </c>
      <c r="G161" s="146">
        <v>1.36</v>
      </c>
      <c r="H161" s="146">
        <f t="shared" si="36"/>
        <v>1.69</v>
      </c>
      <c r="I161" s="313">
        <f t="shared" ref="I161" si="37">ROUND(F161*H161,2)</f>
        <v>304.39</v>
      </c>
      <c r="J161" s="262"/>
      <c r="K161" s="25"/>
      <c r="L161" s="132"/>
      <c r="M161" s="25"/>
      <c r="N161" s="25">
        <v>54</v>
      </c>
      <c r="O161" s="25"/>
      <c r="P161" s="25"/>
      <c r="R161" s="25"/>
    </row>
    <row r="162" spans="1:18" s="26" customFormat="1" ht="15" thickBot="1" x14ac:dyDescent="0.25">
      <c r="A162" s="920"/>
      <c r="B162" s="913"/>
      <c r="C162" s="913"/>
      <c r="D162" s="584"/>
      <c r="E162" s="913"/>
      <c r="F162" s="928"/>
      <c r="G162" s="585"/>
      <c r="H162" s="585"/>
      <c r="I162" s="915"/>
      <c r="J162" s="262"/>
      <c r="K162" s="25"/>
      <c r="L162" s="132"/>
      <c r="M162" s="25"/>
      <c r="N162" s="25"/>
      <c r="O162" s="25"/>
      <c r="P162" s="25"/>
      <c r="R162" s="25"/>
    </row>
    <row r="163" spans="1:18" s="26" customFormat="1" ht="15" customHeight="1" x14ac:dyDescent="0.2">
      <c r="A163" s="921" t="s">
        <v>842</v>
      </c>
      <c r="B163" s="922"/>
      <c r="C163" s="922"/>
      <c r="D163" s="923" t="s">
        <v>347</v>
      </c>
      <c r="E163" s="922"/>
      <c r="F163" s="924"/>
      <c r="G163" s="925"/>
      <c r="H163" s="926"/>
      <c r="I163" s="927">
        <f>SUM(I164:I165)</f>
        <v>12055.76</v>
      </c>
      <c r="J163" s="262"/>
      <c r="K163" s="25"/>
      <c r="L163" s="132"/>
      <c r="M163" s="25"/>
      <c r="N163" s="25"/>
      <c r="O163" s="25"/>
      <c r="P163" s="25"/>
      <c r="R163" s="25"/>
    </row>
    <row r="164" spans="1:18" x14ac:dyDescent="0.2">
      <c r="A164" s="334" t="s">
        <v>1326</v>
      </c>
      <c r="B164" s="154" t="s">
        <v>46</v>
      </c>
      <c r="C164" s="226">
        <v>9825</v>
      </c>
      <c r="D164" s="147" t="s">
        <v>800</v>
      </c>
      <c r="E164" s="226" t="s">
        <v>18</v>
      </c>
      <c r="F164" s="146">
        <f>F132</f>
        <v>284.2</v>
      </c>
      <c r="G164" s="146">
        <v>34</v>
      </c>
      <c r="H164" s="146">
        <f>ROUND((1+$K$16)*G164,2)</f>
        <v>38.770000000000003</v>
      </c>
      <c r="I164" s="571">
        <f t="shared" ref="I164:I165" si="38">ROUND(F164*H164,2)</f>
        <v>11018.43</v>
      </c>
      <c r="J164" s="143"/>
      <c r="K164" s="25"/>
      <c r="L164" s="132"/>
      <c r="M164" s="25"/>
      <c r="N164" s="25"/>
      <c r="O164" s="25"/>
      <c r="P164" s="25"/>
      <c r="R164" s="25"/>
    </row>
    <row r="165" spans="1:18" ht="28.5" x14ac:dyDescent="0.2">
      <c r="A165" s="334" t="s">
        <v>1327</v>
      </c>
      <c r="B165" s="154" t="s">
        <v>46</v>
      </c>
      <c r="C165" s="154" t="s">
        <v>798</v>
      </c>
      <c r="D165" s="148" t="s">
        <v>799</v>
      </c>
      <c r="E165" s="154" t="s">
        <v>18</v>
      </c>
      <c r="F165" s="146">
        <f>F164</f>
        <v>284.2</v>
      </c>
      <c r="G165" s="146">
        <v>2.94</v>
      </c>
      <c r="H165" s="146">
        <f t="shared" ref="H165" si="39">ROUND((1+$L$16)*G165,2)</f>
        <v>3.65</v>
      </c>
      <c r="I165" s="313">
        <f t="shared" si="38"/>
        <v>1037.33</v>
      </c>
      <c r="J165" s="143"/>
      <c r="K165" s="25"/>
      <c r="L165" s="132"/>
      <c r="M165" s="25"/>
      <c r="N165" s="25"/>
      <c r="O165" s="25"/>
      <c r="P165" s="25"/>
      <c r="R165" s="25"/>
    </row>
    <row r="166" spans="1:18" x14ac:dyDescent="0.2">
      <c r="A166" s="295"/>
      <c r="B166" s="150"/>
      <c r="C166" s="294"/>
      <c r="D166" s="149"/>
      <c r="E166" s="150"/>
      <c r="F166" s="146"/>
      <c r="G166" s="146"/>
      <c r="H166" s="151"/>
      <c r="I166" s="152"/>
      <c r="J166" s="143"/>
      <c r="K166" s="25"/>
      <c r="L166" s="132"/>
      <c r="M166" s="25"/>
      <c r="N166" s="25"/>
      <c r="O166" s="25"/>
      <c r="P166" s="25"/>
      <c r="R166" s="25"/>
    </row>
    <row r="167" spans="1:18" s="26" customFormat="1" ht="15" customHeight="1" x14ac:dyDescent="0.2">
      <c r="A167" s="563" t="s">
        <v>843</v>
      </c>
      <c r="B167" s="564"/>
      <c r="C167" s="564"/>
      <c r="D167" s="565" t="s">
        <v>356</v>
      </c>
      <c r="E167" s="564"/>
      <c r="F167" s="566"/>
      <c r="G167" s="567"/>
      <c r="H167" s="568"/>
      <c r="I167" s="569">
        <f>SUM(I168:I174)</f>
        <v>32669.109999999997</v>
      </c>
      <c r="J167" s="262"/>
      <c r="K167" s="25"/>
      <c r="L167" s="132"/>
      <c r="M167" s="25"/>
      <c r="N167" s="25"/>
      <c r="O167" s="25"/>
      <c r="P167" s="25"/>
      <c r="R167" s="25"/>
    </row>
    <row r="168" spans="1:18" ht="42.75" x14ac:dyDescent="0.2">
      <c r="A168" s="320" t="s">
        <v>1329</v>
      </c>
      <c r="B168" s="154" t="s">
        <v>46</v>
      </c>
      <c r="C168" s="154">
        <v>92970</v>
      </c>
      <c r="D168" s="148" t="s">
        <v>742</v>
      </c>
      <c r="E168" s="154" t="s">
        <v>16</v>
      </c>
      <c r="F168" s="146">
        <f>F132*2</f>
        <v>568.4</v>
      </c>
      <c r="G168" s="146">
        <v>11.43</v>
      </c>
      <c r="H168" s="146">
        <f t="shared" ref="H168:H174" si="40">ROUND((1+$L$16)*G168,2)</f>
        <v>14.19</v>
      </c>
      <c r="I168" s="313">
        <f t="shared" ref="I168" si="41">ROUND(F168*H168,2)</f>
        <v>8065.6</v>
      </c>
      <c r="J168" s="143"/>
      <c r="K168" s="25"/>
      <c r="L168" s="132"/>
      <c r="M168" s="25"/>
      <c r="N168" s="25"/>
      <c r="O168" s="25"/>
      <c r="P168" s="25"/>
      <c r="R168" s="25"/>
    </row>
    <row r="169" spans="1:18" ht="28.5" x14ac:dyDescent="0.2">
      <c r="A169" s="320" t="s">
        <v>1330</v>
      </c>
      <c r="B169" s="154" t="s">
        <v>46</v>
      </c>
      <c r="C169" s="154">
        <v>73711</v>
      </c>
      <c r="D169" s="148" t="s">
        <v>802</v>
      </c>
      <c r="E169" s="154" t="s">
        <v>17</v>
      </c>
      <c r="F169" s="190">
        <f>F168*0.2</f>
        <v>113.68</v>
      </c>
      <c r="G169" s="146">
        <v>76.510000000000005</v>
      </c>
      <c r="H169" s="146">
        <f t="shared" si="40"/>
        <v>95.01</v>
      </c>
      <c r="I169" s="313">
        <f>ROUND(F169*H169,2)</f>
        <v>10800.74</v>
      </c>
      <c r="J169" s="143"/>
      <c r="K169" s="25"/>
      <c r="L169" s="132"/>
      <c r="M169" s="25"/>
      <c r="N169" s="25"/>
      <c r="O169" s="25"/>
      <c r="P169" s="25"/>
      <c r="R169" s="25"/>
    </row>
    <row r="170" spans="1:18" ht="28.5" x14ac:dyDescent="0.2">
      <c r="A170" s="320" t="s">
        <v>1331</v>
      </c>
      <c r="B170" s="154" t="s">
        <v>46</v>
      </c>
      <c r="C170" s="154" t="s">
        <v>431</v>
      </c>
      <c r="D170" s="148" t="s">
        <v>801</v>
      </c>
      <c r="E170" s="154" t="s">
        <v>17</v>
      </c>
      <c r="F170" s="146">
        <f>F168*0.05</f>
        <v>28.42</v>
      </c>
      <c r="G170" s="146">
        <v>329.34</v>
      </c>
      <c r="H170" s="146">
        <f t="shared" si="40"/>
        <v>408.97</v>
      </c>
      <c r="I170" s="313">
        <f>ROUND(F170*H170,2)</f>
        <v>11622.93</v>
      </c>
      <c r="J170" s="143"/>
      <c r="K170" s="25"/>
      <c r="L170" s="132"/>
      <c r="M170" s="25"/>
      <c r="N170" s="25"/>
      <c r="O170" s="25"/>
      <c r="P170" s="25"/>
      <c r="R170" s="25"/>
    </row>
    <row r="171" spans="1:18" ht="28.5" x14ac:dyDescent="0.2">
      <c r="A171" s="320" t="s">
        <v>1332</v>
      </c>
      <c r="B171" s="154" t="s">
        <v>46</v>
      </c>
      <c r="C171" s="154">
        <v>72898</v>
      </c>
      <c r="D171" s="148" t="s">
        <v>743</v>
      </c>
      <c r="E171" s="154" t="s">
        <v>17</v>
      </c>
      <c r="F171" s="146">
        <f>F168*0.05*1.3</f>
        <v>36.946000000000005</v>
      </c>
      <c r="G171" s="146">
        <v>3.57</v>
      </c>
      <c r="H171" s="146">
        <f t="shared" si="40"/>
        <v>4.43</v>
      </c>
      <c r="I171" s="313">
        <f t="shared" ref="I171:I173" si="42">ROUND(F171*H171,2)</f>
        <v>163.66999999999999</v>
      </c>
      <c r="J171" s="143"/>
      <c r="K171" s="25"/>
      <c r="L171" s="132"/>
      <c r="M171" s="25"/>
      <c r="N171" s="25"/>
      <c r="O171" s="25"/>
      <c r="P171" s="25"/>
      <c r="R171" s="25"/>
    </row>
    <row r="172" spans="1:18" ht="28.5" x14ac:dyDescent="0.2">
      <c r="A172" s="320" t="s">
        <v>1333</v>
      </c>
      <c r="B172" s="154" t="s">
        <v>46</v>
      </c>
      <c r="C172" s="154">
        <v>72900</v>
      </c>
      <c r="D172" s="148" t="s">
        <v>744</v>
      </c>
      <c r="E172" s="154" t="s">
        <v>17</v>
      </c>
      <c r="F172" s="146">
        <f>F171</f>
        <v>36.946000000000005</v>
      </c>
      <c r="G172" s="146">
        <v>4.8899999999999997</v>
      </c>
      <c r="H172" s="146">
        <f t="shared" si="40"/>
        <v>6.07</v>
      </c>
      <c r="I172" s="313">
        <f t="shared" si="42"/>
        <v>224.26</v>
      </c>
      <c r="J172" s="143"/>
      <c r="K172" s="25" t="e">
        <f>#REF!/#REF!</f>
        <v>#REF!</v>
      </c>
      <c r="L172" s="132"/>
      <c r="M172" s="25"/>
      <c r="N172" s="25"/>
      <c r="O172" s="25"/>
      <c r="P172" s="25"/>
      <c r="R172" s="25"/>
    </row>
    <row r="173" spans="1:18" ht="28.5" x14ac:dyDescent="0.2">
      <c r="A173" s="320" t="s">
        <v>1334</v>
      </c>
      <c r="B173" s="154" t="s">
        <v>46</v>
      </c>
      <c r="C173" s="154">
        <v>83344</v>
      </c>
      <c r="D173" s="148" t="s">
        <v>745</v>
      </c>
      <c r="E173" s="154" t="s">
        <v>17</v>
      </c>
      <c r="F173" s="146">
        <f>F172</f>
        <v>36.946000000000005</v>
      </c>
      <c r="G173" s="146">
        <v>1.02</v>
      </c>
      <c r="H173" s="146">
        <f t="shared" si="40"/>
        <v>1.27</v>
      </c>
      <c r="I173" s="313">
        <f t="shared" si="42"/>
        <v>46.92</v>
      </c>
      <c r="J173" s="143"/>
      <c r="K173" s="25"/>
      <c r="L173" s="132"/>
      <c r="M173" s="25"/>
      <c r="N173" s="25"/>
      <c r="O173" s="25"/>
      <c r="P173" s="25"/>
      <c r="R173" s="25"/>
    </row>
    <row r="174" spans="1:18" ht="15" customHeight="1" x14ac:dyDescent="0.2">
      <c r="A174" s="320" t="s">
        <v>1335</v>
      </c>
      <c r="B174" s="226" t="s">
        <v>46</v>
      </c>
      <c r="C174" s="226">
        <v>9537</v>
      </c>
      <c r="D174" s="147" t="s">
        <v>727</v>
      </c>
      <c r="E174" s="226" t="s">
        <v>16</v>
      </c>
      <c r="F174" s="190">
        <f>F168</f>
        <v>568.4</v>
      </c>
      <c r="G174" s="146">
        <v>2.4700000000000002</v>
      </c>
      <c r="H174" s="146">
        <f t="shared" si="40"/>
        <v>3.07</v>
      </c>
      <c r="I174" s="313">
        <f t="shared" ref="I174" si="43">ROUND(F174*H174,2)</f>
        <v>1744.99</v>
      </c>
      <c r="J174" s="143"/>
      <c r="K174" s="25"/>
      <c r="L174" s="132"/>
      <c r="M174" s="25"/>
      <c r="N174" s="25"/>
      <c r="O174" s="25"/>
      <c r="P174" s="25"/>
      <c r="R174" s="25"/>
    </row>
    <row r="175" spans="1:18" s="126" customFormat="1" x14ac:dyDescent="0.2">
      <c r="A175" s="284"/>
      <c r="B175" s="287"/>
      <c r="C175" s="287"/>
      <c r="D175" s="289"/>
      <c r="E175" s="287"/>
      <c r="F175" s="290"/>
      <c r="G175" s="291"/>
      <c r="H175" s="291"/>
      <c r="I175" s="293"/>
      <c r="J175" s="321"/>
      <c r="K175" s="237"/>
      <c r="L175" s="322"/>
      <c r="M175" s="237"/>
      <c r="N175" s="237"/>
      <c r="O175" s="237"/>
      <c r="P175" s="237"/>
      <c r="R175" s="237"/>
    </row>
    <row r="176" spans="1:18" s="126" customFormat="1" ht="15" x14ac:dyDescent="0.2">
      <c r="A176" s="358" t="s">
        <v>1062</v>
      </c>
      <c r="B176" s="298"/>
      <c r="C176" s="298"/>
      <c r="D176" s="299" t="s">
        <v>803</v>
      </c>
      <c r="E176" s="298" t="s">
        <v>62</v>
      </c>
      <c r="F176" s="300"/>
      <c r="G176" s="301"/>
      <c r="H176" s="302"/>
      <c r="I176" s="303">
        <f>I177+I188+I193+I197+I233+I208+I222+I236+I201</f>
        <v>1243517.1099999999</v>
      </c>
      <c r="J176" s="321"/>
      <c r="K176" s="237"/>
      <c r="L176" s="322"/>
      <c r="M176" s="237"/>
      <c r="N176" s="237"/>
      <c r="O176" s="237"/>
      <c r="P176" s="237"/>
      <c r="R176" s="237"/>
    </row>
    <row r="177" spans="1:18" s="26" customFormat="1" ht="15" customHeight="1" x14ac:dyDescent="0.2">
      <c r="A177" s="563" t="s">
        <v>9</v>
      </c>
      <c r="B177" s="564"/>
      <c r="C177" s="564"/>
      <c r="D177" s="565" t="s">
        <v>339</v>
      </c>
      <c r="E177" s="564"/>
      <c r="F177" s="566"/>
      <c r="G177" s="567"/>
      <c r="H177" s="568"/>
      <c r="I177" s="569">
        <f>SUM(I178:I186)</f>
        <v>38996.159999999996</v>
      </c>
      <c r="J177" s="262"/>
      <c r="K177" s="25"/>
      <c r="L177" s="132"/>
      <c r="M177" s="25"/>
      <c r="N177" s="25"/>
      <c r="O177" s="25"/>
      <c r="P177" s="25"/>
      <c r="R177" s="25"/>
    </row>
    <row r="178" spans="1:18" ht="28.5" x14ac:dyDescent="0.2">
      <c r="A178" s="320" t="s">
        <v>960</v>
      </c>
      <c r="B178" s="154" t="s">
        <v>46</v>
      </c>
      <c r="C178" s="154">
        <v>85323</v>
      </c>
      <c r="D178" s="148" t="s">
        <v>918</v>
      </c>
      <c r="E178" s="154" t="s">
        <v>18</v>
      </c>
      <c r="F178" s="146">
        <f>F223+F224+F225+F229+F230+F231</f>
        <v>3896.69</v>
      </c>
      <c r="G178" s="146">
        <v>1.56</v>
      </c>
      <c r="H178" s="146">
        <f t="shared" ref="H178:H186" si="44">ROUND((1+$L$16)*G178,2)</f>
        <v>1.94</v>
      </c>
      <c r="I178" s="313">
        <f t="shared" ref="I178:I185" si="45">ROUND(F178*H178,2)</f>
        <v>7559.58</v>
      </c>
      <c r="J178" s="143"/>
      <c r="K178" s="25"/>
      <c r="L178" s="132"/>
      <c r="M178" s="25"/>
      <c r="N178" s="25"/>
      <c r="O178" s="25"/>
      <c r="P178" s="25"/>
      <c r="R178" s="25"/>
    </row>
    <row r="179" spans="1:18" s="26" customFormat="1" ht="28.5" x14ac:dyDescent="0.2">
      <c r="A179" s="320" t="s">
        <v>961</v>
      </c>
      <c r="B179" s="226" t="s">
        <v>46</v>
      </c>
      <c r="C179" s="226" t="s">
        <v>63</v>
      </c>
      <c r="D179" s="147" t="s">
        <v>379</v>
      </c>
      <c r="E179" s="226" t="s">
        <v>16</v>
      </c>
      <c r="F179" s="146">
        <f>F178*3</f>
        <v>11690.07</v>
      </c>
      <c r="G179" s="146">
        <v>0.14000000000000001</v>
      </c>
      <c r="H179" s="146">
        <f t="shared" si="44"/>
        <v>0.17</v>
      </c>
      <c r="I179" s="313">
        <f t="shared" si="45"/>
        <v>1987.31</v>
      </c>
      <c r="J179" s="262"/>
      <c r="K179" s="25"/>
      <c r="L179" s="132"/>
      <c r="M179" s="25"/>
      <c r="N179" s="25"/>
      <c r="O179" s="25"/>
      <c r="P179" s="25"/>
      <c r="R179" s="25"/>
    </row>
    <row r="180" spans="1:18" ht="15" customHeight="1" x14ac:dyDescent="0.2">
      <c r="A180" s="320" t="s">
        <v>962</v>
      </c>
      <c r="B180" s="154" t="s">
        <v>46</v>
      </c>
      <c r="C180" s="154" t="s">
        <v>47</v>
      </c>
      <c r="D180" s="148" t="s">
        <v>48</v>
      </c>
      <c r="E180" s="154" t="s">
        <v>16</v>
      </c>
      <c r="F180" s="146">
        <v>6</v>
      </c>
      <c r="G180" s="146">
        <v>319.02999999999997</v>
      </c>
      <c r="H180" s="146">
        <f t="shared" si="44"/>
        <v>396.16</v>
      </c>
      <c r="I180" s="313">
        <f t="shared" si="45"/>
        <v>2376.96</v>
      </c>
      <c r="J180" s="143"/>
      <c r="K180" s="25"/>
      <c r="L180" s="132"/>
      <c r="M180" s="25"/>
      <c r="N180" s="25"/>
      <c r="O180" s="25"/>
      <c r="P180" s="25"/>
      <c r="R180" s="25"/>
    </row>
    <row r="181" spans="1:18" ht="28.5" x14ac:dyDescent="0.2">
      <c r="A181" s="320" t="s">
        <v>963</v>
      </c>
      <c r="B181" s="154" t="s">
        <v>46</v>
      </c>
      <c r="C181" s="226" t="s">
        <v>162</v>
      </c>
      <c r="D181" s="148" t="s">
        <v>728</v>
      </c>
      <c r="E181" s="154" t="s">
        <v>16</v>
      </c>
      <c r="F181" s="146">
        <f>2*3*2</f>
        <v>12</v>
      </c>
      <c r="G181" s="146">
        <v>52.37</v>
      </c>
      <c r="H181" s="146">
        <f t="shared" si="44"/>
        <v>65.03</v>
      </c>
      <c r="I181" s="313">
        <f t="shared" si="45"/>
        <v>780.36</v>
      </c>
      <c r="J181" s="143"/>
      <c r="K181" s="25"/>
      <c r="L181" s="132"/>
      <c r="M181" s="25"/>
      <c r="N181" s="25"/>
      <c r="O181" s="25"/>
      <c r="P181" s="25"/>
      <c r="R181" s="25"/>
    </row>
    <row r="182" spans="1:18" x14ac:dyDescent="0.2">
      <c r="A182" s="320" t="s">
        <v>964</v>
      </c>
      <c r="B182" s="226" t="s">
        <v>46</v>
      </c>
      <c r="C182" s="226" t="s">
        <v>360</v>
      </c>
      <c r="D182" s="147" t="s">
        <v>361</v>
      </c>
      <c r="E182" s="226" t="s">
        <v>18</v>
      </c>
      <c r="F182" s="146">
        <f>F178/60</f>
        <v>64.944833333333335</v>
      </c>
      <c r="G182" s="146">
        <v>2.39</v>
      </c>
      <c r="H182" s="146">
        <f t="shared" si="44"/>
        <v>2.97</v>
      </c>
      <c r="I182" s="313">
        <f t="shared" si="45"/>
        <v>192.89</v>
      </c>
      <c r="J182" s="143"/>
      <c r="K182" s="25"/>
      <c r="L182" s="132"/>
      <c r="M182" s="25"/>
      <c r="N182" s="25"/>
      <c r="O182" s="25"/>
      <c r="P182" s="25"/>
      <c r="R182" s="25"/>
    </row>
    <row r="183" spans="1:18" ht="28.5" x14ac:dyDescent="0.2">
      <c r="A183" s="320" t="s">
        <v>965</v>
      </c>
      <c r="B183" s="226" t="s">
        <v>46</v>
      </c>
      <c r="C183" s="226">
        <v>13244</v>
      </c>
      <c r="D183" s="147" t="s">
        <v>729</v>
      </c>
      <c r="E183" s="226" t="s">
        <v>20</v>
      </c>
      <c r="F183" s="146">
        <f>_xlfn.FLOOR.PRECISE(F182/10)</f>
        <v>6</v>
      </c>
      <c r="G183" s="146">
        <v>53.2</v>
      </c>
      <c r="H183" s="146">
        <f>ROUND((1+$K$16)*G183,2)</f>
        <v>60.66</v>
      </c>
      <c r="I183" s="571">
        <f t="shared" si="45"/>
        <v>363.96</v>
      </c>
      <c r="J183" s="143"/>
      <c r="K183" s="25"/>
      <c r="L183" s="132"/>
      <c r="M183" s="25"/>
      <c r="N183" s="25"/>
      <c r="O183" s="25"/>
      <c r="P183" s="25"/>
      <c r="R183" s="25"/>
    </row>
    <row r="184" spans="1:18" ht="15" customHeight="1" x14ac:dyDescent="0.2">
      <c r="A184" s="320" t="s">
        <v>966</v>
      </c>
      <c r="B184" s="226" t="s">
        <v>46</v>
      </c>
      <c r="C184" s="226" t="s">
        <v>50</v>
      </c>
      <c r="D184" s="147" t="s">
        <v>730</v>
      </c>
      <c r="E184" s="226" t="s">
        <v>16</v>
      </c>
      <c r="F184" s="146">
        <f>2*2*3</f>
        <v>12</v>
      </c>
      <c r="G184" s="146">
        <v>51.86</v>
      </c>
      <c r="H184" s="146">
        <f t="shared" si="44"/>
        <v>64.400000000000006</v>
      </c>
      <c r="I184" s="313">
        <f t="shared" si="45"/>
        <v>772.8</v>
      </c>
      <c r="J184" s="143"/>
      <c r="K184" s="25"/>
      <c r="L184" s="132"/>
      <c r="M184" s="25"/>
      <c r="N184" s="25"/>
      <c r="O184" s="25"/>
      <c r="P184" s="25"/>
      <c r="R184" s="25"/>
    </row>
    <row r="185" spans="1:18" ht="15" customHeight="1" x14ac:dyDescent="0.2">
      <c r="A185" s="320" t="s">
        <v>967</v>
      </c>
      <c r="B185" s="226" t="s">
        <v>46</v>
      </c>
      <c r="C185" s="226" t="s">
        <v>165</v>
      </c>
      <c r="D185" s="147" t="s">
        <v>731</v>
      </c>
      <c r="E185" s="226" t="s">
        <v>16</v>
      </c>
      <c r="F185" s="146">
        <f>2*3*3</f>
        <v>18</v>
      </c>
      <c r="G185" s="374">
        <v>46.38</v>
      </c>
      <c r="H185" s="146">
        <f t="shared" si="44"/>
        <v>57.59</v>
      </c>
      <c r="I185" s="313">
        <f t="shared" si="45"/>
        <v>1036.6199999999999</v>
      </c>
      <c r="J185" s="143"/>
      <c r="K185" s="25"/>
      <c r="L185" s="132"/>
      <c r="M185" s="25"/>
      <c r="N185" s="25"/>
      <c r="O185" s="25"/>
      <c r="P185" s="25"/>
      <c r="R185" s="25"/>
    </row>
    <row r="186" spans="1:18" ht="15" customHeight="1" x14ac:dyDescent="0.2">
      <c r="A186" s="320" t="s">
        <v>968</v>
      </c>
      <c r="B186" s="226" t="s">
        <v>46</v>
      </c>
      <c r="C186" s="226">
        <v>9537</v>
      </c>
      <c r="D186" s="147" t="s">
        <v>727</v>
      </c>
      <c r="E186" s="226" t="s">
        <v>16</v>
      </c>
      <c r="F186" s="190">
        <f>F178*2</f>
        <v>7793.38</v>
      </c>
      <c r="G186" s="146">
        <v>2.4700000000000002</v>
      </c>
      <c r="H186" s="146">
        <f t="shared" si="44"/>
        <v>3.07</v>
      </c>
      <c r="I186" s="313">
        <f t="shared" ref="I186" si="46">ROUND(F186*H186,2)</f>
        <v>23925.68</v>
      </c>
      <c r="J186" s="143"/>
      <c r="K186" s="25"/>
      <c r="L186" s="132"/>
      <c r="M186" s="25"/>
      <c r="N186" s="25"/>
      <c r="O186" s="25"/>
      <c r="P186" s="25"/>
      <c r="R186" s="25"/>
    </row>
    <row r="187" spans="1:18" ht="15" customHeight="1" thickBot="1" x14ac:dyDescent="0.25">
      <c r="A187" s="920"/>
      <c r="B187" s="586"/>
      <c r="C187" s="586"/>
      <c r="D187" s="929"/>
      <c r="E187" s="586"/>
      <c r="F187" s="585"/>
      <c r="G187" s="585"/>
      <c r="H187" s="585"/>
      <c r="I187" s="915"/>
      <c r="J187" s="143"/>
      <c r="K187" s="25"/>
      <c r="L187" s="132"/>
      <c r="M187" s="25"/>
      <c r="N187" s="25"/>
      <c r="O187" s="25"/>
      <c r="P187" s="25"/>
      <c r="R187" s="25"/>
    </row>
    <row r="188" spans="1:18" s="26" customFormat="1" ht="15" customHeight="1" x14ac:dyDescent="0.2">
      <c r="A188" s="921" t="s">
        <v>10</v>
      </c>
      <c r="B188" s="922"/>
      <c r="C188" s="922"/>
      <c r="D188" s="923" t="s">
        <v>340</v>
      </c>
      <c r="E188" s="922"/>
      <c r="F188" s="924"/>
      <c r="G188" s="925"/>
      <c r="H188" s="926"/>
      <c r="I188" s="927">
        <f>SUM(I189:I191)</f>
        <v>55684.83</v>
      </c>
      <c r="J188" s="262"/>
      <c r="K188" s="25"/>
      <c r="L188" s="132"/>
      <c r="M188" s="25"/>
      <c r="N188" s="25"/>
      <c r="O188" s="25"/>
      <c r="P188" s="25"/>
      <c r="R188" s="25"/>
    </row>
    <row r="189" spans="1:18" ht="71.25" x14ac:dyDescent="0.2">
      <c r="A189" s="320" t="s">
        <v>969</v>
      </c>
      <c r="B189" s="154" t="s">
        <v>46</v>
      </c>
      <c r="C189" s="154">
        <v>90105</v>
      </c>
      <c r="D189" s="148" t="s">
        <v>732</v>
      </c>
      <c r="E189" s="154" t="s">
        <v>17</v>
      </c>
      <c r="F189" s="146">
        <f>'planilha auxiliar'!I75*0.95</f>
        <v>2629.0882591895183</v>
      </c>
      <c r="G189" s="146">
        <v>12.09</v>
      </c>
      <c r="H189" s="146">
        <f t="shared" ref="H189:H190" si="47">ROUND((1+$L$16)*G189,2)</f>
        <v>15.01</v>
      </c>
      <c r="I189" s="313">
        <f t="shared" ref="I189" si="48">ROUND(F189*H189,2)</f>
        <v>39462.61</v>
      </c>
      <c r="J189" s="143"/>
      <c r="K189" s="25"/>
      <c r="L189" s="132"/>
      <c r="M189" s="25"/>
      <c r="N189" s="25"/>
      <c r="O189" s="25"/>
      <c r="P189" s="25"/>
      <c r="R189" s="25"/>
    </row>
    <row r="190" spans="1:18" ht="85.5" x14ac:dyDescent="0.2">
      <c r="A190" s="320" t="s">
        <v>970</v>
      </c>
      <c r="B190" s="154" t="s">
        <v>46</v>
      </c>
      <c r="C190" s="154">
        <v>90107</v>
      </c>
      <c r="D190" s="148" t="s">
        <v>823</v>
      </c>
      <c r="E190" s="154" t="s">
        <v>17</v>
      </c>
      <c r="F190" s="146">
        <f>'planilha auxiliar'!J75</f>
        <v>388.3786745373489</v>
      </c>
      <c r="G190" s="146">
        <v>10.19</v>
      </c>
      <c r="H190" s="146">
        <f t="shared" si="47"/>
        <v>12.65</v>
      </c>
      <c r="I190" s="313">
        <f t="shared" ref="I190" si="49">ROUND(F190*H190,2)</f>
        <v>4912.99</v>
      </c>
      <c r="J190" s="143"/>
      <c r="K190" s="25"/>
      <c r="L190" s="132"/>
      <c r="M190" s="25"/>
      <c r="N190" s="25"/>
      <c r="O190" s="25"/>
      <c r="P190" s="25"/>
      <c r="R190" s="25"/>
    </row>
    <row r="191" spans="1:18" x14ac:dyDescent="0.2">
      <c r="A191" s="320" t="s">
        <v>971</v>
      </c>
      <c r="B191" s="154" t="s">
        <v>46</v>
      </c>
      <c r="C191" s="154">
        <v>93358</v>
      </c>
      <c r="D191" s="148" t="s">
        <v>776</v>
      </c>
      <c r="E191" s="154" t="s">
        <v>17</v>
      </c>
      <c r="F191" s="146">
        <f>'planilha auxiliar'!I75*0.05</f>
        <v>138.37306627313257</v>
      </c>
      <c r="G191" s="146">
        <v>65.819999999999993</v>
      </c>
      <c r="H191" s="146">
        <f>ROUND((1+$L$16)*G191,2)</f>
        <v>81.73</v>
      </c>
      <c r="I191" s="313">
        <f>ROUND(F191*H191,2)</f>
        <v>11309.23</v>
      </c>
      <c r="J191" s="143"/>
      <c r="K191" s="25"/>
      <c r="L191" s="132"/>
      <c r="M191" s="25"/>
      <c r="N191" s="25"/>
      <c r="O191" s="25"/>
      <c r="P191" s="25"/>
      <c r="R191" s="25"/>
    </row>
    <row r="192" spans="1:18" ht="15" customHeight="1" x14ac:dyDescent="0.2">
      <c r="A192" s="284"/>
      <c r="B192" s="150"/>
      <c r="C192" s="150"/>
      <c r="D192" s="149" t="s">
        <v>822</v>
      </c>
      <c r="E192" s="150"/>
      <c r="F192" s="146"/>
      <c r="G192" s="146"/>
      <c r="H192" s="151"/>
      <c r="I192" s="152"/>
      <c r="J192" s="143"/>
      <c r="K192" s="25"/>
      <c r="L192" s="132"/>
      <c r="M192" s="25"/>
      <c r="N192" s="25"/>
      <c r="O192" s="25"/>
      <c r="P192" s="25"/>
      <c r="R192" s="25"/>
    </row>
    <row r="193" spans="1:63" s="26" customFormat="1" ht="15" customHeight="1" x14ac:dyDescent="0.2">
      <c r="A193" s="563" t="s">
        <v>11</v>
      </c>
      <c r="B193" s="564"/>
      <c r="C193" s="564"/>
      <c r="D193" s="565" t="s">
        <v>341</v>
      </c>
      <c r="E193" s="564"/>
      <c r="F193" s="566"/>
      <c r="G193" s="567"/>
      <c r="H193" s="568"/>
      <c r="I193" s="569">
        <f>SUM(I194:I195)</f>
        <v>106792.84999999999</v>
      </c>
      <c r="J193" s="262"/>
      <c r="K193" s="25"/>
      <c r="L193" s="132"/>
      <c r="M193" s="25"/>
      <c r="N193" s="25"/>
      <c r="O193" s="25"/>
      <c r="P193" s="25"/>
      <c r="R193" s="25"/>
    </row>
    <row r="194" spans="1:63" ht="42.75" x14ac:dyDescent="0.2">
      <c r="A194" s="320" t="s">
        <v>972</v>
      </c>
      <c r="B194" s="154" t="s">
        <v>46</v>
      </c>
      <c r="C194" s="226">
        <v>94043</v>
      </c>
      <c r="D194" s="147" t="s">
        <v>733</v>
      </c>
      <c r="E194" s="226" t="s">
        <v>16</v>
      </c>
      <c r="F194" s="146">
        <f>'planilha auxiliar'!O75</f>
        <v>4871.2996192837436</v>
      </c>
      <c r="G194" s="374">
        <v>13.76</v>
      </c>
      <c r="H194" s="146">
        <f t="shared" ref="H194:H195" si="50">ROUND((1+$L$16)*G194,2)</f>
        <v>17.09</v>
      </c>
      <c r="I194" s="313">
        <f>ROUND(F194*H194,2)</f>
        <v>83250.509999999995</v>
      </c>
      <c r="J194" s="143"/>
      <c r="K194" s="25"/>
      <c r="L194" s="132"/>
      <c r="M194" s="25"/>
      <c r="N194" s="25"/>
      <c r="O194" s="25"/>
      <c r="P194" s="25"/>
      <c r="R194" s="25"/>
    </row>
    <row r="195" spans="1:63" ht="43.5" customHeight="1" x14ac:dyDescent="0.2">
      <c r="A195" s="320" t="s">
        <v>973</v>
      </c>
      <c r="B195" s="154" t="s">
        <v>46</v>
      </c>
      <c r="C195" s="226">
        <v>94046</v>
      </c>
      <c r="D195" s="147" t="s">
        <v>824</v>
      </c>
      <c r="E195" s="226" t="s">
        <v>16</v>
      </c>
      <c r="F195" s="146">
        <f>'planilha auxiliar'!P75</f>
        <v>1134.5703807162558</v>
      </c>
      <c r="G195" s="374">
        <v>16.71</v>
      </c>
      <c r="H195" s="146">
        <f t="shared" si="50"/>
        <v>20.75</v>
      </c>
      <c r="I195" s="313">
        <f>ROUND(F195*H195,2)</f>
        <v>23542.34</v>
      </c>
      <c r="J195" s="143"/>
      <c r="K195" s="25"/>
      <c r="L195" s="132"/>
      <c r="M195" s="25"/>
      <c r="N195" s="25"/>
      <c r="O195" s="25"/>
      <c r="P195" s="25"/>
      <c r="R195" s="25"/>
    </row>
    <row r="196" spans="1:63" ht="15" customHeight="1" x14ac:dyDescent="0.2">
      <c r="A196" s="295"/>
      <c r="B196" s="150"/>
      <c r="C196" s="150"/>
      <c r="D196" s="149"/>
      <c r="E196" s="150"/>
      <c r="F196" s="146"/>
      <c r="G196" s="146"/>
      <c r="H196" s="151"/>
      <c r="I196" s="152"/>
      <c r="J196" s="143"/>
      <c r="K196" s="25"/>
      <c r="L196" s="132"/>
      <c r="M196" s="25"/>
      <c r="N196" s="25"/>
      <c r="O196" s="25"/>
      <c r="P196" s="25"/>
      <c r="R196" s="25"/>
    </row>
    <row r="197" spans="1:63" s="26" customFormat="1" ht="15" customHeight="1" x14ac:dyDescent="0.2">
      <c r="A197" s="563" t="s">
        <v>12</v>
      </c>
      <c r="B197" s="564"/>
      <c r="C197" s="564"/>
      <c r="D197" s="565" t="s">
        <v>734</v>
      </c>
      <c r="E197" s="564"/>
      <c r="F197" s="566"/>
      <c r="G197" s="567"/>
      <c r="H197" s="568"/>
      <c r="I197" s="569">
        <f>SUM(I198:I199)</f>
        <v>94897.72</v>
      </c>
      <c r="J197" s="262"/>
      <c r="K197" s="25"/>
      <c r="L197" s="132"/>
      <c r="M197" s="25"/>
      <c r="N197" s="25"/>
      <c r="O197" s="25"/>
      <c r="P197" s="25"/>
      <c r="R197" s="25"/>
    </row>
    <row r="198" spans="1:63" ht="28.5" x14ac:dyDescent="0.2">
      <c r="A198" s="320" t="s">
        <v>974</v>
      </c>
      <c r="B198" s="154" t="s">
        <v>46</v>
      </c>
      <c r="C198" s="154">
        <v>94097</v>
      </c>
      <c r="D198" s="148" t="s">
        <v>735</v>
      </c>
      <c r="E198" s="154" t="s">
        <v>16</v>
      </c>
      <c r="F198" s="146">
        <f>1221+289+392+923</f>
        <v>2825</v>
      </c>
      <c r="G198" s="146">
        <v>4.91</v>
      </c>
      <c r="H198" s="146">
        <f t="shared" ref="H198:H199" si="51">ROUND((1+$L$16)*G198,2)</f>
        <v>6.1</v>
      </c>
      <c r="I198" s="313">
        <f>ROUND(F198*H198,2)</f>
        <v>17232.5</v>
      </c>
      <c r="J198" s="143"/>
      <c r="K198" s="25" t="e">
        <f>#REF!/#REF!</f>
        <v>#REF!</v>
      </c>
      <c r="L198" s="132"/>
      <c r="M198" s="25"/>
      <c r="N198" s="25"/>
      <c r="O198" s="25"/>
      <c r="P198" s="25"/>
      <c r="R198" s="25"/>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row>
    <row r="199" spans="1:63" ht="71.25" x14ac:dyDescent="0.2">
      <c r="A199" s="320" t="s">
        <v>975</v>
      </c>
      <c r="B199" s="154" t="s">
        <v>46</v>
      </c>
      <c r="C199" s="154">
        <v>93378</v>
      </c>
      <c r="D199" s="148" t="s">
        <v>736</v>
      </c>
      <c r="E199" s="154" t="s">
        <v>17</v>
      </c>
      <c r="F199" s="146">
        <f>F189+F191+F190</f>
        <v>3155.84</v>
      </c>
      <c r="G199" s="146">
        <v>19.82</v>
      </c>
      <c r="H199" s="146">
        <f t="shared" si="51"/>
        <v>24.61</v>
      </c>
      <c r="I199" s="313">
        <f>ROUND(F199*H199,2)</f>
        <v>77665.22</v>
      </c>
      <c r="J199" s="143"/>
      <c r="K199" s="25"/>
      <c r="L199" s="132"/>
      <c r="M199" s="25"/>
      <c r="N199" s="25"/>
      <c r="O199" s="25"/>
      <c r="P199" s="25"/>
      <c r="R199" s="25"/>
    </row>
    <row r="200" spans="1:63" x14ac:dyDescent="0.2">
      <c r="A200" s="320"/>
      <c r="B200" s="154"/>
      <c r="C200" s="154"/>
      <c r="D200" s="148"/>
      <c r="E200" s="154"/>
      <c r="F200" s="146"/>
      <c r="G200" s="146"/>
      <c r="H200" s="146"/>
      <c r="I200" s="313"/>
      <c r="J200" s="143"/>
      <c r="K200" s="25"/>
      <c r="L200" s="132"/>
      <c r="M200" s="25"/>
      <c r="N200" s="25"/>
      <c r="O200" s="25"/>
      <c r="P200" s="25"/>
      <c r="R200" s="25"/>
    </row>
    <row r="201" spans="1:63" s="26" customFormat="1" ht="15" customHeight="1" x14ac:dyDescent="0.2">
      <c r="A201" s="563" t="s">
        <v>318</v>
      </c>
      <c r="B201" s="564"/>
      <c r="C201" s="564"/>
      <c r="D201" s="565" t="s">
        <v>342</v>
      </c>
      <c r="E201" s="564"/>
      <c r="F201" s="566"/>
      <c r="G201" s="567"/>
      <c r="H201" s="568"/>
      <c r="I201" s="569">
        <f>SUM(I202:I206)</f>
        <v>42276.479999999996</v>
      </c>
      <c r="J201" s="262"/>
      <c r="K201" s="25"/>
      <c r="L201" s="132" t="s">
        <v>746</v>
      </c>
      <c r="M201" s="25">
        <v>191</v>
      </c>
      <c r="N201" s="25"/>
      <c r="O201" s="25"/>
      <c r="P201" s="25"/>
      <c r="R201" s="25"/>
    </row>
    <row r="202" spans="1:63" s="126" customFormat="1" x14ac:dyDescent="0.2">
      <c r="A202" s="334" t="s">
        <v>976</v>
      </c>
      <c r="B202" s="226" t="s">
        <v>46</v>
      </c>
      <c r="C202" s="226" t="s">
        <v>60</v>
      </c>
      <c r="D202" s="147" t="s">
        <v>61</v>
      </c>
      <c r="E202" s="226" t="s">
        <v>15</v>
      </c>
      <c r="F202" s="146">
        <f>8*22*3</f>
        <v>528</v>
      </c>
      <c r="G202" s="146">
        <v>6.17</v>
      </c>
      <c r="H202" s="146">
        <f t="shared" ref="H202:H206" si="52">ROUND((1+$L$16)*G202,2)</f>
        <v>7.66</v>
      </c>
      <c r="I202" s="313">
        <f>ROUND(F202*H202,2)</f>
        <v>4044.48</v>
      </c>
      <c r="J202" s="321"/>
      <c r="K202" s="237"/>
      <c r="L202" s="322" t="s">
        <v>747</v>
      </c>
      <c r="M202" s="237">
        <v>113</v>
      </c>
      <c r="N202" s="237"/>
      <c r="O202" s="237"/>
      <c r="P202" s="237"/>
      <c r="R202" s="237"/>
    </row>
    <row r="203" spans="1:63" s="126" customFormat="1" ht="28.5" x14ac:dyDescent="0.2">
      <c r="A203" s="334" t="s">
        <v>977</v>
      </c>
      <c r="B203" s="226" t="s">
        <v>46</v>
      </c>
      <c r="C203" s="226" t="s">
        <v>89</v>
      </c>
      <c r="D203" s="147" t="s">
        <v>739</v>
      </c>
      <c r="E203" s="226" t="s">
        <v>18</v>
      </c>
      <c r="F203" s="146">
        <f>F178*0.1</f>
        <v>389.66900000000004</v>
      </c>
      <c r="G203" s="146">
        <v>26.54</v>
      </c>
      <c r="H203" s="146">
        <f t="shared" si="52"/>
        <v>32.96</v>
      </c>
      <c r="I203" s="313">
        <f>ROUND(F203*H203,2)</f>
        <v>12843.49</v>
      </c>
      <c r="J203" s="321"/>
      <c r="K203" s="237" t="s">
        <v>412</v>
      </c>
      <c r="L203" s="322" t="s">
        <v>748</v>
      </c>
      <c r="M203" s="237">
        <v>16</v>
      </c>
      <c r="N203" s="237"/>
      <c r="O203" s="237"/>
      <c r="P203" s="237"/>
      <c r="R203" s="237"/>
    </row>
    <row r="204" spans="1:63" s="126" customFormat="1" x14ac:dyDescent="0.2">
      <c r="A204" s="334" t="s">
        <v>978</v>
      </c>
      <c r="B204" s="226" t="s">
        <v>46</v>
      </c>
      <c r="C204" s="226">
        <v>73698</v>
      </c>
      <c r="D204" s="147" t="s">
        <v>838</v>
      </c>
      <c r="E204" s="226" t="s">
        <v>17</v>
      </c>
      <c r="F204" s="190">
        <f>F203*0.2*0.65</f>
        <v>50.656970000000015</v>
      </c>
      <c r="G204" s="146">
        <v>197.13</v>
      </c>
      <c r="H204" s="146">
        <f t="shared" si="52"/>
        <v>244.79</v>
      </c>
      <c r="I204" s="313">
        <f>ROUND(F204*H204,2)</f>
        <v>12400.32</v>
      </c>
      <c r="J204" s="321"/>
      <c r="K204" s="237"/>
      <c r="L204" s="322"/>
      <c r="M204" s="237"/>
      <c r="N204" s="237"/>
      <c r="O204" s="237"/>
      <c r="P204" s="237"/>
      <c r="R204" s="237"/>
    </row>
    <row r="205" spans="1:63" s="126" customFormat="1" ht="15" thickBot="1" x14ac:dyDescent="0.25">
      <c r="A205" s="933" t="s">
        <v>1336</v>
      </c>
      <c r="B205" s="586" t="s">
        <v>46</v>
      </c>
      <c r="C205" s="586">
        <v>83683</v>
      </c>
      <c r="D205" s="929" t="s">
        <v>826</v>
      </c>
      <c r="E205" s="586" t="s">
        <v>17</v>
      </c>
      <c r="F205" s="928">
        <f>F203*0.3*0.65</f>
        <v>75.985455000000002</v>
      </c>
      <c r="G205" s="585">
        <v>104.94</v>
      </c>
      <c r="H205" s="585">
        <f t="shared" si="52"/>
        <v>130.31</v>
      </c>
      <c r="I205" s="915">
        <f>ROUND(F205*H205,2)</f>
        <v>9901.66</v>
      </c>
      <c r="J205" s="321"/>
      <c r="K205" s="237"/>
      <c r="L205" s="322"/>
      <c r="M205" s="237"/>
      <c r="N205" s="237"/>
      <c r="O205" s="237"/>
      <c r="P205" s="237"/>
      <c r="R205" s="237"/>
    </row>
    <row r="206" spans="1:63" s="126" customFormat="1" x14ac:dyDescent="0.2">
      <c r="A206" s="930" t="s">
        <v>1337</v>
      </c>
      <c r="B206" s="910" t="s">
        <v>46</v>
      </c>
      <c r="C206" s="910" t="s">
        <v>836</v>
      </c>
      <c r="D206" s="931" t="s">
        <v>837</v>
      </c>
      <c r="E206" s="910" t="s">
        <v>17</v>
      </c>
      <c r="F206" s="932">
        <f>F203*0.1*0.65</f>
        <v>25.328485000000008</v>
      </c>
      <c r="G206" s="901">
        <v>98.13</v>
      </c>
      <c r="H206" s="901">
        <f t="shared" si="52"/>
        <v>121.86</v>
      </c>
      <c r="I206" s="919">
        <f>ROUND(F206*H206,2)</f>
        <v>3086.53</v>
      </c>
      <c r="J206" s="321"/>
      <c r="K206" s="237"/>
      <c r="L206" s="322"/>
      <c r="M206" s="237"/>
      <c r="N206" s="237"/>
      <c r="O206" s="237"/>
      <c r="P206" s="237"/>
      <c r="R206" s="237"/>
    </row>
    <row r="207" spans="1:63" ht="15" customHeight="1" x14ac:dyDescent="0.2">
      <c r="A207" s="334"/>
      <c r="B207" s="226"/>
      <c r="C207" s="226"/>
      <c r="D207" s="147"/>
      <c r="E207" s="154"/>
      <c r="F207" s="146"/>
      <c r="G207" s="146"/>
      <c r="H207" s="146"/>
      <c r="I207" s="313"/>
      <c r="J207" s="143"/>
      <c r="K207" s="25"/>
      <c r="L207" s="132"/>
      <c r="M207" s="25"/>
      <c r="N207" s="25"/>
      <c r="O207" s="25"/>
      <c r="P207" s="25"/>
      <c r="R207" s="25"/>
    </row>
    <row r="208" spans="1:63" s="26" customFormat="1" ht="15" customHeight="1" x14ac:dyDescent="0.2">
      <c r="A208" s="563" t="s">
        <v>319</v>
      </c>
      <c r="B208" s="564"/>
      <c r="C208" s="564"/>
      <c r="D208" s="565" t="s">
        <v>343</v>
      </c>
      <c r="E208" s="564"/>
      <c r="F208" s="566"/>
      <c r="G208" s="567"/>
      <c r="H208" s="568"/>
      <c r="I208" s="569">
        <f>SUM(I209:I220)</f>
        <v>73545.53</v>
      </c>
      <c r="J208" s="262"/>
      <c r="K208" s="25"/>
      <c r="L208" s="132"/>
      <c r="M208" s="25"/>
      <c r="N208" s="25"/>
      <c r="O208" s="25"/>
      <c r="P208" s="25"/>
      <c r="R208" s="25"/>
    </row>
    <row r="209" spans="1:18" s="26" customFormat="1" ht="42.75" x14ac:dyDescent="0.2">
      <c r="A209" s="320" t="s">
        <v>979</v>
      </c>
      <c r="B209" s="154" t="s">
        <v>46</v>
      </c>
      <c r="C209" s="154" t="s">
        <v>914</v>
      </c>
      <c r="D209" s="148" t="s">
        <v>915</v>
      </c>
      <c r="E209" s="154" t="s">
        <v>19</v>
      </c>
      <c r="F209" s="146">
        <v>6</v>
      </c>
      <c r="G209" s="146">
        <v>289.92</v>
      </c>
      <c r="H209" s="146">
        <f t="shared" ref="H209:H219" si="53">ROUND((1+$L$16)*G209,2)</f>
        <v>360.02</v>
      </c>
      <c r="I209" s="313">
        <f>ROUND(F209*H209,2)</f>
        <v>2160.12</v>
      </c>
      <c r="J209" s="262"/>
      <c r="K209" s="25" t="s">
        <v>574</v>
      </c>
      <c r="L209" s="132">
        <v>8</v>
      </c>
      <c r="M209" s="25"/>
      <c r="N209" s="25"/>
      <c r="O209" s="25"/>
      <c r="P209" s="25"/>
      <c r="R209" s="25"/>
    </row>
    <row r="210" spans="1:18" s="26" customFormat="1" ht="71.25" x14ac:dyDescent="0.2">
      <c r="A210" s="320" t="s">
        <v>980</v>
      </c>
      <c r="B210" s="154" t="s">
        <v>46</v>
      </c>
      <c r="C210" s="154" t="s">
        <v>1422</v>
      </c>
      <c r="D210" s="148" t="s">
        <v>1423</v>
      </c>
      <c r="E210" s="154" t="s">
        <v>19</v>
      </c>
      <c r="F210" s="146">
        <v>2</v>
      </c>
      <c r="G210" s="146">
        <v>627.51</v>
      </c>
      <c r="H210" s="146">
        <f t="shared" si="53"/>
        <v>779.23</v>
      </c>
      <c r="I210" s="313">
        <f t="shared" ref="I210:I219" si="54">ROUND(F210*H210,2)</f>
        <v>1558.46</v>
      </c>
      <c r="J210" s="262"/>
      <c r="K210" s="25">
        <v>0.6</v>
      </c>
      <c r="L210" s="132">
        <v>6</v>
      </c>
      <c r="M210" s="25"/>
      <c r="N210" s="25"/>
      <c r="O210" s="25"/>
      <c r="P210" s="25"/>
      <c r="R210" s="25"/>
    </row>
    <row r="211" spans="1:18" s="26" customFormat="1" ht="36" customHeight="1" x14ac:dyDescent="0.2">
      <c r="A211" s="320" t="s">
        <v>981</v>
      </c>
      <c r="B211" s="154" t="s">
        <v>46</v>
      </c>
      <c r="C211" s="154" t="s">
        <v>91</v>
      </c>
      <c r="D211" s="148" t="s">
        <v>916</v>
      </c>
      <c r="E211" s="154" t="s">
        <v>19</v>
      </c>
      <c r="F211" s="146">
        <v>11</v>
      </c>
      <c r="G211" s="146">
        <v>322.04000000000002</v>
      </c>
      <c r="H211" s="146">
        <f t="shared" si="53"/>
        <v>399.9</v>
      </c>
      <c r="I211" s="313">
        <f t="shared" si="54"/>
        <v>4398.8999999999996</v>
      </c>
      <c r="J211" s="262"/>
      <c r="K211" s="25">
        <v>0.8</v>
      </c>
      <c r="L211" s="132">
        <v>2</v>
      </c>
      <c r="M211" s="25"/>
      <c r="N211" s="25"/>
      <c r="O211" s="25"/>
      <c r="P211" s="25"/>
      <c r="R211" s="25"/>
    </row>
    <row r="212" spans="1:18" s="26" customFormat="1" ht="71.25" x14ac:dyDescent="0.2">
      <c r="A212" s="320" t="s">
        <v>1338</v>
      </c>
      <c r="B212" s="154" t="s">
        <v>46</v>
      </c>
      <c r="C212" s="154" t="s">
        <v>344</v>
      </c>
      <c r="D212" s="148" t="s">
        <v>1409</v>
      </c>
      <c r="E212" s="154" t="s">
        <v>19</v>
      </c>
      <c r="F212" s="146">
        <v>8</v>
      </c>
      <c r="G212" s="146">
        <v>1216.3</v>
      </c>
      <c r="H212" s="146">
        <f t="shared" si="53"/>
        <v>1510.37</v>
      </c>
      <c r="I212" s="313">
        <f t="shared" si="54"/>
        <v>12082.96</v>
      </c>
      <c r="J212" s="262"/>
      <c r="K212" s="25">
        <v>1</v>
      </c>
      <c r="L212" s="132">
        <v>11</v>
      </c>
      <c r="M212" s="25"/>
      <c r="N212" s="25"/>
      <c r="O212" s="25"/>
      <c r="P212" s="25"/>
      <c r="R212" s="25"/>
    </row>
    <row r="213" spans="1:18" s="26" customFormat="1" ht="71.25" x14ac:dyDescent="0.2">
      <c r="A213" s="320" t="s">
        <v>1339</v>
      </c>
      <c r="B213" s="154" t="s">
        <v>46</v>
      </c>
      <c r="C213" s="154" t="s">
        <v>345</v>
      </c>
      <c r="D213" s="148" t="s">
        <v>1410</v>
      </c>
      <c r="E213" s="154" t="s">
        <v>19</v>
      </c>
      <c r="F213" s="146">
        <v>5</v>
      </c>
      <c r="G213" s="146">
        <v>1024.5</v>
      </c>
      <c r="H213" s="146">
        <f t="shared" si="53"/>
        <v>1272.2</v>
      </c>
      <c r="I213" s="313">
        <f t="shared" si="54"/>
        <v>6361</v>
      </c>
      <c r="J213" s="262"/>
      <c r="K213" s="25">
        <v>1.2</v>
      </c>
      <c r="L213" s="132">
        <v>8</v>
      </c>
      <c r="M213" s="25"/>
      <c r="N213" s="25"/>
      <c r="O213" s="25"/>
      <c r="P213" s="25"/>
      <c r="R213" s="25"/>
    </row>
    <row r="214" spans="1:18" s="26" customFormat="1" ht="71.25" x14ac:dyDescent="0.2">
      <c r="A214" s="320" t="s">
        <v>1340</v>
      </c>
      <c r="B214" s="154" t="s">
        <v>46</v>
      </c>
      <c r="C214" s="154" t="s">
        <v>1411</v>
      </c>
      <c r="D214" s="148" t="s">
        <v>1412</v>
      </c>
      <c r="E214" s="154" t="s">
        <v>19</v>
      </c>
      <c r="F214" s="146">
        <v>3</v>
      </c>
      <c r="G214" s="146">
        <v>1366.79</v>
      </c>
      <c r="H214" s="146">
        <f t="shared" si="53"/>
        <v>1697.24</v>
      </c>
      <c r="I214" s="313">
        <f t="shared" si="54"/>
        <v>5091.72</v>
      </c>
      <c r="J214" s="262"/>
      <c r="K214" s="25">
        <v>1.4</v>
      </c>
      <c r="L214" s="132">
        <v>5</v>
      </c>
      <c r="M214" s="25"/>
      <c r="N214" s="25"/>
      <c r="O214" s="25"/>
      <c r="P214" s="25"/>
      <c r="R214" s="25"/>
    </row>
    <row r="215" spans="1:18" s="26" customFormat="1" ht="72" thickBot="1" x14ac:dyDescent="0.25">
      <c r="A215" s="920" t="s">
        <v>1341</v>
      </c>
      <c r="B215" s="913" t="s">
        <v>46</v>
      </c>
      <c r="C215" s="913" t="s">
        <v>1413</v>
      </c>
      <c r="D215" s="584" t="s">
        <v>1414</v>
      </c>
      <c r="E215" s="913" t="s">
        <v>19</v>
      </c>
      <c r="F215" s="585">
        <v>3</v>
      </c>
      <c r="G215" s="585">
        <v>1374.97</v>
      </c>
      <c r="H215" s="585">
        <f t="shared" si="53"/>
        <v>1707.4</v>
      </c>
      <c r="I215" s="915">
        <f t="shared" si="54"/>
        <v>5122.2</v>
      </c>
      <c r="J215" s="262"/>
      <c r="K215" s="25">
        <v>1.5</v>
      </c>
      <c r="L215" s="132">
        <v>3</v>
      </c>
      <c r="M215" s="25"/>
      <c r="N215" s="25"/>
      <c r="O215" s="25"/>
      <c r="P215" s="25"/>
      <c r="R215" s="25"/>
    </row>
    <row r="216" spans="1:18" s="26" customFormat="1" ht="71.25" x14ac:dyDescent="0.2">
      <c r="A216" s="918" t="s">
        <v>1342</v>
      </c>
      <c r="B216" s="899" t="s">
        <v>46</v>
      </c>
      <c r="C216" s="899" t="s">
        <v>1415</v>
      </c>
      <c r="D216" s="900" t="s">
        <v>1416</v>
      </c>
      <c r="E216" s="899" t="s">
        <v>19</v>
      </c>
      <c r="F216" s="901">
        <v>3</v>
      </c>
      <c r="G216" s="901">
        <v>1385.24</v>
      </c>
      <c r="H216" s="901">
        <f t="shared" si="53"/>
        <v>1720.15</v>
      </c>
      <c r="I216" s="919">
        <f t="shared" si="54"/>
        <v>5160.45</v>
      </c>
      <c r="J216" s="262"/>
      <c r="K216" s="25">
        <v>1.6</v>
      </c>
      <c r="L216" s="132">
        <v>3</v>
      </c>
      <c r="M216" s="25"/>
      <c r="N216" s="25"/>
      <c r="O216" s="25"/>
      <c r="P216" s="25"/>
      <c r="R216" s="25"/>
    </row>
    <row r="217" spans="1:18" s="26" customFormat="1" ht="71.25" x14ac:dyDescent="0.2">
      <c r="A217" s="320" t="s">
        <v>1343</v>
      </c>
      <c r="B217" s="154" t="s">
        <v>46</v>
      </c>
      <c r="C217" s="154" t="s">
        <v>1417</v>
      </c>
      <c r="D217" s="148" t="s">
        <v>1418</v>
      </c>
      <c r="E217" s="154" t="s">
        <v>19</v>
      </c>
      <c r="F217" s="146">
        <v>4</v>
      </c>
      <c r="G217" s="146">
        <v>1496.01</v>
      </c>
      <c r="H217" s="146">
        <f t="shared" si="53"/>
        <v>1857.71</v>
      </c>
      <c r="I217" s="313">
        <f t="shared" si="54"/>
        <v>7430.84</v>
      </c>
      <c r="J217" s="262"/>
      <c r="K217" s="25">
        <v>1.7</v>
      </c>
      <c r="L217" s="132">
        <v>3</v>
      </c>
      <c r="M217" s="25"/>
      <c r="N217" s="25"/>
      <c r="O217" s="25"/>
      <c r="P217" s="25"/>
      <c r="R217" s="25"/>
    </row>
    <row r="218" spans="1:18" s="26" customFormat="1" ht="71.25" x14ac:dyDescent="0.2">
      <c r="A218" s="320" t="s">
        <v>1344</v>
      </c>
      <c r="B218" s="154" t="s">
        <v>46</v>
      </c>
      <c r="C218" s="154" t="s">
        <v>346</v>
      </c>
      <c r="D218" s="148" t="s">
        <v>1419</v>
      </c>
      <c r="E218" s="154" t="s">
        <v>19</v>
      </c>
      <c r="F218" s="146">
        <v>2</v>
      </c>
      <c r="G218" s="146">
        <v>1562.92</v>
      </c>
      <c r="H218" s="146">
        <f t="shared" si="53"/>
        <v>1940.79</v>
      </c>
      <c r="I218" s="313">
        <f t="shared" si="54"/>
        <v>3881.58</v>
      </c>
      <c r="J218" s="262"/>
      <c r="K218" s="25">
        <v>2</v>
      </c>
      <c r="L218" s="132">
        <v>4</v>
      </c>
      <c r="M218" s="25"/>
      <c r="N218" s="25"/>
      <c r="O218" s="25"/>
      <c r="P218" s="25"/>
      <c r="R218" s="25"/>
    </row>
    <row r="219" spans="1:18" s="26" customFormat="1" ht="42.75" x14ac:dyDescent="0.2">
      <c r="A219" s="320" t="s">
        <v>1345</v>
      </c>
      <c r="B219" s="154" t="s">
        <v>46</v>
      </c>
      <c r="C219" s="154" t="s">
        <v>445</v>
      </c>
      <c r="D219" s="148" t="s">
        <v>917</v>
      </c>
      <c r="E219" s="154" t="s">
        <v>19</v>
      </c>
      <c r="F219" s="146">
        <v>6</v>
      </c>
      <c r="G219" s="146">
        <v>1673.7</v>
      </c>
      <c r="H219" s="146">
        <f t="shared" si="53"/>
        <v>2078.36</v>
      </c>
      <c r="I219" s="313">
        <f t="shared" si="54"/>
        <v>12470.16</v>
      </c>
      <c r="J219" s="262"/>
      <c r="K219" s="25">
        <v>2.2999999999999998</v>
      </c>
      <c r="L219" s="132">
        <v>2</v>
      </c>
      <c r="M219" s="25"/>
      <c r="N219" s="25"/>
      <c r="O219" s="25"/>
      <c r="P219" s="25"/>
      <c r="R219" s="25"/>
    </row>
    <row r="220" spans="1:18" s="26" customFormat="1" ht="28.5" x14ac:dyDescent="0.2">
      <c r="A220" s="320" t="s">
        <v>1421</v>
      </c>
      <c r="B220" s="154" t="s">
        <v>46</v>
      </c>
      <c r="C220" s="154">
        <v>6240</v>
      </c>
      <c r="D220" s="148" t="s">
        <v>1420</v>
      </c>
      <c r="E220" s="154" t="s">
        <v>19</v>
      </c>
      <c r="F220" s="146">
        <f>F209+F211</f>
        <v>17</v>
      </c>
      <c r="G220" s="146">
        <v>403.82</v>
      </c>
      <c r="H220" s="146">
        <f>ROUND((1+$K$16)*G220,2)</f>
        <v>460.42</v>
      </c>
      <c r="I220" s="571">
        <f t="shared" ref="I220" si="55">ROUND(F220*H220,2)</f>
        <v>7827.14</v>
      </c>
      <c r="J220" s="262"/>
      <c r="K220" s="25"/>
      <c r="L220" s="132"/>
      <c r="M220" s="25"/>
      <c r="N220" s="25"/>
      <c r="O220" s="25"/>
      <c r="P220" s="25"/>
      <c r="R220" s="25"/>
    </row>
    <row r="221" spans="1:18" s="26" customFormat="1" x14ac:dyDescent="0.2">
      <c r="A221" s="320"/>
      <c r="B221" s="154"/>
      <c r="C221" s="154"/>
      <c r="D221" s="148"/>
      <c r="E221" s="154"/>
      <c r="F221" s="146"/>
      <c r="G221" s="146"/>
      <c r="H221" s="146"/>
      <c r="I221" s="313"/>
      <c r="J221" s="262"/>
      <c r="K221" s="25"/>
      <c r="L221" s="132"/>
      <c r="M221" s="25"/>
      <c r="N221" s="25"/>
      <c r="O221" s="25"/>
      <c r="P221" s="25"/>
      <c r="R221" s="25"/>
    </row>
    <row r="222" spans="1:18" s="26" customFormat="1" ht="15" customHeight="1" x14ac:dyDescent="0.2">
      <c r="A222" s="563" t="s">
        <v>320</v>
      </c>
      <c r="B222" s="564"/>
      <c r="C222" s="564"/>
      <c r="D222" s="565" t="s">
        <v>347</v>
      </c>
      <c r="E222" s="564"/>
      <c r="F222" s="566"/>
      <c r="G222" s="567"/>
      <c r="H222" s="568"/>
      <c r="I222" s="569">
        <f>SUM(I223:I231)</f>
        <v>693764.24</v>
      </c>
      <c r="J222" s="262"/>
      <c r="K222" s="25"/>
      <c r="L222" s="132"/>
      <c r="M222" s="25"/>
      <c r="N222" s="25"/>
      <c r="O222" s="25"/>
      <c r="P222" s="25"/>
      <c r="R222" s="25"/>
    </row>
    <row r="223" spans="1:18" ht="42.75" x14ac:dyDescent="0.2">
      <c r="A223" s="334" t="s">
        <v>982</v>
      </c>
      <c r="B223" s="154" t="s">
        <v>46</v>
      </c>
      <c r="C223" s="226">
        <v>90695</v>
      </c>
      <c r="D223" s="147" t="s">
        <v>741</v>
      </c>
      <c r="E223" s="226" t="s">
        <v>18</v>
      </c>
      <c r="F223" s="146">
        <v>1854</v>
      </c>
      <c r="G223" s="146">
        <v>37.46</v>
      </c>
      <c r="H223" s="146">
        <f t="shared" ref="H223:H225" si="56">ROUND((1+$L$16)*G223,2)</f>
        <v>46.52</v>
      </c>
      <c r="I223" s="313">
        <f t="shared" ref="I223" si="57">ROUND(F223*H223,2)</f>
        <v>86248.08</v>
      </c>
      <c r="J223" s="143"/>
      <c r="K223" s="25"/>
      <c r="L223" s="132"/>
      <c r="M223" s="25"/>
      <c r="N223" s="25"/>
      <c r="O223" s="25"/>
      <c r="P223" s="25"/>
      <c r="R223" s="25"/>
    </row>
    <row r="224" spans="1:18" ht="42.75" x14ac:dyDescent="0.2">
      <c r="A224" s="334" t="s">
        <v>983</v>
      </c>
      <c r="B224" s="154" t="s">
        <v>46</v>
      </c>
      <c r="C224" s="154">
        <v>90696</v>
      </c>
      <c r="D224" s="147" t="s">
        <v>804</v>
      </c>
      <c r="E224" s="154" t="s">
        <v>18</v>
      </c>
      <c r="F224" s="146">
        <v>750</v>
      </c>
      <c r="G224" s="146">
        <v>57.28</v>
      </c>
      <c r="H224" s="146">
        <f t="shared" si="56"/>
        <v>71.13</v>
      </c>
      <c r="I224" s="313">
        <f t="shared" ref="I224:I231" si="58">ROUND(F224*H224,2)</f>
        <v>53347.5</v>
      </c>
      <c r="J224" s="143"/>
      <c r="K224" s="25"/>
      <c r="L224" s="132"/>
      <c r="M224" s="25"/>
      <c r="N224" s="25"/>
      <c r="O224" s="25"/>
      <c r="P224" s="25"/>
      <c r="R224" s="25"/>
    </row>
    <row r="225" spans="1:18" ht="42.75" x14ac:dyDescent="0.2">
      <c r="A225" s="334" t="s">
        <v>984</v>
      </c>
      <c r="B225" s="154" t="s">
        <v>46</v>
      </c>
      <c r="C225" s="154">
        <v>90697</v>
      </c>
      <c r="D225" s="147" t="s">
        <v>1551</v>
      </c>
      <c r="E225" s="154" t="s">
        <v>18</v>
      </c>
      <c r="F225" s="146">
        <v>328</v>
      </c>
      <c r="G225" s="146">
        <v>94.99</v>
      </c>
      <c r="H225" s="146">
        <f t="shared" si="56"/>
        <v>117.96</v>
      </c>
      <c r="I225" s="313">
        <f t="shared" si="58"/>
        <v>38690.879999999997</v>
      </c>
      <c r="J225" s="143"/>
      <c r="K225" s="25"/>
      <c r="L225" s="132"/>
      <c r="M225" s="25"/>
      <c r="N225" s="25"/>
      <c r="O225" s="25"/>
      <c r="P225" s="25"/>
      <c r="R225" s="25"/>
    </row>
    <row r="226" spans="1:18" s="26" customFormat="1" x14ac:dyDescent="0.2">
      <c r="A226" s="334" t="s">
        <v>985</v>
      </c>
      <c r="B226" s="154" t="s">
        <v>66</v>
      </c>
      <c r="C226" s="154"/>
      <c r="D226" s="147" t="s">
        <v>1366</v>
      </c>
      <c r="E226" s="154" t="s">
        <v>18</v>
      </c>
      <c r="F226" s="146">
        <f>F229</f>
        <v>11.69</v>
      </c>
      <c r="G226" s="146">
        <v>389</v>
      </c>
      <c r="H226" s="146">
        <f>ROUND((1+$K$16)*G226,2)</f>
        <v>443.52</v>
      </c>
      <c r="I226" s="571">
        <f t="shared" si="58"/>
        <v>5184.75</v>
      </c>
      <c r="J226" s="262"/>
      <c r="K226" s="25"/>
      <c r="L226" s="132"/>
      <c r="M226" s="25"/>
      <c r="N226" s="25"/>
      <c r="O226" s="25"/>
      <c r="P226" s="25"/>
      <c r="R226" s="25"/>
    </row>
    <row r="227" spans="1:18" s="26" customFormat="1" x14ac:dyDescent="0.2">
      <c r="A227" s="334" t="s">
        <v>986</v>
      </c>
      <c r="B227" s="154" t="s">
        <v>66</v>
      </c>
      <c r="C227" s="154"/>
      <c r="D227" s="147" t="s">
        <v>1368</v>
      </c>
      <c r="E227" s="154" t="s">
        <v>18</v>
      </c>
      <c r="F227" s="146">
        <f t="shared" ref="F227:F228" si="59">F230</f>
        <v>914</v>
      </c>
      <c r="G227" s="146">
        <v>456</v>
      </c>
      <c r="H227" s="146">
        <f t="shared" ref="H227:H228" si="60">ROUND((1+$K$16)*G227,2)</f>
        <v>519.91</v>
      </c>
      <c r="I227" s="571">
        <f t="shared" si="58"/>
        <v>475197.74</v>
      </c>
      <c r="J227" s="262"/>
      <c r="K227" s="25"/>
      <c r="L227" s="132"/>
      <c r="M227" s="25"/>
      <c r="N227" s="25"/>
      <c r="O227" s="25"/>
      <c r="P227" s="25"/>
      <c r="R227" s="25"/>
    </row>
    <row r="228" spans="1:18" s="26" customFormat="1" x14ac:dyDescent="0.2">
      <c r="A228" s="334" t="s">
        <v>1346</v>
      </c>
      <c r="B228" s="154" t="s">
        <v>66</v>
      </c>
      <c r="C228" s="154"/>
      <c r="D228" s="147" t="s">
        <v>1367</v>
      </c>
      <c r="E228" s="154" t="s">
        <v>18</v>
      </c>
      <c r="F228" s="146">
        <f t="shared" si="59"/>
        <v>39</v>
      </c>
      <c r="G228" s="146">
        <v>560</v>
      </c>
      <c r="H228" s="146">
        <f t="shared" si="60"/>
        <v>638.49</v>
      </c>
      <c r="I228" s="571">
        <f t="shared" si="58"/>
        <v>24901.11</v>
      </c>
      <c r="J228" s="262"/>
      <c r="K228" s="25"/>
      <c r="L228" s="132"/>
      <c r="M228" s="25"/>
      <c r="N228" s="25"/>
      <c r="O228" s="25"/>
      <c r="P228" s="25"/>
      <c r="R228" s="25"/>
    </row>
    <row r="229" spans="1:18" ht="28.5" x14ac:dyDescent="0.2">
      <c r="A229" s="334" t="s">
        <v>1347</v>
      </c>
      <c r="B229" s="154" t="s">
        <v>46</v>
      </c>
      <c r="C229" s="154" t="s">
        <v>80</v>
      </c>
      <c r="D229" s="147" t="s">
        <v>348</v>
      </c>
      <c r="E229" s="154" t="s">
        <v>18</v>
      </c>
      <c r="F229" s="146">
        <v>11.69</v>
      </c>
      <c r="G229" s="146">
        <v>6.6</v>
      </c>
      <c r="H229" s="146">
        <f t="shared" ref="H229:H231" si="61">ROUND((1+$L$16)*G229,2)</f>
        <v>8.1999999999999993</v>
      </c>
      <c r="I229" s="313">
        <f t="shared" si="58"/>
        <v>95.86</v>
      </c>
      <c r="J229" s="143"/>
      <c r="K229" s="25"/>
      <c r="L229" s="132"/>
      <c r="M229" s="25"/>
      <c r="N229" s="25"/>
      <c r="O229" s="25"/>
      <c r="P229" s="25"/>
      <c r="R229" s="25"/>
    </row>
    <row r="230" spans="1:18" ht="28.5" x14ac:dyDescent="0.2">
      <c r="A230" s="334" t="s">
        <v>1348</v>
      </c>
      <c r="B230" s="154" t="s">
        <v>46</v>
      </c>
      <c r="C230" s="154" t="s">
        <v>482</v>
      </c>
      <c r="D230" s="147" t="s">
        <v>483</v>
      </c>
      <c r="E230" s="154" t="s">
        <v>18</v>
      </c>
      <c r="F230" s="146">
        <v>914</v>
      </c>
      <c r="G230" s="146">
        <v>8.4600000000000009</v>
      </c>
      <c r="H230" s="146">
        <f t="shared" si="61"/>
        <v>10.51</v>
      </c>
      <c r="I230" s="313">
        <f t="shared" si="58"/>
        <v>9606.14</v>
      </c>
      <c r="J230" s="143"/>
      <c r="K230" s="25"/>
      <c r="L230" s="132"/>
      <c r="M230" s="25"/>
      <c r="N230" s="25"/>
      <c r="O230" s="25"/>
      <c r="P230" s="25"/>
      <c r="R230" s="25"/>
    </row>
    <row r="231" spans="1:18" ht="28.5" x14ac:dyDescent="0.2">
      <c r="A231" s="334" t="s">
        <v>1349</v>
      </c>
      <c r="B231" s="154" t="s">
        <v>46</v>
      </c>
      <c r="C231" s="154" t="s">
        <v>806</v>
      </c>
      <c r="D231" s="147" t="s">
        <v>805</v>
      </c>
      <c r="E231" s="154" t="s">
        <v>18</v>
      </c>
      <c r="F231" s="146">
        <v>39</v>
      </c>
      <c r="G231" s="146">
        <v>10.16</v>
      </c>
      <c r="H231" s="146">
        <f t="shared" si="61"/>
        <v>12.62</v>
      </c>
      <c r="I231" s="313">
        <f t="shared" si="58"/>
        <v>492.18</v>
      </c>
      <c r="J231" s="143"/>
      <c r="K231" s="25"/>
      <c r="L231" s="132"/>
      <c r="M231" s="25"/>
      <c r="N231" s="25"/>
      <c r="O231" s="25"/>
      <c r="P231" s="25"/>
      <c r="R231" s="25"/>
    </row>
    <row r="232" spans="1:18" s="126" customFormat="1" x14ac:dyDescent="0.2">
      <c r="A232" s="295"/>
      <c r="B232" s="150"/>
      <c r="C232" s="150"/>
      <c r="D232" s="149"/>
      <c r="E232" s="150"/>
      <c r="F232" s="146"/>
      <c r="G232" s="146"/>
      <c r="H232" s="151"/>
      <c r="I232" s="152"/>
      <c r="J232" s="321"/>
      <c r="K232" s="237"/>
      <c r="L232" s="322"/>
      <c r="M232" s="237"/>
      <c r="N232" s="237">
        <v>170</v>
      </c>
      <c r="O232" s="237"/>
      <c r="P232" s="237"/>
      <c r="R232" s="237"/>
    </row>
    <row r="233" spans="1:18" s="26" customFormat="1" ht="15" customHeight="1" x14ac:dyDescent="0.2">
      <c r="A233" s="563" t="s">
        <v>321</v>
      </c>
      <c r="B233" s="564"/>
      <c r="C233" s="564"/>
      <c r="D233" s="565" t="s">
        <v>740</v>
      </c>
      <c r="E233" s="564"/>
      <c r="F233" s="566"/>
      <c r="G233" s="567"/>
      <c r="H233" s="568"/>
      <c r="I233" s="569">
        <f>SUM(I234:I234)</f>
        <v>73021.53</v>
      </c>
      <c r="J233" s="262"/>
      <c r="K233" s="25"/>
      <c r="L233" s="132"/>
      <c r="M233" s="25"/>
      <c r="N233" s="25">
        <v>54</v>
      </c>
      <c r="O233" s="25"/>
      <c r="P233" s="25"/>
      <c r="R233" s="25"/>
    </row>
    <row r="234" spans="1:18" s="126" customFormat="1" ht="28.5" x14ac:dyDescent="0.2">
      <c r="A234" s="334" t="s">
        <v>987</v>
      </c>
      <c r="B234" s="226" t="s">
        <v>336</v>
      </c>
      <c r="C234" s="226" t="str">
        <f>COMPOSIÇÕES!C142</f>
        <v>CE-011</v>
      </c>
      <c r="D234" s="147" t="str">
        <f>COMPOSIÇÕES!D142</f>
        <v>TRECHO COM TUBULAÇÃO APARENTE (APOIADA EM MANILHAS PREENCHIDAS COM CONCRETO)</v>
      </c>
      <c r="E234" s="154" t="s">
        <v>19</v>
      </c>
      <c r="F234" s="146">
        <v>1</v>
      </c>
      <c r="G234" s="146">
        <f>COMPOSIÇÕES!I142</f>
        <v>58804.21</v>
      </c>
      <c r="H234" s="146">
        <f t="shared" ref="H234" si="62">ROUND((1+$L$16)*G234,2)</f>
        <v>73021.53</v>
      </c>
      <c r="I234" s="313">
        <f>ROUND(F234*H234,2)</f>
        <v>73021.53</v>
      </c>
      <c r="J234" s="321"/>
      <c r="K234" s="237"/>
      <c r="L234" s="322"/>
      <c r="M234" s="237"/>
      <c r="N234" s="237"/>
      <c r="O234" s="237"/>
      <c r="P234" s="237"/>
      <c r="R234" s="237"/>
    </row>
    <row r="235" spans="1:18" s="126" customFormat="1" x14ac:dyDescent="0.2">
      <c r="A235" s="284"/>
      <c r="B235" s="287"/>
      <c r="C235" s="287"/>
      <c r="D235" s="289"/>
      <c r="E235" s="287"/>
      <c r="F235" s="353"/>
      <c r="G235" s="354"/>
      <c r="H235" s="291"/>
      <c r="I235" s="293"/>
      <c r="J235" s="321"/>
      <c r="K235" s="237"/>
      <c r="L235" s="322"/>
      <c r="M235" s="237"/>
      <c r="N235" s="237"/>
      <c r="O235" s="237"/>
      <c r="P235" s="237"/>
      <c r="R235" s="237"/>
    </row>
    <row r="236" spans="1:18" s="26" customFormat="1" ht="15" customHeight="1" x14ac:dyDescent="0.2">
      <c r="A236" s="563" t="s">
        <v>322</v>
      </c>
      <c r="B236" s="564"/>
      <c r="C236" s="564"/>
      <c r="D236" s="565" t="s">
        <v>356</v>
      </c>
      <c r="E236" s="564"/>
      <c r="F236" s="566"/>
      <c r="G236" s="567"/>
      <c r="H236" s="568"/>
      <c r="I236" s="569">
        <f>SUM(I237:I243)</f>
        <v>64537.77</v>
      </c>
      <c r="J236" s="262"/>
      <c r="K236" s="25"/>
      <c r="L236" s="132"/>
      <c r="M236" s="25"/>
      <c r="N236" s="25"/>
      <c r="O236" s="25"/>
      <c r="P236" s="25"/>
      <c r="R236" s="25"/>
    </row>
    <row r="237" spans="1:18" ht="42.75" x14ac:dyDescent="0.2">
      <c r="A237" s="320" t="s">
        <v>988</v>
      </c>
      <c r="B237" s="154" t="s">
        <v>46</v>
      </c>
      <c r="C237" s="154">
        <v>92970</v>
      </c>
      <c r="D237" s="148" t="s">
        <v>742</v>
      </c>
      <c r="E237" s="154" t="s">
        <v>16</v>
      </c>
      <c r="F237" s="146">
        <v>1066.1099999999999</v>
      </c>
      <c r="G237" s="146">
        <v>11.43</v>
      </c>
      <c r="H237" s="146">
        <f t="shared" ref="H237:H243" si="63">ROUND((1+$L$16)*G237,2)</f>
        <v>14.19</v>
      </c>
      <c r="I237" s="313">
        <f t="shared" ref="I237" si="64">ROUND(F237*H237,2)</f>
        <v>15128.1</v>
      </c>
      <c r="J237" s="143"/>
      <c r="K237" s="25"/>
      <c r="L237" s="132"/>
      <c r="M237" s="25"/>
      <c r="N237" s="25"/>
      <c r="O237" s="25"/>
      <c r="P237" s="25"/>
      <c r="R237" s="25"/>
    </row>
    <row r="238" spans="1:18" ht="28.5" x14ac:dyDescent="0.2">
      <c r="A238" s="320" t="s">
        <v>989</v>
      </c>
      <c r="B238" s="154" t="s">
        <v>46</v>
      </c>
      <c r="C238" s="154">
        <v>73711</v>
      </c>
      <c r="D238" s="148" t="s">
        <v>802</v>
      </c>
      <c r="E238" s="154" t="s">
        <v>17</v>
      </c>
      <c r="F238" s="190">
        <f>F237*0.2</f>
        <v>213.22199999999998</v>
      </c>
      <c r="G238" s="146">
        <v>76.510000000000005</v>
      </c>
      <c r="H238" s="146">
        <f t="shared" si="63"/>
        <v>95.01</v>
      </c>
      <c r="I238" s="313">
        <f>ROUND(F238*H238,2)</f>
        <v>20258.22</v>
      </c>
      <c r="J238" s="143"/>
      <c r="K238" s="25"/>
      <c r="L238" s="132"/>
      <c r="M238" s="25"/>
      <c r="N238" s="25"/>
      <c r="O238" s="25"/>
      <c r="P238" s="25"/>
      <c r="R238" s="25"/>
    </row>
    <row r="239" spans="1:18" ht="28.5" x14ac:dyDescent="0.2">
      <c r="A239" s="320" t="s">
        <v>990</v>
      </c>
      <c r="B239" s="154" t="s">
        <v>46</v>
      </c>
      <c r="C239" s="154" t="s">
        <v>431</v>
      </c>
      <c r="D239" s="148" t="s">
        <v>801</v>
      </c>
      <c r="E239" s="154" t="s">
        <v>17</v>
      </c>
      <c r="F239" s="146">
        <f>F237*0.05</f>
        <v>53.305499999999995</v>
      </c>
      <c r="G239" s="146">
        <v>329.34</v>
      </c>
      <c r="H239" s="146">
        <f t="shared" si="63"/>
        <v>408.97</v>
      </c>
      <c r="I239" s="313">
        <f>ROUND(F239*H239,2)</f>
        <v>21800.35</v>
      </c>
      <c r="J239" s="143"/>
      <c r="K239" s="25"/>
      <c r="L239" s="132"/>
      <c r="M239" s="25"/>
      <c r="N239" s="25"/>
      <c r="O239" s="25"/>
      <c r="P239" s="25"/>
      <c r="R239" s="25"/>
    </row>
    <row r="240" spans="1:18" ht="28.5" x14ac:dyDescent="0.2">
      <c r="A240" s="320" t="s">
        <v>991</v>
      </c>
      <c r="B240" s="154" t="s">
        <v>46</v>
      </c>
      <c r="C240" s="154">
        <v>72898</v>
      </c>
      <c r="D240" s="148" t="s">
        <v>743</v>
      </c>
      <c r="E240" s="154" t="s">
        <v>17</v>
      </c>
      <c r="F240" s="146">
        <f>F237*0.25*1.3</f>
        <v>346.48575</v>
      </c>
      <c r="G240" s="146">
        <v>3.57</v>
      </c>
      <c r="H240" s="146">
        <f t="shared" si="63"/>
        <v>4.43</v>
      </c>
      <c r="I240" s="313">
        <f t="shared" ref="I240:I243" si="65">ROUND(F240*H240,2)</f>
        <v>1534.93</v>
      </c>
      <c r="J240" s="143"/>
      <c r="K240" s="25"/>
      <c r="L240" s="132"/>
      <c r="M240" s="25"/>
      <c r="N240" s="25"/>
      <c r="O240" s="25"/>
      <c r="P240" s="25"/>
      <c r="R240" s="25"/>
    </row>
    <row r="241" spans="1:18" ht="28.5" x14ac:dyDescent="0.2">
      <c r="A241" s="320" t="s">
        <v>992</v>
      </c>
      <c r="B241" s="154" t="s">
        <v>46</v>
      </c>
      <c r="C241" s="154">
        <v>72900</v>
      </c>
      <c r="D241" s="148" t="s">
        <v>744</v>
      </c>
      <c r="E241" s="154" t="s">
        <v>17</v>
      </c>
      <c r="F241" s="146">
        <f>F240</f>
        <v>346.48575</v>
      </c>
      <c r="G241" s="146">
        <v>4.8899999999999997</v>
      </c>
      <c r="H241" s="146">
        <f t="shared" si="63"/>
        <v>6.07</v>
      </c>
      <c r="I241" s="313">
        <f t="shared" si="65"/>
        <v>2103.17</v>
      </c>
      <c r="J241" s="143"/>
      <c r="K241" s="25" t="e">
        <f>#REF!/#REF!</f>
        <v>#REF!</v>
      </c>
      <c r="L241" s="132"/>
      <c r="M241" s="25"/>
      <c r="N241" s="25"/>
      <c r="O241" s="25"/>
      <c r="P241" s="25"/>
      <c r="R241" s="25"/>
    </row>
    <row r="242" spans="1:18" ht="28.5" x14ac:dyDescent="0.2">
      <c r="A242" s="320" t="s">
        <v>993</v>
      </c>
      <c r="B242" s="154" t="s">
        <v>46</v>
      </c>
      <c r="C242" s="154">
        <v>83344</v>
      </c>
      <c r="D242" s="148" t="s">
        <v>745</v>
      </c>
      <c r="E242" s="154" t="s">
        <v>17</v>
      </c>
      <c r="F242" s="146">
        <f>F241</f>
        <v>346.48575</v>
      </c>
      <c r="G242" s="146">
        <v>1.02</v>
      </c>
      <c r="H242" s="146">
        <f t="shared" si="63"/>
        <v>1.27</v>
      </c>
      <c r="I242" s="313">
        <f t="shared" si="65"/>
        <v>440.04</v>
      </c>
      <c r="J242" s="143"/>
      <c r="K242" s="25"/>
      <c r="L242" s="132"/>
      <c r="M242" s="25"/>
      <c r="N242" s="25"/>
      <c r="O242" s="25"/>
      <c r="P242" s="25"/>
      <c r="R242" s="25"/>
    </row>
    <row r="243" spans="1:18" ht="15" customHeight="1" x14ac:dyDescent="0.2">
      <c r="A243" s="320" t="s">
        <v>994</v>
      </c>
      <c r="B243" s="226" t="s">
        <v>46</v>
      </c>
      <c r="C243" s="226">
        <v>9537</v>
      </c>
      <c r="D243" s="147" t="s">
        <v>727</v>
      </c>
      <c r="E243" s="226" t="s">
        <v>16</v>
      </c>
      <c r="F243" s="190">
        <f>F237</f>
        <v>1066.1099999999999</v>
      </c>
      <c r="G243" s="146">
        <v>2.4700000000000002</v>
      </c>
      <c r="H243" s="146">
        <f t="shared" si="63"/>
        <v>3.07</v>
      </c>
      <c r="I243" s="313">
        <f t="shared" si="65"/>
        <v>3272.96</v>
      </c>
      <c r="J243" s="143"/>
      <c r="K243" s="25"/>
      <c r="L243" s="132"/>
      <c r="M243" s="25"/>
      <c r="N243" s="25"/>
      <c r="O243" s="25"/>
      <c r="P243" s="25"/>
      <c r="R243" s="25"/>
    </row>
    <row r="244" spans="1:18" s="26" customFormat="1" x14ac:dyDescent="0.2">
      <c r="A244" s="284"/>
      <c r="B244" s="287"/>
      <c r="C244" s="287"/>
      <c r="D244" s="289"/>
      <c r="E244" s="287"/>
      <c r="F244" s="290"/>
      <c r="G244" s="291"/>
      <c r="H244" s="291"/>
      <c r="I244" s="293"/>
      <c r="J244" s="262"/>
      <c r="K244" s="25"/>
      <c r="L244" s="132"/>
      <c r="M244" s="25"/>
      <c r="N244" s="25"/>
      <c r="O244" s="25"/>
      <c r="P244" s="25"/>
      <c r="R244" s="25"/>
    </row>
    <row r="245" spans="1:18" s="26" customFormat="1" ht="15" x14ac:dyDescent="0.2">
      <c r="A245" s="358" t="s">
        <v>1063</v>
      </c>
      <c r="B245" s="298"/>
      <c r="C245" s="298"/>
      <c r="D245" s="299" t="s">
        <v>94</v>
      </c>
      <c r="E245" s="298" t="s">
        <v>62</v>
      </c>
      <c r="F245" s="300"/>
      <c r="G245" s="301"/>
      <c r="H245" s="302"/>
      <c r="I245" s="303">
        <f>I246+I268+I281+I298</f>
        <v>517841.01</v>
      </c>
      <c r="J245" s="262"/>
      <c r="K245" s="25"/>
      <c r="L245" s="132"/>
      <c r="M245" s="25"/>
      <c r="N245" s="25"/>
      <c r="O245" s="25"/>
      <c r="P245" s="25"/>
      <c r="R245" s="25"/>
    </row>
    <row r="246" spans="1:18" s="26" customFormat="1" ht="15" x14ac:dyDescent="0.2">
      <c r="A246" s="563" t="s">
        <v>257</v>
      </c>
      <c r="B246" s="564"/>
      <c r="C246" s="564"/>
      <c r="D246" s="565" t="s">
        <v>339</v>
      </c>
      <c r="E246" s="564"/>
      <c r="F246" s="566"/>
      <c r="G246" s="567"/>
      <c r="H246" s="568"/>
      <c r="I246" s="569">
        <f>SUM(I247:I250)</f>
        <v>1837.9099999999999</v>
      </c>
      <c r="J246" s="262"/>
      <c r="K246" s="25"/>
      <c r="L246" s="132"/>
      <c r="M246" s="25"/>
      <c r="N246" s="25"/>
      <c r="O246" s="25"/>
      <c r="P246" s="25"/>
      <c r="R246" s="25"/>
    </row>
    <row r="247" spans="1:18" s="26" customFormat="1" ht="28.5" x14ac:dyDescent="0.2">
      <c r="A247" s="570" t="s">
        <v>995</v>
      </c>
      <c r="B247" s="323" t="s">
        <v>46</v>
      </c>
      <c r="C247" s="154" t="s">
        <v>758</v>
      </c>
      <c r="D247" s="148" t="s">
        <v>759</v>
      </c>
      <c r="E247" s="323" t="s">
        <v>17</v>
      </c>
      <c r="F247" s="146">
        <f>F250*0.2</f>
        <v>107.732</v>
      </c>
      <c r="G247" s="146">
        <v>0.49</v>
      </c>
      <c r="H247" s="146">
        <f t="shared" ref="H247:H250" si="66">ROUND((1+$L$16)*G247,2)</f>
        <v>0.61</v>
      </c>
      <c r="I247" s="571">
        <f t="shared" ref="I247:I250" si="67">ROUND(F247*H247,2)</f>
        <v>65.72</v>
      </c>
      <c r="J247" s="262"/>
      <c r="K247" s="25"/>
      <c r="L247" s="132"/>
      <c r="M247" s="25"/>
      <c r="N247" s="25"/>
      <c r="O247" s="25"/>
      <c r="P247" s="25"/>
      <c r="R247" s="25"/>
    </row>
    <row r="248" spans="1:18" s="26" customFormat="1" ht="28.5" x14ac:dyDescent="0.2">
      <c r="A248" s="570" t="s">
        <v>996</v>
      </c>
      <c r="B248" s="323" t="s">
        <v>46</v>
      </c>
      <c r="C248" s="226">
        <v>72898</v>
      </c>
      <c r="D248" s="156" t="s">
        <v>743</v>
      </c>
      <c r="E248" s="323" t="s">
        <v>17</v>
      </c>
      <c r="F248" s="146">
        <f>F247*1.3</f>
        <v>140.05160000000001</v>
      </c>
      <c r="G248" s="146">
        <v>3.57</v>
      </c>
      <c r="H248" s="146">
        <f t="shared" si="66"/>
        <v>4.43</v>
      </c>
      <c r="I248" s="571">
        <f t="shared" si="67"/>
        <v>620.42999999999995</v>
      </c>
      <c r="J248" s="262"/>
      <c r="K248" s="25"/>
      <c r="L248" s="132"/>
      <c r="M248" s="25"/>
      <c r="N248" s="25"/>
      <c r="O248" s="25"/>
      <c r="P248" s="25"/>
      <c r="R248" s="25"/>
    </row>
    <row r="249" spans="1:18" s="26" customFormat="1" ht="28.5" x14ac:dyDescent="0.2">
      <c r="A249" s="570" t="s">
        <v>997</v>
      </c>
      <c r="B249" s="323" t="s">
        <v>46</v>
      </c>
      <c r="C249" s="226">
        <v>72900</v>
      </c>
      <c r="D249" s="156" t="s">
        <v>744</v>
      </c>
      <c r="E249" s="323" t="s">
        <v>17</v>
      </c>
      <c r="F249" s="146">
        <f>F248</f>
        <v>140.05160000000001</v>
      </c>
      <c r="G249" s="146">
        <v>4.8899999999999997</v>
      </c>
      <c r="H249" s="146">
        <f t="shared" si="66"/>
        <v>6.07</v>
      </c>
      <c r="I249" s="571">
        <f t="shared" si="67"/>
        <v>850.11</v>
      </c>
      <c r="J249" s="262"/>
      <c r="K249" s="25"/>
      <c r="L249" s="132"/>
      <c r="M249" s="25"/>
      <c r="N249" s="25"/>
      <c r="O249" s="25"/>
      <c r="P249" s="25"/>
      <c r="R249" s="25"/>
    </row>
    <row r="250" spans="1:18" s="26" customFormat="1" x14ac:dyDescent="0.2">
      <c r="A250" s="570" t="s">
        <v>998</v>
      </c>
      <c r="B250" s="323" t="s">
        <v>46</v>
      </c>
      <c r="C250" s="154">
        <v>79472</v>
      </c>
      <c r="D250" s="148" t="s">
        <v>760</v>
      </c>
      <c r="E250" s="226" t="s">
        <v>16</v>
      </c>
      <c r="F250" s="146">
        <v>538.66</v>
      </c>
      <c r="G250" s="146">
        <v>0.45</v>
      </c>
      <c r="H250" s="146">
        <f t="shared" si="66"/>
        <v>0.56000000000000005</v>
      </c>
      <c r="I250" s="571">
        <f t="shared" si="67"/>
        <v>301.64999999999998</v>
      </c>
      <c r="J250" s="262"/>
      <c r="K250" s="25"/>
      <c r="L250" s="132"/>
      <c r="M250" s="25"/>
      <c r="N250" s="25"/>
      <c r="O250" s="25"/>
      <c r="P250" s="25"/>
      <c r="R250" s="25"/>
    </row>
    <row r="251" spans="1:18" s="336" customFormat="1" x14ac:dyDescent="0.2">
      <c r="A251" s="570"/>
      <c r="B251" s="323"/>
      <c r="C251" s="226"/>
      <c r="D251" s="147"/>
      <c r="E251" s="323"/>
      <c r="F251" s="146"/>
      <c r="G251" s="146"/>
      <c r="H251" s="146"/>
      <c r="I251" s="571"/>
      <c r="J251" s="335"/>
      <c r="K251" s="335"/>
      <c r="L251" s="335"/>
      <c r="M251" s="335"/>
      <c r="N251" s="335"/>
      <c r="O251" s="335"/>
    </row>
    <row r="252" spans="1:18" s="336" customFormat="1" x14ac:dyDescent="0.2">
      <c r="A252" s="570"/>
      <c r="B252" s="323"/>
      <c r="C252" s="226"/>
      <c r="D252" s="147"/>
      <c r="E252" s="323"/>
      <c r="F252" s="146"/>
      <c r="G252" s="146"/>
      <c r="H252" s="146"/>
      <c r="I252" s="571"/>
      <c r="J252" s="335"/>
      <c r="K252" s="335"/>
      <c r="L252" s="335"/>
      <c r="M252" s="335"/>
      <c r="N252" s="335"/>
      <c r="O252" s="335"/>
    </row>
    <row r="253" spans="1:18" s="336" customFormat="1" ht="15" thickBot="1" x14ac:dyDescent="0.25">
      <c r="A253" s="912"/>
      <c r="B253" s="916"/>
      <c r="C253" s="586"/>
      <c r="D253" s="929"/>
      <c r="E253" s="916"/>
      <c r="F253" s="585"/>
      <c r="G253" s="585"/>
      <c r="H253" s="585"/>
      <c r="I253" s="917"/>
      <c r="J253" s="335"/>
      <c r="K253" s="335"/>
      <c r="L253" s="335"/>
      <c r="M253" s="335"/>
      <c r="N253" s="335"/>
      <c r="O253" s="335"/>
    </row>
    <row r="254" spans="1:18" s="336" customFormat="1" ht="15" x14ac:dyDescent="0.2">
      <c r="A254" s="921" t="s">
        <v>258</v>
      </c>
      <c r="B254" s="922"/>
      <c r="C254" s="922"/>
      <c r="D254" s="923" t="s">
        <v>1694</v>
      </c>
      <c r="E254" s="922"/>
      <c r="F254" s="924"/>
      <c r="G254" s="925"/>
      <c r="H254" s="926"/>
      <c r="I254" s="927">
        <f>SUM(I255:I266)</f>
        <v>6960.0399999999991</v>
      </c>
      <c r="J254" s="335"/>
      <c r="K254" s="335"/>
      <c r="L254" s="335"/>
      <c r="M254" s="335"/>
      <c r="N254" s="335"/>
      <c r="O254" s="335"/>
    </row>
    <row r="255" spans="1:18" s="336" customFormat="1" ht="32.25" customHeight="1" x14ac:dyDescent="0.2">
      <c r="A255" s="570" t="s">
        <v>1746</v>
      </c>
      <c r="B255" s="323" t="s">
        <v>46</v>
      </c>
      <c r="C255" s="226" t="s">
        <v>703</v>
      </c>
      <c r="D255" s="147" t="s">
        <v>704</v>
      </c>
      <c r="E255" s="323" t="s">
        <v>16</v>
      </c>
      <c r="F255" s="146">
        <f>11.2*4.9</f>
        <v>54.88</v>
      </c>
      <c r="G255" s="146">
        <v>8.3000000000000007</v>
      </c>
      <c r="H255" s="146">
        <f t="shared" ref="H255:H258" si="68">ROUND((1+$L$16)*G255,2)</f>
        <v>10.31</v>
      </c>
      <c r="I255" s="571">
        <f t="shared" ref="I255:I258" si="69">ROUND(F255*H255,2)</f>
        <v>565.80999999999995</v>
      </c>
      <c r="J255" s="335"/>
      <c r="K255" s="335"/>
      <c r="L255" s="335"/>
      <c r="M255" s="335"/>
      <c r="N255" s="335"/>
      <c r="O255" s="335"/>
    </row>
    <row r="256" spans="1:18" s="336" customFormat="1" ht="28.5" x14ac:dyDescent="0.2">
      <c r="A256" s="570" t="s">
        <v>1747</v>
      </c>
      <c r="B256" s="323" t="s">
        <v>46</v>
      </c>
      <c r="C256" s="226">
        <v>83338</v>
      </c>
      <c r="D256" s="147" t="s">
        <v>768</v>
      </c>
      <c r="E256" s="226" t="s">
        <v>17</v>
      </c>
      <c r="F256" s="146">
        <f>(2.6*2.1*4+5.2*3.9*4+1.9*3.7*4)*0.9</f>
        <v>117.97200000000001</v>
      </c>
      <c r="G256" s="146">
        <v>2.41</v>
      </c>
      <c r="H256" s="146">
        <f t="shared" si="68"/>
        <v>2.99</v>
      </c>
      <c r="I256" s="571">
        <f t="shared" si="69"/>
        <v>352.74</v>
      </c>
      <c r="J256" s="335"/>
      <c r="K256" s="335"/>
      <c r="L256" s="335"/>
      <c r="M256" s="335"/>
      <c r="N256" s="335"/>
      <c r="O256" s="335"/>
    </row>
    <row r="257" spans="1:18" ht="18.75" customHeight="1" x14ac:dyDescent="0.2">
      <c r="A257" s="570" t="s">
        <v>1748</v>
      </c>
      <c r="B257" s="154" t="s">
        <v>336</v>
      </c>
      <c r="C257" s="154" t="str">
        <f>COMPOSIÇÕES!C45</f>
        <v>CE-002</v>
      </c>
      <c r="D257" s="148" t="str">
        <f>COMPOSIÇÕES!D45</f>
        <v>ESCAVACAO MECANICA DE VALAS (SOLO COM AGUA), ENTRE 1,00 E 3,00 M.</v>
      </c>
      <c r="E257" s="154" t="s">
        <v>17</v>
      </c>
      <c r="F257" s="146">
        <f>(2.6*2.1*2+5.2*3.9*3.5+1.9*3.7*3.5)*0.9</f>
        <v>95.854500000000016</v>
      </c>
      <c r="G257" s="146">
        <f>COMPOSIÇÕES!I45</f>
        <v>20.659999999999997</v>
      </c>
      <c r="H257" s="146">
        <f t="shared" si="68"/>
        <v>25.66</v>
      </c>
      <c r="I257" s="313">
        <f t="shared" si="69"/>
        <v>2459.63</v>
      </c>
      <c r="J257" s="143"/>
      <c r="K257" s="25"/>
      <c r="L257" s="132"/>
      <c r="M257" s="25"/>
      <c r="N257" s="25"/>
      <c r="O257" s="25"/>
      <c r="P257" s="25"/>
      <c r="R257" s="25"/>
    </row>
    <row r="258" spans="1:18" s="336" customFormat="1" x14ac:dyDescent="0.2">
      <c r="A258" s="570" t="s">
        <v>1749</v>
      </c>
      <c r="B258" s="323" t="s">
        <v>46</v>
      </c>
      <c r="C258" s="226">
        <v>93358</v>
      </c>
      <c r="D258" s="147" t="s">
        <v>767</v>
      </c>
      <c r="E258" s="226" t="s">
        <v>17</v>
      </c>
      <c r="F258" s="146">
        <f>(F256+F257)*0.1</f>
        <v>21.382650000000002</v>
      </c>
      <c r="G258" s="146">
        <v>65.819999999999993</v>
      </c>
      <c r="H258" s="146">
        <f t="shared" si="68"/>
        <v>81.73</v>
      </c>
      <c r="I258" s="571">
        <f t="shared" si="69"/>
        <v>1747.6</v>
      </c>
      <c r="J258" s="335"/>
      <c r="K258" s="335"/>
      <c r="L258" s="335"/>
      <c r="M258" s="335"/>
      <c r="N258" s="335"/>
      <c r="O258" s="335"/>
    </row>
    <row r="259" spans="1:18" s="336" customFormat="1" ht="28.5" x14ac:dyDescent="0.2">
      <c r="A259" s="570" t="s">
        <v>1750</v>
      </c>
      <c r="B259" s="323" t="s">
        <v>46</v>
      </c>
      <c r="C259" s="154">
        <v>93382</v>
      </c>
      <c r="D259" s="148" t="s">
        <v>705</v>
      </c>
      <c r="E259" s="154" t="s">
        <v>17</v>
      </c>
      <c r="F259" s="608">
        <f>7.23*4+3.88*1.42</f>
        <v>34.429600000000001</v>
      </c>
      <c r="G259" s="146">
        <v>23.98</v>
      </c>
      <c r="H259" s="146">
        <f>ROUND((1+$L$16)*G259,2)</f>
        <v>29.78</v>
      </c>
      <c r="I259" s="571">
        <f>ROUND(F259*H259,2)</f>
        <v>1025.31</v>
      </c>
      <c r="J259" s="335"/>
      <c r="K259" s="335">
        <f>(8.2*4.1-6.2*2.1)*2.4</f>
        <v>49.439999999999984</v>
      </c>
      <c r="L259" s="335"/>
      <c r="M259" s="335"/>
      <c r="N259" s="335"/>
      <c r="O259" s="335"/>
    </row>
    <row r="260" spans="1:18" s="26" customFormat="1" ht="28.5" x14ac:dyDescent="0.2">
      <c r="A260" s="570" t="s">
        <v>1751</v>
      </c>
      <c r="B260" s="154" t="s">
        <v>46</v>
      </c>
      <c r="C260" s="154">
        <v>79480</v>
      </c>
      <c r="D260" s="148" t="s">
        <v>1695</v>
      </c>
      <c r="E260" s="154" t="s">
        <v>17</v>
      </c>
      <c r="F260" s="146">
        <f>(2.6*2.1*0.95)</f>
        <v>5.1870000000000003</v>
      </c>
      <c r="G260" s="146">
        <v>2.57</v>
      </c>
      <c r="H260" s="146">
        <f t="shared" ref="H260:H266" si="70">ROUND((1+$L$16)*G260,2)</f>
        <v>3.19</v>
      </c>
      <c r="I260" s="313">
        <f>ROUND(F260*H260,2)</f>
        <v>16.55</v>
      </c>
      <c r="J260" s="262"/>
      <c r="K260" s="25"/>
      <c r="L260" s="132"/>
      <c r="M260" s="25"/>
      <c r="N260" s="25"/>
      <c r="O260" s="25"/>
      <c r="P260" s="25"/>
      <c r="R260" s="25"/>
    </row>
    <row r="261" spans="1:18" s="26" customFormat="1" ht="28.5" x14ac:dyDescent="0.2">
      <c r="A261" s="570" t="s">
        <v>1752</v>
      </c>
      <c r="B261" s="154" t="s">
        <v>46</v>
      </c>
      <c r="C261" s="154">
        <v>72898</v>
      </c>
      <c r="D261" s="148" t="s">
        <v>1696</v>
      </c>
      <c r="E261" s="154" t="s">
        <v>17</v>
      </c>
      <c r="F261" s="146">
        <f>F260*1.3</f>
        <v>6.743100000000001</v>
      </c>
      <c r="G261" s="146">
        <v>3.57</v>
      </c>
      <c r="H261" s="146">
        <f t="shared" si="70"/>
        <v>4.43</v>
      </c>
      <c r="I261" s="313">
        <f>ROUND(F261*H261,2)</f>
        <v>29.87</v>
      </c>
      <c r="J261" s="262"/>
      <c r="K261" s="25"/>
      <c r="L261" s="132"/>
      <c r="M261" s="25"/>
      <c r="N261" s="25">
        <v>170</v>
      </c>
      <c r="O261" s="25"/>
      <c r="P261" s="25"/>
      <c r="R261" s="25"/>
    </row>
    <row r="262" spans="1:18" s="26" customFormat="1" ht="28.5" x14ac:dyDescent="0.2">
      <c r="A262" s="570" t="s">
        <v>999</v>
      </c>
      <c r="B262" s="154" t="s">
        <v>46</v>
      </c>
      <c r="C262" s="154">
        <v>72885</v>
      </c>
      <c r="D262" s="148" t="s">
        <v>1697</v>
      </c>
      <c r="E262" s="154" t="s">
        <v>698</v>
      </c>
      <c r="F262" s="190">
        <f>F261*5</f>
        <v>33.715500000000006</v>
      </c>
      <c r="G262" s="146">
        <v>1.36</v>
      </c>
      <c r="H262" s="146">
        <f t="shared" si="70"/>
        <v>1.69</v>
      </c>
      <c r="I262" s="313">
        <f t="shared" ref="I262" si="71">ROUND(F262*H262,2)</f>
        <v>56.98</v>
      </c>
      <c r="J262" s="262"/>
      <c r="K262" s="25"/>
      <c r="L262" s="132"/>
      <c r="M262" s="25"/>
      <c r="N262" s="25">
        <v>54</v>
      </c>
      <c r="O262" s="25"/>
      <c r="P262" s="25"/>
      <c r="R262" s="25"/>
    </row>
    <row r="263" spans="1:18" s="26" customFormat="1" ht="28.5" x14ac:dyDescent="0.2">
      <c r="A263" s="570" t="s">
        <v>1000</v>
      </c>
      <c r="B263" s="154" t="s">
        <v>46</v>
      </c>
      <c r="C263" s="154">
        <v>79480</v>
      </c>
      <c r="D263" s="148" t="s">
        <v>1698</v>
      </c>
      <c r="E263" s="154" t="s">
        <v>17</v>
      </c>
      <c r="F263" s="146">
        <f>F260+F270</f>
        <v>30.587</v>
      </c>
      <c r="G263" s="146">
        <v>2.57</v>
      </c>
      <c r="H263" s="146">
        <f t="shared" si="70"/>
        <v>3.19</v>
      </c>
      <c r="I263" s="313">
        <f>ROUND(F263*H263,2)</f>
        <v>97.57</v>
      </c>
      <c r="J263" s="262"/>
      <c r="K263" s="25"/>
      <c r="L263" s="132"/>
      <c r="M263" s="25"/>
      <c r="N263" s="25"/>
      <c r="O263" s="25"/>
      <c r="P263" s="25"/>
      <c r="R263" s="25"/>
    </row>
    <row r="264" spans="1:18" s="26" customFormat="1" ht="28.5" x14ac:dyDescent="0.2">
      <c r="A264" s="570" t="s">
        <v>1001</v>
      </c>
      <c r="B264" s="154" t="s">
        <v>46</v>
      </c>
      <c r="C264" s="154">
        <v>72898</v>
      </c>
      <c r="D264" s="148" t="s">
        <v>1699</v>
      </c>
      <c r="E264" s="154" t="s">
        <v>17</v>
      </c>
      <c r="F264" s="146">
        <f>F263*1.3</f>
        <v>39.763100000000001</v>
      </c>
      <c r="G264" s="146">
        <v>3.57</v>
      </c>
      <c r="H264" s="146">
        <f t="shared" si="70"/>
        <v>4.43</v>
      </c>
      <c r="I264" s="313">
        <f>ROUND(F264*H264,2)</f>
        <v>176.15</v>
      </c>
      <c r="J264" s="262"/>
      <c r="K264" s="25"/>
      <c r="L264" s="132"/>
      <c r="M264" s="25"/>
      <c r="N264" s="25">
        <v>170</v>
      </c>
      <c r="O264" s="25"/>
      <c r="P264" s="25"/>
      <c r="R264" s="25"/>
    </row>
    <row r="265" spans="1:18" s="26" customFormat="1" ht="28.5" x14ac:dyDescent="0.2">
      <c r="A265" s="570" t="s">
        <v>1002</v>
      </c>
      <c r="B265" s="154" t="s">
        <v>46</v>
      </c>
      <c r="C265" s="154">
        <v>72885</v>
      </c>
      <c r="D265" s="148" t="s">
        <v>1700</v>
      </c>
      <c r="E265" s="154" t="s">
        <v>698</v>
      </c>
      <c r="F265" s="190">
        <f>F264*5</f>
        <v>198.81550000000001</v>
      </c>
      <c r="G265" s="146">
        <v>1.36</v>
      </c>
      <c r="H265" s="146">
        <f t="shared" si="70"/>
        <v>1.69</v>
      </c>
      <c r="I265" s="313">
        <f t="shared" ref="I265" si="72">ROUND(F265*H265,2)</f>
        <v>336</v>
      </c>
      <c r="J265" s="262"/>
      <c r="K265" s="25"/>
      <c r="L265" s="132"/>
      <c r="M265" s="25"/>
      <c r="N265" s="25">
        <v>54</v>
      </c>
      <c r="O265" s="25"/>
      <c r="P265" s="25"/>
      <c r="R265" s="25"/>
    </row>
    <row r="266" spans="1:18" s="26" customFormat="1" ht="27.75" customHeight="1" x14ac:dyDescent="0.2">
      <c r="A266" s="570" t="s">
        <v>1003</v>
      </c>
      <c r="B266" s="154" t="s">
        <v>46</v>
      </c>
      <c r="C266" s="154" t="s">
        <v>58</v>
      </c>
      <c r="D266" s="148" t="s">
        <v>1701</v>
      </c>
      <c r="E266" s="154" t="s">
        <v>17</v>
      </c>
      <c r="F266" s="146">
        <f>F264</f>
        <v>39.763100000000001</v>
      </c>
      <c r="G266" s="146">
        <v>1.94</v>
      </c>
      <c r="H266" s="146">
        <f t="shared" si="70"/>
        <v>2.41</v>
      </c>
      <c r="I266" s="313">
        <f>ROUND(F266*H266,2)</f>
        <v>95.83</v>
      </c>
      <c r="J266" s="262"/>
      <c r="K266" s="25"/>
      <c r="L266" s="132"/>
      <c r="M266" s="25"/>
      <c r="N266" s="25"/>
      <c r="O266" s="25"/>
      <c r="P266" s="25"/>
      <c r="R266" s="25"/>
    </row>
    <row r="267" spans="1:18" s="26" customFormat="1" x14ac:dyDescent="0.2">
      <c r="A267" s="320"/>
      <c r="B267" s="154"/>
      <c r="C267" s="154"/>
      <c r="D267" s="148"/>
      <c r="E267" s="154"/>
      <c r="F267" s="146"/>
      <c r="G267" s="146"/>
      <c r="H267" s="146"/>
      <c r="I267" s="313"/>
      <c r="J267" s="262"/>
      <c r="K267" s="25"/>
      <c r="L267" s="132"/>
      <c r="M267" s="25"/>
      <c r="N267" s="25"/>
      <c r="O267" s="25"/>
      <c r="P267" s="25"/>
      <c r="R267" s="25"/>
    </row>
    <row r="268" spans="1:18" s="336" customFormat="1" ht="15" x14ac:dyDescent="0.2">
      <c r="A268" s="563" t="s">
        <v>259</v>
      </c>
      <c r="B268" s="564"/>
      <c r="C268" s="564"/>
      <c r="D268" s="565" t="s">
        <v>1702</v>
      </c>
      <c r="E268" s="564"/>
      <c r="F268" s="566"/>
      <c r="G268" s="567"/>
      <c r="H268" s="568"/>
      <c r="I268" s="569">
        <f>SUM(I269:I279)</f>
        <v>92241.349999999991</v>
      </c>
      <c r="J268" s="335"/>
      <c r="K268" s="335"/>
      <c r="L268" s="335"/>
      <c r="M268" s="335"/>
      <c r="N268" s="335"/>
      <c r="O268" s="335"/>
    </row>
    <row r="269" spans="1:18" s="336" customFormat="1" x14ac:dyDescent="0.2">
      <c r="A269" s="570" t="s">
        <v>1004</v>
      </c>
      <c r="B269" s="154" t="s">
        <v>46</v>
      </c>
      <c r="C269" s="226" t="s">
        <v>60</v>
      </c>
      <c r="D269" s="156" t="s">
        <v>61</v>
      </c>
      <c r="E269" s="323" t="s">
        <v>15</v>
      </c>
      <c r="F269" s="146">
        <f>8*44</f>
        <v>352</v>
      </c>
      <c r="G269" s="146">
        <v>6.17</v>
      </c>
      <c r="H269" s="146">
        <f t="shared" ref="H269:H270" si="73">ROUND((1+$L$16)*G269,2)</f>
        <v>7.66</v>
      </c>
      <c r="I269" s="313">
        <f>ROUND(F269*H269,2)</f>
        <v>2696.32</v>
      </c>
      <c r="J269" s="335"/>
      <c r="K269" s="335"/>
      <c r="L269" s="335"/>
      <c r="M269" s="335"/>
      <c r="N269" s="335"/>
      <c r="O269" s="335"/>
    </row>
    <row r="270" spans="1:18" s="336" customFormat="1" x14ac:dyDescent="0.2">
      <c r="A270" s="570" t="s">
        <v>1005</v>
      </c>
      <c r="B270" s="154" t="s">
        <v>46</v>
      </c>
      <c r="C270" s="226">
        <v>6454</v>
      </c>
      <c r="D270" s="156" t="s">
        <v>1691</v>
      </c>
      <c r="E270" s="154" t="s">
        <v>17</v>
      </c>
      <c r="F270" s="146">
        <v>25.4</v>
      </c>
      <c r="G270" s="146">
        <v>155.35</v>
      </c>
      <c r="H270" s="146">
        <f t="shared" si="73"/>
        <v>192.91</v>
      </c>
      <c r="I270" s="313">
        <f>ROUND(F270*H270,2)</f>
        <v>4899.91</v>
      </c>
      <c r="J270" s="335"/>
      <c r="K270" s="335"/>
      <c r="L270" s="335"/>
      <c r="M270" s="335"/>
      <c r="N270" s="335"/>
      <c r="O270" s="335"/>
    </row>
    <row r="271" spans="1:18" s="336" customFormat="1" ht="28.5" x14ac:dyDescent="0.2">
      <c r="A271" s="570" t="s">
        <v>1006</v>
      </c>
      <c r="B271" s="226" t="s">
        <v>46</v>
      </c>
      <c r="C271" s="226">
        <v>95241</v>
      </c>
      <c r="D271" s="156" t="s">
        <v>706</v>
      </c>
      <c r="E271" s="323" t="s">
        <v>16</v>
      </c>
      <c r="F271" s="146">
        <f>1.9*1.7+3*7.6</f>
        <v>26.029999999999998</v>
      </c>
      <c r="G271" s="146">
        <v>19.88</v>
      </c>
      <c r="H271" s="146">
        <f t="shared" ref="H271" si="74">ROUND((1+$L$16)*G271,2)</f>
        <v>24.69</v>
      </c>
      <c r="I271" s="571">
        <f t="shared" ref="I271" si="75">ROUND(F271*H271,2)</f>
        <v>642.67999999999995</v>
      </c>
      <c r="J271" s="335"/>
      <c r="K271" s="335"/>
      <c r="L271" s="335"/>
      <c r="M271" s="335"/>
      <c r="N271" s="335"/>
      <c r="O271" s="335"/>
    </row>
    <row r="272" spans="1:18" s="336" customFormat="1" ht="42.75" x14ac:dyDescent="0.2">
      <c r="A272" s="570" t="s">
        <v>1007</v>
      </c>
      <c r="B272" s="226" t="s">
        <v>46</v>
      </c>
      <c r="C272" s="226">
        <v>92481</v>
      </c>
      <c r="D272" s="148" t="s">
        <v>769</v>
      </c>
      <c r="E272" s="226" t="s">
        <v>16</v>
      </c>
      <c r="F272" s="146">
        <f>1.8*1.7+2.9*7.5</f>
        <v>24.81</v>
      </c>
      <c r="G272" s="146">
        <v>148.88999999999999</v>
      </c>
      <c r="H272" s="146">
        <f>ROUND((1+$L$16)*G272,2)</f>
        <v>184.89</v>
      </c>
      <c r="I272" s="571">
        <f>ROUND(F272*H272,2)</f>
        <v>4587.12</v>
      </c>
      <c r="J272" s="335"/>
      <c r="K272" s="330">
        <f>1.8*1.7+2.9*7.5</f>
        <v>24.81</v>
      </c>
      <c r="L272" s="335"/>
      <c r="M272" s="335"/>
      <c r="N272" s="335"/>
      <c r="O272" s="335"/>
    </row>
    <row r="273" spans="1:22" s="336" customFormat="1" ht="57" x14ac:dyDescent="0.2">
      <c r="A273" s="570" t="s">
        <v>1008</v>
      </c>
      <c r="B273" s="226" t="s">
        <v>46</v>
      </c>
      <c r="C273" s="226">
        <v>92408</v>
      </c>
      <c r="D273" s="148" t="s">
        <v>770</v>
      </c>
      <c r="E273" s="226" t="s">
        <v>16</v>
      </c>
      <c r="F273" s="146">
        <f>255.7-F272</f>
        <v>230.89</v>
      </c>
      <c r="G273" s="146">
        <v>126.28</v>
      </c>
      <c r="H273" s="146">
        <f>ROUND((1+$L$16)*G273,2)</f>
        <v>156.81</v>
      </c>
      <c r="I273" s="571">
        <f>ROUND(F273*H273,2)</f>
        <v>36205.86</v>
      </c>
      <c r="J273" s="335"/>
      <c r="K273" s="330">
        <f>1.8*1.2+2.9*7.5+47.8*2+2.9*2.02+1.8*5.35+10.2*1.6+13.6*6.85+5.8*4.88</f>
        <v>272.78199999999998</v>
      </c>
      <c r="L273" s="335"/>
      <c r="M273" s="335"/>
      <c r="N273" s="335"/>
      <c r="O273" s="335"/>
    </row>
    <row r="274" spans="1:22" s="336" customFormat="1" ht="15" thickBot="1" x14ac:dyDescent="0.25">
      <c r="A274" s="912" t="s">
        <v>1009</v>
      </c>
      <c r="B274" s="586" t="s">
        <v>46</v>
      </c>
      <c r="C274" s="586">
        <v>34441</v>
      </c>
      <c r="D274" s="584" t="s">
        <v>1352</v>
      </c>
      <c r="E274" s="586" t="s">
        <v>170</v>
      </c>
      <c r="F274" s="585">
        <v>1836</v>
      </c>
      <c r="G274" s="585">
        <v>3.8</v>
      </c>
      <c r="H274" s="585">
        <f>ROUND((1+$K$16)*G274,2)</f>
        <v>4.33</v>
      </c>
      <c r="I274" s="917">
        <f t="shared" ref="I274" si="76">ROUND(F274*H274,2)</f>
        <v>7949.88</v>
      </c>
      <c r="J274" s="335"/>
      <c r="K274" s="251"/>
      <c r="L274" s="335"/>
      <c r="M274" s="335"/>
      <c r="N274" s="335"/>
      <c r="O274" s="335"/>
    </row>
    <row r="275" spans="1:22" s="336" customFormat="1" x14ac:dyDescent="0.2">
      <c r="A275" s="897" t="s">
        <v>1010</v>
      </c>
      <c r="B275" s="910" t="s">
        <v>46</v>
      </c>
      <c r="C275" s="910">
        <v>34439</v>
      </c>
      <c r="D275" s="900" t="s">
        <v>771</v>
      </c>
      <c r="E275" s="910" t="s">
        <v>170</v>
      </c>
      <c r="F275" s="901">
        <v>2510</v>
      </c>
      <c r="G275" s="901">
        <v>4</v>
      </c>
      <c r="H275" s="901">
        <f>ROUND((1+$K$16)*G275,2)</f>
        <v>4.5599999999999996</v>
      </c>
      <c r="I275" s="902">
        <f t="shared" ref="I275:I276" si="77">ROUND(F275*H275,2)</f>
        <v>11445.6</v>
      </c>
      <c r="J275" s="335"/>
      <c r="K275" s="335"/>
      <c r="L275" s="335"/>
      <c r="M275" s="335"/>
      <c r="N275" s="335"/>
      <c r="O275" s="335"/>
    </row>
    <row r="276" spans="1:22" s="336" customFormat="1" x14ac:dyDescent="0.2">
      <c r="A276" s="570" t="s">
        <v>1011</v>
      </c>
      <c r="B276" s="226" t="s">
        <v>46</v>
      </c>
      <c r="C276" s="226">
        <v>33</v>
      </c>
      <c r="D276" s="148" t="s">
        <v>772</v>
      </c>
      <c r="E276" s="226" t="s">
        <v>170</v>
      </c>
      <c r="F276" s="146">
        <v>193</v>
      </c>
      <c r="G276" s="146">
        <v>4.1900000000000004</v>
      </c>
      <c r="H276" s="146">
        <f>ROUND((1+$K$16)*G276,2)</f>
        <v>4.78</v>
      </c>
      <c r="I276" s="571">
        <f t="shared" si="77"/>
        <v>922.54</v>
      </c>
      <c r="J276" s="335"/>
      <c r="K276" s="335"/>
      <c r="L276" s="335"/>
      <c r="M276" s="335"/>
      <c r="N276" s="335"/>
      <c r="O276" s="335"/>
    </row>
    <row r="277" spans="1:22" s="336" customFormat="1" ht="28.5" x14ac:dyDescent="0.2">
      <c r="A277" s="570" t="s">
        <v>1012</v>
      </c>
      <c r="B277" s="154" t="s">
        <v>46</v>
      </c>
      <c r="C277" s="226">
        <v>94973</v>
      </c>
      <c r="D277" s="156" t="s">
        <v>707</v>
      </c>
      <c r="E277" s="154" t="s">
        <v>17</v>
      </c>
      <c r="F277" s="146">
        <v>37.5</v>
      </c>
      <c r="G277" s="146">
        <v>318.3</v>
      </c>
      <c r="H277" s="146">
        <f t="shared" ref="H277:H279" si="78">ROUND((1+$L$16)*G277,2)</f>
        <v>395.26</v>
      </c>
      <c r="I277" s="571">
        <f>ROUND(F277*H277,2)</f>
        <v>14822.25</v>
      </c>
      <c r="J277" s="337"/>
      <c r="K277" s="335"/>
      <c r="L277" s="335"/>
      <c r="M277" s="335"/>
      <c r="N277" s="335"/>
      <c r="O277" s="335"/>
    </row>
    <row r="278" spans="1:22" s="26" customFormat="1" ht="28.5" x14ac:dyDescent="0.2">
      <c r="A278" s="570" t="s">
        <v>1013</v>
      </c>
      <c r="B278" s="154" t="s">
        <v>46</v>
      </c>
      <c r="C278" s="154">
        <v>92874</v>
      </c>
      <c r="D278" s="148" t="s">
        <v>773</v>
      </c>
      <c r="E278" s="154" t="s">
        <v>17</v>
      </c>
      <c r="F278" s="146">
        <f>F277</f>
        <v>37.5</v>
      </c>
      <c r="G278" s="146">
        <v>27.56</v>
      </c>
      <c r="H278" s="146">
        <f t="shared" si="78"/>
        <v>34.22</v>
      </c>
      <c r="I278" s="313">
        <f t="shared" ref="I278:I279" si="79">ROUND(F278*H278,2)</f>
        <v>1283.25</v>
      </c>
      <c r="J278" s="262"/>
      <c r="K278" s="25"/>
      <c r="L278" s="132"/>
      <c r="M278" s="25"/>
      <c r="N278" s="25"/>
      <c r="O278" s="25"/>
      <c r="P278" s="25"/>
      <c r="Q278" s="25"/>
      <c r="S278" s="25"/>
    </row>
    <row r="279" spans="1:22" s="336" customFormat="1" ht="28.5" x14ac:dyDescent="0.2">
      <c r="A279" s="570" t="s">
        <v>2192</v>
      </c>
      <c r="B279" s="154" t="s">
        <v>46</v>
      </c>
      <c r="C279" s="226" t="s">
        <v>377</v>
      </c>
      <c r="D279" s="156" t="s">
        <v>708</v>
      </c>
      <c r="E279" s="154" t="s">
        <v>16</v>
      </c>
      <c r="F279" s="146">
        <f>1.4*1.5*2+5.8*4.88+2.5*4.3*2+13.6*6.85+2.5*2.5*2+10.2*1.6</f>
        <v>175.98399999999998</v>
      </c>
      <c r="G279" s="146">
        <v>31.05</v>
      </c>
      <c r="H279" s="146">
        <f t="shared" si="78"/>
        <v>38.56</v>
      </c>
      <c r="I279" s="571">
        <f t="shared" si="79"/>
        <v>6785.94</v>
      </c>
      <c r="J279" s="335"/>
      <c r="K279" s="335"/>
      <c r="L279" s="335"/>
      <c r="M279" s="335"/>
      <c r="N279" s="335"/>
      <c r="O279" s="335"/>
    </row>
    <row r="280" spans="1:22" s="336" customFormat="1" x14ac:dyDescent="0.2">
      <c r="A280" s="570"/>
      <c r="B280" s="154"/>
      <c r="C280" s="226"/>
      <c r="D280" s="156"/>
      <c r="E280" s="154"/>
      <c r="F280" s="146"/>
      <c r="G280" s="146"/>
      <c r="H280" s="146"/>
      <c r="I280" s="571"/>
      <c r="J280" s="335"/>
      <c r="K280" s="335"/>
      <c r="L280" s="335"/>
      <c r="M280" s="335"/>
      <c r="N280" s="335"/>
      <c r="O280" s="335"/>
    </row>
    <row r="281" spans="1:22" s="336" customFormat="1" ht="15" x14ac:dyDescent="0.2">
      <c r="A281" s="563" t="s">
        <v>260</v>
      </c>
      <c r="B281" s="564"/>
      <c r="C281" s="564"/>
      <c r="D281" s="565" t="s">
        <v>1703</v>
      </c>
      <c r="E281" s="564"/>
      <c r="F281" s="566"/>
      <c r="G281" s="567"/>
      <c r="H281" s="568"/>
      <c r="I281" s="569">
        <f>SUM(I282:I296)</f>
        <v>374988.47</v>
      </c>
      <c r="J281" s="335"/>
      <c r="K281" s="335"/>
      <c r="L281" s="335"/>
      <c r="M281" s="335"/>
      <c r="N281" s="335"/>
      <c r="O281" s="335"/>
    </row>
    <row r="282" spans="1:22" s="128" customFormat="1" ht="28.5" x14ac:dyDescent="0.2">
      <c r="A282" s="570" t="s">
        <v>1014</v>
      </c>
      <c r="B282" s="226" t="s">
        <v>336</v>
      </c>
      <c r="C282" s="226" t="str">
        <f>COMPOSIÇÕES!C153</f>
        <v>CE-012</v>
      </c>
      <c r="D282" s="147" t="s">
        <v>752</v>
      </c>
      <c r="E282" s="226" t="s">
        <v>19</v>
      </c>
      <c r="F282" s="146">
        <v>1</v>
      </c>
      <c r="G282" s="146">
        <f>COMPOSIÇÕES!I153</f>
        <v>8471.07</v>
      </c>
      <c r="H282" s="146">
        <f t="shared" ref="H282:H296" si="80">ROUND((1+$L$16)*G282,2)</f>
        <v>10519.15</v>
      </c>
      <c r="I282" s="313">
        <f t="shared" ref="I282:I284" si="81">ROUND(F282*H282,2)</f>
        <v>10519.15</v>
      </c>
      <c r="J282" s="251"/>
      <c r="K282" s="138"/>
      <c r="L282" s="138"/>
      <c r="M282" s="138"/>
      <c r="N282" s="25"/>
      <c r="O282" s="25"/>
      <c r="P282" s="25"/>
      <c r="Q282" s="26"/>
      <c r="R282" s="25"/>
      <c r="S282" s="26"/>
      <c r="T282" s="26"/>
      <c r="U282" s="26"/>
      <c r="V282" s="26"/>
    </row>
    <row r="283" spans="1:22" s="128" customFormat="1" ht="28.5" x14ac:dyDescent="0.2">
      <c r="A283" s="570" t="s">
        <v>1015</v>
      </c>
      <c r="B283" s="226" t="s">
        <v>46</v>
      </c>
      <c r="C283" s="226">
        <v>73661</v>
      </c>
      <c r="D283" s="147" t="s">
        <v>337</v>
      </c>
      <c r="E283" s="226" t="s">
        <v>19</v>
      </c>
      <c r="F283" s="146">
        <v>2</v>
      </c>
      <c r="G283" s="146">
        <v>1752.73</v>
      </c>
      <c r="H283" s="146">
        <f t="shared" si="80"/>
        <v>2176.4899999999998</v>
      </c>
      <c r="I283" s="313">
        <f t="shared" si="81"/>
        <v>4352.9799999999996</v>
      </c>
      <c r="J283" s="251"/>
      <c r="K283" s="138"/>
      <c r="L283" s="138"/>
      <c r="M283" s="138"/>
      <c r="N283" s="25"/>
      <c r="O283" s="25"/>
      <c r="P283" s="25"/>
      <c r="Q283" s="26"/>
      <c r="R283" s="25"/>
      <c r="S283" s="26"/>
      <c r="T283" s="26"/>
      <c r="U283" s="26"/>
      <c r="V283" s="26"/>
    </row>
    <row r="284" spans="1:22" s="336" customFormat="1" ht="28.5" x14ac:dyDescent="0.2">
      <c r="A284" s="570" t="s">
        <v>1016</v>
      </c>
      <c r="B284" s="226" t="s">
        <v>66</v>
      </c>
      <c r="C284" s="154"/>
      <c r="D284" s="148" t="s">
        <v>923</v>
      </c>
      <c r="E284" s="154" t="s">
        <v>20</v>
      </c>
      <c r="F284" s="146">
        <v>2</v>
      </c>
      <c r="G284" s="146">
        <f>48210*1.05</f>
        <v>50620.5</v>
      </c>
      <c r="H284" s="146">
        <f>ROUND((1+$K$16)*G284,2)</f>
        <v>57715.29</v>
      </c>
      <c r="I284" s="571">
        <f t="shared" si="81"/>
        <v>115430.58</v>
      </c>
      <c r="J284" s="335"/>
      <c r="K284" s="335"/>
      <c r="L284" s="335"/>
      <c r="M284" s="335"/>
      <c r="N284" s="335"/>
      <c r="O284" s="335"/>
    </row>
    <row r="285" spans="1:22" s="336" customFormat="1" x14ac:dyDescent="0.2">
      <c r="A285" s="570" t="s">
        <v>1017</v>
      </c>
      <c r="B285" s="226" t="s">
        <v>46</v>
      </c>
      <c r="C285" s="226" t="s">
        <v>924</v>
      </c>
      <c r="D285" s="147" t="s">
        <v>925</v>
      </c>
      <c r="E285" s="226" t="s">
        <v>19</v>
      </c>
      <c r="F285" s="146">
        <v>2</v>
      </c>
      <c r="G285" s="146">
        <v>639.84</v>
      </c>
      <c r="H285" s="146">
        <f t="shared" si="80"/>
        <v>794.54</v>
      </c>
      <c r="I285" s="571">
        <f>ROUND(F285*H285,2)</f>
        <v>1589.08</v>
      </c>
      <c r="J285" s="335"/>
      <c r="K285" s="335"/>
      <c r="L285" s="335"/>
      <c r="M285" s="335"/>
      <c r="N285" s="335"/>
      <c r="O285" s="335"/>
    </row>
    <row r="286" spans="1:22" s="128" customFormat="1" ht="57" x14ac:dyDescent="0.2">
      <c r="A286" s="570" t="s">
        <v>1018</v>
      </c>
      <c r="B286" s="226" t="s">
        <v>336</v>
      </c>
      <c r="C286" s="226" t="str">
        <f>COMPOSIÇÕES!C160</f>
        <v>CE-013</v>
      </c>
      <c r="D286" s="147" t="s">
        <v>753</v>
      </c>
      <c r="E286" s="226" t="s">
        <v>19</v>
      </c>
      <c r="F286" s="146">
        <v>1</v>
      </c>
      <c r="G286" s="146">
        <f>COMPOSIÇÕES!I160</f>
        <v>1278.98</v>
      </c>
      <c r="H286" s="146">
        <f t="shared" si="80"/>
        <v>1588.2</v>
      </c>
      <c r="I286" s="313">
        <f t="shared" ref="I286:I296" si="82">ROUND(F286*H286,2)</f>
        <v>1588.2</v>
      </c>
      <c r="J286" s="251"/>
      <c r="K286" s="138"/>
      <c r="L286" s="138"/>
      <c r="M286" s="138"/>
      <c r="N286" s="25"/>
      <c r="O286" s="25"/>
      <c r="P286" s="25"/>
      <c r="Q286" s="26"/>
      <c r="R286" s="25"/>
      <c r="S286" s="26"/>
      <c r="T286" s="26"/>
      <c r="U286" s="26"/>
      <c r="V286" s="26"/>
    </row>
    <row r="287" spans="1:22" s="336" customFormat="1" ht="28.5" x14ac:dyDescent="0.2">
      <c r="A287" s="570" t="s">
        <v>1753</v>
      </c>
      <c r="B287" s="226" t="s">
        <v>336</v>
      </c>
      <c r="C287" s="154" t="str">
        <f>COMPOSIÇÕES!C172</f>
        <v>CE-014</v>
      </c>
      <c r="D287" s="148" t="str">
        <f>COMPOSIÇÕES!D172</f>
        <v>FORNECIMENTO E INSTALAÇÃO DA TAMPA  EM  CHAPA DE ALUMÍNIO, NAS DIMENSÕES (170X90)CM</v>
      </c>
      <c r="E287" s="154" t="s">
        <v>20</v>
      </c>
      <c r="F287" s="146">
        <v>1</v>
      </c>
      <c r="G287" s="146">
        <f>COMPOSIÇÕES!I172</f>
        <v>583.68000000000006</v>
      </c>
      <c r="H287" s="146">
        <f t="shared" si="80"/>
        <v>724.8</v>
      </c>
      <c r="I287" s="571">
        <f t="shared" si="82"/>
        <v>724.8</v>
      </c>
      <c r="J287" s="335"/>
      <c r="K287" s="335"/>
      <c r="L287" s="335"/>
      <c r="M287" s="335"/>
      <c r="N287" s="335"/>
      <c r="O287" s="335"/>
    </row>
    <row r="288" spans="1:22" s="336" customFormat="1" ht="28.5" x14ac:dyDescent="0.2">
      <c r="A288" s="570" t="s">
        <v>1754</v>
      </c>
      <c r="B288" s="226" t="s">
        <v>336</v>
      </c>
      <c r="C288" s="154" t="str">
        <f>COMPOSIÇÕES!C178</f>
        <v>CE-015</v>
      </c>
      <c r="D288" s="148" t="str">
        <f>COMPOSIÇÕES!D178</f>
        <v>FORNECIMENTO E INSTALAÇÃO DA TAMPA  EM  CHAPA DE ALUMÍNIO, NAS DIMENSÕES (115X80)CM</v>
      </c>
      <c r="E288" s="154" t="s">
        <v>20</v>
      </c>
      <c r="F288" s="146">
        <v>2</v>
      </c>
      <c r="G288" s="146">
        <f>COMPOSIÇÕES!I178</f>
        <v>399.49</v>
      </c>
      <c r="H288" s="146">
        <f t="shared" si="80"/>
        <v>496.08</v>
      </c>
      <c r="I288" s="571">
        <f t="shared" si="82"/>
        <v>992.16</v>
      </c>
      <c r="J288" s="335"/>
      <c r="K288" s="335"/>
      <c r="L288" s="335"/>
      <c r="M288" s="335"/>
      <c r="N288" s="335"/>
      <c r="O288" s="335"/>
    </row>
    <row r="289" spans="1:22" s="336" customFormat="1" ht="28.5" x14ac:dyDescent="0.2">
      <c r="A289" s="570" t="s">
        <v>1755</v>
      </c>
      <c r="B289" s="226" t="s">
        <v>336</v>
      </c>
      <c r="C289" s="154" t="str">
        <f>COMPOSIÇÕES!C184</f>
        <v>CE-016</v>
      </c>
      <c r="D289" s="148" t="str">
        <f>COMPOSIÇÕES!D184</f>
        <v>FORNECIMENTO E INSTALAÇÃO DA TAMPA  EM  CHAPA DE ALUMÍNIO, NAS DIMENSÕES (90X90)CM</v>
      </c>
      <c r="E289" s="154" t="s">
        <v>20</v>
      </c>
      <c r="F289" s="146">
        <v>1</v>
      </c>
      <c r="G289" s="146">
        <f>COMPOSIÇÕES!I184</f>
        <v>368.56999999999994</v>
      </c>
      <c r="H289" s="146">
        <f t="shared" si="80"/>
        <v>457.68</v>
      </c>
      <c r="I289" s="571">
        <f t="shared" si="82"/>
        <v>457.68</v>
      </c>
      <c r="J289" s="335"/>
      <c r="K289" s="335"/>
      <c r="L289" s="335"/>
      <c r="M289" s="335"/>
      <c r="N289" s="335"/>
      <c r="O289" s="335"/>
    </row>
    <row r="290" spans="1:22" s="336" customFormat="1" ht="28.5" x14ac:dyDescent="0.2">
      <c r="A290" s="570" t="s">
        <v>1756</v>
      </c>
      <c r="B290" s="226" t="s">
        <v>336</v>
      </c>
      <c r="C290" s="154" t="str">
        <f>COMPOSIÇÕES!C190</f>
        <v>CE-017</v>
      </c>
      <c r="D290" s="148" t="str">
        <f>COMPOSIÇÕES!D190</f>
        <v>FORNECIMENTO E INSTALAÇÃO DA TAMPA  EM  CHAPA DE ALUMÍNIO, NAS DIMENSÕES (70X70)CM</v>
      </c>
      <c r="E290" s="154" t="s">
        <v>20</v>
      </c>
      <c r="F290" s="146">
        <v>1</v>
      </c>
      <c r="G290" s="146">
        <f>COMPOSIÇÕES!I190</f>
        <v>306.23</v>
      </c>
      <c r="H290" s="146">
        <f t="shared" ref="H290" si="83">ROUND((1+$L$16)*G290,2)</f>
        <v>380.27</v>
      </c>
      <c r="I290" s="571">
        <f t="shared" ref="I290" si="84">ROUND(F290*H290,2)</f>
        <v>380.27</v>
      </c>
      <c r="J290" s="335"/>
      <c r="K290" s="335"/>
      <c r="L290" s="335"/>
      <c r="M290" s="335"/>
      <c r="N290" s="335"/>
      <c r="O290" s="335"/>
    </row>
    <row r="291" spans="1:22" s="336" customFormat="1" x14ac:dyDescent="0.2">
      <c r="A291" s="570" t="s">
        <v>1757</v>
      </c>
      <c r="B291" s="323" t="s">
        <v>336</v>
      </c>
      <c r="C291" s="323" t="str">
        <f>COMPOSIÇÕES!C86</f>
        <v>CE-008</v>
      </c>
      <c r="D291" s="148" t="str">
        <f>COMPOSIÇÕES!D86</f>
        <v>ABRIGO DOS QUADROS DE COMANDO DOS MOTORES "QCM's"</v>
      </c>
      <c r="E291" s="154" t="s">
        <v>19</v>
      </c>
      <c r="F291" s="146">
        <v>1</v>
      </c>
      <c r="G291" s="146">
        <f>COMPOSIÇÕES!I86</f>
        <v>16381.03</v>
      </c>
      <c r="H291" s="146">
        <f t="shared" si="80"/>
        <v>20341.54</v>
      </c>
      <c r="I291" s="571">
        <f t="shared" si="82"/>
        <v>20341.54</v>
      </c>
      <c r="J291" s="335"/>
      <c r="K291" s="335"/>
      <c r="L291" s="335"/>
      <c r="M291" s="335"/>
      <c r="N291" s="335"/>
      <c r="O291" s="335"/>
    </row>
    <row r="292" spans="1:22" s="336" customFormat="1" x14ac:dyDescent="0.2">
      <c r="A292" s="570" t="s">
        <v>1758</v>
      </c>
      <c r="B292" s="323" t="s">
        <v>336</v>
      </c>
      <c r="C292" s="323" t="str">
        <f>EEEF!J2</f>
        <v>ELT-004</v>
      </c>
      <c r="D292" s="561" t="str">
        <f>EEEF!H4</f>
        <v>EEEF-SALA ELÉTRICA - ILUMINAÇÃO E TOMADAS</v>
      </c>
      <c r="E292" s="154" t="s">
        <v>19</v>
      </c>
      <c r="F292" s="146">
        <v>1</v>
      </c>
      <c r="G292" s="146">
        <f>EEEF!K34</f>
        <v>16782.329999999998</v>
      </c>
      <c r="H292" s="146">
        <f t="shared" ref="H292:H294" si="85">ROUND((1+$L$16)*G292,2)</f>
        <v>20839.86</v>
      </c>
      <c r="I292" s="571">
        <f t="shared" ref="I292:I294" si="86">ROUND(F292*H292,2)</f>
        <v>20839.86</v>
      </c>
      <c r="J292" s="335"/>
      <c r="K292" s="335"/>
      <c r="L292" s="335"/>
      <c r="M292" s="335"/>
      <c r="N292" s="335"/>
      <c r="O292" s="335"/>
    </row>
    <row r="293" spans="1:22" s="336" customFormat="1" x14ac:dyDescent="0.2">
      <c r="A293" s="570" t="s">
        <v>1759</v>
      </c>
      <c r="B293" s="323" t="s">
        <v>336</v>
      </c>
      <c r="C293" s="323" t="str">
        <f>EEEF!J39</f>
        <v>ELT-005</v>
      </c>
      <c r="D293" s="148" t="str">
        <f>EEEF!H41</f>
        <v>EEEF-SALA ELÉTRICA -SPDA/ATERRAMENTO</v>
      </c>
      <c r="E293" s="154" t="s">
        <v>19</v>
      </c>
      <c r="F293" s="146">
        <v>1</v>
      </c>
      <c r="G293" s="146">
        <f>EEEF!K74</f>
        <v>5644.95</v>
      </c>
      <c r="H293" s="146">
        <f t="shared" si="85"/>
        <v>7009.75</v>
      </c>
      <c r="I293" s="571">
        <f t="shared" si="86"/>
        <v>7009.75</v>
      </c>
      <c r="J293" s="335"/>
      <c r="K293" s="335"/>
      <c r="L293" s="335"/>
      <c r="M293" s="335"/>
      <c r="N293" s="335"/>
      <c r="O293" s="335"/>
    </row>
    <row r="294" spans="1:22" s="336" customFormat="1" x14ac:dyDescent="0.2">
      <c r="A294" s="570" t="s">
        <v>1760</v>
      </c>
      <c r="B294" s="323" t="s">
        <v>336</v>
      </c>
      <c r="C294" s="323" t="str">
        <f>EEEF!J77</f>
        <v>ELT-006</v>
      </c>
      <c r="D294" s="148" t="str">
        <f>EEEF!H79</f>
        <v>EEEF-EQUIPAMENTOS E INSTRUMENTOS</v>
      </c>
      <c r="E294" s="154" t="s">
        <v>19</v>
      </c>
      <c r="F294" s="146">
        <v>1</v>
      </c>
      <c r="G294" s="146">
        <f>EEEF!K111</f>
        <v>42464</v>
      </c>
      <c r="H294" s="146">
        <f t="shared" si="85"/>
        <v>52730.69</v>
      </c>
      <c r="I294" s="571">
        <f t="shared" si="86"/>
        <v>52730.69</v>
      </c>
      <c r="J294" s="335"/>
      <c r="K294" s="335"/>
      <c r="L294" s="335"/>
      <c r="M294" s="335"/>
      <c r="N294" s="335"/>
      <c r="O294" s="335"/>
    </row>
    <row r="295" spans="1:22" s="128" customFormat="1" x14ac:dyDescent="0.2">
      <c r="A295" s="570" t="s">
        <v>1761</v>
      </c>
      <c r="B295" s="226" t="s">
        <v>66</v>
      </c>
      <c r="C295" s="226"/>
      <c r="D295" s="147" t="s">
        <v>2194</v>
      </c>
      <c r="E295" s="226" t="s">
        <v>19</v>
      </c>
      <c r="F295" s="146">
        <v>1</v>
      </c>
      <c r="G295" s="146">
        <v>73289</v>
      </c>
      <c r="H295" s="146">
        <f>ROUND((1+$K$16)*G295,2)</f>
        <v>83560.929999999993</v>
      </c>
      <c r="I295" s="571">
        <f t="shared" ref="I295" si="87">ROUND(F295*H295,2)</f>
        <v>83560.929999999993</v>
      </c>
      <c r="J295" s="251"/>
      <c r="K295" s="138"/>
      <c r="L295" s="138"/>
      <c r="M295" s="138"/>
      <c r="N295" s="25"/>
      <c r="O295" s="25"/>
      <c r="P295" s="25"/>
      <c r="Q295" s="26"/>
      <c r="R295" s="25"/>
      <c r="S295" s="26"/>
      <c r="T295" s="26"/>
      <c r="U295" s="26"/>
      <c r="V295" s="26"/>
    </row>
    <row r="296" spans="1:22" s="336" customFormat="1" ht="28.5" x14ac:dyDescent="0.2">
      <c r="A296" s="570" t="s">
        <v>2171</v>
      </c>
      <c r="B296" s="323" t="s">
        <v>336</v>
      </c>
      <c r="C296" s="323" t="str">
        <f>COMPOSIÇÕES!C196</f>
        <v>CE-018</v>
      </c>
      <c r="D296" s="148" t="s">
        <v>1566</v>
      </c>
      <c r="E296" s="154" t="s">
        <v>711</v>
      </c>
      <c r="F296" s="146">
        <v>1</v>
      </c>
      <c r="G296" s="146">
        <f>COMPOSIÇÕES!I196</f>
        <v>43865.310000000005</v>
      </c>
      <c r="H296" s="146">
        <f t="shared" si="80"/>
        <v>54470.8</v>
      </c>
      <c r="I296" s="571">
        <f t="shared" si="82"/>
        <v>54470.8</v>
      </c>
      <c r="J296" s="335"/>
      <c r="K296" s="335"/>
      <c r="L296" s="335"/>
      <c r="M296" s="335"/>
      <c r="N296" s="335"/>
      <c r="O296" s="335"/>
    </row>
    <row r="297" spans="1:22" ht="15" customHeight="1" thickBot="1" x14ac:dyDescent="0.25">
      <c r="A297" s="934"/>
      <c r="B297" s="935"/>
      <c r="C297" s="935"/>
      <c r="D297" s="936"/>
      <c r="E297" s="935"/>
      <c r="F297" s="937"/>
      <c r="G297" s="938"/>
      <c r="H297" s="939"/>
      <c r="I297" s="940"/>
      <c r="J297" s="143"/>
      <c r="K297" s="25"/>
      <c r="L297" s="132"/>
      <c r="M297" s="25"/>
      <c r="N297" s="25"/>
      <c r="O297" s="25"/>
      <c r="P297" s="25"/>
      <c r="R297" s="25"/>
    </row>
    <row r="298" spans="1:22" s="26" customFormat="1" ht="15" x14ac:dyDescent="0.2">
      <c r="A298" s="921" t="s">
        <v>1762</v>
      </c>
      <c r="B298" s="922"/>
      <c r="C298" s="922"/>
      <c r="D298" s="923" t="s">
        <v>754</v>
      </c>
      <c r="E298" s="922"/>
      <c r="F298" s="924"/>
      <c r="G298" s="925"/>
      <c r="H298" s="926"/>
      <c r="I298" s="927">
        <f>SUM(I299:I303)</f>
        <v>48773.279999999999</v>
      </c>
      <c r="J298" s="25"/>
      <c r="K298" s="25"/>
      <c r="L298" s="25"/>
      <c r="M298" s="25"/>
      <c r="N298" s="25"/>
      <c r="O298" s="25"/>
      <c r="P298" s="25"/>
      <c r="Q298" s="25"/>
      <c r="R298" s="25"/>
    </row>
    <row r="299" spans="1:22" s="26" customFormat="1" ht="28.5" x14ac:dyDescent="0.2">
      <c r="A299" s="334" t="s">
        <v>1763</v>
      </c>
      <c r="B299" s="226" t="s">
        <v>46</v>
      </c>
      <c r="C299" s="226" t="s">
        <v>764</v>
      </c>
      <c r="D299" s="156" t="s">
        <v>765</v>
      </c>
      <c r="E299" s="226" t="s">
        <v>16</v>
      </c>
      <c r="F299" s="146">
        <f>4.4*2.1</f>
        <v>9.240000000000002</v>
      </c>
      <c r="G299" s="146">
        <v>954.7</v>
      </c>
      <c r="H299" s="146">
        <f t="shared" ref="H299:H303" si="88">ROUND((1+$L$16)*G299,2)</f>
        <v>1185.52</v>
      </c>
      <c r="I299" s="313">
        <f t="shared" ref="I299:I303" si="89">ROUND(F299*H299,2)</f>
        <v>10954.2</v>
      </c>
      <c r="J299" s="319"/>
    </row>
    <row r="300" spans="1:22" s="26" customFormat="1" ht="42.75" x14ac:dyDescent="0.2">
      <c r="A300" s="334" t="s">
        <v>1764</v>
      </c>
      <c r="B300" s="226" t="s">
        <v>46</v>
      </c>
      <c r="C300" s="226">
        <v>94992</v>
      </c>
      <c r="D300" s="156" t="s">
        <v>755</v>
      </c>
      <c r="E300" s="226" t="s">
        <v>16</v>
      </c>
      <c r="F300" s="146">
        <v>19</v>
      </c>
      <c r="G300" s="146">
        <v>51.67</v>
      </c>
      <c r="H300" s="146">
        <f t="shared" si="88"/>
        <v>64.16</v>
      </c>
      <c r="I300" s="313">
        <f t="shared" si="89"/>
        <v>1219.04</v>
      </c>
      <c r="J300" s="319"/>
    </row>
    <row r="301" spans="1:22" s="26" customFormat="1" x14ac:dyDescent="0.2">
      <c r="A301" s="334" t="s">
        <v>1765</v>
      </c>
      <c r="B301" s="226" t="s">
        <v>46</v>
      </c>
      <c r="C301" s="226" t="s">
        <v>37</v>
      </c>
      <c r="D301" s="156" t="s">
        <v>756</v>
      </c>
      <c r="E301" s="226" t="s">
        <v>16</v>
      </c>
      <c r="F301" s="146">
        <v>100</v>
      </c>
      <c r="G301" s="146">
        <v>9.75</v>
      </c>
      <c r="H301" s="146">
        <f t="shared" si="88"/>
        <v>12.11</v>
      </c>
      <c r="I301" s="313">
        <f t="shared" si="89"/>
        <v>1211</v>
      </c>
      <c r="J301" s="319"/>
    </row>
    <row r="302" spans="1:22" s="26" customFormat="1" ht="28.5" x14ac:dyDescent="0.2">
      <c r="A302" s="334" t="s">
        <v>1766</v>
      </c>
      <c r="B302" s="226" t="s">
        <v>46</v>
      </c>
      <c r="C302" s="226">
        <v>94281</v>
      </c>
      <c r="D302" s="156" t="s">
        <v>757</v>
      </c>
      <c r="E302" s="226" t="s">
        <v>16</v>
      </c>
      <c r="F302" s="146">
        <v>200</v>
      </c>
      <c r="G302" s="146">
        <v>55</v>
      </c>
      <c r="H302" s="146">
        <f t="shared" si="88"/>
        <v>68.3</v>
      </c>
      <c r="I302" s="313">
        <f t="shared" si="89"/>
        <v>13660</v>
      </c>
      <c r="J302" s="319"/>
    </row>
    <row r="303" spans="1:22" ht="28.5" x14ac:dyDescent="0.2">
      <c r="A303" s="334" t="s">
        <v>1767</v>
      </c>
      <c r="B303" s="226" t="s">
        <v>46</v>
      </c>
      <c r="C303" s="226">
        <v>92393</v>
      </c>
      <c r="D303" s="156" t="s">
        <v>766</v>
      </c>
      <c r="E303" s="226" t="s">
        <v>16</v>
      </c>
      <c r="F303" s="146">
        <v>376</v>
      </c>
      <c r="G303" s="146">
        <v>46.54</v>
      </c>
      <c r="H303" s="146">
        <f t="shared" si="88"/>
        <v>57.79</v>
      </c>
      <c r="I303" s="313">
        <f t="shared" si="89"/>
        <v>21729.040000000001</v>
      </c>
      <c r="J303" s="143"/>
      <c r="K303" s="25"/>
      <c r="L303" s="132"/>
      <c r="M303" s="25"/>
      <c r="N303" s="25"/>
      <c r="O303" s="25"/>
      <c r="P303" s="25"/>
      <c r="R303" s="25"/>
    </row>
    <row r="304" spans="1:22" s="126" customFormat="1" x14ac:dyDescent="0.2">
      <c r="A304" s="284"/>
      <c r="B304" s="287"/>
      <c r="C304" s="287"/>
      <c r="D304" s="289"/>
      <c r="E304" s="287"/>
      <c r="F304" s="290"/>
      <c r="G304" s="291"/>
      <c r="H304" s="291"/>
      <c r="I304" s="293"/>
      <c r="J304" s="321"/>
      <c r="K304" s="237"/>
      <c r="L304" s="322"/>
      <c r="M304" s="237"/>
      <c r="N304" s="237"/>
      <c r="O304" s="237"/>
      <c r="P304" s="237"/>
      <c r="R304" s="237"/>
    </row>
    <row r="305" spans="1:63" ht="15" x14ac:dyDescent="0.2">
      <c r="A305" s="358" t="s">
        <v>1027</v>
      </c>
      <c r="B305" s="298"/>
      <c r="C305" s="298"/>
      <c r="D305" s="299" t="s">
        <v>751</v>
      </c>
      <c r="E305" s="298" t="s">
        <v>62</v>
      </c>
      <c r="F305" s="300"/>
      <c r="G305" s="301"/>
      <c r="H305" s="302"/>
      <c r="I305" s="303">
        <f>I306+I312+I317+I321+I325+I330+I336+I344</f>
        <v>235646.89</v>
      </c>
      <c r="J305" s="143"/>
      <c r="K305" s="25"/>
      <c r="L305" s="132"/>
      <c r="M305" s="25"/>
      <c r="N305" s="25"/>
      <c r="O305" s="25"/>
      <c r="P305" s="25"/>
      <c r="R305" s="25"/>
      <c r="S305" s="7"/>
      <c r="T305" s="7"/>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row>
    <row r="306" spans="1:63" s="26" customFormat="1" ht="15" customHeight="1" x14ac:dyDescent="0.2">
      <c r="A306" s="563" t="s">
        <v>261</v>
      </c>
      <c r="B306" s="564"/>
      <c r="C306" s="564"/>
      <c r="D306" s="565" t="s">
        <v>339</v>
      </c>
      <c r="E306" s="564"/>
      <c r="F306" s="566"/>
      <c r="G306" s="567"/>
      <c r="H306" s="568"/>
      <c r="I306" s="569">
        <f>SUM(I307:I310)</f>
        <v>7140.8</v>
      </c>
      <c r="J306" s="262"/>
      <c r="K306" s="25"/>
      <c r="L306" s="132"/>
      <c r="M306" s="25"/>
      <c r="N306" s="25"/>
      <c r="O306" s="25"/>
      <c r="P306" s="25"/>
      <c r="R306" s="25"/>
    </row>
    <row r="307" spans="1:63" ht="28.5" x14ac:dyDescent="0.2">
      <c r="A307" s="320" t="s">
        <v>1028</v>
      </c>
      <c r="B307" s="154" t="s">
        <v>46</v>
      </c>
      <c r="C307" s="154">
        <v>85323</v>
      </c>
      <c r="D307" s="148" t="s">
        <v>918</v>
      </c>
      <c r="E307" s="154" t="s">
        <v>18</v>
      </c>
      <c r="F307" s="146">
        <f>699.02+8.46</f>
        <v>707.48</v>
      </c>
      <c r="G307" s="146">
        <v>1.56</v>
      </c>
      <c r="H307" s="146">
        <f t="shared" ref="H307:H310" si="90">ROUND((1+$L$16)*G307,2)</f>
        <v>1.94</v>
      </c>
      <c r="I307" s="313">
        <f t="shared" ref="I307:I310" si="91">ROUND(F307*H307,2)</f>
        <v>1372.51</v>
      </c>
      <c r="J307" s="143"/>
      <c r="K307" s="25"/>
      <c r="L307" s="132"/>
      <c r="M307" s="25"/>
      <c r="N307" s="25"/>
      <c r="O307" s="25"/>
      <c r="P307" s="25"/>
      <c r="R307" s="25"/>
    </row>
    <row r="308" spans="1:63" ht="28.5" x14ac:dyDescent="0.2">
      <c r="A308" s="320" t="s">
        <v>1029</v>
      </c>
      <c r="B308" s="154" t="s">
        <v>46</v>
      </c>
      <c r="C308" s="226" t="s">
        <v>162</v>
      </c>
      <c r="D308" s="148" t="s">
        <v>728</v>
      </c>
      <c r="E308" s="154" t="s">
        <v>16</v>
      </c>
      <c r="F308" s="146">
        <f>2*3*2</f>
        <v>12</v>
      </c>
      <c r="G308" s="146">
        <v>52.37</v>
      </c>
      <c r="H308" s="146">
        <f t="shared" si="90"/>
        <v>65.03</v>
      </c>
      <c r="I308" s="313">
        <f t="shared" si="91"/>
        <v>780.36</v>
      </c>
      <c r="J308" s="143"/>
      <c r="K308" s="25"/>
      <c r="L308" s="132"/>
      <c r="M308" s="25"/>
      <c r="N308" s="25"/>
      <c r="O308" s="25"/>
      <c r="P308" s="25"/>
      <c r="R308" s="25"/>
    </row>
    <row r="309" spans="1:63" ht="15" customHeight="1" x14ac:dyDescent="0.2">
      <c r="A309" s="320" t="s">
        <v>1030</v>
      </c>
      <c r="B309" s="226" t="s">
        <v>46</v>
      </c>
      <c r="C309" s="226" t="s">
        <v>50</v>
      </c>
      <c r="D309" s="147" t="s">
        <v>730</v>
      </c>
      <c r="E309" s="226" t="s">
        <v>16</v>
      </c>
      <c r="F309" s="146">
        <f>5*2*1</f>
        <v>10</v>
      </c>
      <c r="G309" s="146">
        <v>51.86</v>
      </c>
      <c r="H309" s="146">
        <f t="shared" si="90"/>
        <v>64.400000000000006</v>
      </c>
      <c r="I309" s="313">
        <f t="shared" si="91"/>
        <v>644</v>
      </c>
      <c r="J309" s="143"/>
      <c r="K309" s="25"/>
      <c r="L309" s="132"/>
      <c r="M309" s="25"/>
      <c r="N309" s="25"/>
      <c r="O309" s="25"/>
      <c r="P309" s="25"/>
      <c r="R309" s="25"/>
    </row>
    <row r="310" spans="1:63" ht="15" customHeight="1" x14ac:dyDescent="0.2">
      <c r="A310" s="320" t="s">
        <v>1031</v>
      </c>
      <c r="B310" s="226" t="s">
        <v>46</v>
      </c>
      <c r="C310" s="226">
        <v>9537</v>
      </c>
      <c r="D310" s="147" t="s">
        <v>727</v>
      </c>
      <c r="E310" s="226" t="s">
        <v>16</v>
      </c>
      <c r="F310" s="190">
        <f>F307*2</f>
        <v>1414.96</v>
      </c>
      <c r="G310" s="146">
        <v>2.4700000000000002</v>
      </c>
      <c r="H310" s="146">
        <f t="shared" si="90"/>
        <v>3.07</v>
      </c>
      <c r="I310" s="313">
        <f t="shared" si="91"/>
        <v>4343.93</v>
      </c>
      <c r="J310" s="143"/>
      <c r="K310" s="25"/>
      <c r="L310" s="132"/>
      <c r="M310" s="25"/>
      <c r="N310" s="25"/>
      <c r="O310" s="25"/>
      <c r="P310" s="25"/>
      <c r="R310" s="25"/>
    </row>
    <row r="311" spans="1:63" ht="15" customHeight="1" x14ac:dyDescent="0.2">
      <c r="A311" s="320"/>
      <c r="B311" s="226"/>
      <c r="C311" s="226"/>
      <c r="D311" s="147"/>
      <c r="E311" s="226"/>
      <c r="F311" s="290"/>
      <c r="G311" s="146"/>
      <c r="H311" s="146"/>
      <c r="I311" s="313"/>
      <c r="J311" s="143"/>
      <c r="K311" s="25"/>
      <c r="L311" s="132"/>
      <c r="M311" s="25"/>
      <c r="N311" s="25"/>
      <c r="O311" s="25"/>
      <c r="P311" s="25"/>
      <c r="R311" s="25"/>
    </row>
    <row r="312" spans="1:63" s="26" customFormat="1" ht="15" customHeight="1" x14ac:dyDescent="0.2">
      <c r="A312" s="563" t="s">
        <v>262</v>
      </c>
      <c r="B312" s="564"/>
      <c r="C312" s="564"/>
      <c r="D312" s="565" t="s">
        <v>340</v>
      </c>
      <c r="E312" s="564"/>
      <c r="F312" s="566"/>
      <c r="G312" s="567"/>
      <c r="H312" s="568"/>
      <c r="I312" s="569">
        <f>SUM(I313:I315)</f>
        <v>10458.18</v>
      </c>
      <c r="J312" s="262"/>
      <c r="K312" s="25"/>
      <c r="L312" s="132"/>
      <c r="M312" s="25"/>
      <c r="N312" s="25"/>
      <c r="O312" s="25"/>
      <c r="P312" s="25"/>
      <c r="R312" s="25"/>
    </row>
    <row r="313" spans="1:63" ht="28.5" x14ac:dyDescent="0.2">
      <c r="A313" s="320" t="s">
        <v>1032</v>
      </c>
      <c r="B313" s="154" t="s">
        <v>46</v>
      </c>
      <c r="C313" s="154" t="str">
        <f>COMPOSIÇÕES!C138</f>
        <v>CE-010</v>
      </c>
      <c r="D313" s="148" t="str">
        <f>COMPOSIÇÕES!D138</f>
        <v>ESCAVACAO MECANICA DE VALAS (SOLO COM AGUA), PROFUNDIDADE ATE 1,50 M.</v>
      </c>
      <c r="E313" s="154" t="s">
        <v>17</v>
      </c>
      <c r="F313" s="146">
        <f>F307*0.65*1*0.25</f>
        <v>114.96550000000001</v>
      </c>
      <c r="G313" s="146">
        <f>COMPOSIÇÕES!I138</f>
        <v>15.5</v>
      </c>
      <c r="H313" s="146">
        <f t="shared" ref="H313:H315" si="92">ROUND((1+$L$16)*G313,2)</f>
        <v>19.25</v>
      </c>
      <c r="I313" s="313">
        <f t="shared" ref="I313" si="93">ROUND(F313*H313,2)</f>
        <v>2213.09</v>
      </c>
      <c r="J313" s="143"/>
      <c r="K313" s="25"/>
      <c r="L313" s="132"/>
      <c r="M313" s="25"/>
      <c r="N313" s="25"/>
      <c r="O313" s="25"/>
      <c r="P313" s="25"/>
      <c r="R313" s="25"/>
    </row>
    <row r="314" spans="1:63" ht="71.25" x14ac:dyDescent="0.2">
      <c r="A314" s="320" t="s">
        <v>1033</v>
      </c>
      <c r="B314" s="154" t="s">
        <v>46</v>
      </c>
      <c r="C314" s="154">
        <v>90105</v>
      </c>
      <c r="D314" s="148" t="s">
        <v>732</v>
      </c>
      <c r="E314" s="154" t="s">
        <v>17</v>
      </c>
      <c r="F314" s="146">
        <f>F307*0.65*1*0.65</f>
        <v>298.91030000000001</v>
      </c>
      <c r="G314" s="146">
        <v>12.09</v>
      </c>
      <c r="H314" s="146">
        <f t="shared" si="92"/>
        <v>15.01</v>
      </c>
      <c r="I314" s="313">
        <f t="shared" ref="I314" si="94">ROUND(F314*H314,2)</f>
        <v>4486.6400000000003</v>
      </c>
      <c r="J314" s="143"/>
      <c r="K314" s="25"/>
      <c r="L314" s="132"/>
      <c r="M314" s="25"/>
      <c r="N314" s="25"/>
      <c r="O314" s="25"/>
      <c r="P314" s="25"/>
      <c r="R314" s="25"/>
    </row>
    <row r="315" spans="1:63" x14ac:dyDescent="0.2">
      <c r="A315" s="320" t="s">
        <v>1034</v>
      </c>
      <c r="B315" s="154" t="s">
        <v>46</v>
      </c>
      <c r="C315" s="154">
        <v>93358</v>
      </c>
      <c r="D315" s="148" t="s">
        <v>776</v>
      </c>
      <c r="E315" s="154" t="s">
        <v>17</v>
      </c>
      <c r="F315" s="146">
        <f>F307*0.65*1*0.1</f>
        <v>45.986200000000004</v>
      </c>
      <c r="G315" s="146">
        <v>65.819999999999993</v>
      </c>
      <c r="H315" s="146">
        <f t="shared" si="92"/>
        <v>81.73</v>
      </c>
      <c r="I315" s="313">
        <f>ROUND(F315*H315,2)</f>
        <v>3758.45</v>
      </c>
      <c r="J315" s="143"/>
      <c r="K315" s="25"/>
      <c r="L315" s="132"/>
      <c r="M315" s="25"/>
      <c r="N315" s="25"/>
      <c r="O315" s="25"/>
      <c r="P315" s="25"/>
      <c r="R315" s="25"/>
    </row>
    <row r="316" spans="1:63" ht="15" customHeight="1" x14ac:dyDescent="0.2">
      <c r="A316" s="320"/>
      <c r="B316" s="150"/>
      <c r="C316" s="150"/>
      <c r="D316" s="149"/>
      <c r="E316" s="150"/>
      <c r="F316" s="353"/>
      <c r="G316" s="146"/>
      <c r="H316" s="151"/>
      <c r="I316" s="152"/>
      <c r="J316" s="143"/>
      <c r="K316" s="25"/>
      <c r="L316" s="132"/>
      <c r="M316" s="25"/>
      <c r="N316" s="25"/>
      <c r="O316" s="25"/>
      <c r="P316" s="25"/>
      <c r="R316" s="25"/>
    </row>
    <row r="317" spans="1:63" s="26" customFormat="1" ht="15" customHeight="1" x14ac:dyDescent="0.2">
      <c r="A317" s="563" t="s">
        <v>263</v>
      </c>
      <c r="B317" s="564"/>
      <c r="C317" s="564"/>
      <c r="D317" s="565" t="s">
        <v>341</v>
      </c>
      <c r="E317" s="564"/>
      <c r="F317" s="566"/>
      <c r="G317" s="567"/>
      <c r="H317" s="568"/>
      <c r="I317" s="569">
        <f>SUM(I318:I318)</f>
        <v>12090.83</v>
      </c>
      <c r="J317" s="262"/>
      <c r="K317" s="25"/>
      <c r="L317" s="132"/>
      <c r="M317" s="25"/>
      <c r="N317" s="25"/>
      <c r="O317" s="25"/>
      <c r="P317" s="25"/>
      <c r="R317" s="25"/>
    </row>
    <row r="318" spans="1:63" ht="42.75" x14ac:dyDescent="0.2">
      <c r="A318" s="320" t="s">
        <v>1035</v>
      </c>
      <c r="B318" s="154" t="s">
        <v>46</v>
      </c>
      <c r="C318" s="226">
        <v>94043</v>
      </c>
      <c r="D318" s="147" t="s">
        <v>733</v>
      </c>
      <c r="E318" s="226" t="s">
        <v>16</v>
      </c>
      <c r="F318" s="146">
        <f>F307*1*1</f>
        <v>707.48</v>
      </c>
      <c r="G318" s="374">
        <v>13.76</v>
      </c>
      <c r="H318" s="146">
        <f t="shared" ref="H318" si="95">ROUND((1+$L$16)*G318,2)</f>
        <v>17.09</v>
      </c>
      <c r="I318" s="313">
        <f>ROUND(F318*H318,2)</f>
        <v>12090.83</v>
      </c>
      <c r="J318" s="143"/>
      <c r="K318" s="25"/>
      <c r="L318" s="132"/>
      <c r="M318" s="25"/>
      <c r="N318" s="25"/>
      <c r="O318" s="25"/>
      <c r="P318" s="25"/>
      <c r="R318" s="25"/>
    </row>
    <row r="319" spans="1:63" x14ac:dyDescent="0.2">
      <c r="A319" s="320"/>
      <c r="B319" s="154"/>
      <c r="C319" s="226"/>
      <c r="D319" s="147"/>
      <c r="E319" s="226"/>
      <c r="F319" s="146"/>
      <c r="G319" s="374"/>
      <c r="H319" s="146"/>
      <c r="I319" s="313"/>
      <c r="J319" s="143"/>
      <c r="K319" s="25"/>
      <c r="L319" s="132"/>
      <c r="M319" s="25"/>
      <c r="N319" s="25"/>
      <c r="O319" s="25"/>
      <c r="P319" s="25"/>
      <c r="R319" s="25"/>
    </row>
    <row r="320" spans="1:63" ht="15" customHeight="1" thickBot="1" x14ac:dyDescent="0.25">
      <c r="A320" s="572"/>
      <c r="B320" s="573"/>
      <c r="C320" s="573"/>
      <c r="D320" s="574"/>
      <c r="E320" s="573"/>
      <c r="F320" s="941"/>
      <c r="G320" s="585"/>
      <c r="H320" s="575"/>
      <c r="I320" s="576"/>
      <c r="J320" s="143"/>
      <c r="K320" s="25"/>
      <c r="L320" s="132"/>
      <c r="M320" s="25"/>
      <c r="N320" s="25"/>
      <c r="O320" s="25"/>
      <c r="P320" s="25"/>
      <c r="R320" s="25"/>
    </row>
    <row r="321" spans="1:63" s="26" customFormat="1" ht="15" customHeight="1" x14ac:dyDescent="0.2">
      <c r="A321" s="921" t="s">
        <v>264</v>
      </c>
      <c r="B321" s="922"/>
      <c r="C321" s="922"/>
      <c r="D321" s="923" t="s">
        <v>734</v>
      </c>
      <c r="E321" s="922"/>
      <c r="F321" s="924"/>
      <c r="G321" s="925"/>
      <c r="H321" s="926"/>
      <c r="I321" s="927">
        <f>SUM(I322:I323)</f>
        <v>11293.06</v>
      </c>
      <c r="J321" s="262"/>
      <c r="K321" s="25"/>
      <c r="L321" s="132"/>
      <c r="M321" s="25"/>
      <c r="N321" s="25"/>
      <c r="O321" s="25"/>
      <c r="P321" s="25"/>
      <c r="R321" s="25"/>
    </row>
    <row r="322" spans="1:63" ht="28.5" x14ac:dyDescent="0.2">
      <c r="A322" s="320" t="s">
        <v>1036</v>
      </c>
      <c r="B322" s="154" t="s">
        <v>46</v>
      </c>
      <c r="C322" s="154">
        <v>94097</v>
      </c>
      <c r="D322" s="148" t="s">
        <v>735</v>
      </c>
      <c r="E322" s="154" t="s">
        <v>16</v>
      </c>
      <c r="F322" s="146">
        <f>F307*0.65</f>
        <v>459.86200000000002</v>
      </c>
      <c r="G322" s="146">
        <v>4.91</v>
      </c>
      <c r="H322" s="146">
        <f t="shared" ref="H322:H323" si="96">ROUND((1+$L$16)*G322,2)</f>
        <v>6.1</v>
      </c>
      <c r="I322" s="313">
        <f>ROUND(F322*H322,2)</f>
        <v>2805.16</v>
      </c>
      <c r="J322" s="143"/>
      <c r="K322" s="25" t="e">
        <f>#REF!/#REF!</f>
        <v>#REF!</v>
      </c>
      <c r="L322" s="132"/>
      <c r="M322" s="25"/>
      <c r="N322" s="25"/>
      <c r="O322" s="25"/>
      <c r="P322" s="25"/>
      <c r="R322" s="25"/>
      <c r="S322" s="7"/>
      <c r="T322" s="7"/>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row>
    <row r="323" spans="1:63" ht="71.25" x14ac:dyDescent="0.2">
      <c r="A323" s="320" t="s">
        <v>1037</v>
      </c>
      <c r="B323" s="154" t="s">
        <v>46</v>
      </c>
      <c r="C323" s="154">
        <v>93378</v>
      </c>
      <c r="D323" s="148" t="s">
        <v>736</v>
      </c>
      <c r="E323" s="154" t="s">
        <v>17</v>
      </c>
      <c r="F323" s="146">
        <f>F314+F315</f>
        <v>344.8965</v>
      </c>
      <c r="G323" s="146">
        <v>19.82</v>
      </c>
      <c r="H323" s="146">
        <f t="shared" si="96"/>
        <v>24.61</v>
      </c>
      <c r="I323" s="313">
        <f>ROUND(F323*H323,2)</f>
        <v>8487.9</v>
      </c>
      <c r="J323" s="143"/>
      <c r="K323" s="25"/>
      <c r="L323" s="132"/>
      <c r="M323" s="25"/>
      <c r="N323" s="25"/>
      <c r="O323" s="25"/>
      <c r="P323" s="25"/>
      <c r="R323" s="25"/>
    </row>
    <row r="324" spans="1:63" s="26" customFormat="1" x14ac:dyDescent="0.2">
      <c r="A324" s="284"/>
      <c r="B324" s="281"/>
      <c r="C324" s="281"/>
      <c r="D324" s="285"/>
      <c r="E324" s="281"/>
      <c r="F324" s="146"/>
      <c r="G324" s="146"/>
      <c r="H324" s="151"/>
      <c r="I324" s="152"/>
      <c r="J324" s="262"/>
      <c r="K324" s="25"/>
      <c r="L324" s="132"/>
      <c r="M324" s="25"/>
      <c r="N324" s="25"/>
      <c r="O324" s="25"/>
      <c r="P324" s="25"/>
      <c r="R324" s="25"/>
    </row>
    <row r="325" spans="1:63" s="26" customFormat="1" ht="15" customHeight="1" x14ac:dyDescent="0.2">
      <c r="A325" s="563" t="s">
        <v>1038</v>
      </c>
      <c r="B325" s="564"/>
      <c r="C325" s="564"/>
      <c r="D325" s="565" t="s">
        <v>738</v>
      </c>
      <c r="E325" s="564"/>
      <c r="F325" s="566"/>
      <c r="G325" s="567"/>
      <c r="H325" s="568"/>
      <c r="I325" s="569">
        <f>SUM(I326:I328)</f>
        <v>2291.73</v>
      </c>
      <c r="J325" s="262"/>
      <c r="K325" s="25"/>
      <c r="L325" s="132"/>
      <c r="M325" s="25"/>
      <c r="N325" s="25"/>
      <c r="O325" s="25"/>
      <c r="P325" s="25"/>
      <c r="R325" s="25"/>
    </row>
    <row r="326" spans="1:63" s="26" customFormat="1" ht="28.5" x14ac:dyDescent="0.2">
      <c r="A326" s="320" t="s">
        <v>1039</v>
      </c>
      <c r="B326" s="154" t="s">
        <v>46</v>
      </c>
      <c r="C326" s="154">
        <v>79480</v>
      </c>
      <c r="D326" s="148" t="s">
        <v>825</v>
      </c>
      <c r="E326" s="154" t="s">
        <v>17</v>
      </c>
      <c r="F326" s="146">
        <f>F313</f>
        <v>114.96550000000001</v>
      </c>
      <c r="G326" s="146">
        <v>2.57</v>
      </c>
      <c r="H326" s="146">
        <f t="shared" ref="H326:H328" si="97">ROUND((1+$L$16)*G326,2)</f>
        <v>3.19</v>
      </c>
      <c r="I326" s="313">
        <f>ROUND(F326*H326,2)</f>
        <v>366.74</v>
      </c>
      <c r="J326" s="262"/>
      <c r="K326" s="25"/>
      <c r="L326" s="132"/>
      <c r="M326" s="25"/>
      <c r="N326" s="25"/>
      <c r="O326" s="25"/>
      <c r="P326" s="25"/>
      <c r="R326" s="25"/>
    </row>
    <row r="327" spans="1:63" s="26" customFormat="1" ht="28.5" x14ac:dyDescent="0.2">
      <c r="A327" s="320" t="s">
        <v>1040</v>
      </c>
      <c r="B327" s="154" t="s">
        <v>46</v>
      </c>
      <c r="C327" s="154">
        <v>72898</v>
      </c>
      <c r="D327" s="148" t="s">
        <v>743</v>
      </c>
      <c r="E327" s="154" t="s">
        <v>17</v>
      </c>
      <c r="F327" s="146">
        <f>F326*1.3</f>
        <v>149.45515</v>
      </c>
      <c r="G327" s="146">
        <v>3.57</v>
      </c>
      <c r="H327" s="146">
        <f t="shared" si="97"/>
        <v>4.43</v>
      </c>
      <c r="I327" s="313">
        <f>ROUND(F327*H327,2)</f>
        <v>662.09</v>
      </c>
      <c r="J327" s="262"/>
      <c r="K327" s="25"/>
      <c r="L327" s="132"/>
      <c r="M327" s="25"/>
      <c r="N327" s="25">
        <v>170</v>
      </c>
      <c r="O327" s="25"/>
      <c r="P327" s="25"/>
      <c r="R327" s="25"/>
    </row>
    <row r="328" spans="1:63" s="26" customFormat="1" ht="28.5" x14ac:dyDescent="0.2">
      <c r="A328" s="320" t="s">
        <v>1041</v>
      </c>
      <c r="B328" s="154" t="s">
        <v>46</v>
      </c>
      <c r="C328" s="154">
        <v>72885</v>
      </c>
      <c r="D328" s="148" t="s">
        <v>334</v>
      </c>
      <c r="E328" s="154" t="s">
        <v>698</v>
      </c>
      <c r="F328" s="190">
        <f>F327*5</f>
        <v>747.27575000000002</v>
      </c>
      <c r="G328" s="146">
        <v>1.36</v>
      </c>
      <c r="H328" s="146">
        <f t="shared" si="97"/>
        <v>1.69</v>
      </c>
      <c r="I328" s="313">
        <f t="shared" ref="I328" si="98">ROUND(F328*H328,2)</f>
        <v>1262.9000000000001</v>
      </c>
      <c r="J328" s="262"/>
      <c r="K328" s="25"/>
      <c r="L328" s="132"/>
      <c r="M328" s="25"/>
      <c r="N328" s="25">
        <v>54</v>
      </c>
      <c r="O328" s="25"/>
      <c r="P328" s="25"/>
      <c r="R328" s="25"/>
    </row>
    <row r="329" spans="1:63" s="260" customFormat="1" x14ac:dyDescent="0.2">
      <c r="A329" s="320"/>
      <c r="B329" s="154"/>
      <c r="C329" s="154"/>
      <c r="D329" s="148"/>
      <c r="E329" s="154"/>
      <c r="F329" s="146"/>
      <c r="G329" s="146"/>
      <c r="H329" s="146"/>
      <c r="I329" s="313"/>
      <c r="J329" s="331"/>
      <c r="K329" s="332"/>
      <c r="L329" s="333"/>
      <c r="M329" s="332"/>
      <c r="N329" s="332"/>
      <c r="O329" s="332"/>
      <c r="P329" s="332"/>
      <c r="R329" s="332"/>
    </row>
    <row r="330" spans="1:63" s="26" customFormat="1" ht="15" customHeight="1" x14ac:dyDescent="0.2">
      <c r="A330" s="563" t="s">
        <v>1042</v>
      </c>
      <c r="B330" s="564"/>
      <c r="C330" s="564"/>
      <c r="D330" s="565" t="s">
        <v>583</v>
      </c>
      <c r="E330" s="564"/>
      <c r="F330" s="566"/>
      <c r="G330" s="567"/>
      <c r="H330" s="568"/>
      <c r="I330" s="569">
        <f>SUM(I331:I334)</f>
        <v>2651.92</v>
      </c>
      <c r="J330" s="262"/>
      <c r="K330" s="25"/>
      <c r="L330" s="132"/>
      <c r="M330" s="25"/>
      <c r="N330" s="25"/>
      <c r="O330" s="25"/>
      <c r="P330" s="25"/>
      <c r="R330" s="25"/>
    </row>
    <row r="331" spans="1:63" s="26" customFormat="1" ht="28.5" x14ac:dyDescent="0.2">
      <c r="A331" s="320" t="s">
        <v>1043</v>
      </c>
      <c r="B331" s="154" t="s">
        <v>46</v>
      </c>
      <c r="C331" s="154">
        <v>79480</v>
      </c>
      <c r="D331" s="148" t="s">
        <v>825</v>
      </c>
      <c r="E331" s="154" t="s">
        <v>17</v>
      </c>
      <c r="F331" s="146">
        <f>F326</f>
        <v>114.96550000000001</v>
      </c>
      <c r="G331" s="146">
        <v>2.57</v>
      </c>
      <c r="H331" s="146">
        <f t="shared" ref="H331:H334" si="99">ROUND((1+$L$16)*G331,2)</f>
        <v>3.19</v>
      </c>
      <c r="I331" s="313">
        <f>ROUND(F331*H331,2)</f>
        <v>366.74</v>
      </c>
      <c r="J331" s="262"/>
      <c r="K331" s="25"/>
      <c r="L331" s="132"/>
      <c r="M331" s="25"/>
      <c r="N331" s="25"/>
      <c r="O331" s="25"/>
      <c r="P331" s="25"/>
      <c r="R331" s="25"/>
    </row>
    <row r="332" spans="1:63" s="26" customFormat="1" ht="28.5" x14ac:dyDescent="0.2">
      <c r="A332" s="320" t="s">
        <v>1044</v>
      </c>
      <c r="B332" s="154" t="s">
        <v>46</v>
      </c>
      <c r="C332" s="154">
        <v>72898</v>
      </c>
      <c r="D332" s="148" t="s">
        <v>743</v>
      </c>
      <c r="E332" s="154" t="s">
        <v>17</v>
      </c>
      <c r="F332" s="146">
        <f>F331*1.3</f>
        <v>149.45515</v>
      </c>
      <c r="G332" s="146">
        <v>3.57</v>
      </c>
      <c r="H332" s="146">
        <f t="shared" si="99"/>
        <v>4.43</v>
      </c>
      <c r="I332" s="313">
        <f>ROUND(F332*H332,2)</f>
        <v>662.09</v>
      </c>
      <c r="J332" s="262"/>
      <c r="K332" s="25"/>
      <c r="L332" s="132"/>
      <c r="M332" s="25"/>
      <c r="N332" s="25">
        <v>170</v>
      </c>
      <c r="O332" s="25"/>
      <c r="P332" s="25"/>
      <c r="R332" s="25"/>
    </row>
    <row r="333" spans="1:63" s="26" customFormat="1" ht="28.5" x14ac:dyDescent="0.2">
      <c r="A333" s="320" t="s">
        <v>1045</v>
      </c>
      <c r="B333" s="154" t="s">
        <v>46</v>
      </c>
      <c r="C333" s="154">
        <v>72885</v>
      </c>
      <c r="D333" s="148" t="s">
        <v>334</v>
      </c>
      <c r="E333" s="154" t="s">
        <v>698</v>
      </c>
      <c r="F333" s="190">
        <f>F332*5</f>
        <v>747.27575000000002</v>
      </c>
      <c r="G333" s="146">
        <v>1.36</v>
      </c>
      <c r="H333" s="146">
        <f t="shared" si="99"/>
        <v>1.69</v>
      </c>
      <c r="I333" s="313">
        <f t="shared" ref="I333" si="100">ROUND(F333*H333,2)</f>
        <v>1262.9000000000001</v>
      </c>
      <c r="J333" s="262"/>
      <c r="K333" s="25"/>
      <c r="L333" s="132"/>
      <c r="M333" s="25"/>
      <c r="N333" s="25">
        <v>54</v>
      </c>
      <c r="O333" s="25"/>
      <c r="P333" s="25"/>
      <c r="R333" s="25"/>
    </row>
    <row r="334" spans="1:63" s="26" customFormat="1" ht="28.5" x14ac:dyDescent="0.2">
      <c r="A334" s="320" t="s">
        <v>1046</v>
      </c>
      <c r="B334" s="154" t="s">
        <v>46</v>
      </c>
      <c r="C334" s="154" t="s">
        <v>58</v>
      </c>
      <c r="D334" s="148" t="s">
        <v>59</v>
      </c>
      <c r="E334" s="154" t="s">
        <v>17</v>
      </c>
      <c r="F334" s="146">
        <f>F332</f>
        <v>149.45515</v>
      </c>
      <c r="G334" s="146">
        <v>1.94</v>
      </c>
      <c r="H334" s="146">
        <f t="shared" si="99"/>
        <v>2.41</v>
      </c>
      <c r="I334" s="313">
        <f>ROUND(F334*H334,2)</f>
        <v>360.19</v>
      </c>
      <c r="J334" s="262"/>
      <c r="K334" s="25"/>
      <c r="L334" s="132"/>
      <c r="M334" s="25"/>
      <c r="N334" s="25"/>
      <c r="O334" s="25"/>
      <c r="P334" s="25"/>
      <c r="R334" s="25"/>
    </row>
    <row r="335" spans="1:63" x14ac:dyDescent="0.2">
      <c r="A335" s="284"/>
      <c r="B335" s="281"/>
      <c r="C335" s="281"/>
      <c r="D335" s="285"/>
      <c r="E335" s="281"/>
      <c r="F335" s="146"/>
      <c r="G335" s="146"/>
      <c r="H335" s="151"/>
      <c r="I335" s="152"/>
      <c r="J335" s="143"/>
      <c r="K335" s="25" t="e">
        <f>#REF!/#REF!</f>
        <v>#REF!</v>
      </c>
      <c r="L335" s="132"/>
      <c r="M335" s="25"/>
      <c r="N335" s="25"/>
      <c r="O335" s="25"/>
      <c r="P335" s="25"/>
      <c r="R335" s="25"/>
      <c r="S335" s="7"/>
      <c r="T335" s="7"/>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row>
    <row r="336" spans="1:63" s="26" customFormat="1" ht="15" customHeight="1" x14ac:dyDescent="0.2">
      <c r="A336" s="563" t="s">
        <v>1048</v>
      </c>
      <c r="B336" s="564"/>
      <c r="C336" s="564"/>
      <c r="D336" s="565" t="s">
        <v>342</v>
      </c>
      <c r="E336" s="564"/>
      <c r="F336" s="566"/>
      <c r="G336" s="567"/>
      <c r="H336" s="568"/>
      <c r="I336" s="569">
        <f>SUM(I337:I341)</f>
        <v>22172.280000000002</v>
      </c>
      <c r="J336" s="262"/>
      <c r="K336" s="25"/>
      <c r="L336" s="132" t="s">
        <v>746</v>
      </c>
      <c r="M336" s="25">
        <v>191</v>
      </c>
      <c r="N336" s="25"/>
      <c r="O336" s="25"/>
      <c r="P336" s="25"/>
      <c r="R336" s="25"/>
    </row>
    <row r="337" spans="1:63" s="126" customFormat="1" x14ac:dyDescent="0.2">
      <c r="A337" s="334" t="s">
        <v>1049</v>
      </c>
      <c r="B337" s="226" t="s">
        <v>46</v>
      </c>
      <c r="C337" s="226" t="s">
        <v>60</v>
      </c>
      <c r="D337" s="147" t="s">
        <v>61</v>
      </c>
      <c r="E337" s="226" t="s">
        <v>15</v>
      </c>
      <c r="F337" s="146">
        <f>8*22*1</f>
        <v>176</v>
      </c>
      <c r="G337" s="146">
        <v>6.17</v>
      </c>
      <c r="H337" s="146">
        <f t="shared" ref="H337:H341" si="101">ROUND((1+$L$16)*G337,2)</f>
        <v>7.66</v>
      </c>
      <c r="I337" s="313">
        <f>ROUND(F337*H337,2)</f>
        <v>1348.16</v>
      </c>
      <c r="J337" s="321"/>
      <c r="K337" s="237"/>
      <c r="L337" s="322" t="s">
        <v>747</v>
      </c>
      <c r="M337" s="237">
        <v>113</v>
      </c>
      <c r="N337" s="237"/>
      <c r="O337" s="237"/>
      <c r="P337" s="237"/>
      <c r="R337" s="237"/>
    </row>
    <row r="338" spans="1:63" s="126" customFormat="1" ht="28.5" x14ac:dyDescent="0.2">
      <c r="A338" s="334" t="s">
        <v>1050</v>
      </c>
      <c r="B338" s="226" t="s">
        <v>46</v>
      </c>
      <c r="C338" s="226" t="s">
        <v>89</v>
      </c>
      <c r="D338" s="147" t="s">
        <v>739</v>
      </c>
      <c r="E338" s="226" t="s">
        <v>18</v>
      </c>
      <c r="F338" s="146">
        <f>F307*0.3</f>
        <v>212.244</v>
      </c>
      <c r="G338" s="146">
        <v>26.54</v>
      </c>
      <c r="H338" s="146">
        <f t="shared" si="101"/>
        <v>32.96</v>
      </c>
      <c r="I338" s="313">
        <f>ROUND(F338*H338,2)</f>
        <v>6995.56</v>
      </c>
      <c r="J338" s="321"/>
      <c r="K338" s="237" t="s">
        <v>412</v>
      </c>
      <c r="L338" s="322" t="s">
        <v>748</v>
      </c>
      <c r="M338" s="237">
        <v>16</v>
      </c>
      <c r="N338" s="237"/>
      <c r="O338" s="237"/>
      <c r="P338" s="237"/>
      <c r="R338" s="237"/>
    </row>
    <row r="339" spans="1:63" s="126" customFormat="1" x14ac:dyDescent="0.2">
      <c r="A339" s="334" t="s">
        <v>1051</v>
      </c>
      <c r="B339" s="226" t="s">
        <v>46</v>
      </c>
      <c r="C339" s="226">
        <v>73698</v>
      </c>
      <c r="D339" s="147" t="s">
        <v>838</v>
      </c>
      <c r="E339" s="226" t="s">
        <v>17</v>
      </c>
      <c r="F339" s="190">
        <f>F338*0.2*0.65</f>
        <v>27.591720000000006</v>
      </c>
      <c r="G339" s="146">
        <v>197.13</v>
      </c>
      <c r="H339" s="146">
        <f t="shared" si="101"/>
        <v>244.79</v>
      </c>
      <c r="I339" s="313">
        <f>ROUND(F339*H339,2)</f>
        <v>6754.18</v>
      </c>
      <c r="J339" s="321"/>
      <c r="K339" s="237"/>
      <c r="L339" s="322"/>
      <c r="M339" s="237"/>
      <c r="N339" s="237"/>
      <c r="O339" s="237"/>
      <c r="P339" s="237"/>
      <c r="R339" s="237"/>
    </row>
    <row r="340" spans="1:63" s="126" customFormat="1" x14ac:dyDescent="0.2">
      <c r="A340" s="334" t="s">
        <v>1052</v>
      </c>
      <c r="B340" s="226" t="s">
        <v>46</v>
      </c>
      <c r="C340" s="226">
        <v>83683</v>
      </c>
      <c r="D340" s="147" t="s">
        <v>826</v>
      </c>
      <c r="E340" s="226" t="s">
        <v>17</v>
      </c>
      <c r="F340" s="190">
        <f>F338*0.3*0.65</f>
        <v>41.38758</v>
      </c>
      <c r="G340" s="146">
        <v>104.94</v>
      </c>
      <c r="H340" s="146">
        <f t="shared" si="101"/>
        <v>130.31</v>
      </c>
      <c r="I340" s="313">
        <f>ROUND(F340*H340,2)</f>
        <v>5393.22</v>
      </c>
      <c r="J340" s="321"/>
      <c r="K340" s="237"/>
      <c r="L340" s="322"/>
      <c r="M340" s="237"/>
      <c r="N340" s="237"/>
      <c r="O340" s="237"/>
      <c r="P340" s="237"/>
      <c r="R340" s="237"/>
    </row>
    <row r="341" spans="1:63" s="126" customFormat="1" x14ac:dyDescent="0.2">
      <c r="A341" s="334" t="s">
        <v>1053</v>
      </c>
      <c r="B341" s="226" t="s">
        <v>46</v>
      </c>
      <c r="C341" s="226" t="s">
        <v>836</v>
      </c>
      <c r="D341" s="147" t="s">
        <v>837</v>
      </c>
      <c r="E341" s="226" t="s">
        <v>17</v>
      </c>
      <c r="F341" s="190">
        <f>F338*0.1*0.65</f>
        <v>13.795860000000003</v>
      </c>
      <c r="G341" s="146">
        <v>98.13</v>
      </c>
      <c r="H341" s="146">
        <f t="shared" si="101"/>
        <v>121.86</v>
      </c>
      <c r="I341" s="313">
        <f>ROUND(F341*H341,2)</f>
        <v>1681.16</v>
      </c>
      <c r="J341" s="321"/>
      <c r="K341" s="237"/>
      <c r="L341" s="322"/>
      <c r="M341" s="237"/>
      <c r="N341" s="237"/>
      <c r="O341" s="237"/>
      <c r="P341" s="237"/>
      <c r="R341" s="237"/>
    </row>
    <row r="342" spans="1:63" x14ac:dyDescent="0.2">
      <c r="A342" s="284"/>
      <c r="B342" s="281"/>
      <c r="C342" s="281"/>
      <c r="D342" s="285"/>
      <c r="E342" s="281"/>
      <c r="F342" s="290"/>
      <c r="G342" s="146"/>
      <c r="H342" s="151"/>
      <c r="I342" s="152"/>
      <c r="J342" s="143"/>
      <c r="K342" s="25" t="e">
        <f>#REF!/#REF!</f>
        <v>#REF!</v>
      </c>
      <c r="L342" s="132"/>
      <c r="M342" s="25"/>
      <c r="N342" s="25"/>
      <c r="O342" s="25"/>
      <c r="P342" s="25"/>
      <c r="R342" s="25"/>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row>
    <row r="343" spans="1:63" ht="15" thickBot="1" x14ac:dyDescent="0.25">
      <c r="A343" s="934"/>
      <c r="B343" s="942"/>
      <c r="C343" s="942"/>
      <c r="D343" s="943"/>
      <c r="E343" s="942"/>
      <c r="F343" s="941"/>
      <c r="G343" s="585"/>
      <c r="H343" s="575"/>
      <c r="I343" s="576"/>
      <c r="J343" s="143"/>
      <c r="K343" s="25"/>
      <c r="L343" s="132"/>
      <c r="M343" s="25"/>
      <c r="N343" s="25"/>
      <c r="O343" s="25"/>
      <c r="P343" s="25"/>
      <c r="R343" s="25"/>
      <c r="S343" s="7"/>
      <c r="T343" s="7"/>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row>
    <row r="344" spans="1:63" s="26" customFormat="1" ht="30" x14ac:dyDescent="0.2">
      <c r="A344" s="921" t="s">
        <v>1047</v>
      </c>
      <c r="B344" s="922"/>
      <c r="C344" s="922"/>
      <c r="D344" s="923" t="s">
        <v>1964</v>
      </c>
      <c r="E344" s="922"/>
      <c r="F344" s="924"/>
      <c r="G344" s="925"/>
      <c r="H344" s="926"/>
      <c r="I344" s="927">
        <f>SUM(I345:I352)</f>
        <v>167548.09</v>
      </c>
      <c r="J344" s="262"/>
      <c r="K344" s="25"/>
      <c r="L344" s="132"/>
      <c r="M344" s="25"/>
      <c r="N344" s="25"/>
      <c r="O344" s="25"/>
      <c r="P344" s="25"/>
      <c r="R344" s="25"/>
    </row>
    <row r="345" spans="1:63" ht="28.5" x14ac:dyDescent="0.2">
      <c r="A345" s="334" t="s">
        <v>1054</v>
      </c>
      <c r="B345" s="154" t="s">
        <v>46</v>
      </c>
      <c r="C345" s="226">
        <v>9826</v>
      </c>
      <c r="D345" s="147" t="s">
        <v>1021</v>
      </c>
      <c r="E345" s="226" t="s">
        <v>18</v>
      </c>
      <c r="F345" s="146">
        <v>699.02</v>
      </c>
      <c r="G345" s="146">
        <v>175.07</v>
      </c>
      <c r="H345" s="146">
        <f>ROUND((1+$K$16)*G345,2)</f>
        <v>199.61</v>
      </c>
      <c r="I345" s="571">
        <f t="shared" ref="I345:I348" si="102">ROUND(F345*H345,2)</f>
        <v>139531.38</v>
      </c>
      <c r="J345" s="143"/>
      <c r="K345" s="25"/>
      <c r="L345" s="132"/>
      <c r="M345" s="25"/>
      <c r="N345" s="25"/>
      <c r="O345" s="25"/>
      <c r="P345" s="25"/>
      <c r="R345" s="25"/>
    </row>
    <row r="346" spans="1:63" s="26" customFormat="1" x14ac:dyDescent="0.2">
      <c r="A346" s="334" t="s">
        <v>1055</v>
      </c>
      <c r="B346" s="154" t="s">
        <v>66</v>
      </c>
      <c r="C346" s="154"/>
      <c r="D346" s="147" t="s">
        <v>1022</v>
      </c>
      <c r="E346" s="154" t="s">
        <v>18</v>
      </c>
      <c r="F346" s="146">
        <v>8.4600000000000009</v>
      </c>
      <c r="G346" s="146">
        <v>389</v>
      </c>
      <c r="H346" s="146">
        <f>ROUND((1+$K$16)*G346,2)</f>
        <v>443.52</v>
      </c>
      <c r="I346" s="571">
        <f t="shared" ref="I346" si="103">ROUND(F346*H346,2)</f>
        <v>3752.18</v>
      </c>
      <c r="J346" s="262"/>
      <c r="K346" s="25"/>
      <c r="L346" s="132"/>
      <c r="M346" s="25"/>
      <c r="N346" s="25"/>
      <c r="O346" s="25"/>
      <c r="P346" s="25"/>
      <c r="R346" s="25"/>
    </row>
    <row r="347" spans="1:63" ht="28.5" x14ac:dyDescent="0.2">
      <c r="A347" s="334" t="s">
        <v>1056</v>
      </c>
      <c r="B347" s="154" t="s">
        <v>336</v>
      </c>
      <c r="C347" s="154" t="str">
        <f>COMPOSIÇÕES!C230</f>
        <v>CE-019</v>
      </c>
      <c r="D347" s="148" t="str">
        <f>COMPOSIÇÕES!D230</f>
        <v xml:space="preserve">ASSENTAMENTO TUBO PVC COM JUNTA ELASTICA, DN 250 MM - (OU RPVC, OU PDEFOFO, OU PRFV) </v>
      </c>
      <c r="E347" s="154" t="s">
        <v>18</v>
      </c>
      <c r="F347" s="146">
        <f>F345</f>
        <v>699.02</v>
      </c>
      <c r="G347" s="146">
        <f>COMPOSIÇÕES!I230</f>
        <v>7.17</v>
      </c>
      <c r="H347" s="146">
        <f t="shared" ref="H347:H348" si="104">ROUND((1+$L$16)*G347,2)</f>
        <v>8.9</v>
      </c>
      <c r="I347" s="313">
        <f t="shared" si="102"/>
        <v>6221.28</v>
      </c>
      <c r="J347" s="143"/>
      <c r="K347" s="25"/>
      <c r="L347" s="132"/>
      <c r="M347" s="25"/>
      <c r="N347" s="25"/>
      <c r="O347" s="25"/>
      <c r="P347" s="25"/>
      <c r="R347" s="25"/>
    </row>
    <row r="348" spans="1:63" ht="28.5" x14ac:dyDescent="0.2">
      <c r="A348" s="334" t="s">
        <v>1057</v>
      </c>
      <c r="B348" s="154" t="s">
        <v>46</v>
      </c>
      <c r="C348" s="154" t="s">
        <v>806</v>
      </c>
      <c r="D348" s="147" t="s">
        <v>805</v>
      </c>
      <c r="E348" s="154" t="s">
        <v>18</v>
      </c>
      <c r="F348" s="146">
        <f>F346</f>
        <v>8.4600000000000009</v>
      </c>
      <c r="G348" s="146">
        <v>10.16</v>
      </c>
      <c r="H348" s="146">
        <f t="shared" si="104"/>
        <v>12.62</v>
      </c>
      <c r="I348" s="313">
        <f t="shared" si="102"/>
        <v>106.77</v>
      </c>
      <c r="J348" s="143"/>
      <c r="K348" s="25"/>
      <c r="L348" s="132"/>
      <c r="M348" s="25"/>
      <c r="N348" s="25"/>
      <c r="O348" s="25"/>
      <c r="P348" s="25"/>
      <c r="R348" s="25"/>
    </row>
    <row r="349" spans="1:63" s="26" customFormat="1" x14ac:dyDescent="0.2">
      <c r="A349" s="334" t="s">
        <v>1552</v>
      </c>
      <c r="B349" s="154" t="s">
        <v>66</v>
      </c>
      <c r="C349" s="154"/>
      <c r="D349" s="147" t="s">
        <v>1064</v>
      </c>
      <c r="E349" s="153" t="s">
        <v>19</v>
      </c>
      <c r="F349" s="146">
        <v>5</v>
      </c>
      <c r="G349" s="146">
        <v>1200</v>
      </c>
      <c r="H349" s="146">
        <f>ROUND((1+$K$16)*G349,2)</f>
        <v>1368.19</v>
      </c>
      <c r="I349" s="571">
        <f t="shared" ref="I349:I350" si="105">ROUND(F349*H349,2)</f>
        <v>6840.95</v>
      </c>
      <c r="J349" s="262"/>
      <c r="K349" s="25"/>
      <c r="L349" s="132"/>
      <c r="M349" s="25"/>
      <c r="N349" s="25"/>
      <c r="O349" s="25"/>
      <c r="P349" s="25"/>
      <c r="R349" s="25"/>
    </row>
    <row r="350" spans="1:63" s="26" customFormat="1" x14ac:dyDescent="0.2">
      <c r="A350" s="334" t="s">
        <v>1553</v>
      </c>
      <c r="B350" s="154" t="s">
        <v>66</v>
      </c>
      <c r="C350" s="154"/>
      <c r="D350" s="147" t="s">
        <v>1065</v>
      </c>
      <c r="E350" s="153" t="s">
        <v>19</v>
      </c>
      <c r="F350" s="146">
        <v>4</v>
      </c>
      <c r="G350" s="146">
        <v>1310</v>
      </c>
      <c r="H350" s="146">
        <f>ROUND((1+$K$16)*G350,2)</f>
        <v>1493.61</v>
      </c>
      <c r="I350" s="571">
        <f t="shared" si="105"/>
        <v>5974.44</v>
      </c>
      <c r="J350" s="262"/>
      <c r="K350" s="25"/>
      <c r="L350" s="132"/>
      <c r="M350" s="25"/>
      <c r="N350" s="25"/>
      <c r="O350" s="25"/>
      <c r="P350" s="25"/>
      <c r="R350" s="25"/>
    </row>
    <row r="351" spans="1:63" s="26" customFormat="1" x14ac:dyDescent="0.2">
      <c r="A351" s="334" t="s">
        <v>2188</v>
      </c>
      <c r="B351" s="154" t="s">
        <v>336</v>
      </c>
      <c r="C351" s="154" t="str">
        <f>COMPOSIÇÕES!C786</f>
        <v>CE-053</v>
      </c>
      <c r="D351" s="147" t="str">
        <f>COMPOSIÇÕES!D786</f>
        <v>CAIXA PARA PROTEÇÃO DE REGISTRO DE DESCARGA</v>
      </c>
      <c r="E351" s="153" t="s">
        <v>19</v>
      </c>
      <c r="F351" s="146">
        <v>1</v>
      </c>
      <c r="G351" s="146">
        <f>COMPOSIÇÕES!I786</f>
        <v>832.24999999999989</v>
      </c>
      <c r="H351" s="146">
        <f t="shared" ref="H351" si="106">ROUND((1+$L$16)*G351,2)</f>
        <v>1033.47</v>
      </c>
      <c r="I351" s="313">
        <f>ROUND(F351*H351,2)</f>
        <v>1033.47</v>
      </c>
      <c r="J351" s="262"/>
      <c r="K351" s="25"/>
      <c r="L351" s="132"/>
      <c r="M351" s="25"/>
      <c r="N351" s="25"/>
      <c r="O351" s="25"/>
      <c r="P351" s="25"/>
      <c r="R351" s="25"/>
    </row>
    <row r="352" spans="1:63" s="26" customFormat="1" ht="28.5" x14ac:dyDescent="0.2">
      <c r="A352" s="334" t="s">
        <v>2189</v>
      </c>
      <c r="B352" s="154" t="s">
        <v>336</v>
      </c>
      <c r="C352" s="154" t="str">
        <f>COMPOSIÇÕES!C796</f>
        <v>CE-054</v>
      </c>
      <c r="D352" s="147" t="str">
        <f>COMPOSIÇÕES!D796</f>
        <v>FORNECIMENTO E APLICAÇÃO DOS MATERIAIS DO REGISTRO DE DESCARGA</v>
      </c>
      <c r="E352" s="153" t="s">
        <v>19</v>
      </c>
      <c r="F352" s="146">
        <v>1</v>
      </c>
      <c r="G352" s="146">
        <f>COMPOSIÇÕES!I796</f>
        <v>3291.7599999999998</v>
      </c>
      <c r="H352" s="146">
        <f t="shared" ref="H352" si="107">ROUND((1+$L$16)*G352,2)</f>
        <v>4087.62</v>
      </c>
      <c r="I352" s="313">
        <f>ROUND(F352*H352,2)</f>
        <v>4087.62</v>
      </c>
      <c r="J352" s="262"/>
      <c r="K352" s="25"/>
      <c r="L352" s="132"/>
      <c r="M352" s="25"/>
      <c r="N352" s="25"/>
      <c r="O352" s="25"/>
      <c r="P352" s="25"/>
      <c r="R352" s="25"/>
    </row>
    <row r="353" spans="1:63" x14ac:dyDescent="0.2">
      <c r="A353" s="284"/>
      <c r="B353" s="281"/>
      <c r="C353" s="281"/>
      <c r="D353" s="285"/>
      <c r="E353" s="281"/>
      <c r="F353" s="151"/>
      <c r="G353" s="151"/>
      <c r="H353" s="151"/>
      <c r="I353" s="313"/>
      <c r="J353" s="142"/>
      <c r="K353" s="25"/>
      <c r="L353" s="133"/>
      <c r="M353" s="25"/>
      <c r="N353" s="25"/>
      <c r="O353" s="25"/>
      <c r="P353" s="25"/>
      <c r="R353" s="25"/>
    </row>
    <row r="354" spans="1:63" ht="15" x14ac:dyDescent="0.2">
      <c r="A354" s="358" t="s">
        <v>1066</v>
      </c>
      <c r="B354" s="298"/>
      <c r="C354" s="298"/>
      <c r="D354" s="299" t="s">
        <v>36</v>
      </c>
      <c r="E354" s="298"/>
      <c r="F354" s="300"/>
      <c r="G354" s="301"/>
      <c r="H354" s="302"/>
      <c r="I354" s="303">
        <f>I355+I368+I387+I420+I447+I530+I473+I560+I592+I521+I619+I498+I609</f>
        <v>5487929.8899999987</v>
      </c>
      <c r="J354" s="142"/>
      <c r="K354" s="25"/>
      <c r="L354" s="133"/>
      <c r="M354" s="25"/>
      <c r="N354" s="25"/>
      <c r="O354" s="25"/>
      <c r="P354" s="25"/>
      <c r="R354" s="25"/>
    </row>
    <row r="355" spans="1:63" s="26" customFormat="1" ht="15" customHeight="1" x14ac:dyDescent="0.2">
      <c r="A355" s="563" t="s">
        <v>266</v>
      </c>
      <c r="B355" s="564"/>
      <c r="C355" s="564"/>
      <c r="D355" s="565" t="s">
        <v>82</v>
      </c>
      <c r="E355" s="564"/>
      <c r="F355" s="566"/>
      <c r="G355" s="567"/>
      <c r="H355" s="568"/>
      <c r="I355" s="569">
        <f>I356+I362</f>
        <v>715901.64</v>
      </c>
      <c r="J355" s="262"/>
      <c r="K355" s="25"/>
      <c r="L355" s="132"/>
      <c r="M355" s="25"/>
      <c r="N355" s="25"/>
      <c r="O355" s="25"/>
      <c r="P355" s="25"/>
      <c r="R355" s="25"/>
    </row>
    <row r="356" spans="1:63" ht="15" x14ac:dyDescent="0.2">
      <c r="A356" s="314" t="s">
        <v>1067</v>
      </c>
      <c r="B356" s="259"/>
      <c r="C356" s="259"/>
      <c r="D356" s="256" t="s">
        <v>339</v>
      </c>
      <c r="E356" s="259"/>
      <c r="F356" s="315"/>
      <c r="G356" s="316"/>
      <c r="H356" s="317"/>
      <c r="I356" s="318">
        <f>SUM(I357:I360)</f>
        <v>61197.599999999999</v>
      </c>
      <c r="J356" s="142"/>
      <c r="K356" s="25"/>
      <c r="L356" s="133"/>
      <c r="M356" s="25"/>
      <c r="N356" s="25"/>
      <c r="O356" s="25"/>
      <c r="P356" s="25"/>
      <c r="R356" s="25"/>
    </row>
    <row r="357" spans="1:63" ht="30" customHeight="1" x14ac:dyDescent="0.2">
      <c r="A357" s="311" t="s">
        <v>1068</v>
      </c>
      <c r="B357" s="227" t="s">
        <v>46</v>
      </c>
      <c r="C357" s="227">
        <v>73672</v>
      </c>
      <c r="D357" s="156" t="s">
        <v>697</v>
      </c>
      <c r="E357" s="226" t="s">
        <v>16</v>
      </c>
      <c r="F357" s="146">
        <v>17200</v>
      </c>
      <c r="G357" s="146">
        <v>0.4</v>
      </c>
      <c r="H357" s="146">
        <f t="shared" ref="H357:H360" si="108">ROUND((1+$L$16)*G357,2)</f>
        <v>0.5</v>
      </c>
      <c r="I357" s="312">
        <f t="shared" ref="I357:I360" si="109">ROUND(F357*H357,2)</f>
        <v>8600</v>
      </c>
      <c r="J357" s="142"/>
      <c r="K357" s="25" t="s">
        <v>1184</v>
      </c>
      <c r="L357" s="359">
        <v>193.3</v>
      </c>
      <c r="M357" s="25"/>
      <c r="N357" s="25"/>
      <c r="O357" s="25"/>
      <c r="P357" s="25"/>
      <c r="R357" s="25"/>
    </row>
    <row r="358" spans="1:63" s="26" customFormat="1" ht="28.5" x14ac:dyDescent="0.2">
      <c r="A358" s="311" t="s">
        <v>1069</v>
      </c>
      <c r="B358" s="154" t="s">
        <v>46</v>
      </c>
      <c r="C358" s="154">
        <v>72898</v>
      </c>
      <c r="D358" s="148" t="s">
        <v>743</v>
      </c>
      <c r="E358" s="154" t="s">
        <v>17</v>
      </c>
      <c r="F358" s="146">
        <f>F357*0.2</f>
        <v>3440</v>
      </c>
      <c r="G358" s="146">
        <v>3.57</v>
      </c>
      <c r="H358" s="146">
        <f t="shared" si="108"/>
        <v>4.43</v>
      </c>
      <c r="I358" s="313">
        <f>ROUND(F358*H358,2)</f>
        <v>15239.2</v>
      </c>
      <c r="J358" s="262"/>
      <c r="K358" s="25" t="s">
        <v>1185</v>
      </c>
      <c r="L358" s="132">
        <v>21583.700000000004</v>
      </c>
      <c r="M358" s="25"/>
      <c r="N358" s="25">
        <v>170</v>
      </c>
      <c r="O358" s="25"/>
      <c r="P358" s="25"/>
      <c r="R358" s="25"/>
    </row>
    <row r="359" spans="1:63" s="128" customFormat="1" ht="28.5" x14ac:dyDescent="0.2">
      <c r="A359" s="311" t="s">
        <v>1070</v>
      </c>
      <c r="B359" s="154" t="s">
        <v>46</v>
      </c>
      <c r="C359" s="154">
        <v>72885</v>
      </c>
      <c r="D359" s="148" t="s">
        <v>334</v>
      </c>
      <c r="E359" s="154" t="s">
        <v>698</v>
      </c>
      <c r="F359" s="146">
        <f>F358*5</f>
        <v>17200</v>
      </c>
      <c r="G359" s="146">
        <v>1.36</v>
      </c>
      <c r="H359" s="146">
        <f t="shared" si="108"/>
        <v>1.69</v>
      </c>
      <c r="I359" s="312">
        <f t="shared" si="109"/>
        <v>29068</v>
      </c>
      <c r="J359" s="142"/>
      <c r="K359" s="138"/>
      <c r="L359" s="138"/>
      <c r="M359" s="138"/>
      <c r="N359" s="25"/>
      <c r="O359" s="25"/>
      <c r="P359" s="25"/>
      <c r="Q359" s="26"/>
      <c r="R359" s="25"/>
      <c r="S359" s="26"/>
      <c r="T359" s="26"/>
      <c r="U359" s="26"/>
      <c r="V359" s="26"/>
    </row>
    <row r="360" spans="1:63" ht="30" customHeight="1" x14ac:dyDescent="0.2">
      <c r="A360" s="311" t="s">
        <v>1071</v>
      </c>
      <c r="B360" s="154" t="s">
        <v>46</v>
      </c>
      <c r="C360" s="154" t="s">
        <v>58</v>
      </c>
      <c r="D360" s="148" t="s">
        <v>699</v>
      </c>
      <c r="E360" s="154" t="s">
        <v>17</v>
      </c>
      <c r="F360" s="146">
        <f>F358</f>
        <v>3440</v>
      </c>
      <c r="G360" s="146">
        <v>1.94</v>
      </c>
      <c r="H360" s="146">
        <f t="shared" si="108"/>
        <v>2.41</v>
      </c>
      <c r="I360" s="312">
        <f t="shared" si="109"/>
        <v>8290.4</v>
      </c>
      <c r="J360" s="142"/>
      <c r="K360" s="25"/>
      <c r="L360" s="133"/>
      <c r="M360" s="25"/>
      <c r="N360" s="25"/>
      <c r="O360" s="25"/>
      <c r="P360" s="25"/>
      <c r="R360" s="25"/>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row>
    <row r="361" spans="1:63" x14ac:dyDescent="0.2">
      <c r="A361" s="311"/>
      <c r="B361" s="154"/>
      <c r="C361" s="154"/>
      <c r="D361" s="148"/>
      <c r="E361" s="154"/>
      <c r="F361" s="146"/>
      <c r="G361" s="146"/>
      <c r="H361" s="146"/>
      <c r="I361" s="313"/>
      <c r="J361" s="142"/>
      <c r="K361" s="25"/>
      <c r="L361" s="131"/>
      <c r="M361" s="25"/>
      <c r="N361" s="25"/>
      <c r="O361" s="25"/>
      <c r="P361" s="25"/>
      <c r="R361" s="25"/>
    </row>
    <row r="362" spans="1:63" s="128" customFormat="1" ht="15" x14ac:dyDescent="0.2">
      <c r="A362" s="314" t="s">
        <v>1072</v>
      </c>
      <c r="B362" s="259"/>
      <c r="C362" s="259"/>
      <c r="D362" s="256" t="s">
        <v>700</v>
      </c>
      <c r="E362" s="259"/>
      <c r="F362" s="315"/>
      <c r="G362" s="316"/>
      <c r="H362" s="317"/>
      <c r="I362" s="318">
        <f>SUM(I363:I366)</f>
        <v>654704.04</v>
      </c>
      <c r="J362" s="142"/>
      <c r="K362" s="138"/>
      <c r="L362" s="138"/>
      <c r="M362" s="138"/>
      <c r="N362" s="25"/>
      <c r="O362" s="25"/>
      <c r="P362" s="25"/>
      <c r="Q362" s="26"/>
      <c r="R362" s="25"/>
      <c r="S362" s="26"/>
      <c r="T362" s="26"/>
      <c r="U362" s="26"/>
      <c r="V362" s="26"/>
    </row>
    <row r="363" spans="1:63" s="128" customFormat="1" ht="61.5" customHeight="1" x14ac:dyDescent="0.2">
      <c r="A363" s="320" t="s">
        <v>1073</v>
      </c>
      <c r="B363" s="154" t="s">
        <v>46</v>
      </c>
      <c r="C363" s="154">
        <v>89929</v>
      </c>
      <c r="D363" s="148" t="s">
        <v>1186</v>
      </c>
      <c r="E363" s="154" t="s">
        <v>17</v>
      </c>
      <c r="F363" s="146">
        <f>21583.7*1.3</f>
        <v>28058.81</v>
      </c>
      <c r="G363" s="146">
        <v>11.77</v>
      </c>
      <c r="H363" s="146">
        <f t="shared" ref="H363:H366" si="110">ROUND((1+$L$16)*G363,2)</f>
        <v>14.62</v>
      </c>
      <c r="I363" s="313">
        <f>ROUND(F363*H363,2)</f>
        <v>410219.8</v>
      </c>
      <c r="J363" s="251"/>
      <c r="K363" s="138"/>
      <c r="L363" s="138"/>
      <c r="M363" s="138"/>
      <c r="N363" s="25"/>
      <c r="O363" s="25"/>
      <c r="P363" s="25"/>
      <c r="Q363" s="26"/>
      <c r="R363" s="25"/>
      <c r="S363" s="26"/>
      <c r="T363" s="26"/>
      <c r="U363" s="26"/>
      <c r="V363" s="26"/>
    </row>
    <row r="364" spans="1:63" s="128" customFormat="1" ht="28.5" x14ac:dyDescent="0.2">
      <c r="A364" s="320" t="s">
        <v>1074</v>
      </c>
      <c r="B364" s="154" t="s">
        <v>46</v>
      </c>
      <c r="C364" s="154" t="s">
        <v>58</v>
      </c>
      <c r="D364" s="148" t="s">
        <v>699</v>
      </c>
      <c r="E364" s="154" t="s">
        <v>17</v>
      </c>
      <c r="F364" s="190">
        <f>F363</f>
        <v>28058.81</v>
      </c>
      <c r="G364" s="146">
        <v>1.94</v>
      </c>
      <c r="H364" s="146">
        <f t="shared" si="110"/>
        <v>2.41</v>
      </c>
      <c r="I364" s="313">
        <f>ROUND(F364*H364,2)</f>
        <v>67621.73</v>
      </c>
      <c r="J364" s="251"/>
      <c r="K364" s="138"/>
      <c r="L364" s="138"/>
      <c r="M364" s="138"/>
      <c r="N364" s="25"/>
      <c r="O364" s="25"/>
      <c r="P364" s="25"/>
      <c r="Q364" s="26"/>
      <c r="R364" s="25"/>
      <c r="S364" s="26"/>
      <c r="T364" s="26"/>
      <c r="U364" s="26"/>
      <c r="V364" s="26"/>
    </row>
    <row r="365" spans="1:63" s="128" customFormat="1" x14ac:dyDescent="0.2">
      <c r="A365" s="320" t="s">
        <v>1075</v>
      </c>
      <c r="B365" s="154" t="s">
        <v>46</v>
      </c>
      <c r="C365" s="150">
        <v>79472</v>
      </c>
      <c r="D365" s="149" t="s">
        <v>760</v>
      </c>
      <c r="E365" s="150" t="s">
        <v>16</v>
      </c>
      <c r="F365" s="146">
        <f>F357</f>
        <v>17200</v>
      </c>
      <c r="G365" s="146">
        <v>0.45</v>
      </c>
      <c r="H365" s="146">
        <f t="shared" si="110"/>
        <v>0.56000000000000005</v>
      </c>
      <c r="I365" s="313">
        <f t="shared" ref="I365" si="111">ROUND(F365*H365,2)</f>
        <v>9632</v>
      </c>
      <c r="J365" s="251"/>
      <c r="K365" s="138"/>
      <c r="L365" s="138"/>
      <c r="M365" s="138"/>
      <c r="N365" s="25"/>
      <c r="O365" s="25"/>
      <c r="P365" s="25"/>
      <c r="Q365" s="26"/>
      <c r="R365" s="25"/>
      <c r="S365" s="26"/>
      <c r="T365" s="26"/>
      <c r="U365" s="26"/>
      <c r="V365" s="26"/>
    </row>
    <row r="366" spans="1:63" s="128" customFormat="1" x14ac:dyDescent="0.2">
      <c r="A366" s="320" t="s">
        <v>1076</v>
      </c>
      <c r="B366" s="154" t="s">
        <v>46</v>
      </c>
      <c r="C366" s="154" t="s">
        <v>701</v>
      </c>
      <c r="D366" s="148" t="s">
        <v>702</v>
      </c>
      <c r="E366" s="154" t="s">
        <v>17</v>
      </c>
      <c r="F366" s="190">
        <f>F363</f>
        <v>28058.81</v>
      </c>
      <c r="G366" s="146">
        <v>4.8</v>
      </c>
      <c r="H366" s="146">
        <f t="shared" si="110"/>
        <v>5.96</v>
      </c>
      <c r="I366" s="313">
        <f t="shared" ref="I366" si="112">ROUND(F366*H366,2)</f>
        <v>167230.51</v>
      </c>
      <c r="J366" s="251"/>
      <c r="K366" s="138"/>
      <c r="L366" s="138"/>
      <c r="M366" s="138"/>
      <c r="N366" s="25"/>
      <c r="O366" s="25"/>
      <c r="P366" s="25"/>
      <c r="Q366" s="26"/>
      <c r="R366" s="25"/>
      <c r="S366" s="26"/>
      <c r="T366" s="26"/>
      <c r="U366" s="26"/>
      <c r="V366" s="26"/>
    </row>
    <row r="367" spans="1:63" s="128" customFormat="1" ht="15" thickBot="1" x14ac:dyDescent="0.25">
      <c r="A367" s="934"/>
      <c r="B367" s="573"/>
      <c r="C367" s="573"/>
      <c r="D367" s="574"/>
      <c r="E367" s="573"/>
      <c r="F367" s="575"/>
      <c r="G367" s="575"/>
      <c r="H367" s="575"/>
      <c r="I367" s="576"/>
      <c r="J367" s="251"/>
      <c r="K367" s="138"/>
      <c r="L367" s="138"/>
      <c r="M367" s="138"/>
      <c r="N367" s="25"/>
      <c r="O367" s="25"/>
      <c r="P367" s="25"/>
      <c r="Q367" s="26"/>
      <c r="R367" s="25"/>
      <c r="S367" s="26"/>
      <c r="T367" s="26"/>
      <c r="U367" s="26"/>
      <c r="V367" s="26"/>
    </row>
    <row r="368" spans="1:63" s="26" customFormat="1" ht="15" customHeight="1" x14ac:dyDescent="0.2">
      <c r="A368" s="921" t="s">
        <v>267</v>
      </c>
      <c r="B368" s="922"/>
      <c r="C368" s="922"/>
      <c r="D368" s="923" t="s">
        <v>695</v>
      </c>
      <c r="E368" s="922"/>
      <c r="F368" s="924"/>
      <c r="G368" s="925"/>
      <c r="H368" s="926"/>
      <c r="I368" s="927">
        <f>SUM(I369:I385)</f>
        <v>664314.65</v>
      </c>
      <c r="J368" s="262"/>
      <c r="K368" s="25"/>
      <c r="L368" s="132"/>
      <c r="M368" s="25"/>
      <c r="N368" s="25"/>
      <c r="O368" s="25"/>
      <c r="P368" s="25"/>
      <c r="R368" s="25"/>
    </row>
    <row r="369" spans="1:22" s="128" customFormat="1" ht="28.5" customHeight="1" x14ac:dyDescent="0.2">
      <c r="A369" s="284" t="s">
        <v>1077</v>
      </c>
      <c r="B369" s="281" t="s">
        <v>46</v>
      </c>
      <c r="C369" s="150" t="s">
        <v>703</v>
      </c>
      <c r="D369" s="147" t="s">
        <v>704</v>
      </c>
      <c r="E369" s="281" t="s">
        <v>16</v>
      </c>
      <c r="F369" s="146">
        <f>5.2*14</f>
        <v>72.8</v>
      </c>
      <c r="G369" s="146">
        <v>8.3000000000000007</v>
      </c>
      <c r="H369" s="151">
        <f t="shared" ref="H369:H383" si="113">G369*(1+$L$16)</f>
        <v>10.306723228353773</v>
      </c>
      <c r="I369" s="152">
        <f t="shared" ref="I369:I383" si="114">ROUND(F369*H369,2)</f>
        <v>750.33</v>
      </c>
      <c r="J369" s="251"/>
      <c r="K369" s="138"/>
      <c r="L369" s="138"/>
      <c r="M369" s="138"/>
      <c r="N369" s="25"/>
      <c r="O369" s="25"/>
      <c r="P369" s="25"/>
      <c r="Q369" s="26"/>
      <c r="R369" s="25"/>
      <c r="S369" s="26"/>
      <c r="T369" s="26"/>
      <c r="U369" s="26"/>
      <c r="V369" s="26"/>
    </row>
    <row r="370" spans="1:22" s="128" customFormat="1" ht="28.5" x14ac:dyDescent="0.2">
      <c r="A370" s="284" t="s">
        <v>1078</v>
      </c>
      <c r="B370" s="281" t="s">
        <v>46</v>
      </c>
      <c r="C370" s="281">
        <v>79475</v>
      </c>
      <c r="D370" s="285" t="s">
        <v>1318</v>
      </c>
      <c r="E370" s="281" t="s">
        <v>17</v>
      </c>
      <c r="F370" s="146">
        <f>0.5*0.5*0.75*6</f>
        <v>1.125</v>
      </c>
      <c r="G370" s="146">
        <v>368.9</v>
      </c>
      <c r="H370" s="151">
        <f t="shared" si="113"/>
        <v>458.09038541442243</v>
      </c>
      <c r="I370" s="152">
        <f t="shared" si="114"/>
        <v>515.35</v>
      </c>
      <c r="J370" s="251"/>
      <c r="K370" s="138"/>
      <c r="L370" s="138"/>
      <c r="M370" s="138"/>
      <c r="N370" s="25"/>
      <c r="O370" s="25"/>
      <c r="P370" s="25"/>
      <c r="Q370" s="26"/>
      <c r="R370" s="25"/>
      <c r="S370" s="26"/>
      <c r="T370" s="26"/>
      <c r="U370" s="26"/>
      <c r="V370" s="26"/>
    </row>
    <row r="371" spans="1:22" ht="30" customHeight="1" x14ac:dyDescent="0.2">
      <c r="A371" s="284" t="s">
        <v>1079</v>
      </c>
      <c r="B371" s="281" t="s">
        <v>46</v>
      </c>
      <c r="C371" s="281">
        <v>88039</v>
      </c>
      <c r="D371" s="285" t="s">
        <v>717</v>
      </c>
      <c r="E371" s="281" t="s">
        <v>17</v>
      </c>
      <c r="F371" s="146">
        <f>F370</f>
        <v>1.125</v>
      </c>
      <c r="G371" s="146">
        <v>69.37</v>
      </c>
      <c r="H371" s="151">
        <f t="shared" si="113"/>
        <v>86.141854259144722</v>
      </c>
      <c r="I371" s="152">
        <f t="shared" si="114"/>
        <v>96.91</v>
      </c>
      <c r="J371" s="142"/>
      <c r="K371" s="25"/>
      <c r="L371" s="133"/>
      <c r="M371" s="25"/>
      <c r="N371" s="25"/>
      <c r="O371" s="25"/>
      <c r="P371" s="25"/>
      <c r="R371" s="25"/>
    </row>
    <row r="372" spans="1:22" s="26" customFormat="1" ht="42.75" x14ac:dyDescent="0.2">
      <c r="A372" s="284" t="s">
        <v>1080</v>
      </c>
      <c r="B372" s="154" t="s">
        <v>336</v>
      </c>
      <c r="C372" s="226" t="str">
        <f>COMPOSIÇÕES!C234</f>
        <v>CE-020</v>
      </c>
      <c r="D372" s="147" t="str">
        <f>COMPOSIÇÕES!D234</f>
        <v xml:space="preserve">CRAVAMENTO DE ESTACAS PRÉ-MOLDADA DE CONCRETO, SEÇÃO QUADRADA, CAPACIDADE DE 25 TONELADAS, COMPRIMENTO TOTAL CRAVADO ATÉ 8,40M, BATE-ESTACAS POR GRAVIDADE SOBRE ROLOS </v>
      </c>
      <c r="E372" s="154" t="s">
        <v>19</v>
      </c>
      <c r="F372" s="146">
        <v>1</v>
      </c>
      <c r="G372" s="146">
        <f>COMPOSIÇÕES!I234</f>
        <v>5627.94</v>
      </c>
      <c r="H372" s="146">
        <f>ROUND((1+L$16)*G372,2)</f>
        <v>6988.63</v>
      </c>
      <c r="I372" s="152">
        <f t="shared" si="114"/>
        <v>6988.63</v>
      </c>
      <c r="J372" s="262"/>
      <c r="K372" s="25"/>
      <c r="L372" s="132"/>
      <c r="M372" s="25"/>
      <c r="N372" s="25"/>
      <c r="O372" s="25"/>
      <c r="P372" s="25"/>
      <c r="R372" s="25"/>
    </row>
    <row r="373" spans="1:22" s="336" customFormat="1" ht="57" x14ac:dyDescent="0.2">
      <c r="A373" s="284" t="s">
        <v>1081</v>
      </c>
      <c r="B373" s="226" t="s">
        <v>46</v>
      </c>
      <c r="C373" s="226">
        <v>92408</v>
      </c>
      <c r="D373" s="148" t="s">
        <v>770</v>
      </c>
      <c r="E373" s="226" t="s">
        <v>16</v>
      </c>
      <c r="F373" s="146">
        <f>4.9*(0.25*2+0.4*2)*6+11.21</f>
        <v>49.430000000000007</v>
      </c>
      <c r="G373" s="146">
        <v>126.28</v>
      </c>
      <c r="H373" s="146">
        <f>ROUND((1+$L$16)*G373,2)</f>
        <v>156.81</v>
      </c>
      <c r="I373" s="571">
        <f>ROUND(F373*H373,2)</f>
        <v>7751.12</v>
      </c>
      <c r="J373" s="335"/>
      <c r="K373" s="337"/>
      <c r="L373" s="337"/>
      <c r="M373" s="335"/>
      <c r="N373" s="335"/>
      <c r="O373" s="335"/>
    </row>
    <row r="374" spans="1:22" s="336" customFormat="1" ht="42.75" x14ac:dyDescent="0.2">
      <c r="A374" s="284" t="s">
        <v>1322</v>
      </c>
      <c r="B374" s="226" t="s">
        <v>46</v>
      </c>
      <c r="C374" s="226">
        <v>92449</v>
      </c>
      <c r="D374" s="148" t="s">
        <v>1321</v>
      </c>
      <c r="E374" s="226" t="s">
        <v>16</v>
      </c>
      <c r="F374" s="607">
        <f>4.72*2+(0.5*2+0.25*2)*2+2.95*3*(0.4*2+0.25*2)*2</f>
        <v>35.450000000000003</v>
      </c>
      <c r="G374" s="146">
        <v>158.85</v>
      </c>
      <c r="H374" s="146">
        <f>ROUND((1+$L$16)*G374,2)</f>
        <v>197.26</v>
      </c>
      <c r="I374" s="571">
        <f>ROUND(F374*H374,2)</f>
        <v>6992.87</v>
      </c>
      <c r="J374" s="335"/>
      <c r="K374" s="335"/>
      <c r="L374" s="335"/>
      <c r="M374" s="335"/>
      <c r="N374" s="335"/>
      <c r="O374" s="335"/>
    </row>
    <row r="375" spans="1:22" s="336" customFormat="1" ht="42.75" x14ac:dyDescent="0.2">
      <c r="A375" s="284" t="s">
        <v>1082</v>
      </c>
      <c r="B375" s="226" t="s">
        <v>46</v>
      </c>
      <c r="C375" s="226">
        <v>92481</v>
      </c>
      <c r="D375" s="148" t="s">
        <v>769</v>
      </c>
      <c r="E375" s="226" t="s">
        <v>16</v>
      </c>
      <c r="F375" s="146">
        <f>3.2*12.15+3.2*0.2*2+12.15*0.2*2</f>
        <v>45.02</v>
      </c>
      <c r="G375" s="146">
        <v>148.88999999999999</v>
      </c>
      <c r="H375" s="146">
        <f>ROUND((1+$L$16)*G375,2)</f>
        <v>184.89</v>
      </c>
      <c r="I375" s="571">
        <f>ROUND(F375*H375,2)</f>
        <v>8323.75</v>
      </c>
      <c r="J375" s="335"/>
      <c r="K375" s="335"/>
      <c r="L375" s="335"/>
      <c r="M375" s="335"/>
      <c r="N375" s="335"/>
      <c r="O375" s="335"/>
    </row>
    <row r="376" spans="1:22" s="336" customFormat="1" x14ac:dyDescent="0.2">
      <c r="A376" s="284" t="s">
        <v>1083</v>
      </c>
      <c r="B376" s="226" t="s">
        <v>46</v>
      </c>
      <c r="C376" s="226">
        <v>34443</v>
      </c>
      <c r="D376" s="148" t="s">
        <v>1353</v>
      </c>
      <c r="E376" s="226" t="s">
        <v>170</v>
      </c>
      <c r="F376" s="146">
        <v>50</v>
      </c>
      <c r="G376" s="146">
        <v>3.8</v>
      </c>
      <c r="H376" s="146">
        <f t="shared" ref="H376:H380" si="115">ROUND((1+$K$16)*G376,2)</f>
        <v>4.33</v>
      </c>
      <c r="I376" s="571">
        <f t="shared" ref="I376:I377" si="116">ROUND(F376*H376,2)</f>
        <v>216.5</v>
      </c>
      <c r="J376" s="335"/>
      <c r="K376" s="335"/>
      <c r="L376" s="335"/>
      <c r="M376" s="335"/>
      <c r="N376" s="335"/>
      <c r="O376" s="335"/>
    </row>
    <row r="377" spans="1:22" s="336" customFormat="1" x14ac:dyDescent="0.2">
      <c r="A377" s="284" t="s">
        <v>1084</v>
      </c>
      <c r="B377" s="226" t="s">
        <v>46</v>
      </c>
      <c r="C377" s="226">
        <v>34441</v>
      </c>
      <c r="D377" s="148" t="s">
        <v>1352</v>
      </c>
      <c r="E377" s="226" t="s">
        <v>170</v>
      </c>
      <c r="F377" s="146">
        <v>663</v>
      </c>
      <c r="G377" s="146">
        <v>3.8</v>
      </c>
      <c r="H377" s="146">
        <f t="shared" si="115"/>
        <v>4.33</v>
      </c>
      <c r="I377" s="571">
        <f t="shared" si="116"/>
        <v>2870.79</v>
      </c>
      <c r="J377" s="335"/>
      <c r="K377" s="335"/>
      <c r="L377" s="335"/>
      <c r="M377" s="335"/>
      <c r="N377" s="335"/>
      <c r="O377" s="335"/>
    </row>
    <row r="378" spans="1:22" s="336" customFormat="1" x14ac:dyDescent="0.2">
      <c r="A378" s="284" t="s">
        <v>1085</v>
      </c>
      <c r="B378" s="226" t="s">
        <v>46</v>
      </c>
      <c r="C378" s="226">
        <v>34439</v>
      </c>
      <c r="D378" s="148" t="s">
        <v>771</v>
      </c>
      <c r="E378" s="226" t="s">
        <v>170</v>
      </c>
      <c r="F378" s="146">
        <v>246</v>
      </c>
      <c r="G378" s="146">
        <v>4</v>
      </c>
      <c r="H378" s="146">
        <f>ROUND((1+$K$16)*G378,2)</f>
        <v>4.5599999999999996</v>
      </c>
      <c r="I378" s="571">
        <f t="shared" ref="I378:I381" si="117">ROUND(F378*H378,2)</f>
        <v>1121.76</v>
      </c>
      <c r="J378" s="335"/>
      <c r="K378" s="335"/>
      <c r="L378" s="335"/>
      <c r="M378" s="335"/>
      <c r="N378" s="335"/>
      <c r="O378" s="335"/>
    </row>
    <row r="379" spans="1:22" s="336" customFormat="1" x14ac:dyDescent="0.2">
      <c r="A379" s="284" t="s">
        <v>1086</v>
      </c>
      <c r="B379" s="226" t="s">
        <v>46</v>
      </c>
      <c r="C379" s="226">
        <v>33</v>
      </c>
      <c r="D379" s="148" t="s">
        <v>772</v>
      </c>
      <c r="E379" s="226" t="s">
        <v>170</v>
      </c>
      <c r="F379" s="146">
        <v>150</v>
      </c>
      <c r="G379" s="146">
        <v>4.1900000000000004</v>
      </c>
      <c r="H379" s="146">
        <f t="shared" si="115"/>
        <v>4.78</v>
      </c>
      <c r="I379" s="571">
        <f t="shared" si="117"/>
        <v>717</v>
      </c>
      <c r="J379" s="335"/>
      <c r="K379" s="335"/>
      <c r="L379" s="335"/>
      <c r="M379" s="335"/>
      <c r="N379" s="335"/>
      <c r="O379" s="335"/>
    </row>
    <row r="380" spans="1:22" s="336" customFormat="1" x14ac:dyDescent="0.2">
      <c r="A380" s="284" t="s">
        <v>1087</v>
      </c>
      <c r="B380" s="226" t="s">
        <v>46</v>
      </c>
      <c r="C380" s="226">
        <v>34449</v>
      </c>
      <c r="D380" s="148" t="s">
        <v>844</v>
      </c>
      <c r="E380" s="226" t="s">
        <v>170</v>
      </c>
      <c r="F380" s="146">
        <v>247</v>
      </c>
      <c r="G380" s="146">
        <v>4.18</v>
      </c>
      <c r="H380" s="146">
        <f t="shared" si="115"/>
        <v>4.7699999999999996</v>
      </c>
      <c r="I380" s="571">
        <f t="shared" si="117"/>
        <v>1178.19</v>
      </c>
      <c r="J380" s="335"/>
      <c r="K380" s="335"/>
      <c r="L380" s="335"/>
      <c r="M380" s="335"/>
      <c r="N380" s="335"/>
      <c r="O380" s="335"/>
    </row>
    <row r="381" spans="1:22" s="128" customFormat="1" ht="28.5" x14ac:dyDescent="0.2">
      <c r="A381" s="284" t="s">
        <v>1088</v>
      </c>
      <c r="B381" s="226" t="s">
        <v>46</v>
      </c>
      <c r="C381" s="226">
        <v>95241</v>
      </c>
      <c r="D381" s="147" t="s">
        <v>706</v>
      </c>
      <c r="E381" s="154" t="s">
        <v>16</v>
      </c>
      <c r="F381" s="146">
        <f>16.2*17.2</f>
        <v>278.64</v>
      </c>
      <c r="G381" s="146">
        <v>19.88</v>
      </c>
      <c r="H381" s="146">
        <f t="shared" ref="H381" si="118">G381*(1+$L$16)</f>
        <v>24.686464792731684</v>
      </c>
      <c r="I381" s="313">
        <f t="shared" si="117"/>
        <v>6878.64</v>
      </c>
      <c r="J381" s="251"/>
      <c r="K381" s="138"/>
      <c r="L381" s="138"/>
      <c r="M381" s="138"/>
      <c r="N381" s="25"/>
      <c r="O381" s="25"/>
      <c r="P381" s="25"/>
      <c r="Q381" s="26"/>
      <c r="R381" s="25"/>
      <c r="S381" s="26"/>
      <c r="T381" s="26"/>
      <c r="U381" s="26"/>
      <c r="V381" s="26"/>
    </row>
    <row r="382" spans="1:22" s="26" customFormat="1" ht="28.5" x14ac:dyDescent="0.2">
      <c r="A382" s="284" t="s">
        <v>1627</v>
      </c>
      <c r="B382" s="226" t="s">
        <v>46</v>
      </c>
      <c r="C382" s="226">
        <v>94967</v>
      </c>
      <c r="D382" s="147" t="s">
        <v>1320</v>
      </c>
      <c r="E382" s="154" t="s">
        <v>17</v>
      </c>
      <c r="F382" s="146">
        <v>50.3</v>
      </c>
      <c r="G382" s="146">
        <v>331.4</v>
      </c>
      <c r="H382" s="146">
        <f>ROUND((1+$L$16)*G382,2)</f>
        <v>411.52</v>
      </c>
      <c r="I382" s="571">
        <f>ROUND(F382*H382,2)</f>
        <v>20699.46</v>
      </c>
      <c r="J382" s="262"/>
      <c r="K382" s="25"/>
      <c r="L382" s="132"/>
      <c r="M382" s="25"/>
      <c r="N382" s="25"/>
      <c r="O382" s="25"/>
      <c r="P382" s="25"/>
      <c r="R382" s="25"/>
    </row>
    <row r="383" spans="1:22" s="26" customFormat="1" ht="30" customHeight="1" x14ac:dyDescent="0.2">
      <c r="A383" s="284" t="s">
        <v>1704</v>
      </c>
      <c r="B383" s="154" t="s">
        <v>46</v>
      </c>
      <c r="C383" s="154">
        <v>92874</v>
      </c>
      <c r="D383" s="148" t="s">
        <v>773</v>
      </c>
      <c r="E383" s="154" t="s">
        <v>17</v>
      </c>
      <c r="F383" s="146">
        <f>F382</f>
        <v>50.3</v>
      </c>
      <c r="G383" s="146">
        <v>27.56</v>
      </c>
      <c r="H383" s="146">
        <f t="shared" si="113"/>
        <v>34.223288213666258</v>
      </c>
      <c r="I383" s="313">
        <f t="shared" si="114"/>
        <v>1721.43</v>
      </c>
      <c r="J383" s="251"/>
      <c r="K383" s="25"/>
      <c r="L383" s="133"/>
      <c r="M383" s="25"/>
      <c r="N383" s="25"/>
      <c r="O383" s="25"/>
      <c r="P383" s="25"/>
      <c r="R383" s="25"/>
    </row>
    <row r="384" spans="1:22" s="128" customFormat="1" x14ac:dyDescent="0.2">
      <c r="A384" s="284" t="s">
        <v>1971</v>
      </c>
      <c r="B384" s="226" t="s">
        <v>66</v>
      </c>
      <c r="C384" s="226"/>
      <c r="D384" s="147" t="s">
        <v>1187</v>
      </c>
      <c r="E384" s="226" t="s">
        <v>19</v>
      </c>
      <c r="F384" s="146">
        <v>1</v>
      </c>
      <c r="G384" s="146">
        <v>478200</v>
      </c>
      <c r="H384" s="146">
        <f>G384*(1+$L$16)</f>
        <v>593816.27081912931</v>
      </c>
      <c r="I384" s="313">
        <f t="shared" ref="I384" si="119">ROUND(F384*H384,2)</f>
        <v>593816.27</v>
      </c>
      <c r="J384" s="251"/>
      <c r="K384" s="138"/>
      <c r="L384" s="138"/>
      <c r="M384" s="138"/>
      <c r="N384" s="25"/>
      <c r="O384" s="25"/>
      <c r="P384" s="25"/>
      <c r="Q384" s="26"/>
      <c r="R384" s="25"/>
      <c r="S384" s="26"/>
      <c r="T384" s="26"/>
      <c r="U384" s="26"/>
      <c r="V384" s="26"/>
    </row>
    <row r="385" spans="1:63" s="128" customFormat="1" x14ac:dyDescent="0.2">
      <c r="A385" s="284" t="s">
        <v>1972</v>
      </c>
      <c r="B385" s="226" t="s">
        <v>66</v>
      </c>
      <c r="C385" s="226"/>
      <c r="D385" s="147" t="s">
        <v>1188</v>
      </c>
      <c r="E385" s="226" t="s">
        <v>19</v>
      </c>
      <c r="F385" s="146">
        <v>2</v>
      </c>
      <c r="G385" s="146">
        <v>1480</v>
      </c>
      <c r="H385" s="146">
        <f>G385*(1+$L$16)</f>
        <v>1837.8253467426002</v>
      </c>
      <c r="I385" s="313">
        <f t="shared" ref="I385" si="120">ROUND(F385*H385,2)</f>
        <v>3675.65</v>
      </c>
      <c r="J385" s="251"/>
      <c r="K385" s="138"/>
      <c r="L385" s="138"/>
      <c r="M385" s="138"/>
      <c r="N385" s="25"/>
      <c r="O385" s="25"/>
      <c r="P385" s="25"/>
      <c r="Q385" s="26"/>
      <c r="R385" s="25"/>
      <c r="S385" s="26"/>
      <c r="T385" s="26"/>
      <c r="U385" s="26"/>
      <c r="V385" s="26"/>
    </row>
    <row r="386" spans="1:63" s="26" customFormat="1" x14ac:dyDescent="0.2">
      <c r="A386" s="284"/>
      <c r="B386" s="150"/>
      <c r="C386" s="150"/>
      <c r="D386" s="149"/>
      <c r="E386" s="150"/>
      <c r="F386" s="151"/>
      <c r="G386" s="151"/>
      <c r="H386" s="151"/>
      <c r="I386" s="152"/>
      <c r="J386" s="251"/>
      <c r="K386" s="25"/>
      <c r="L386" s="133"/>
      <c r="M386" s="25"/>
      <c r="N386" s="25"/>
      <c r="O386" s="25"/>
      <c r="P386" s="25"/>
      <c r="R386" s="25"/>
    </row>
    <row r="387" spans="1:63" s="26" customFormat="1" ht="15" customHeight="1" x14ac:dyDescent="0.2">
      <c r="A387" s="563" t="s">
        <v>268</v>
      </c>
      <c r="B387" s="564"/>
      <c r="C387" s="564"/>
      <c r="D387" s="565" t="s">
        <v>83</v>
      </c>
      <c r="E387" s="564"/>
      <c r="F387" s="566"/>
      <c r="G387" s="567"/>
      <c r="H387" s="568"/>
      <c r="I387" s="569">
        <f>SUM(I388:I418)</f>
        <v>1200132.9299999997</v>
      </c>
      <c r="J387" s="262"/>
      <c r="K387" s="25"/>
      <c r="L387" s="132"/>
      <c r="M387" s="25"/>
      <c r="N387" s="25"/>
      <c r="O387" s="25"/>
      <c r="P387" s="25"/>
      <c r="R387" s="25"/>
    </row>
    <row r="388" spans="1:63" s="128" customFormat="1" ht="28.5" customHeight="1" thickBot="1" x14ac:dyDescent="0.25">
      <c r="A388" s="934" t="s">
        <v>1089</v>
      </c>
      <c r="B388" s="942" t="s">
        <v>46</v>
      </c>
      <c r="C388" s="573" t="s">
        <v>703</v>
      </c>
      <c r="D388" s="929" t="s">
        <v>704</v>
      </c>
      <c r="E388" s="942" t="s">
        <v>16</v>
      </c>
      <c r="F388" s="585">
        <f>19.2*18.2</f>
        <v>349.44</v>
      </c>
      <c r="G388" s="585">
        <v>8.3000000000000007</v>
      </c>
      <c r="H388" s="575">
        <f t="shared" ref="H388:H417" si="121">G388*(1+$L$16)</f>
        <v>10.306723228353773</v>
      </c>
      <c r="I388" s="576">
        <f t="shared" ref="I388:I418" si="122">ROUND(F388*H388,2)</f>
        <v>3601.58</v>
      </c>
      <c r="J388" s="251"/>
      <c r="K388" s="138"/>
      <c r="L388" s="138"/>
      <c r="M388" s="138"/>
      <c r="N388" s="25"/>
      <c r="O388" s="25"/>
      <c r="P388" s="25"/>
      <c r="Q388" s="26"/>
      <c r="R388" s="25"/>
      <c r="S388" s="26"/>
      <c r="T388" s="26"/>
      <c r="U388" s="26"/>
      <c r="V388" s="26"/>
    </row>
    <row r="389" spans="1:63" s="128" customFormat="1" x14ac:dyDescent="0.2">
      <c r="A389" s="944" t="s">
        <v>1090</v>
      </c>
      <c r="B389" s="945" t="s">
        <v>46</v>
      </c>
      <c r="C389" s="945">
        <v>93358</v>
      </c>
      <c r="D389" s="946" t="s">
        <v>776</v>
      </c>
      <c r="E389" s="945" t="s">
        <v>17</v>
      </c>
      <c r="F389" s="901">
        <f>16.2*17.2*0.25</f>
        <v>69.66</v>
      </c>
      <c r="G389" s="901">
        <v>65.819999999999993</v>
      </c>
      <c r="H389" s="947">
        <f t="shared" si="121"/>
        <v>81.73355697472833</v>
      </c>
      <c r="I389" s="948">
        <f t="shared" si="122"/>
        <v>5693.56</v>
      </c>
      <c r="J389" s="251"/>
      <c r="K389" s="138"/>
      <c r="L389" s="138"/>
      <c r="M389" s="138"/>
      <c r="N389" s="25"/>
      <c r="O389" s="25"/>
      <c r="P389" s="25"/>
      <c r="Q389" s="26"/>
      <c r="R389" s="25"/>
      <c r="S389" s="26"/>
      <c r="T389" s="26"/>
      <c r="U389" s="26"/>
      <c r="V389" s="26"/>
    </row>
    <row r="390" spans="1:63" s="26" customFormat="1" ht="28.5" x14ac:dyDescent="0.2">
      <c r="A390" s="284" t="s">
        <v>1439</v>
      </c>
      <c r="B390" s="154" t="s">
        <v>46</v>
      </c>
      <c r="C390" s="154">
        <v>72898</v>
      </c>
      <c r="D390" s="148" t="s">
        <v>743</v>
      </c>
      <c r="E390" s="154" t="s">
        <v>17</v>
      </c>
      <c r="F390" s="146">
        <f>F389</f>
        <v>69.66</v>
      </c>
      <c r="G390" s="146">
        <v>3.57</v>
      </c>
      <c r="H390" s="146">
        <f t="shared" ref="H390:H392" si="123">ROUND((1+$L$16)*G390,2)</f>
        <v>4.43</v>
      </c>
      <c r="I390" s="313">
        <f>ROUND(F390*H390,2)</f>
        <v>308.58999999999997</v>
      </c>
      <c r="J390" s="262"/>
      <c r="K390" s="25" t="s">
        <v>1185</v>
      </c>
      <c r="L390" s="132">
        <v>21583.700000000004</v>
      </c>
      <c r="M390" s="25"/>
      <c r="N390" s="25">
        <v>170</v>
      </c>
      <c r="O390" s="25"/>
      <c r="P390" s="25"/>
      <c r="R390" s="25"/>
    </row>
    <row r="391" spans="1:63" s="128" customFormat="1" ht="28.5" x14ac:dyDescent="0.2">
      <c r="A391" s="284" t="s">
        <v>1440</v>
      </c>
      <c r="B391" s="154" t="s">
        <v>46</v>
      </c>
      <c r="C391" s="154">
        <v>72885</v>
      </c>
      <c r="D391" s="148" t="s">
        <v>334</v>
      </c>
      <c r="E391" s="154" t="s">
        <v>698</v>
      </c>
      <c r="F391" s="146">
        <f>F390*5</f>
        <v>348.29999999999995</v>
      </c>
      <c r="G391" s="146">
        <v>1.36</v>
      </c>
      <c r="H391" s="146">
        <f t="shared" si="123"/>
        <v>1.69</v>
      </c>
      <c r="I391" s="312">
        <f t="shared" ref="I391:I392" si="124">ROUND(F391*H391,2)</f>
        <v>588.63</v>
      </c>
      <c r="J391" s="142"/>
      <c r="K391" s="138"/>
      <c r="L391" s="138"/>
      <c r="M391" s="138"/>
      <c r="N391" s="25"/>
      <c r="O391" s="25"/>
      <c r="P391" s="25"/>
      <c r="Q391" s="26"/>
      <c r="R391" s="25"/>
      <c r="S391" s="26"/>
      <c r="T391" s="26"/>
      <c r="U391" s="26"/>
      <c r="V391" s="26"/>
    </row>
    <row r="392" spans="1:63" ht="30" customHeight="1" x14ac:dyDescent="0.2">
      <c r="A392" s="284" t="s">
        <v>1441</v>
      </c>
      <c r="B392" s="154" t="s">
        <v>46</v>
      </c>
      <c r="C392" s="154" t="s">
        <v>58</v>
      </c>
      <c r="D392" s="148" t="s">
        <v>699</v>
      </c>
      <c r="E392" s="154" t="s">
        <v>17</v>
      </c>
      <c r="F392" s="146">
        <f>F390</f>
        <v>69.66</v>
      </c>
      <c r="G392" s="146">
        <v>1.94</v>
      </c>
      <c r="H392" s="146">
        <f t="shared" si="123"/>
        <v>2.41</v>
      </c>
      <c r="I392" s="312">
        <f t="shared" si="124"/>
        <v>167.88</v>
      </c>
      <c r="J392" s="142"/>
      <c r="K392" s="25"/>
      <c r="L392" s="133"/>
      <c r="M392" s="25"/>
      <c r="N392" s="25"/>
      <c r="O392" s="25"/>
      <c r="P392" s="25"/>
      <c r="R392" s="25"/>
    </row>
    <row r="393" spans="1:63" ht="42.75" x14ac:dyDescent="0.2">
      <c r="A393" s="284" t="s">
        <v>1442</v>
      </c>
      <c r="B393" s="227" t="s">
        <v>46</v>
      </c>
      <c r="C393" s="150" t="str">
        <f>COMPOSIÇÕES!C243</f>
        <v>CE-021</v>
      </c>
      <c r="D393" s="147" t="str">
        <f>COMPOSIÇÕES!D243</f>
        <v>CRAVAMENTO DE ESTACAS PRÉ-MOLDADA DE CONCRETO,  SEÇÃO QUADRADA, CAPACIDADE DE 50 TONELADAS, COMPRIMENTO TOTAL CRAVADO ATÉ 7,70M, BATE-ESTACAS POR GRAVIDADE SOBRE ROLOS</v>
      </c>
      <c r="E393" s="227" t="s">
        <v>1706</v>
      </c>
      <c r="F393" s="146">
        <v>1</v>
      </c>
      <c r="G393" s="146">
        <f>COMPOSIÇÕES!I243</f>
        <v>29423.730000000003</v>
      </c>
      <c r="H393" s="146">
        <f>ROUND((1+$L$16)*G393,2)</f>
        <v>36537.620000000003</v>
      </c>
      <c r="I393" s="312">
        <f t="shared" ref="I393" si="125">ROUND(F393*H393,2)</f>
        <v>36537.620000000003</v>
      </c>
      <c r="J393" s="360"/>
      <c r="K393" s="360"/>
      <c r="L393" s="360"/>
      <c r="M393" s="360"/>
      <c r="N393" s="360"/>
      <c r="O393" s="360"/>
      <c r="P393" s="360"/>
      <c r="Q393" s="360"/>
      <c r="R393" s="7"/>
      <c r="S393" s="7"/>
      <c r="T393" s="7"/>
      <c r="U393" s="7"/>
      <c r="V393" s="7"/>
      <c r="W393" s="7"/>
      <c r="X393" s="7"/>
      <c r="Y393" s="7"/>
      <c r="Z393" s="7"/>
      <c r="AA393" s="7"/>
      <c r="AB393" s="7"/>
      <c r="AC393" s="7"/>
      <c r="AD393" s="7"/>
      <c r="AE393" s="7"/>
      <c r="AF393" s="7"/>
      <c r="AG393" s="7"/>
      <c r="AH393" s="7"/>
      <c r="AI393" s="7"/>
      <c r="AJ393" s="7"/>
      <c r="AK393" s="7"/>
      <c r="AL393" s="7"/>
      <c r="AM393" s="7"/>
      <c r="AN393" s="7"/>
      <c r="AO393" s="7"/>
      <c r="AP393" s="7"/>
      <c r="AQ393" s="7"/>
      <c r="AR393" s="7"/>
      <c r="AS393" s="7"/>
      <c r="AT393" s="7"/>
      <c r="AU393" s="7"/>
      <c r="AV393" s="7"/>
      <c r="AW393" s="7"/>
      <c r="AX393" s="7"/>
      <c r="AY393" s="7"/>
      <c r="AZ393" s="7"/>
      <c r="BA393" s="7"/>
      <c r="BB393" s="7"/>
      <c r="BC393" s="7"/>
      <c r="BD393" s="7"/>
      <c r="BE393" s="7"/>
      <c r="BF393" s="7"/>
      <c r="BG393" s="7"/>
      <c r="BH393" s="7"/>
      <c r="BI393" s="7"/>
      <c r="BJ393" s="7"/>
      <c r="BK393" s="7"/>
    </row>
    <row r="394" spans="1:63" s="128" customFormat="1" ht="28.5" x14ac:dyDescent="0.2">
      <c r="A394" s="284" t="s">
        <v>1091</v>
      </c>
      <c r="B394" s="150" t="s">
        <v>46</v>
      </c>
      <c r="C394" s="150">
        <v>95241</v>
      </c>
      <c r="D394" s="149" t="s">
        <v>706</v>
      </c>
      <c r="E394" s="281" t="s">
        <v>16</v>
      </c>
      <c r="F394" s="146">
        <f>16.2*17.2</f>
        <v>278.64</v>
      </c>
      <c r="G394" s="146">
        <v>19.88</v>
      </c>
      <c r="H394" s="151">
        <f t="shared" si="121"/>
        <v>24.686464792731684</v>
      </c>
      <c r="I394" s="152">
        <f t="shared" si="122"/>
        <v>6878.64</v>
      </c>
      <c r="J394" s="142"/>
      <c r="K394" s="138"/>
      <c r="L394" s="138"/>
      <c r="M394" s="138"/>
      <c r="N394" s="25"/>
      <c r="O394" s="25"/>
      <c r="P394" s="25"/>
      <c r="Q394" s="26"/>
      <c r="R394" s="25"/>
      <c r="S394" s="26"/>
      <c r="T394" s="26"/>
      <c r="U394" s="26"/>
      <c r="V394" s="26"/>
    </row>
    <row r="395" spans="1:63" s="336" customFormat="1" ht="57" x14ac:dyDescent="0.2">
      <c r="A395" s="284" t="s">
        <v>1443</v>
      </c>
      <c r="B395" s="226" t="s">
        <v>46</v>
      </c>
      <c r="C395" s="226">
        <v>92417</v>
      </c>
      <c r="D395" s="148" t="s">
        <v>1351</v>
      </c>
      <c r="E395" s="226" t="s">
        <v>16</v>
      </c>
      <c r="F395" s="146">
        <f>(7.8*2+16.8*2)*5*2+(16.5*2+17.4*2)*5.2+(1.2+1)*17.4+0.8*1.2*2+(2.05*2+1.5*2)*0.65*2+(1.75*2+1.2*2)*0.65*2+(2.05*2+1.5*2)*0.1*2+1.2*2*0.6*2-77.48</f>
        <v>828.47999999999979</v>
      </c>
      <c r="G395" s="146">
        <v>96.25</v>
      </c>
      <c r="H395" s="146">
        <f>ROUND((1+$L$16)*G395,2)</f>
        <v>119.52</v>
      </c>
      <c r="I395" s="571">
        <f>ROUND(F395*H395,2)</f>
        <v>99019.93</v>
      </c>
      <c r="J395" s="335"/>
      <c r="K395" s="337">
        <f>F395+F396+F397</f>
        <v>1680.0019999999997</v>
      </c>
      <c r="L395" s="335"/>
      <c r="M395" s="330">
        <f>(7.8*2+16.8*2)*5*2+(16.5*2+17.4*2)*5.2+(1.2+1)*17.4+0.8*1.2*2+(2.05*2+1.5*2)*0.65*2+(1.75*2+1.2*2)*0.65*2+(2.05*2+1.5*2)*0.1*2+1.2*2*0.6*2</f>
        <v>905.95999999999981</v>
      </c>
      <c r="N395" s="335"/>
      <c r="O395" s="335"/>
    </row>
    <row r="396" spans="1:63" s="336" customFormat="1" ht="42.75" x14ac:dyDescent="0.2">
      <c r="A396" s="284" t="s">
        <v>1092</v>
      </c>
      <c r="B396" s="226" t="s">
        <v>46</v>
      </c>
      <c r="C396" s="226">
        <v>92449</v>
      </c>
      <c r="D396" s="148" t="s">
        <v>1321</v>
      </c>
      <c r="E396" s="226" t="s">
        <v>16</v>
      </c>
      <c r="F396" s="146">
        <f>(1*2+0.2)*12*7.8*2+(2.6*5+0.66*2)*7.8*2-77.47</f>
        <v>557.76199999999994</v>
      </c>
      <c r="G396" s="146">
        <v>158.85</v>
      </c>
      <c r="H396" s="146">
        <f>ROUND((1+$L$16)*G396,2)</f>
        <v>197.26</v>
      </c>
      <c r="I396" s="571">
        <f>ROUND(F396*H396,2)</f>
        <v>110024.13</v>
      </c>
      <c r="J396" s="335"/>
      <c r="K396" s="335">
        <v>1680</v>
      </c>
      <c r="L396" s="335"/>
      <c r="M396" s="330">
        <f>(1*2+0.2)*12*7.8*2+(2.6*5+0.66*2)*7.8*2</f>
        <v>635.23199999999997</v>
      </c>
      <c r="N396" s="335"/>
      <c r="O396" s="335"/>
    </row>
    <row r="397" spans="1:63" s="336" customFormat="1" ht="42.75" x14ac:dyDescent="0.2">
      <c r="A397" s="284" t="s">
        <v>1444</v>
      </c>
      <c r="B397" s="226" t="s">
        <v>46</v>
      </c>
      <c r="C397" s="226">
        <v>92508</v>
      </c>
      <c r="D397" s="148" t="s">
        <v>1355</v>
      </c>
      <c r="E397" s="226" t="s">
        <v>16</v>
      </c>
      <c r="F397" s="607">
        <f>17.2*8.15*2+(17.2*2+8.15*2*2)*0.2</f>
        <v>293.76</v>
      </c>
      <c r="G397" s="146">
        <v>44.92</v>
      </c>
      <c r="H397" s="146">
        <f>ROUND((1+$L$16)*G397,2)</f>
        <v>55.78</v>
      </c>
      <c r="I397" s="571">
        <f>ROUND(F397*H397,2)</f>
        <v>16385.93</v>
      </c>
      <c r="J397" s="335"/>
      <c r="K397" s="337">
        <f>K395-K396</f>
        <v>1.9999999997253326E-3</v>
      </c>
      <c r="L397" s="335">
        <f>(17.2*2+8.15*2*2)*0.2</f>
        <v>13.4</v>
      </c>
      <c r="M397" s="370">
        <f>17.2*8.15*2+(17.2*2+8.15*2*2)*0.2</f>
        <v>293.76</v>
      </c>
      <c r="N397" s="335"/>
      <c r="O397" s="335"/>
    </row>
    <row r="398" spans="1:63" s="336" customFormat="1" x14ac:dyDescent="0.2">
      <c r="A398" s="284" t="s">
        <v>1445</v>
      </c>
      <c r="B398" s="226" t="s">
        <v>46</v>
      </c>
      <c r="C398" s="226">
        <v>34449</v>
      </c>
      <c r="D398" s="148" t="s">
        <v>844</v>
      </c>
      <c r="E398" s="226" t="s">
        <v>170</v>
      </c>
      <c r="F398" s="146">
        <f>122+979+1096</f>
        <v>2197</v>
      </c>
      <c r="G398" s="146">
        <v>4.18</v>
      </c>
      <c r="H398" s="146">
        <f>ROUND((1+$K$16)*G398,2)</f>
        <v>4.7699999999999996</v>
      </c>
      <c r="I398" s="571">
        <f t="shared" ref="I398:I402" si="126">ROUND(F398*H398,2)</f>
        <v>10479.69</v>
      </c>
      <c r="J398" s="335"/>
      <c r="K398" s="337">
        <f>K397/2</f>
        <v>9.999999998626663E-4</v>
      </c>
      <c r="L398" s="335"/>
      <c r="M398" s="335"/>
      <c r="N398" s="335"/>
      <c r="O398" s="335"/>
    </row>
    <row r="399" spans="1:63" s="336" customFormat="1" x14ac:dyDescent="0.2">
      <c r="A399" s="284" t="s">
        <v>1446</v>
      </c>
      <c r="B399" s="226" t="s">
        <v>46</v>
      </c>
      <c r="C399" s="226">
        <v>33</v>
      </c>
      <c r="D399" s="148" t="s">
        <v>772</v>
      </c>
      <c r="E399" s="226" t="s">
        <v>170</v>
      </c>
      <c r="F399" s="146">
        <f>952+1117+2115</f>
        <v>4184</v>
      </c>
      <c r="G399" s="146">
        <v>4.1900000000000004</v>
      </c>
      <c r="H399" s="146">
        <f t="shared" ref="H399:H402" si="127">ROUND((1+$K$16)*G399,2)</f>
        <v>4.78</v>
      </c>
      <c r="I399" s="571">
        <f t="shared" si="126"/>
        <v>19999.52</v>
      </c>
      <c r="J399" s="335"/>
      <c r="K399" s="335"/>
      <c r="L399" s="335"/>
      <c r="M399" s="335"/>
      <c r="N399" s="335"/>
      <c r="O399" s="335"/>
    </row>
    <row r="400" spans="1:63" s="336" customFormat="1" x14ac:dyDescent="0.2">
      <c r="A400" s="284" t="s">
        <v>1093</v>
      </c>
      <c r="B400" s="226" t="s">
        <v>46</v>
      </c>
      <c r="C400" s="226">
        <v>34439</v>
      </c>
      <c r="D400" s="148" t="s">
        <v>771</v>
      </c>
      <c r="E400" s="226" t="s">
        <v>170</v>
      </c>
      <c r="F400" s="146">
        <f>3403+977+113</f>
        <v>4493</v>
      </c>
      <c r="G400" s="146">
        <v>4</v>
      </c>
      <c r="H400" s="146">
        <f t="shared" si="127"/>
        <v>4.5599999999999996</v>
      </c>
      <c r="I400" s="571">
        <f t="shared" si="126"/>
        <v>20488.080000000002</v>
      </c>
      <c r="J400" s="335"/>
      <c r="K400" s="335"/>
      <c r="L400" s="335"/>
      <c r="M400" s="335"/>
      <c r="N400" s="335"/>
      <c r="O400" s="335"/>
    </row>
    <row r="401" spans="1:63" s="336" customFormat="1" x14ac:dyDescent="0.2">
      <c r="A401" s="284" t="s">
        <v>1094</v>
      </c>
      <c r="B401" s="226" t="s">
        <v>46</v>
      </c>
      <c r="C401" s="226">
        <v>34441</v>
      </c>
      <c r="D401" s="148" t="s">
        <v>1352</v>
      </c>
      <c r="E401" s="226" t="s">
        <v>170</v>
      </c>
      <c r="F401" s="146">
        <f>3548+5829+1798</f>
        <v>11175</v>
      </c>
      <c r="G401" s="146">
        <v>3.8</v>
      </c>
      <c r="H401" s="146">
        <f t="shared" si="127"/>
        <v>4.33</v>
      </c>
      <c r="I401" s="571">
        <f t="shared" si="126"/>
        <v>48387.75</v>
      </c>
      <c r="J401" s="335"/>
      <c r="K401" s="335"/>
      <c r="L401" s="335"/>
      <c r="M401" s="335"/>
      <c r="N401" s="335"/>
      <c r="O401" s="335"/>
    </row>
    <row r="402" spans="1:63" s="336" customFormat="1" x14ac:dyDescent="0.2">
      <c r="A402" s="284" t="s">
        <v>1095</v>
      </c>
      <c r="B402" s="226" t="s">
        <v>46</v>
      </c>
      <c r="C402" s="226">
        <v>34443</v>
      </c>
      <c r="D402" s="148" t="s">
        <v>1353</v>
      </c>
      <c r="E402" s="226" t="s">
        <v>170</v>
      </c>
      <c r="F402" s="146">
        <f>1995+3416+5357</f>
        <v>10768</v>
      </c>
      <c r="G402" s="146">
        <v>3.8</v>
      </c>
      <c r="H402" s="146">
        <f t="shared" si="127"/>
        <v>4.33</v>
      </c>
      <c r="I402" s="571">
        <f t="shared" si="126"/>
        <v>46625.440000000002</v>
      </c>
      <c r="J402" s="335"/>
      <c r="K402" s="335"/>
      <c r="L402" s="335"/>
      <c r="M402" s="335"/>
      <c r="N402" s="335"/>
      <c r="O402" s="335"/>
    </row>
    <row r="403" spans="1:63" s="26" customFormat="1" ht="28.5" x14ac:dyDescent="0.2">
      <c r="A403" s="284" t="s">
        <v>1096</v>
      </c>
      <c r="B403" s="226" t="s">
        <v>46</v>
      </c>
      <c r="C403" s="226">
        <v>94967</v>
      </c>
      <c r="D403" s="147" t="s">
        <v>1320</v>
      </c>
      <c r="E403" s="154" t="s">
        <v>17</v>
      </c>
      <c r="F403" s="146">
        <v>674.8</v>
      </c>
      <c r="G403" s="146">
        <v>331.4</v>
      </c>
      <c r="H403" s="146">
        <f>ROUND((1+$L$16)*G403,2)</f>
        <v>411.52</v>
      </c>
      <c r="I403" s="571">
        <f>ROUND(F403*H403,2)</f>
        <v>277693.7</v>
      </c>
      <c r="J403" s="262"/>
      <c r="K403" s="25"/>
      <c r="L403" s="132"/>
      <c r="M403" s="25"/>
      <c r="N403" s="25"/>
      <c r="O403" s="25"/>
      <c r="P403" s="25"/>
      <c r="R403" s="25"/>
    </row>
    <row r="404" spans="1:63" ht="30" customHeight="1" x14ac:dyDescent="0.2">
      <c r="A404" s="284" t="s">
        <v>1097</v>
      </c>
      <c r="B404" s="281" t="s">
        <v>46</v>
      </c>
      <c r="C404" s="281">
        <v>92874</v>
      </c>
      <c r="D404" s="285" t="s">
        <v>773</v>
      </c>
      <c r="E404" s="281" t="s">
        <v>17</v>
      </c>
      <c r="F404" s="146">
        <f>F403</f>
        <v>674.8</v>
      </c>
      <c r="G404" s="146">
        <v>27.56</v>
      </c>
      <c r="H404" s="151">
        <f t="shared" ref="H404" si="128">G404*(1+$L$16)</f>
        <v>34.223288213666258</v>
      </c>
      <c r="I404" s="313">
        <f t="shared" ref="I404" si="129">ROUND(F404*H404,2)</f>
        <v>23093.87</v>
      </c>
      <c r="J404" s="142"/>
      <c r="K404" s="25"/>
      <c r="L404" s="133"/>
      <c r="M404" s="25"/>
      <c r="N404" s="25"/>
      <c r="O404" s="25"/>
      <c r="P404" s="25"/>
      <c r="R404" s="25"/>
      <c r="W404" s="7"/>
      <c r="X404" s="7"/>
      <c r="Y404" s="7"/>
      <c r="Z404" s="7"/>
      <c r="AA404" s="7"/>
      <c r="AB404" s="7"/>
      <c r="AC404" s="7"/>
      <c r="AD404" s="7"/>
      <c r="AE404" s="7"/>
      <c r="AF404" s="7"/>
      <c r="AG404" s="7"/>
      <c r="AH404" s="7"/>
      <c r="AI404" s="7"/>
      <c r="AJ404" s="7"/>
      <c r="AK404" s="7"/>
      <c r="AL404" s="7"/>
      <c r="AM404" s="7"/>
      <c r="AN404" s="7"/>
      <c r="AO404" s="7"/>
      <c r="AP404" s="7"/>
      <c r="AQ404" s="7"/>
      <c r="AR404" s="7"/>
      <c r="AS404" s="7"/>
      <c r="AT404" s="7"/>
      <c r="AU404" s="7"/>
      <c r="AV404" s="7"/>
      <c r="AW404" s="7"/>
      <c r="AX404" s="7"/>
      <c r="AY404" s="7"/>
      <c r="AZ404" s="7"/>
      <c r="BA404" s="7"/>
      <c r="BB404" s="7"/>
      <c r="BC404" s="7"/>
      <c r="BD404" s="7"/>
      <c r="BE404" s="7"/>
      <c r="BF404" s="7"/>
      <c r="BG404" s="7"/>
      <c r="BH404" s="7"/>
      <c r="BI404" s="7"/>
      <c r="BJ404" s="7"/>
      <c r="BK404" s="7"/>
    </row>
    <row r="405" spans="1:63" ht="28.5" customHeight="1" x14ac:dyDescent="0.2">
      <c r="A405" s="284" t="s">
        <v>1098</v>
      </c>
      <c r="B405" s="150" t="s">
        <v>46</v>
      </c>
      <c r="C405" s="150">
        <v>83516</v>
      </c>
      <c r="D405" s="149" t="s">
        <v>1324</v>
      </c>
      <c r="E405" s="150" t="s">
        <v>17</v>
      </c>
      <c r="F405" s="146">
        <f>16.8*7.85*5*2</f>
        <v>1318.8</v>
      </c>
      <c r="G405" s="146">
        <v>13.16</v>
      </c>
      <c r="H405" s="151">
        <f t="shared" si="121"/>
        <v>16.341744299413932</v>
      </c>
      <c r="I405" s="313">
        <f t="shared" si="122"/>
        <v>21551.49</v>
      </c>
      <c r="J405" s="142"/>
      <c r="K405" s="25"/>
      <c r="L405" s="133"/>
      <c r="M405" s="25"/>
      <c r="N405" s="25"/>
      <c r="O405" s="25"/>
      <c r="P405" s="25"/>
      <c r="R405" s="25"/>
      <c r="W405" s="7"/>
      <c r="X405" s="7"/>
      <c r="Y405" s="7"/>
      <c r="Z405" s="7"/>
      <c r="AA405" s="7"/>
      <c r="AB405" s="7"/>
      <c r="AC405" s="7"/>
      <c r="AD405" s="7"/>
      <c r="AE405" s="7"/>
      <c r="AF405" s="7"/>
      <c r="AG405" s="7"/>
      <c r="AH405" s="7"/>
      <c r="AI405" s="7"/>
      <c r="AJ405" s="7"/>
      <c r="AK405" s="7"/>
      <c r="AL405" s="7"/>
      <c r="AM405" s="7"/>
      <c r="AN405" s="7"/>
      <c r="AO405" s="7"/>
      <c r="AP405" s="7"/>
      <c r="AQ405" s="7"/>
      <c r="AR405" s="7"/>
      <c r="AS405" s="7"/>
      <c r="AT405" s="7"/>
      <c r="AU405" s="7"/>
      <c r="AV405" s="7"/>
      <c r="AW405" s="7"/>
      <c r="AX405" s="7"/>
      <c r="AY405" s="7"/>
      <c r="AZ405" s="7"/>
      <c r="BA405" s="7"/>
      <c r="BB405" s="7"/>
      <c r="BC405" s="7"/>
      <c r="BD405" s="7"/>
      <c r="BE405" s="7"/>
      <c r="BF405" s="7"/>
      <c r="BG405" s="7"/>
      <c r="BH405" s="7"/>
      <c r="BI405" s="7"/>
      <c r="BJ405" s="7"/>
      <c r="BK405" s="7"/>
    </row>
    <row r="406" spans="1:63" ht="43.5" thickBot="1" x14ac:dyDescent="0.25">
      <c r="A406" s="934" t="s">
        <v>1447</v>
      </c>
      <c r="B406" s="942" t="s">
        <v>46</v>
      </c>
      <c r="C406" s="942" t="s">
        <v>377</v>
      </c>
      <c r="D406" s="943" t="s">
        <v>378</v>
      </c>
      <c r="E406" s="942" t="s">
        <v>16</v>
      </c>
      <c r="F406" s="585">
        <f>(7.8*2+16.8*2)*5*2+7.8*16.8*2*2+1.6*17.4+0.6*1*2+1.75*1.2*2+(1.75*2+1.2*2)*0.65*2+(1.8*2+0.95*2)*0.4*12</f>
        <v>1083.4700000000003</v>
      </c>
      <c r="G406" s="585">
        <v>31.05</v>
      </c>
      <c r="H406" s="575">
        <f t="shared" si="121"/>
        <v>38.557079065106578</v>
      </c>
      <c r="I406" s="915">
        <f t="shared" si="122"/>
        <v>41775.440000000002</v>
      </c>
      <c r="J406" s="142"/>
      <c r="K406" s="25"/>
      <c r="L406" s="133"/>
      <c r="M406" s="25"/>
      <c r="N406" s="25"/>
      <c r="O406" s="25"/>
      <c r="P406" s="25"/>
      <c r="R406" s="25"/>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row>
    <row r="407" spans="1:63" ht="57" x14ac:dyDescent="0.2">
      <c r="A407" s="944" t="s">
        <v>1099</v>
      </c>
      <c r="B407" s="945" t="s">
        <v>46</v>
      </c>
      <c r="C407" s="945">
        <v>87471</v>
      </c>
      <c r="D407" s="946" t="s">
        <v>1356</v>
      </c>
      <c r="E407" s="945" t="s">
        <v>16</v>
      </c>
      <c r="F407" s="901">
        <f>(2.05+1.2)*2*0.65*2</f>
        <v>8.4500000000000011</v>
      </c>
      <c r="G407" s="901">
        <v>35.33</v>
      </c>
      <c r="H407" s="947">
        <f t="shared" ref="H407" si="130">G407*(1+$L$16)</f>
        <v>43.871871284064909</v>
      </c>
      <c r="I407" s="948">
        <f t="shared" ref="I407" si="131">ROUND(F407*H407,2)</f>
        <v>370.72</v>
      </c>
      <c r="J407" s="142"/>
      <c r="K407" s="25"/>
      <c r="L407" s="133"/>
      <c r="M407" s="25"/>
      <c r="N407" s="25"/>
      <c r="O407" s="25"/>
      <c r="P407" s="25"/>
      <c r="R407" s="25"/>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c r="AZ407" s="7"/>
      <c r="BA407" s="7"/>
      <c r="BB407" s="7"/>
      <c r="BC407" s="7"/>
      <c r="BD407" s="7"/>
      <c r="BE407" s="7"/>
      <c r="BF407" s="7"/>
      <c r="BG407" s="7"/>
      <c r="BH407" s="7"/>
      <c r="BI407" s="7"/>
      <c r="BJ407" s="7"/>
      <c r="BK407" s="7"/>
    </row>
    <row r="408" spans="1:63" ht="57" x14ac:dyDescent="0.2">
      <c r="A408" s="284" t="s">
        <v>1100</v>
      </c>
      <c r="B408" s="281" t="s">
        <v>46</v>
      </c>
      <c r="C408" s="281">
        <v>87473</v>
      </c>
      <c r="D408" s="285" t="s">
        <v>1357</v>
      </c>
      <c r="E408" s="281" t="s">
        <v>16</v>
      </c>
      <c r="F408" s="146">
        <f>(2*2+1.15*2+1.8)*0.4*12</f>
        <v>38.880000000000003</v>
      </c>
      <c r="G408" s="146">
        <v>49.04</v>
      </c>
      <c r="H408" s="151">
        <f t="shared" si="121"/>
        <v>60.896591219092642</v>
      </c>
      <c r="I408" s="152">
        <f t="shared" si="122"/>
        <v>2367.66</v>
      </c>
      <c r="J408" s="142"/>
      <c r="K408" s="25"/>
      <c r="L408" s="133"/>
      <c r="M408" s="25"/>
      <c r="N408" s="25"/>
      <c r="O408" s="25"/>
      <c r="P408" s="25"/>
      <c r="R408" s="25"/>
      <c r="W408" s="7"/>
      <c r="X408" s="7"/>
      <c r="Y408" s="7"/>
      <c r="Z408" s="7"/>
      <c r="AA408" s="7"/>
      <c r="AB408" s="7"/>
      <c r="AC408" s="7"/>
      <c r="AD408" s="7"/>
      <c r="AE408" s="7"/>
      <c r="AF408" s="7"/>
      <c r="AG408" s="7"/>
      <c r="AH408" s="7"/>
      <c r="AI408" s="7"/>
      <c r="AJ408" s="7"/>
      <c r="AK408" s="7"/>
      <c r="AL408" s="7"/>
      <c r="AM408" s="7"/>
      <c r="AN408" s="7"/>
      <c r="AO408" s="7"/>
      <c r="AP408" s="7"/>
      <c r="AQ408" s="7"/>
      <c r="AR408" s="7"/>
      <c r="AS408" s="7"/>
      <c r="AT408" s="7"/>
      <c r="AU408" s="7"/>
      <c r="AV408" s="7"/>
      <c r="AW408" s="7"/>
      <c r="AX408" s="7"/>
      <c r="AY408" s="7"/>
      <c r="AZ408" s="7"/>
      <c r="BA408" s="7"/>
      <c r="BB408" s="7"/>
      <c r="BC408" s="7"/>
      <c r="BD408" s="7"/>
      <c r="BE408" s="7"/>
      <c r="BF408" s="7"/>
      <c r="BG408" s="7"/>
      <c r="BH408" s="7"/>
      <c r="BI408" s="7"/>
      <c r="BJ408" s="7"/>
      <c r="BK408" s="7"/>
    </row>
    <row r="409" spans="1:63" s="128" customFormat="1" ht="57" x14ac:dyDescent="0.2">
      <c r="A409" s="284" t="s">
        <v>1101</v>
      </c>
      <c r="B409" s="281" t="s">
        <v>46</v>
      </c>
      <c r="C409" s="281">
        <v>87874</v>
      </c>
      <c r="D409" s="285" t="s">
        <v>422</v>
      </c>
      <c r="E409" s="281" t="s">
        <v>16</v>
      </c>
      <c r="F409" s="146">
        <f>(F407+F408)*2</f>
        <v>94.660000000000011</v>
      </c>
      <c r="G409" s="146">
        <v>3.59</v>
      </c>
      <c r="H409" s="151">
        <f t="shared" si="121"/>
        <v>4.4579682397337397</v>
      </c>
      <c r="I409" s="152">
        <f t="shared" si="122"/>
        <v>421.99</v>
      </c>
      <c r="J409" s="142"/>
      <c r="K409" s="138"/>
      <c r="L409" s="138"/>
      <c r="M409" s="138"/>
      <c r="N409" s="25"/>
      <c r="O409" s="25"/>
      <c r="P409" s="25"/>
      <c r="Q409" s="26"/>
      <c r="R409" s="25"/>
      <c r="S409" s="26"/>
      <c r="T409" s="26"/>
      <c r="U409" s="26"/>
      <c r="V409" s="26"/>
    </row>
    <row r="410" spans="1:63" s="26" customFormat="1" ht="57" x14ac:dyDescent="0.2">
      <c r="A410" s="284" t="s">
        <v>1102</v>
      </c>
      <c r="B410" s="281" t="s">
        <v>46</v>
      </c>
      <c r="C410" s="281">
        <v>87547</v>
      </c>
      <c r="D410" s="285" t="s">
        <v>1358</v>
      </c>
      <c r="E410" s="281" t="s">
        <v>16</v>
      </c>
      <c r="F410" s="146">
        <f>F409</f>
        <v>94.660000000000011</v>
      </c>
      <c r="G410" s="146">
        <v>15.94</v>
      </c>
      <c r="H410" s="151">
        <f t="shared" si="121"/>
        <v>19.793875693970978</v>
      </c>
      <c r="I410" s="152">
        <f t="shared" si="122"/>
        <v>1873.69</v>
      </c>
      <c r="J410" s="251"/>
      <c r="K410" s="25"/>
      <c r="L410" s="133"/>
      <c r="M410" s="25"/>
      <c r="N410" s="25"/>
      <c r="O410" s="25"/>
      <c r="P410" s="25"/>
      <c r="R410" s="25"/>
    </row>
    <row r="411" spans="1:63" ht="42.75" x14ac:dyDescent="0.2">
      <c r="A411" s="284" t="s">
        <v>1103</v>
      </c>
      <c r="B411" s="281" t="s">
        <v>336</v>
      </c>
      <c r="C411" s="281" t="str">
        <f>COMPOSIÇÕES!C251</f>
        <v>CE-022</v>
      </c>
      <c r="D411" s="285" t="s">
        <v>67</v>
      </c>
      <c r="E411" s="281" t="s">
        <v>19</v>
      </c>
      <c r="F411" s="146">
        <v>96</v>
      </c>
      <c r="G411" s="146">
        <f>COMPOSIÇÕES!I251</f>
        <v>239.78999999999996</v>
      </c>
      <c r="H411" s="151">
        <f>G411*(1+$L$16)</f>
        <v>297.76495938878924</v>
      </c>
      <c r="I411" s="152">
        <f>ROUND(F411*H411,2)</f>
        <v>28585.439999999999</v>
      </c>
      <c r="J411" s="142"/>
      <c r="K411" s="25"/>
      <c r="L411" s="133"/>
      <c r="M411" s="25"/>
      <c r="N411" s="25"/>
      <c r="O411" s="25"/>
      <c r="P411" s="25"/>
      <c r="R411" s="25"/>
      <c r="W411" s="7"/>
      <c r="X411" s="7"/>
      <c r="Y411" s="7"/>
      <c r="Z411" s="7"/>
      <c r="AA411" s="7"/>
      <c r="AB411" s="7"/>
      <c r="AC411" s="7"/>
      <c r="AD411" s="7"/>
      <c r="AE411" s="7"/>
      <c r="AF411" s="7"/>
      <c r="AG411" s="7"/>
      <c r="AH411" s="7"/>
      <c r="AI411" s="7"/>
      <c r="AJ411" s="7"/>
      <c r="AK411" s="7"/>
      <c r="AL411" s="7"/>
      <c r="AM411" s="7"/>
      <c r="AN411" s="7"/>
      <c r="AO411" s="7"/>
      <c r="AP411" s="7"/>
      <c r="AQ411" s="7"/>
      <c r="AR411" s="7"/>
      <c r="AS411" s="7"/>
      <c r="AT411" s="7"/>
      <c r="AU411" s="7"/>
      <c r="AV411" s="7"/>
      <c r="AW411" s="7"/>
      <c r="AX411" s="7"/>
      <c r="AY411" s="7"/>
      <c r="AZ411" s="7"/>
      <c r="BA411" s="7"/>
      <c r="BB411" s="7"/>
      <c r="BC411" s="7"/>
      <c r="BD411" s="7"/>
      <c r="BE411" s="7"/>
      <c r="BF411" s="7"/>
      <c r="BG411" s="7"/>
      <c r="BH411" s="7"/>
      <c r="BI411" s="7"/>
      <c r="BJ411" s="7"/>
      <c r="BK411" s="7"/>
    </row>
    <row r="412" spans="1:63" s="128" customFormat="1" x14ac:dyDescent="0.2">
      <c r="A412" s="284" t="s">
        <v>1104</v>
      </c>
      <c r="B412" s="150" t="s">
        <v>336</v>
      </c>
      <c r="C412" s="150" t="str">
        <f>COMPOSIÇÕES!C259</f>
        <v>CE-023</v>
      </c>
      <c r="D412" s="149" t="str">
        <f>COMPOSIÇÕES!D259</f>
        <v>FORNECIMENTO E INSTALAÇÃO DO SEPARADOR TRIFÁSICO</v>
      </c>
      <c r="E412" s="150" t="s">
        <v>19</v>
      </c>
      <c r="F412" s="146">
        <v>1</v>
      </c>
      <c r="G412" s="146">
        <f>COMPOSIÇÕES!I259</f>
        <v>31947.249919999998</v>
      </c>
      <c r="H412" s="151">
        <f>G412*(1+$L$16)</f>
        <v>39671.260582227369</v>
      </c>
      <c r="I412" s="152">
        <f>ROUND(F412*H412,2)</f>
        <v>39671.26</v>
      </c>
      <c r="J412" s="251"/>
      <c r="K412" s="138"/>
      <c r="L412" s="138"/>
      <c r="M412" s="138"/>
      <c r="N412" s="25"/>
      <c r="O412" s="25"/>
      <c r="P412" s="25"/>
      <c r="Q412" s="26"/>
      <c r="R412" s="25"/>
      <c r="S412" s="26"/>
      <c r="T412" s="26"/>
      <c r="U412" s="26"/>
      <c r="V412" s="26"/>
    </row>
    <row r="413" spans="1:63" s="26" customFormat="1" ht="42.75" x14ac:dyDescent="0.2">
      <c r="A413" s="284" t="s">
        <v>1105</v>
      </c>
      <c r="B413" s="281" t="s">
        <v>336</v>
      </c>
      <c r="C413" s="281" t="str">
        <f>COMPOSIÇÕES!C272</f>
        <v>CE-024</v>
      </c>
      <c r="D413" s="148" t="s">
        <v>84</v>
      </c>
      <c r="E413" s="154" t="s">
        <v>19</v>
      </c>
      <c r="F413" s="146">
        <v>12</v>
      </c>
      <c r="G413" s="146">
        <f>COMPOSIÇÕES!I272</f>
        <v>286.47000000000003</v>
      </c>
      <c r="H413" s="151">
        <f t="shared" si="121"/>
        <v>355.73096424415724</v>
      </c>
      <c r="I413" s="152">
        <f t="shared" si="122"/>
        <v>4268.7700000000004</v>
      </c>
      <c r="J413" s="251"/>
      <c r="K413" s="25"/>
      <c r="L413" s="133"/>
      <c r="M413" s="25"/>
      <c r="N413" s="25"/>
      <c r="O413" s="25"/>
      <c r="P413" s="25"/>
      <c r="R413" s="25"/>
    </row>
    <row r="414" spans="1:63" s="128" customFormat="1" ht="42.75" x14ac:dyDescent="0.2">
      <c r="A414" s="284" t="s">
        <v>1106</v>
      </c>
      <c r="B414" s="281" t="s">
        <v>336</v>
      </c>
      <c r="C414" s="281" t="str">
        <f>COMPOSIÇÕES!C278</f>
        <v>CE-025</v>
      </c>
      <c r="D414" s="148" t="s">
        <v>85</v>
      </c>
      <c r="E414" s="154" t="s">
        <v>19</v>
      </c>
      <c r="F414" s="146">
        <v>48</v>
      </c>
      <c r="G414" s="146">
        <f>COMPOSIÇÕES!I278</f>
        <v>259.14</v>
      </c>
      <c r="H414" s="151">
        <f t="shared" si="121"/>
        <v>321.79328402356583</v>
      </c>
      <c r="I414" s="152">
        <f t="shared" si="122"/>
        <v>15446.08</v>
      </c>
      <c r="J414" s="251"/>
      <c r="K414" s="138"/>
      <c r="L414" s="138"/>
      <c r="M414" s="138"/>
      <c r="N414" s="25"/>
      <c r="O414" s="25"/>
      <c r="P414" s="25"/>
      <c r="Q414" s="26"/>
      <c r="R414" s="25"/>
      <c r="S414" s="26"/>
      <c r="T414" s="26"/>
      <c r="U414" s="26"/>
      <c r="V414" s="26"/>
    </row>
    <row r="415" spans="1:63" s="128" customFormat="1" x14ac:dyDescent="0.2">
      <c r="A415" s="284" t="s">
        <v>1448</v>
      </c>
      <c r="B415" s="150" t="s">
        <v>46</v>
      </c>
      <c r="C415" s="150">
        <v>73631</v>
      </c>
      <c r="D415" s="147" t="s">
        <v>338</v>
      </c>
      <c r="E415" s="281" t="s">
        <v>16</v>
      </c>
      <c r="F415" s="146">
        <v>79.8</v>
      </c>
      <c r="G415" s="146">
        <v>298.98</v>
      </c>
      <c r="H415" s="151">
        <f t="shared" si="121"/>
        <v>371.26555551966396</v>
      </c>
      <c r="I415" s="152">
        <f t="shared" si="122"/>
        <v>29626.99</v>
      </c>
      <c r="J415" s="251"/>
      <c r="K415" s="138"/>
      <c r="L415" s="138"/>
      <c r="M415" s="138"/>
      <c r="N415" s="25"/>
      <c r="O415" s="25"/>
      <c r="P415" s="25"/>
      <c r="Q415" s="26"/>
      <c r="R415" s="25"/>
      <c r="S415" s="26"/>
      <c r="T415" s="26"/>
      <c r="U415" s="26"/>
      <c r="V415" s="26"/>
    </row>
    <row r="416" spans="1:63" s="128" customFormat="1" ht="28.5" x14ac:dyDescent="0.2">
      <c r="A416" s="284" t="s">
        <v>1449</v>
      </c>
      <c r="B416" s="150" t="s">
        <v>336</v>
      </c>
      <c r="C416" s="150" t="str">
        <f>COMPOSIÇÕES!C284</f>
        <v>CE-026</v>
      </c>
      <c r="D416" s="147" t="s">
        <v>189</v>
      </c>
      <c r="E416" s="226" t="s">
        <v>19</v>
      </c>
      <c r="F416" s="146">
        <v>4</v>
      </c>
      <c r="G416" s="146">
        <f>COMPOSIÇÕES!I284</f>
        <v>381.01000000000005</v>
      </c>
      <c r="H416" s="151">
        <f t="shared" si="121"/>
        <v>473.12826713675554</v>
      </c>
      <c r="I416" s="152">
        <f t="shared" si="122"/>
        <v>1892.51</v>
      </c>
      <c r="J416" s="251"/>
      <c r="K416" s="138"/>
      <c r="L416" s="138"/>
      <c r="M416" s="138"/>
      <c r="N416" s="25"/>
      <c r="O416" s="25"/>
      <c r="P416" s="25"/>
      <c r="Q416" s="26"/>
      <c r="R416" s="25"/>
      <c r="S416" s="26"/>
      <c r="T416" s="26"/>
      <c r="U416" s="26"/>
      <c r="V416" s="26"/>
    </row>
    <row r="417" spans="1:63" s="26" customFormat="1" ht="28.5" x14ac:dyDescent="0.2">
      <c r="A417" s="284" t="s">
        <v>1450</v>
      </c>
      <c r="B417" s="150" t="s">
        <v>336</v>
      </c>
      <c r="C417" s="150" t="str">
        <f>COMPOSIÇÕES!C290</f>
        <v>CE-027</v>
      </c>
      <c r="D417" s="147" t="s">
        <v>395</v>
      </c>
      <c r="E417" s="226" t="s">
        <v>19</v>
      </c>
      <c r="F417" s="146">
        <v>12</v>
      </c>
      <c r="G417" s="146">
        <f>COMPOSIÇÕES!I290</f>
        <v>214.47000000000003</v>
      </c>
      <c r="H417" s="151">
        <f t="shared" si="121"/>
        <v>266.32324467289561</v>
      </c>
      <c r="I417" s="152">
        <f t="shared" si="122"/>
        <v>3195.88</v>
      </c>
      <c r="J417" s="263"/>
      <c r="K417" s="25"/>
      <c r="L417" s="25"/>
      <c r="M417" s="25"/>
      <c r="N417" s="25"/>
      <c r="O417" s="25"/>
      <c r="P417" s="25"/>
      <c r="R417" s="25"/>
    </row>
    <row r="418" spans="1:63" ht="28.5" x14ac:dyDescent="0.2">
      <c r="A418" s="284" t="s">
        <v>1451</v>
      </c>
      <c r="B418" s="150" t="s">
        <v>336</v>
      </c>
      <c r="C418" s="150" t="str">
        <f>COMPOSIÇÕES!C297</f>
        <v>CE-028</v>
      </c>
      <c r="D418" s="149" t="s">
        <v>1547</v>
      </c>
      <c r="E418" s="150" t="s">
        <v>20</v>
      </c>
      <c r="F418" s="146">
        <v>1</v>
      </c>
      <c r="G418" s="146">
        <f>COMPOSIÇÕES!I297</f>
        <v>227988.74599999998</v>
      </c>
      <c r="H418" s="151">
        <f>G418*(1+$L$16)</f>
        <v>283110.47038571659</v>
      </c>
      <c r="I418" s="152">
        <f t="shared" si="122"/>
        <v>283110.46999999997</v>
      </c>
      <c r="J418" s="144"/>
      <c r="K418" s="27"/>
      <c r="L418" s="27"/>
      <c r="M418" s="27"/>
      <c r="N418" s="25"/>
      <c r="O418" s="25"/>
      <c r="P418" s="25"/>
      <c r="R418" s="25"/>
      <c r="W418" s="7"/>
      <c r="X418" s="7"/>
      <c r="Y418" s="7"/>
      <c r="Z418" s="7"/>
      <c r="AA418" s="7"/>
      <c r="AB418" s="7"/>
      <c r="AC418" s="7"/>
      <c r="AD418" s="7"/>
      <c r="AE418" s="7"/>
      <c r="AF418" s="7"/>
      <c r="AG418" s="7"/>
      <c r="AH418" s="7"/>
      <c r="AI418" s="7"/>
      <c r="AJ418" s="7"/>
      <c r="AK418" s="7"/>
      <c r="AL418" s="7"/>
      <c r="AM418" s="7"/>
      <c r="AN418" s="7"/>
      <c r="AO418" s="7"/>
      <c r="AP418" s="7"/>
      <c r="AQ418" s="7"/>
      <c r="AR418" s="7"/>
      <c r="AS418" s="7"/>
      <c r="AT418" s="7"/>
      <c r="AU418" s="7"/>
      <c r="AV418" s="7"/>
      <c r="AW418" s="7"/>
      <c r="AX418" s="7"/>
      <c r="AY418" s="7"/>
      <c r="AZ418" s="7"/>
      <c r="BA418" s="7"/>
      <c r="BB418" s="7"/>
      <c r="BC418" s="7"/>
      <c r="BD418" s="7"/>
      <c r="BE418" s="7"/>
      <c r="BF418" s="7"/>
      <c r="BG418" s="7"/>
      <c r="BH418" s="7"/>
      <c r="BI418" s="7"/>
      <c r="BJ418" s="7"/>
      <c r="BK418" s="7"/>
    </row>
    <row r="419" spans="1:63" x14ac:dyDescent="0.2">
      <c r="A419" s="284"/>
      <c r="B419" s="150"/>
      <c r="C419" s="294"/>
      <c r="D419" s="285"/>
      <c r="E419" s="281"/>
      <c r="F419" s="282"/>
      <c r="G419" s="283"/>
      <c r="H419" s="282"/>
      <c r="I419" s="296"/>
      <c r="J419" s="142"/>
      <c r="K419" s="25"/>
      <c r="L419" s="133"/>
      <c r="M419" s="25"/>
      <c r="N419" s="25"/>
      <c r="O419" s="25"/>
      <c r="P419" s="25"/>
      <c r="R419" s="25"/>
      <c r="W419" s="7"/>
      <c r="X419" s="7"/>
      <c r="Y419" s="7"/>
      <c r="Z419" s="7"/>
      <c r="AA419" s="7"/>
      <c r="AB419" s="7"/>
      <c r="AC419" s="7"/>
      <c r="AD419" s="7"/>
      <c r="AE419" s="7"/>
      <c r="AF419" s="7"/>
      <c r="AG419" s="7"/>
      <c r="AH419" s="7"/>
      <c r="AI419" s="7"/>
      <c r="AJ419" s="7"/>
      <c r="AK419" s="7"/>
      <c r="AL419" s="7"/>
      <c r="AM419" s="7"/>
      <c r="AN419" s="7"/>
      <c r="AO419" s="7"/>
      <c r="AP419" s="7"/>
      <c r="AQ419" s="7"/>
      <c r="AR419" s="7"/>
      <c r="AS419" s="7"/>
      <c r="AT419" s="7"/>
      <c r="AU419" s="7"/>
      <c r="AV419" s="7"/>
      <c r="AW419" s="7"/>
      <c r="AX419" s="7"/>
      <c r="AY419" s="7"/>
      <c r="AZ419" s="7"/>
      <c r="BA419" s="7"/>
      <c r="BB419" s="7"/>
      <c r="BC419" s="7"/>
      <c r="BD419" s="7"/>
      <c r="BE419" s="7"/>
      <c r="BF419" s="7"/>
      <c r="BG419" s="7"/>
      <c r="BH419" s="7"/>
      <c r="BI419" s="7"/>
      <c r="BJ419" s="7"/>
      <c r="BK419" s="7"/>
    </row>
    <row r="420" spans="1:63" s="26" customFormat="1" ht="15" customHeight="1" x14ac:dyDescent="0.2">
      <c r="A420" s="563" t="s">
        <v>269</v>
      </c>
      <c r="B420" s="564"/>
      <c r="C420" s="564"/>
      <c r="D420" s="565" t="s">
        <v>86</v>
      </c>
      <c r="E420" s="564"/>
      <c r="F420" s="566"/>
      <c r="G420" s="567"/>
      <c r="H420" s="568"/>
      <c r="I420" s="569">
        <f>SUM(I421:I445)</f>
        <v>750869.94</v>
      </c>
      <c r="J420" s="262"/>
      <c r="K420" s="25"/>
      <c r="L420" s="132"/>
      <c r="M420" s="25"/>
      <c r="N420" s="25"/>
      <c r="O420" s="25"/>
      <c r="P420" s="25"/>
      <c r="R420" s="25"/>
    </row>
    <row r="421" spans="1:63" s="128" customFormat="1" ht="34.5" customHeight="1" thickBot="1" x14ac:dyDescent="0.25">
      <c r="A421" s="920" t="s">
        <v>1107</v>
      </c>
      <c r="B421" s="913" t="s">
        <v>46</v>
      </c>
      <c r="C421" s="586" t="s">
        <v>703</v>
      </c>
      <c r="D421" s="929" t="s">
        <v>704</v>
      </c>
      <c r="E421" s="913" t="s">
        <v>16</v>
      </c>
      <c r="F421" s="585">
        <f>PI()*11.75^2</f>
        <v>433.73613573624084</v>
      </c>
      <c r="G421" s="585">
        <v>8.3000000000000007</v>
      </c>
      <c r="H421" s="585">
        <f t="shared" ref="H421:H441" si="132">G421*(1+$L$16)</f>
        <v>10.306723228353773</v>
      </c>
      <c r="I421" s="915">
        <f t="shared" ref="I421:I445" si="133">ROUND(F421*H421,2)</f>
        <v>4470.3999999999996</v>
      </c>
      <c r="J421" s="251"/>
      <c r="K421" s="138"/>
      <c r="L421" s="138"/>
      <c r="M421" s="138"/>
      <c r="N421" s="25"/>
      <c r="O421" s="25"/>
      <c r="P421" s="25"/>
      <c r="Q421" s="26"/>
      <c r="R421" s="25"/>
      <c r="S421" s="26"/>
      <c r="T421" s="26"/>
      <c r="U421" s="26"/>
      <c r="V421" s="26"/>
    </row>
    <row r="422" spans="1:63" s="26" customFormat="1" ht="30" customHeight="1" x14ac:dyDescent="0.2">
      <c r="A422" s="918" t="s">
        <v>1108</v>
      </c>
      <c r="B422" s="899" t="s">
        <v>46</v>
      </c>
      <c r="C422" s="899">
        <v>83338</v>
      </c>
      <c r="D422" s="900" t="s">
        <v>768</v>
      </c>
      <c r="E422" s="899" t="s">
        <v>17</v>
      </c>
      <c r="F422" s="901">
        <f>PI()*9.55^2*0.435+PI()*1.17^2*0.3</f>
        <v>125.9268380902748</v>
      </c>
      <c r="G422" s="901">
        <v>2.41</v>
      </c>
      <c r="H422" s="901">
        <f t="shared" si="132"/>
        <v>2.9926750578713963</v>
      </c>
      <c r="I422" s="919">
        <f t="shared" si="133"/>
        <v>376.86</v>
      </c>
      <c r="J422" s="251"/>
      <c r="K422" s="25"/>
      <c r="L422" s="133"/>
      <c r="M422" s="25"/>
      <c r="N422" s="25"/>
      <c r="O422" s="25"/>
      <c r="P422" s="25"/>
      <c r="R422" s="25"/>
    </row>
    <row r="423" spans="1:63" s="26" customFormat="1" ht="28.5" x14ac:dyDescent="0.2">
      <c r="A423" s="320" t="s">
        <v>1452</v>
      </c>
      <c r="B423" s="154" t="s">
        <v>46</v>
      </c>
      <c r="C423" s="154">
        <v>72898</v>
      </c>
      <c r="D423" s="148" t="s">
        <v>743</v>
      </c>
      <c r="E423" s="154" t="s">
        <v>17</v>
      </c>
      <c r="F423" s="146">
        <f>F422</f>
        <v>125.9268380902748</v>
      </c>
      <c r="G423" s="146">
        <v>3.57</v>
      </c>
      <c r="H423" s="146">
        <f t="shared" ref="H423:H425" si="134">ROUND((1+$L$16)*G423,2)</f>
        <v>4.43</v>
      </c>
      <c r="I423" s="313">
        <f>ROUND(F423*H423,2)</f>
        <v>557.86</v>
      </c>
      <c r="J423" s="262"/>
      <c r="K423" s="25" t="s">
        <v>1185</v>
      </c>
      <c r="L423" s="132">
        <v>21583.700000000004</v>
      </c>
      <c r="M423" s="25"/>
      <c r="N423" s="25">
        <v>170</v>
      </c>
      <c r="O423" s="25"/>
      <c r="P423" s="25"/>
      <c r="R423" s="25"/>
    </row>
    <row r="424" spans="1:63" s="128" customFormat="1" ht="28.5" x14ac:dyDescent="0.2">
      <c r="A424" s="320" t="s">
        <v>1453</v>
      </c>
      <c r="B424" s="154" t="s">
        <v>46</v>
      </c>
      <c r="C424" s="154">
        <v>72885</v>
      </c>
      <c r="D424" s="148" t="s">
        <v>334</v>
      </c>
      <c r="E424" s="154" t="s">
        <v>698</v>
      </c>
      <c r="F424" s="146">
        <f>F423*5</f>
        <v>629.63419045137402</v>
      </c>
      <c r="G424" s="146">
        <v>1.36</v>
      </c>
      <c r="H424" s="146">
        <f t="shared" si="134"/>
        <v>1.69</v>
      </c>
      <c r="I424" s="313">
        <f t="shared" ref="I424:I427" si="135">ROUND(F424*H424,2)</f>
        <v>1064.08</v>
      </c>
      <c r="J424" s="251"/>
      <c r="K424" s="138"/>
      <c r="L424" s="138"/>
      <c r="M424" s="138"/>
      <c r="N424" s="25"/>
      <c r="O424" s="25"/>
      <c r="P424" s="25"/>
      <c r="Q424" s="26"/>
      <c r="R424" s="25"/>
      <c r="S424" s="26"/>
      <c r="T424" s="26"/>
      <c r="U424" s="26"/>
      <c r="V424" s="26"/>
    </row>
    <row r="425" spans="1:63" s="26" customFormat="1" ht="30" customHeight="1" x14ac:dyDescent="0.2">
      <c r="A425" s="320" t="s">
        <v>1454</v>
      </c>
      <c r="B425" s="154" t="s">
        <v>46</v>
      </c>
      <c r="C425" s="154" t="s">
        <v>58</v>
      </c>
      <c r="D425" s="148" t="s">
        <v>699</v>
      </c>
      <c r="E425" s="154" t="s">
        <v>17</v>
      </c>
      <c r="F425" s="146">
        <f>F423</f>
        <v>125.9268380902748</v>
      </c>
      <c r="G425" s="146">
        <v>1.94</v>
      </c>
      <c r="H425" s="146">
        <f t="shared" si="134"/>
        <v>2.41</v>
      </c>
      <c r="I425" s="313">
        <f t="shared" si="135"/>
        <v>303.48</v>
      </c>
      <c r="J425" s="251"/>
      <c r="K425" s="25"/>
      <c r="L425" s="133"/>
      <c r="M425" s="25"/>
      <c r="N425" s="25"/>
      <c r="O425" s="25"/>
      <c r="P425" s="25"/>
      <c r="R425" s="25"/>
    </row>
    <row r="426" spans="1:63" s="26" customFormat="1" ht="42.75" x14ac:dyDescent="0.2">
      <c r="A426" s="320" t="s">
        <v>1768</v>
      </c>
      <c r="B426" s="226" t="s">
        <v>46</v>
      </c>
      <c r="C426" s="226" t="str">
        <f>COMPOSIÇÕES!C356</f>
        <v>CE-029</v>
      </c>
      <c r="D426" s="147" t="str">
        <f>COMPOSIÇÕES!D356</f>
        <v>CRAVAMENTO DE ESTACAS PRÉ-MOLDADA DE CONCRETO,  SEÇÃO QUADRADA, CAPACIDADE DE 50 TONELADAS, COMPRIMENTO TOTAL CRAVADO ATÉ 8,00M, BATE-ESTACAS POR GRAVIDADE SOBRE ROLOS</v>
      </c>
      <c r="E426" s="226" t="s">
        <v>19</v>
      </c>
      <c r="F426" s="146">
        <v>1</v>
      </c>
      <c r="G426" s="146">
        <f>COMPOSIÇÕES!I356</f>
        <v>15936.32</v>
      </c>
      <c r="H426" s="146">
        <f>ROUND((1+$L$16)*G426,2)</f>
        <v>19789.310000000001</v>
      </c>
      <c r="I426" s="313">
        <f t="shared" ref="I426" si="136">ROUND(F426*H426,2)</f>
        <v>19789.310000000001</v>
      </c>
      <c r="J426" s="25"/>
      <c r="K426" s="25"/>
      <c r="L426" s="25"/>
      <c r="M426" s="25"/>
      <c r="N426" s="25"/>
      <c r="O426" s="25"/>
      <c r="P426" s="25"/>
      <c r="Q426" s="25"/>
    </row>
    <row r="427" spans="1:63" s="128" customFormat="1" ht="28.5" x14ac:dyDescent="0.2">
      <c r="A427" s="320" t="s">
        <v>1455</v>
      </c>
      <c r="B427" s="226" t="s">
        <v>46</v>
      </c>
      <c r="C427" s="226">
        <v>95241</v>
      </c>
      <c r="D427" s="147" t="s">
        <v>706</v>
      </c>
      <c r="E427" s="154" t="s">
        <v>16</v>
      </c>
      <c r="F427" s="146">
        <f>PI()*9.55^2</f>
        <v>286.52110398902317</v>
      </c>
      <c r="G427" s="146">
        <v>19.88</v>
      </c>
      <c r="H427" s="146">
        <f t="shared" ref="H427" si="137">G427*(1+$L$16)</f>
        <v>24.686464792731684</v>
      </c>
      <c r="I427" s="313">
        <f t="shared" si="135"/>
        <v>7073.19</v>
      </c>
      <c r="J427" s="251"/>
      <c r="K427" s="138"/>
      <c r="L427" s="138">
        <v>593.20000000000005</v>
      </c>
      <c r="M427" s="138"/>
      <c r="N427" s="25"/>
      <c r="O427" s="25"/>
      <c r="P427" s="25"/>
      <c r="Q427" s="26"/>
      <c r="R427" s="25"/>
      <c r="S427" s="26"/>
      <c r="T427" s="26"/>
      <c r="U427" s="26"/>
      <c r="V427" s="26"/>
    </row>
    <row r="428" spans="1:63" s="336" customFormat="1" ht="57" x14ac:dyDescent="0.2">
      <c r="A428" s="320" t="s">
        <v>1769</v>
      </c>
      <c r="B428" s="226" t="s">
        <v>46</v>
      </c>
      <c r="C428" s="226">
        <v>92417</v>
      </c>
      <c r="D428" s="148" t="s">
        <v>1351</v>
      </c>
      <c r="E428" s="226" t="s">
        <v>16</v>
      </c>
      <c r="F428" s="146">
        <f>593.2-F429</f>
        <v>389.61694206574748</v>
      </c>
      <c r="G428" s="146">
        <v>96.25</v>
      </c>
      <c r="H428" s="146">
        <f>ROUND((1+$L$16)*G428,2)</f>
        <v>119.52</v>
      </c>
      <c r="I428" s="571">
        <f>ROUND(F428*H428,2)</f>
        <v>46567.02</v>
      </c>
      <c r="J428" s="335"/>
      <c r="K428" s="335"/>
      <c r="L428" s="335"/>
      <c r="M428" s="335"/>
      <c r="N428" s="335"/>
      <c r="O428" s="335"/>
    </row>
    <row r="429" spans="1:63" s="336" customFormat="1" ht="42.75" x14ac:dyDescent="0.2">
      <c r="A429" s="320" t="s">
        <v>1456</v>
      </c>
      <c r="B429" s="226" t="s">
        <v>46</v>
      </c>
      <c r="C429" s="226">
        <v>92508</v>
      </c>
      <c r="D429" s="148" t="s">
        <v>1355</v>
      </c>
      <c r="E429" s="226" t="s">
        <v>16</v>
      </c>
      <c r="F429" s="146">
        <f>PI()*16.1^2/4</f>
        <v>203.58305793425259</v>
      </c>
      <c r="G429" s="146">
        <v>44.92</v>
      </c>
      <c r="H429" s="146">
        <f>ROUND((1+$L$16)*G429,2)</f>
        <v>55.78</v>
      </c>
      <c r="I429" s="571">
        <f>ROUND(F429*H429,2)</f>
        <v>11355.86</v>
      </c>
      <c r="J429" s="335"/>
      <c r="K429" s="335"/>
      <c r="L429" s="335"/>
      <c r="M429" s="335"/>
      <c r="N429" s="335"/>
      <c r="O429" s="335"/>
    </row>
    <row r="430" spans="1:63" s="336" customFormat="1" x14ac:dyDescent="0.2">
      <c r="A430" s="320" t="s">
        <v>1457</v>
      </c>
      <c r="B430" s="226" t="s">
        <v>46</v>
      </c>
      <c r="C430" s="226">
        <v>34456</v>
      </c>
      <c r="D430" s="148" t="s">
        <v>1323</v>
      </c>
      <c r="E430" s="226" t="s">
        <v>170</v>
      </c>
      <c r="F430" s="146">
        <v>2</v>
      </c>
      <c r="G430" s="146">
        <v>3.7</v>
      </c>
      <c r="H430" s="146">
        <f>ROUND((1+$K$16)*G430,2)</f>
        <v>4.22</v>
      </c>
      <c r="I430" s="571">
        <f t="shared" ref="I430" si="138">ROUND(F430*H430,2)</f>
        <v>8.44</v>
      </c>
      <c r="J430" s="335"/>
      <c r="K430" s="335"/>
      <c r="L430" s="335"/>
      <c r="M430" s="335"/>
      <c r="N430" s="335"/>
      <c r="O430" s="335"/>
    </row>
    <row r="431" spans="1:63" s="336" customFormat="1" x14ac:dyDescent="0.2">
      <c r="A431" s="320" t="s">
        <v>1458</v>
      </c>
      <c r="B431" s="226" t="s">
        <v>46</v>
      </c>
      <c r="C431" s="226">
        <v>34449</v>
      </c>
      <c r="D431" s="148" t="s">
        <v>844</v>
      </c>
      <c r="E431" s="226" t="s">
        <v>170</v>
      </c>
      <c r="F431" s="146">
        <f>143+228</f>
        <v>371</v>
      </c>
      <c r="G431" s="146">
        <v>4.18</v>
      </c>
      <c r="H431" s="146">
        <f t="shared" ref="H431:H436" si="139">ROUND((1+$K$16)*G431,2)</f>
        <v>4.7699999999999996</v>
      </c>
      <c r="I431" s="571">
        <f t="shared" ref="I431:I435" si="140">ROUND(F431*H431,2)</f>
        <v>1769.67</v>
      </c>
      <c r="J431" s="335"/>
      <c r="K431" s="335"/>
      <c r="L431" s="335"/>
      <c r="M431" s="335"/>
      <c r="N431" s="335"/>
      <c r="O431" s="335"/>
    </row>
    <row r="432" spans="1:63" s="336" customFormat="1" x14ac:dyDescent="0.2">
      <c r="A432" s="320" t="s">
        <v>1459</v>
      </c>
      <c r="B432" s="226" t="s">
        <v>46</v>
      </c>
      <c r="C432" s="226">
        <v>33</v>
      </c>
      <c r="D432" s="148" t="s">
        <v>772</v>
      </c>
      <c r="E432" s="226" t="s">
        <v>170</v>
      </c>
      <c r="F432" s="146">
        <f>61+3574+1096</f>
        <v>4731</v>
      </c>
      <c r="G432" s="146">
        <v>4.1900000000000004</v>
      </c>
      <c r="H432" s="146">
        <f t="shared" si="139"/>
        <v>4.78</v>
      </c>
      <c r="I432" s="571">
        <f t="shared" si="140"/>
        <v>22614.18</v>
      </c>
      <c r="J432" s="335"/>
      <c r="K432" s="335"/>
      <c r="L432" s="335"/>
      <c r="M432" s="335"/>
      <c r="N432" s="335"/>
      <c r="O432" s="335"/>
    </row>
    <row r="433" spans="1:63" s="336" customFormat="1" x14ac:dyDescent="0.2">
      <c r="A433" s="320" t="s">
        <v>1109</v>
      </c>
      <c r="B433" s="226" t="s">
        <v>46</v>
      </c>
      <c r="C433" s="226">
        <v>34439</v>
      </c>
      <c r="D433" s="148" t="s">
        <v>771</v>
      </c>
      <c r="E433" s="226" t="s">
        <v>170</v>
      </c>
      <c r="F433" s="146">
        <f>4715+1295+3144</f>
        <v>9154</v>
      </c>
      <c r="G433" s="146">
        <v>4</v>
      </c>
      <c r="H433" s="146">
        <f t="shared" si="139"/>
        <v>4.5599999999999996</v>
      </c>
      <c r="I433" s="571">
        <f t="shared" si="140"/>
        <v>41742.239999999998</v>
      </c>
      <c r="J433" s="335"/>
      <c r="K433" s="335"/>
      <c r="L433" s="335"/>
      <c r="M433" s="335"/>
      <c r="N433" s="335"/>
      <c r="O433" s="335"/>
    </row>
    <row r="434" spans="1:63" s="336" customFormat="1" x14ac:dyDescent="0.2">
      <c r="A434" s="320" t="s">
        <v>1110</v>
      </c>
      <c r="B434" s="226" t="s">
        <v>46</v>
      </c>
      <c r="C434" s="226">
        <v>34441</v>
      </c>
      <c r="D434" s="148" t="s">
        <v>1352</v>
      </c>
      <c r="E434" s="226" t="s">
        <v>170</v>
      </c>
      <c r="F434" s="146">
        <v>157</v>
      </c>
      <c r="G434" s="146">
        <v>3.8</v>
      </c>
      <c r="H434" s="146">
        <f t="shared" si="139"/>
        <v>4.33</v>
      </c>
      <c r="I434" s="571">
        <f t="shared" si="140"/>
        <v>679.81</v>
      </c>
      <c r="J434" s="335"/>
      <c r="K434" s="335"/>
      <c r="L434" s="335"/>
      <c r="M434" s="335"/>
      <c r="N434" s="335"/>
      <c r="O434" s="335"/>
    </row>
    <row r="435" spans="1:63" s="336" customFormat="1" x14ac:dyDescent="0.2">
      <c r="A435" s="320" t="s">
        <v>1111</v>
      </c>
      <c r="B435" s="226" t="s">
        <v>46</v>
      </c>
      <c r="C435" s="226">
        <v>34443</v>
      </c>
      <c r="D435" s="148" t="s">
        <v>1353</v>
      </c>
      <c r="E435" s="226" t="s">
        <v>170</v>
      </c>
      <c r="F435" s="146">
        <f>249+1262</f>
        <v>1511</v>
      </c>
      <c r="G435" s="146">
        <v>3.8</v>
      </c>
      <c r="H435" s="146">
        <f t="shared" si="139"/>
        <v>4.33</v>
      </c>
      <c r="I435" s="571">
        <f t="shared" si="140"/>
        <v>6542.63</v>
      </c>
      <c r="J435" s="335"/>
      <c r="K435" s="335"/>
      <c r="L435" s="335"/>
      <c r="M435" s="335"/>
      <c r="N435" s="335"/>
      <c r="O435" s="335"/>
    </row>
    <row r="436" spans="1:63" s="336" customFormat="1" x14ac:dyDescent="0.2">
      <c r="A436" s="320" t="s">
        <v>1460</v>
      </c>
      <c r="B436" s="226" t="s">
        <v>46</v>
      </c>
      <c r="C436" s="226">
        <v>34446</v>
      </c>
      <c r="D436" s="148" t="s">
        <v>1973</v>
      </c>
      <c r="E436" s="226" t="s">
        <v>170</v>
      </c>
      <c r="F436" s="146">
        <v>81</v>
      </c>
      <c r="G436" s="146">
        <v>3.8</v>
      </c>
      <c r="H436" s="146">
        <f t="shared" si="139"/>
        <v>4.33</v>
      </c>
      <c r="I436" s="571">
        <f t="shared" ref="I436" si="141">ROUND(F436*H436,2)</f>
        <v>350.73</v>
      </c>
      <c r="J436" s="335"/>
      <c r="K436" s="335"/>
      <c r="L436" s="335"/>
      <c r="M436" s="335"/>
      <c r="N436" s="335"/>
      <c r="O436" s="335"/>
    </row>
    <row r="437" spans="1:63" s="26" customFormat="1" ht="28.5" x14ac:dyDescent="0.2">
      <c r="A437" s="320" t="s">
        <v>1112</v>
      </c>
      <c r="B437" s="226" t="s">
        <v>46</v>
      </c>
      <c r="C437" s="226">
        <v>94967</v>
      </c>
      <c r="D437" s="147" t="s">
        <v>1320</v>
      </c>
      <c r="E437" s="154" t="s">
        <v>17</v>
      </c>
      <c r="F437" s="146">
        <v>198</v>
      </c>
      <c r="G437" s="146">
        <v>331.4</v>
      </c>
      <c r="H437" s="146">
        <f>ROUND((1+$L$16)*G437,2)</f>
        <v>411.52</v>
      </c>
      <c r="I437" s="571">
        <f>ROUND(F437*H437,2)</f>
        <v>81480.960000000006</v>
      </c>
      <c r="J437" s="262"/>
      <c r="K437" s="25"/>
      <c r="L437" s="132"/>
      <c r="M437" s="25"/>
      <c r="N437" s="25"/>
      <c r="O437" s="25"/>
      <c r="P437" s="25"/>
      <c r="R437" s="25"/>
    </row>
    <row r="438" spans="1:63" s="26" customFormat="1" ht="30" customHeight="1" x14ac:dyDescent="0.2">
      <c r="A438" s="320" t="s">
        <v>1113</v>
      </c>
      <c r="B438" s="154" t="s">
        <v>46</v>
      </c>
      <c r="C438" s="154">
        <v>92874</v>
      </c>
      <c r="D438" s="148" t="s">
        <v>773</v>
      </c>
      <c r="E438" s="154" t="s">
        <v>17</v>
      </c>
      <c r="F438" s="146">
        <f>F437</f>
        <v>198</v>
      </c>
      <c r="G438" s="146">
        <v>27.56</v>
      </c>
      <c r="H438" s="146">
        <f t="shared" ref="H438:H440" si="142">G438*(1+$L$16)</f>
        <v>34.223288213666258</v>
      </c>
      <c r="I438" s="313">
        <f t="shared" ref="I438:I440" si="143">ROUND(F438*H438,2)</f>
        <v>6776.21</v>
      </c>
      <c r="J438" s="251"/>
      <c r="K438" s="25"/>
      <c r="L438" s="133"/>
      <c r="M438" s="25"/>
      <c r="N438" s="25"/>
      <c r="O438" s="25"/>
      <c r="P438" s="25"/>
      <c r="R438" s="25"/>
    </row>
    <row r="439" spans="1:63" s="26" customFormat="1" ht="28.5" customHeight="1" x14ac:dyDescent="0.2">
      <c r="A439" s="320" t="s">
        <v>1114</v>
      </c>
      <c r="B439" s="226" t="s">
        <v>46</v>
      </c>
      <c r="C439" s="226">
        <v>83516</v>
      </c>
      <c r="D439" s="147" t="s">
        <v>1324</v>
      </c>
      <c r="E439" s="226" t="s">
        <v>17</v>
      </c>
      <c r="F439" s="146">
        <f>F428*0.25/2+F429*1.18</f>
        <v>288.93012612063649</v>
      </c>
      <c r="G439" s="146">
        <v>13.16</v>
      </c>
      <c r="H439" s="146">
        <f t="shared" si="142"/>
        <v>16.341744299413932</v>
      </c>
      <c r="I439" s="313">
        <f t="shared" si="143"/>
        <v>4721.62</v>
      </c>
      <c r="J439" s="251"/>
      <c r="K439" s="25"/>
      <c r="L439" s="133"/>
      <c r="M439" s="25"/>
      <c r="N439" s="25"/>
      <c r="O439" s="25"/>
      <c r="P439" s="25"/>
      <c r="R439" s="25"/>
    </row>
    <row r="440" spans="1:63" s="26" customFormat="1" ht="42.75" x14ac:dyDescent="0.2">
      <c r="A440" s="320" t="s">
        <v>1461</v>
      </c>
      <c r="B440" s="154" t="s">
        <v>46</v>
      </c>
      <c r="C440" s="154" t="s">
        <v>377</v>
      </c>
      <c r="D440" s="148" t="s">
        <v>378</v>
      </c>
      <c r="E440" s="154" t="s">
        <v>16</v>
      </c>
      <c r="F440" s="146">
        <f>50.26*3.8+6.3*3.8+7.3*3.8+PI()*8^2*2</f>
        <v>644.79185965949353</v>
      </c>
      <c r="G440" s="146">
        <v>31.05</v>
      </c>
      <c r="H440" s="146">
        <f t="shared" si="142"/>
        <v>38.557079065106578</v>
      </c>
      <c r="I440" s="313">
        <f t="shared" si="143"/>
        <v>24861.29</v>
      </c>
      <c r="J440" s="251"/>
      <c r="K440" s="25"/>
      <c r="L440" s="133"/>
      <c r="M440" s="25"/>
      <c r="N440" s="25"/>
      <c r="O440" s="25"/>
      <c r="P440" s="25"/>
      <c r="R440" s="25"/>
    </row>
    <row r="441" spans="1:63" s="26" customFormat="1" ht="15" thickBot="1" x14ac:dyDescent="0.25">
      <c r="A441" s="920" t="s">
        <v>1462</v>
      </c>
      <c r="B441" s="586" t="s">
        <v>46</v>
      </c>
      <c r="C441" s="586">
        <v>73631</v>
      </c>
      <c r="D441" s="929" t="s">
        <v>338</v>
      </c>
      <c r="E441" s="913" t="s">
        <v>16</v>
      </c>
      <c r="F441" s="585">
        <v>70</v>
      </c>
      <c r="G441" s="585">
        <v>298.98</v>
      </c>
      <c r="H441" s="585">
        <f t="shared" si="132"/>
        <v>371.26555551966396</v>
      </c>
      <c r="I441" s="915">
        <f t="shared" si="133"/>
        <v>25988.59</v>
      </c>
      <c r="J441" s="251"/>
      <c r="K441" s="25"/>
      <c r="L441" s="25"/>
      <c r="M441" s="25"/>
      <c r="N441" s="25"/>
      <c r="O441" s="25"/>
      <c r="P441" s="25"/>
      <c r="R441" s="25"/>
    </row>
    <row r="442" spans="1:63" s="26" customFormat="1" x14ac:dyDescent="0.2">
      <c r="A442" s="918" t="s">
        <v>1463</v>
      </c>
      <c r="B442" s="910" t="s">
        <v>66</v>
      </c>
      <c r="C442" s="910"/>
      <c r="D442" s="931" t="s">
        <v>362</v>
      </c>
      <c r="E442" s="899" t="s">
        <v>19</v>
      </c>
      <c r="F442" s="901">
        <v>1</v>
      </c>
      <c r="G442" s="901">
        <v>248000</v>
      </c>
      <c r="H442" s="901">
        <f>G442*(1+$K$16)</f>
        <v>282758.82402543712</v>
      </c>
      <c r="I442" s="902">
        <f t="shared" si="133"/>
        <v>282758.82</v>
      </c>
      <c r="J442" s="251"/>
      <c r="K442" s="25"/>
      <c r="L442" s="25"/>
      <c r="M442" s="25"/>
      <c r="N442" s="25"/>
      <c r="O442" s="25"/>
      <c r="P442" s="25"/>
      <c r="R442" s="25"/>
    </row>
    <row r="443" spans="1:63" s="128" customFormat="1" ht="14.25" customHeight="1" x14ac:dyDescent="0.2">
      <c r="A443" s="320" t="s">
        <v>1464</v>
      </c>
      <c r="B443" s="154" t="s">
        <v>46</v>
      </c>
      <c r="C443" s="154">
        <v>11244</v>
      </c>
      <c r="D443" s="148" t="s">
        <v>1374</v>
      </c>
      <c r="E443" s="154" t="s">
        <v>19</v>
      </c>
      <c r="F443" s="146">
        <f>8*6</f>
        <v>48</v>
      </c>
      <c r="G443" s="146">
        <v>148.71</v>
      </c>
      <c r="H443" s="146">
        <f>G443*(1+$L$16)</f>
        <v>184.66419413114332</v>
      </c>
      <c r="I443" s="313">
        <f t="shared" si="133"/>
        <v>8863.8799999999992</v>
      </c>
      <c r="J443" s="251"/>
      <c r="K443" s="138"/>
      <c r="L443" s="138"/>
      <c r="M443" s="138"/>
      <c r="N443" s="25"/>
      <c r="O443" s="25"/>
      <c r="P443" s="25"/>
      <c r="Q443" s="26"/>
      <c r="R443" s="25"/>
      <c r="S443" s="26"/>
      <c r="T443" s="26"/>
      <c r="U443" s="26"/>
      <c r="V443" s="26"/>
    </row>
    <row r="444" spans="1:63" s="26" customFormat="1" ht="15" customHeight="1" x14ac:dyDescent="0.2">
      <c r="A444" s="320" t="s">
        <v>1974</v>
      </c>
      <c r="B444" s="226" t="s">
        <v>46</v>
      </c>
      <c r="C444" s="226" t="s">
        <v>98</v>
      </c>
      <c r="D444" s="147" t="s">
        <v>99</v>
      </c>
      <c r="E444" s="226" t="s">
        <v>17</v>
      </c>
      <c r="F444" s="146">
        <f>196.8*2</f>
        <v>393.6</v>
      </c>
      <c r="G444" s="146">
        <v>145.25</v>
      </c>
      <c r="H444" s="146">
        <f>G444*(1+$L$16)</f>
        <v>180.36765649619099</v>
      </c>
      <c r="I444" s="313">
        <f t="shared" si="133"/>
        <v>70992.710000000006</v>
      </c>
      <c r="J444" s="263"/>
      <c r="K444" s="27"/>
      <c r="L444" s="27"/>
      <c r="M444" s="27"/>
      <c r="N444" s="25"/>
      <c r="O444" s="25"/>
      <c r="P444" s="25"/>
      <c r="R444" s="25"/>
    </row>
    <row r="445" spans="1:63" ht="28.5" x14ac:dyDescent="0.2">
      <c r="A445" s="320" t="s">
        <v>1975</v>
      </c>
      <c r="B445" s="150" t="s">
        <v>336</v>
      </c>
      <c r="C445" s="150" t="str">
        <f>COMPOSIÇÕES!C364</f>
        <v>CE-030</v>
      </c>
      <c r="D445" s="149" t="s">
        <v>1548</v>
      </c>
      <c r="E445" s="150" t="s">
        <v>20</v>
      </c>
      <c r="F445" s="146">
        <v>1</v>
      </c>
      <c r="G445" s="146">
        <f>COMPOSIÇÕES!I364</f>
        <v>63747.6</v>
      </c>
      <c r="H445" s="151">
        <f>G445*(1+$L$16)</f>
        <v>79160.104779735528</v>
      </c>
      <c r="I445" s="313">
        <f t="shared" si="133"/>
        <v>79160.100000000006</v>
      </c>
      <c r="J445" s="144"/>
      <c r="K445" s="27"/>
      <c r="L445" s="27"/>
      <c r="M445" s="27"/>
      <c r="N445" s="25"/>
      <c r="O445" s="25"/>
      <c r="P445" s="25"/>
      <c r="R445" s="25"/>
      <c r="W445" s="7"/>
      <c r="X445" s="7"/>
      <c r="Y445" s="7"/>
      <c r="Z445" s="7"/>
      <c r="AA445" s="7"/>
      <c r="AB445" s="7"/>
      <c r="AC445" s="7"/>
      <c r="AD445" s="7"/>
      <c r="AE445" s="7"/>
      <c r="AF445" s="7"/>
      <c r="AG445" s="7"/>
      <c r="AH445" s="7"/>
      <c r="AI445" s="7"/>
      <c r="AJ445" s="7"/>
      <c r="AK445" s="7"/>
      <c r="AL445" s="7"/>
      <c r="AM445" s="7"/>
      <c r="AN445" s="7"/>
      <c r="AO445" s="7"/>
      <c r="AP445" s="7"/>
      <c r="AQ445" s="7"/>
      <c r="AR445" s="7"/>
      <c r="AS445" s="7"/>
      <c r="AT445" s="7"/>
      <c r="AU445" s="7"/>
      <c r="AV445" s="7"/>
      <c r="AW445" s="7"/>
      <c r="AX445" s="7"/>
      <c r="AY445" s="7"/>
      <c r="AZ445" s="7"/>
      <c r="BA445" s="7"/>
      <c r="BB445" s="7"/>
      <c r="BC445" s="7"/>
      <c r="BD445" s="7"/>
      <c r="BE445" s="7"/>
      <c r="BF445" s="7"/>
      <c r="BG445" s="7"/>
      <c r="BH445" s="7"/>
      <c r="BI445" s="7"/>
      <c r="BJ445" s="7"/>
      <c r="BK445" s="7"/>
    </row>
    <row r="446" spans="1:63" x14ac:dyDescent="0.2">
      <c r="A446" s="284"/>
      <c r="B446" s="150"/>
      <c r="C446" s="294"/>
      <c r="D446" s="149"/>
      <c r="E446" s="281"/>
      <c r="F446" s="282"/>
      <c r="G446" s="283"/>
      <c r="H446" s="282"/>
      <c r="I446" s="296"/>
      <c r="J446" s="142"/>
      <c r="K446" s="25"/>
      <c r="L446" s="133"/>
      <c r="M446" s="25"/>
      <c r="N446" s="25"/>
      <c r="O446" s="25"/>
      <c r="P446" s="25"/>
      <c r="R446" s="25"/>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row>
    <row r="447" spans="1:63" s="26" customFormat="1" ht="15" customHeight="1" x14ac:dyDescent="0.2">
      <c r="A447" s="563" t="s">
        <v>323</v>
      </c>
      <c r="B447" s="564"/>
      <c r="C447" s="564"/>
      <c r="D447" s="565" t="s">
        <v>87</v>
      </c>
      <c r="E447" s="564"/>
      <c r="F447" s="566"/>
      <c r="G447" s="567"/>
      <c r="H447" s="568"/>
      <c r="I447" s="569">
        <f>SUM(I448:I471)</f>
        <v>384835.85999999993</v>
      </c>
      <c r="J447" s="262"/>
      <c r="K447" s="25"/>
      <c r="L447" s="132"/>
      <c r="M447" s="25"/>
      <c r="N447" s="25"/>
      <c r="O447" s="25"/>
      <c r="P447" s="25"/>
      <c r="R447" s="25"/>
    </row>
    <row r="448" spans="1:63" s="26" customFormat="1" ht="28.5" x14ac:dyDescent="0.2">
      <c r="A448" s="320" t="s">
        <v>1115</v>
      </c>
      <c r="B448" s="154" t="s">
        <v>46</v>
      </c>
      <c r="C448" s="226" t="s">
        <v>703</v>
      </c>
      <c r="D448" s="147" t="s">
        <v>704</v>
      </c>
      <c r="E448" s="154" t="s">
        <v>16</v>
      </c>
      <c r="F448" s="146">
        <f>PI()*7.95^2</f>
        <v>198.5565096885089</v>
      </c>
      <c r="G448" s="146">
        <v>8.3000000000000007</v>
      </c>
      <c r="H448" s="146">
        <f t="shared" ref="H448:H467" si="144">G448*(1+$L$16)</f>
        <v>10.306723228353773</v>
      </c>
      <c r="I448" s="313">
        <f t="shared" ref="I448:I471" si="145">ROUND(F448*H448,2)</f>
        <v>2046.47</v>
      </c>
      <c r="J448" s="251"/>
      <c r="K448" s="25"/>
      <c r="L448" s="133"/>
      <c r="M448" s="25"/>
      <c r="N448" s="25"/>
      <c r="O448" s="25"/>
      <c r="P448" s="25"/>
      <c r="R448" s="25"/>
    </row>
    <row r="449" spans="1:22" s="26" customFormat="1" ht="28.5" x14ac:dyDescent="0.2">
      <c r="A449" s="320" t="s">
        <v>1116</v>
      </c>
      <c r="B449" s="154" t="s">
        <v>46</v>
      </c>
      <c r="C449" s="154">
        <v>83338</v>
      </c>
      <c r="D449" s="148" t="s">
        <v>768</v>
      </c>
      <c r="E449" s="154" t="s">
        <v>17</v>
      </c>
      <c r="F449" s="146">
        <f>PI()*6.95^2*4.7*0.9</f>
        <v>641.88887580458879</v>
      </c>
      <c r="G449" s="146">
        <v>2.41</v>
      </c>
      <c r="H449" s="146">
        <f t="shared" si="144"/>
        <v>2.9926750578713963</v>
      </c>
      <c r="I449" s="313">
        <f t="shared" si="145"/>
        <v>1920.96</v>
      </c>
      <c r="J449" s="251"/>
      <c r="K449" s="25"/>
      <c r="L449" s="133"/>
      <c r="M449" s="25"/>
      <c r="N449" s="25"/>
      <c r="O449" s="25"/>
      <c r="P449" s="25"/>
      <c r="R449" s="25"/>
    </row>
    <row r="450" spans="1:22" s="128" customFormat="1" x14ac:dyDescent="0.2">
      <c r="A450" s="320" t="s">
        <v>1117</v>
      </c>
      <c r="B450" s="154" t="s">
        <v>46</v>
      </c>
      <c r="C450" s="154">
        <v>93358</v>
      </c>
      <c r="D450" s="148" t="s">
        <v>776</v>
      </c>
      <c r="E450" s="154" t="s">
        <v>17</v>
      </c>
      <c r="F450" s="146">
        <f>PI()*6.95^2*4.7*0.1</f>
        <v>71.320986200509864</v>
      </c>
      <c r="G450" s="146">
        <v>65.819999999999993</v>
      </c>
      <c r="H450" s="146">
        <f t="shared" si="144"/>
        <v>81.73355697472833</v>
      </c>
      <c r="I450" s="313">
        <f t="shared" si="145"/>
        <v>5829.32</v>
      </c>
      <c r="J450" s="251"/>
      <c r="K450" s="138"/>
      <c r="L450" s="138"/>
      <c r="M450" s="138"/>
      <c r="N450" s="25"/>
      <c r="O450" s="25"/>
      <c r="P450" s="25"/>
      <c r="Q450" s="26"/>
      <c r="R450" s="25"/>
      <c r="S450" s="26"/>
      <c r="T450" s="26"/>
      <c r="U450" s="26"/>
      <c r="V450" s="26"/>
    </row>
    <row r="451" spans="1:22" s="128" customFormat="1" ht="71.25" x14ac:dyDescent="0.2">
      <c r="A451" s="320" t="s">
        <v>1378</v>
      </c>
      <c r="B451" s="154" t="s">
        <v>46</v>
      </c>
      <c r="C451" s="154">
        <v>93381</v>
      </c>
      <c r="D451" s="148" t="s">
        <v>1375</v>
      </c>
      <c r="E451" s="154" t="s">
        <v>17</v>
      </c>
      <c r="F451" s="146">
        <f>PI()*6.95^2*2*0.9</f>
        <v>273.14420247003778</v>
      </c>
      <c r="G451" s="146">
        <v>6.75</v>
      </c>
      <c r="H451" s="146">
        <f>G451*(1+$L$16)</f>
        <v>8.3819737098057772</v>
      </c>
      <c r="I451" s="313">
        <f>ROUND(F451*H451,2)</f>
        <v>2289.4899999999998</v>
      </c>
      <c r="J451" s="251"/>
      <c r="K451" s="138"/>
      <c r="L451" s="138"/>
      <c r="M451" s="138"/>
      <c r="N451" s="25"/>
      <c r="O451" s="25"/>
      <c r="P451" s="25"/>
      <c r="Q451" s="26"/>
      <c r="R451" s="25"/>
      <c r="S451" s="26"/>
      <c r="T451" s="26"/>
      <c r="U451" s="26"/>
      <c r="V451" s="26"/>
    </row>
    <row r="452" spans="1:22" s="128" customFormat="1" ht="28.5" x14ac:dyDescent="0.2">
      <c r="A452" s="320" t="s">
        <v>1465</v>
      </c>
      <c r="B452" s="154" t="s">
        <v>46</v>
      </c>
      <c r="C452" s="154">
        <v>93382</v>
      </c>
      <c r="D452" s="148" t="s">
        <v>705</v>
      </c>
      <c r="E452" s="154" t="s">
        <v>17</v>
      </c>
      <c r="F452" s="146">
        <f>PI()*6.95^2*2*0.1</f>
        <v>30.3493558300042</v>
      </c>
      <c r="G452" s="146">
        <v>23.98</v>
      </c>
      <c r="H452" s="146">
        <f>G452*(1+$L$16)</f>
        <v>29.777737712761862</v>
      </c>
      <c r="I452" s="313">
        <f>ROUND(F452*H452,2)</f>
        <v>903.74</v>
      </c>
      <c r="J452" s="251"/>
      <c r="K452" s="138"/>
      <c r="L452" s="138"/>
      <c r="M452" s="138"/>
      <c r="N452" s="25"/>
      <c r="O452" s="25"/>
      <c r="P452" s="25"/>
      <c r="Q452" s="26"/>
      <c r="R452" s="25"/>
      <c r="S452" s="26"/>
      <c r="T452" s="26"/>
      <c r="U452" s="26"/>
      <c r="V452" s="26"/>
    </row>
    <row r="453" spans="1:22" s="26" customFormat="1" ht="28.5" x14ac:dyDescent="0.2">
      <c r="A453" s="320" t="s">
        <v>1466</v>
      </c>
      <c r="B453" s="154" t="s">
        <v>46</v>
      </c>
      <c r="C453" s="154">
        <v>72898</v>
      </c>
      <c r="D453" s="148" t="s">
        <v>743</v>
      </c>
      <c r="E453" s="154" t="s">
        <v>17</v>
      </c>
      <c r="F453" s="146">
        <f>F449+F450-F451-F452</f>
        <v>409.7163037050567</v>
      </c>
      <c r="G453" s="146">
        <v>3.57</v>
      </c>
      <c r="H453" s="146">
        <f t="shared" ref="H453:H455" si="146">ROUND((1+$L$16)*G453,2)</f>
        <v>4.43</v>
      </c>
      <c r="I453" s="313">
        <f>ROUND(F453*H453,2)</f>
        <v>1815.04</v>
      </c>
      <c r="J453" s="262"/>
      <c r="K453" s="25" t="s">
        <v>1185</v>
      </c>
      <c r="L453" s="132">
        <v>21583.700000000004</v>
      </c>
      <c r="M453" s="25"/>
      <c r="N453" s="25">
        <v>170</v>
      </c>
      <c r="O453" s="25"/>
      <c r="P453" s="25"/>
      <c r="R453" s="25"/>
    </row>
    <row r="454" spans="1:22" s="128" customFormat="1" ht="28.5" x14ac:dyDescent="0.2">
      <c r="A454" s="320" t="s">
        <v>1467</v>
      </c>
      <c r="B454" s="154" t="s">
        <v>46</v>
      </c>
      <c r="C454" s="154">
        <v>72885</v>
      </c>
      <c r="D454" s="148" t="s">
        <v>334</v>
      </c>
      <c r="E454" s="154" t="s">
        <v>698</v>
      </c>
      <c r="F454" s="146">
        <f>F453*5</f>
        <v>2048.5815185252836</v>
      </c>
      <c r="G454" s="146">
        <v>1.36</v>
      </c>
      <c r="H454" s="146">
        <f t="shared" si="146"/>
        <v>1.69</v>
      </c>
      <c r="I454" s="313">
        <f t="shared" ref="I454:I457" si="147">ROUND(F454*H454,2)</f>
        <v>3462.1</v>
      </c>
      <c r="J454" s="251"/>
      <c r="K454" s="138"/>
      <c r="L454" s="138"/>
      <c r="M454" s="138"/>
      <c r="N454" s="25"/>
      <c r="O454" s="25"/>
      <c r="P454" s="25"/>
      <c r="Q454" s="26"/>
      <c r="R454" s="25"/>
      <c r="S454" s="26"/>
      <c r="T454" s="26"/>
      <c r="U454" s="26"/>
      <c r="V454" s="26"/>
    </row>
    <row r="455" spans="1:22" s="26" customFormat="1" ht="30" customHeight="1" x14ac:dyDescent="0.2">
      <c r="A455" s="320" t="s">
        <v>1468</v>
      </c>
      <c r="B455" s="154" t="s">
        <v>46</v>
      </c>
      <c r="C455" s="154" t="s">
        <v>58</v>
      </c>
      <c r="D455" s="148" t="s">
        <v>699</v>
      </c>
      <c r="E455" s="154" t="s">
        <v>17</v>
      </c>
      <c r="F455" s="146">
        <f>F453</f>
        <v>409.7163037050567</v>
      </c>
      <c r="G455" s="146">
        <v>1.94</v>
      </c>
      <c r="H455" s="146">
        <f t="shared" si="146"/>
        <v>2.41</v>
      </c>
      <c r="I455" s="313">
        <f t="shared" si="147"/>
        <v>987.42</v>
      </c>
      <c r="J455" s="251"/>
      <c r="K455" s="25"/>
      <c r="L455" s="133"/>
      <c r="M455" s="25"/>
      <c r="N455" s="25"/>
      <c r="O455" s="25"/>
      <c r="P455" s="25"/>
      <c r="R455" s="25"/>
    </row>
    <row r="456" spans="1:22" s="26" customFormat="1" ht="42.75" x14ac:dyDescent="0.2">
      <c r="A456" s="320" t="s">
        <v>1469</v>
      </c>
      <c r="B456" s="154" t="s">
        <v>336</v>
      </c>
      <c r="C456" s="154" t="str">
        <f>COMPOSIÇÕES!C387</f>
        <v>CE-031</v>
      </c>
      <c r="D456" s="148" t="str">
        <f>COMPOSIÇÕES!D387</f>
        <v xml:space="preserve">CRAVAMENTO DE ESTACAS PRÉ-MOLDADA DE CONCRETO, SEÇÃO QUADRADA, CAPACIDADE DE 25 TONELADAS, COMPRIMENTO TOTAL CRAVADO ATÉ 5,00M, BATE-ESTACAS POR GRAVIDADE SOBRE ROLOS </v>
      </c>
      <c r="E456" s="226" t="s">
        <v>19</v>
      </c>
      <c r="F456" s="146">
        <v>1</v>
      </c>
      <c r="G456" s="146">
        <f>COMPOSIÇÕES!I387</f>
        <v>6266.84</v>
      </c>
      <c r="H456" s="146">
        <f t="shared" ref="H456" si="148">ROUND((1+$L$16)*G456,2)</f>
        <v>7782</v>
      </c>
      <c r="I456" s="313">
        <f t="shared" ref="I456" si="149">ROUND(F456*H456,2)</f>
        <v>7782</v>
      </c>
      <c r="J456" s="251"/>
      <c r="K456" s="25"/>
      <c r="L456" s="133"/>
      <c r="M456" s="25"/>
      <c r="N456" s="25"/>
      <c r="O456" s="25"/>
      <c r="P456" s="25"/>
      <c r="R456" s="25"/>
    </row>
    <row r="457" spans="1:22" s="128" customFormat="1" ht="28.5" x14ac:dyDescent="0.2">
      <c r="A457" s="320" t="s">
        <v>1470</v>
      </c>
      <c r="B457" s="226" t="s">
        <v>46</v>
      </c>
      <c r="C457" s="226">
        <v>95241</v>
      </c>
      <c r="D457" s="147" t="s">
        <v>706</v>
      </c>
      <c r="E457" s="154" t="s">
        <v>16</v>
      </c>
      <c r="F457" s="146">
        <f>PI()*8^2</f>
        <v>201.06192982974676</v>
      </c>
      <c r="G457" s="146">
        <v>19.88</v>
      </c>
      <c r="H457" s="146">
        <f t="shared" ref="H457" si="150">G457*(1+$L$16)</f>
        <v>24.686464792731684</v>
      </c>
      <c r="I457" s="313">
        <f t="shared" si="147"/>
        <v>4963.51</v>
      </c>
      <c r="J457" s="251"/>
      <c r="K457" s="138"/>
      <c r="L457" s="138"/>
      <c r="M457" s="138"/>
      <c r="N457" s="25"/>
      <c r="O457" s="25"/>
      <c r="P457" s="25"/>
      <c r="Q457" s="26"/>
      <c r="R457" s="25"/>
      <c r="S457" s="26"/>
      <c r="T457" s="26"/>
      <c r="U457" s="26"/>
      <c r="V457" s="26"/>
    </row>
    <row r="458" spans="1:22" s="336" customFormat="1" ht="57" x14ac:dyDescent="0.2">
      <c r="A458" s="320" t="s">
        <v>1471</v>
      </c>
      <c r="B458" s="226" t="s">
        <v>46</v>
      </c>
      <c r="C458" s="226">
        <v>92417</v>
      </c>
      <c r="D458" s="148" t="s">
        <v>1351</v>
      </c>
      <c r="E458" s="226" t="s">
        <v>16</v>
      </c>
      <c r="F458" s="146">
        <v>416.5</v>
      </c>
      <c r="G458" s="146">
        <v>96.25</v>
      </c>
      <c r="H458" s="146">
        <f>ROUND((1+$L$16)*G458,2)</f>
        <v>119.52</v>
      </c>
      <c r="I458" s="571">
        <f>ROUND(F458*H458,2)</f>
        <v>49780.08</v>
      </c>
      <c r="J458" s="335"/>
      <c r="K458" s="335"/>
      <c r="L458" s="335"/>
      <c r="M458" s="335"/>
      <c r="N458" s="335"/>
      <c r="O458" s="335"/>
    </row>
    <row r="459" spans="1:22" s="336" customFormat="1" x14ac:dyDescent="0.2">
      <c r="A459" s="320" t="s">
        <v>1118</v>
      </c>
      <c r="B459" s="226" t="s">
        <v>46</v>
      </c>
      <c r="C459" s="226">
        <v>34449</v>
      </c>
      <c r="D459" s="148" t="s">
        <v>1354</v>
      </c>
      <c r="E459" s="226" t="s">
        <v>170</v>
      </c>
      <c r="F459" s="146">
        <v>1908</v>
      </c>
      <c r="G459" s="146">
        <v>4.18</v>
      </c>
      <c r="H459" s="146">
        <f>ROUND((1+$K$16)*G459,2)</f>
        <v>4.7699999999999996</v>
      </c>
      <c r="I459" s="571">
        <f t="shared" ref="I459:I463" si="151">ROUND(F459*H459,2)</f>
        <v>9101.16</v>
      </c>
      <c r="J459" s="335"/>
      <c r="K459" s="335"/>
      <c r="L459" s="335"/>
      <c r="M459" s="335"/>
      <c r="N459" s="335"/>
      <c r="O459" s="335"/>
    </row>
    <row r="460" spans="1:22" s="336" customFormat="1" x14ac:dyDescent="0.2">
      <c r="A460" s="320" t="s">
        <v>1119</v>
      </c>
      <c r="B460" s="226" t="s">
        <v>46</v>
      </c>
      <c r="C460" s="226">
        <v>33</v>
      </c>
      <c r="D460" s="148" t="s">
        <v>772</v>
      </c>
      <c r="E460" s="226" t="s">
        <v>170</v>
      </c>
      <c r="F460" s="146">
        <f>68+466</f>
        <v>534</v>
      </c>
      <c r="G460" s="146">
        <v>4.1900000000000004</v>
      </c>
      <c r="H460" s="146">
        <f t="shared" ref="H460:H463" si="152">ROUND((1+$K$16)*G460,2)</f>
        <v>4.78</v>
      </c>
      <c r="I460" s="571">
        <f t="shared" si="151"/>
        <v>2552.52</v>
      </c>
      <c r="J460" s="335"/>
      <c r="K460" s="335"/>
      <c r="L460" s="335"/>
      <c r="M460" s="335"/>
      <c r="N460" s="335"/>
      <c r="O460" s="335"/>
    </row>
    <row r="461" spans="1:22" s="336" customFormat="1" ht="15" thickBot="1" x14ac:dyDescent="0.25">
      <c r="A461" s="920" t="s">
        <v>1472</v>
      </c>
      <c r="B461" s="586" t="s">
        <v>46</v>
      </c>
      <c r="C461" s="586">
        <v>34439</v>
      </c>
      <c r="D461" s="584" t="s">
        <v>771</v>
      </c>
      <c r="E461" s="586" t="s">
        <v>170</v>
      </c>
      <c r="F461" s="585">
        <f>3113+60</f>
        <v>3173</v>
      </c>
      <c r="G461" s="585">
        <v>4</v>
      </c>
      <c r="H461" s="585">
        <f t="shared" si="152"/>
        <v>4.5599999999999996</v>
      </c>
      <c r="I461" s="917">
        <f t="shared" si="151"/>
        <v>14468.88</v>
      </c>
      <c r="J461" s="335"/>
      <c r="K461" s="335"/>
      <c r="L461" s="335"/>
      <c r="M461" s="335"/>
      <c r="N461" s="335"/>
      <c r="O461" s="335"/>
    </row>
    <row r="462" spans="1:22" s="336" customFormat="1" x14ac:dyDescent="0.2">
      <c r="A462" s="918" t="s">
        <v>1473</v>
      </c>
      <c r="B462" s="910" t="s">
        <v>46</v>
      </c>
      <c r="C462" s="910">
        <v>34441</v>
      </c>
      <c r="D462" s="900" t="s">
        <v>1352</v>
      </c>
      <c r="E462" s="910" t="s">
        <v>170</v>
      </c>
      <c r="F462" s="901">
        <v>256</v>
      </c>
      <c r="G462" s="901">
        <v>3.8</v>
      </c>
      <c r="H462" s="901">
        <f t="shared" si="152"/>
        <v>4.33</v>
      </c>
      <c r="I462" s="902">
        <f t="shared" si="151"/>
        <v>1108.48</v>
      </c>
      <c r="J462" s="335"/>
      <c r="K462" s="335"/>
      <c r="L462" s="335"/>
      <c r="M462" s="335"/>
      <c r="N462" s="335"/>
      <c r="O462" s="335"/>
    </row>
    <row r="463" spans="1:22" s="336" customFormat="1" x14ac:dyDescent="0.2">
      <c r="A463" s="320" t="s">
        <v>1474</v>
      </c>
      <c r="B463" s="226" t="s">
        <v>46</v>
      </c>
      <c r="C463" s="226">
        <v>34443</v>
      </c>
      <c r="D463" s="148" t="s">
        <v>1353</v>
      </c>
      <c r="E463" s="226" t="s">
        <v>170</v>
      </c>
      <c r="F463" s="146">
        <v>756</v>
      </c>
      <c r="G463" s="146">
        <v>3.8</v>
      </c>
      <c r="H463" s="146">
        <f t="shared" si="152"/>
        <v>4.33</v>
      </c>
      <c r="I463" s="571">
        <f t="shared" si="151"/>
        <v>3273.48</v>
      </c>
      <c r="J463" s="335"/>
      <c r="K463" s="335"/>
      <c r="L463" s="335"/>
      <c r="M463" s="335"/>
      <c r="N463" s="335"/>
      <c r="O463" s="335"/>
    </row>
    <row r="464" spans="1:22" s="26" customFormat="1" ht="28.5" x14ac:dyDescent="0.2">
      <c r="A464" s="320" t="s">
        <v>1120</v>
      </c>
      <c r="B464" s="226" t="s">
        <v>46</v>
      </c>
      <c r="C464" s="226">
        <v>94967</v>
      </c>
      <c r="D464" s="147" t="s">
        <v>1320</v>
      </c>
      <c r="E464" s="154" t="s">
        <v>17</v>
      </c>
      <c r="F464" s="146">
        <v>75.5</v>
      </c>
      <c r="G464" s="146">
        <v>331.4</v>
      </c>
      <c r="H464" s="146">
        <f>ROUND((1+$L$16)*G464,2)</f>
        <v>411.52</v>
      </c>
      <c r="I464" s="571">
        <f>ROUND(F464*H464,2)</f>
        <v>31069.759999999998</v>
      </c>
      <c r="J464" s="262"/>
      <c r="K464" s="25"/>
      <c r="L464" s="132"/>
      <c r="M464" s="25"/>
      <c r="N464" s="25"/>
      <c r="O464" s="25"/>
      <c r="P464" s="25"/>
      <c r="R464" s="25"/>
    </row>
    <row r="465" spans="1:63" s="26" customFormat="1" ht="30" customHeight="1" x14ac:dyDescent="0.2">
      <c r="A465" s="320" t="s">
        <v>1121</v>
      </c>
      <c r="B465" s="154" t="s">
        <v>46</v>
      </c>
      <c r="C465" s="154">
        <v>92874</v>
      </c>
      <c r="D465" s="148" t="s">
        <v>773</v>
      </c>
      <c r="E465" s="154" t="s">
        <v>17</v>
      </c>
      <c r="F465" s="146">
        <f>F464</f>
        <v>75.5</v>
      </c>
      <c r="G465" s="146">
        <v>27.56</v>
      </c>
      <c r="H465" s="146">
        <f t="shared" ref="H465:H466" si="153">G465*(1+$L$16)</f>
        <v>34.223288213666258</v>
      </c>
      <c r="I465" s="313">
        <f t="shared" ref="I465:I466" si="154">ROUND(F465*H465,2)</f>
        <v>2583.86</v>
      </c>
      <c r="J465" s="251"/>
      <c r="K465" s="25"/>
      <c r="L465" s="133"/>
      <c r="M465" s="25"/>
      <c r="N465" s="25"/>
      <c r="O465" s="25"/>
      <c r="P465" s="25"/>
      <c r="R465" s="25"/>
    </row>
    <row r="466" spans="1:63" s="26" customFormat="1" ht="28.5" customHeight="1" x14ac:dyDescent="0.2">
      <c r="A466" s="320" t="s">
        <v>1122</v>
      </c>
      <c r="B466" s="226" t="s">
        <v>46</v>
      </c>
      <c r="C466" s="226">
        <v>83516</v>
      </c>
      <c r="D466" s="147" t="s">
        <v>1324</v>
      </c>
      <c r="E466" s="226" t="s">
        <v>17</v>
      </c>
      <c r="F466" s="146">
        <f>F458*0.2/2</f>
        <v>41.650000000000006</v>
      </c>
      <c r="G466" s="146">
        <v>13.16</v>
      </c>
      <c r="H466" s="146">
        <f t="shared" si="153"/>
        <v>16.341744299413932</v>
      </c>
      <c r="I466" s="313">
        <f t="shared" si="154"/>
        <v>680.63</v>
      </c>
      <c r="J466" s="251"/>
      <c r="K466" s="25"/>
      <c r="L466" s="133"/>
      <c r="M466" s="25"/>
      <c r="N466" s="25"/>
      <c r="O466" s="25"/>
      <c r="P466" s="25"/>
      <c r="R466" s="25"/>
    </row>
    <row r="467" spans="1:63" s="128" customFormat="1" ht="42.75" x14ac:dyDescent="0.2">
      <c r="A467" s="320" t="s">
        <v>1475</v>
      </c>
      <c r="B467" s="154" t="s">
        <v>46</v>
      </c>
      <c r="C467" s="154" t="s">
        <v>377</v>
      </c>
      <c r="D467" s="148" t="s">
        <v>378</v>
      </c>
      <c r="E467" s="154" t="s">
        <v>16</v>
      </c>
      <c r="F467" s="146">
        <f>1.7*41.6+1.9*1.8+(1.9+1.8)*2*1.7+2.9*39.27+2.83*4.72+125</f>
        <v>338.9606</v>
      </c>
      <c r="G467" s="146">
        <v>31.05</v>
      </c>
      <c r="H467" s="146">
        <f t="shared" si="144"/>
        <v>38.557079065106578</v>
      </c>
      <c r="I467" s="313">
        <f t="shared" si="145"/>
        <v>13069.33</v>
      </c>
      <c r="J467" s="251"/>
      <c r="K467" s="138"/>
      <c r="L467" s="138"/>
      <c r="M467" s="138"/>
      <c r="N467" s="25"/>
      <c r="O467" s="25"/>
      <c r="P467" s="25"/>
      <c r="Q467" s="26"/>
      <c r="R467" s="25"/>
      <c r="S467" s="26"/>
      <c r="T467" s="26"/>
      <c r="U467" s="26"/>
      <c r="V467" s="26"/>
    </row>
    <row r="468" spans="1:63" s="26" customFormat="1" x14ac:dyDescent="0.2">
      <c r="A468" s="320" t="s">
        <v>1476</v>
      </c>
      <c r="B468" s="226" t="s">
        <v>66</v>
      </c>
      <c r="C468" s="226"/>
      <c r="D468" s="147" t="s">
        <v>363</v>
      </c>
      <c r="E468" s="226" t="s">
        <v>19</v>
      </c>
      <c r="F468" s="146">
        <v>1</v>
      </c>
      <c r="G468" s="146">
        <v>122000</v>
      </c>
      <c r="H468" s="146">
        <f>G468*(1+$K$16)</f>
        <v>139099.09891573925</v>
      </c>
      <c r="I468" s="571">
        <f t="shared" si="145"/>
        <v>139099.1</v>
      </c>
      <c r="J468" s="251"/>
      <c r="K468" s="25"/>
      <c r="L468" s="133"/>
      <c r="M468" s="25"/>
      <c r="N468" s="25"/>
      <c r="O468" s="25"/>
      <c r="P468" s="25"/>
      <c r="R468" s="25"/>
    </row>
    <row r="469" spans="1:63" s="128" customFormat="1" ht="14.25" customHeight="1" x14ac:dyDescent="0.2">
      <c r="A469" s="320" t="s">
        <v>1477</v>
      </c>
      <c r="B469" s="154" t="s">
        <v>46</v>
      </c>
      <c r="C469" s="154">
        <v>11244</v>
      </c>
      <c r="D469" s="148" t="s">
        <v>1374</v>
      </c>
      <c r="E469" s="154" t="s">
        <v>19</v>
      </c>
      <c r="F469" s="146">
        <f>3*2+8</f>
        <v>14</v>
      </c>
      <c r="G469" s="146">
        <v>148.71</v>
      </c>
      <c r="H469" s="146">
        <f>G469*(1+$L$16)</f>
        <v>184.66419413114332</v>
      </c>
      <c r="I469" s="313">
        <f t="shared" si="145"/>
        <v>2585.3000000000002</v>
      </c>
      <c r="J469" s="251"/>
      <c r="K469" s="138"/>
      <c r="L469" s="138"/>
      <c r="M469" s="138"/>
      <c r="N469" s="25"/>
      <c r="O469" s="25"/>
      <c r="P469" s="25"/>
      <c r="Q469" s="26"/>
      <c r="R469" s="25"/>
      <c r="S469" s="26"/>
      <c r="T469" s="26"/>
      <c r="U469" s="26"/>
      <c r="V469" s="26"/>
    </row>
    <row r="470" spans="1:63" s="128" customFormat="1" ht="42.75" x14ac:dyDescent="0.2">
      <c r="A470" s="320" t="s">
        <v>1478</v>
      </c>
      <c r="B470" s="226" t="s">
        <v>336</v>
      </c>
      <c r="C470" s="226" t="str">
        <f>COMPOSIÇÕES!C395</f>
        <v>CE-032</v>
      </c>
      <c r="D470" s="147" t="s">
        <v>190</v>
      </c>
      <c r="E470" s="226" t="s">
        <v>19</v>
      </c>
      <c r="F470" s="146">
        <v>1</v>
      </c>
      <c r="G470" s="146">
        <f>COMPOSIÇÕES!I395</f>
        <v>328.75</v>
      </c>
      <c r="H470" s="146">
        <f>G470*(1+$L$16)</f>
        <v>408.23316401461472</v>
      </c>
      <c r="I470" s="313">
        <f t="shared" si="145"/>
        <v>408.23</v>
      </c>
      <c r="J470" s="251"/>
      <c r="K470" s="138"/>
      <c r="L470" s="138"/>
      <c r="M470" s="138"/>
      <c r="N470" s="25"/>
      <c r="O470" s="25"/>
      <c r="P470" s="25"/>
      <c r="Q470" s="26"/>
      <c r="R470" s="25"/>
      <c r="S470" s="26"/>
      <c r="T470" s="26"/>
      <c r="U470" s="26"/>
      <c r="V470" s="26"/>
    </row>
    <row r="471" spans="1:63" s="26" customFormat="1" ht="30" customHeight="1" x14ac:dyDescent="0.2">
      <c r="A471" s="320" t="s">
        <v>1479</v>
      </c>
      <c r="B471" s="226" t="s">
        <v>336</v>
      </c>
      <c r="C471" s="226" t="str">
        <f>COMPOSIÇÕES!C401</f>
        <v>CE-033</v>
      </c>
      <c r="D471" s="147" t="s">
        <v>1549</v>
      </c>
      <c r="E471" s="226" t="s">
        <v>20</v>
      </c>
      <c r="F471" s="146">
        <v>1</v>
      </c>
      <c r="G471" s="146">
        <f>COMPOSIÇÕES!I401</f>
        <v>66884.160000000003</v>
      </c>
      <c r="H471" s="146">
        <f>G471*(1+$L$16)</f>
        <v>83055.003069991595</v>
      </c>
      <c r="I471" s="313">
        <f t="shared" si="145"/>
        <v>83055</v>
      </c>
      <c r="J471" s="251"/>
      <c r="K471" s="25"/>
      <c r="L471" s="133"/>
      <c r="M471" s="25"/>
      <c r="N471" s="25"/>
      <c r="O471" s="25"/>
      <c r="P471" s="25"/>
      <c r="R471" s="25"/>
    </row>
    <row r="472" spans="1:63" x14ac:dyDescent="0.2">
      <c r="A472" s="284"/>
      <c r="B472" s="281"/>
      <c r="C472" s="280"/>
      <c r="D472" s="285"/>
      <c r="E472" s="281"/>
      <c r="F472" s="282"/>
      <c r="G472" s="283"/>
      <c r="H472" s="282"/>
      <c r="I472" s="296"/>
      <c r="J472" s="142"/>
      <c r="K472" s="25"/>
      <c r="L472" s="133"/>
      <c r="M472" s="25"/>
      <c r="N472" s="25"/>
      <c r="O472" s="25"/>
      <c r="P472" s="25"/>
      <c r="R472" s="25"/>
      <c r="W472" s="7"/>
      <c r="X472" s="7"/>
      <c r="Y472" s="7"/>
      <c r="Z472" s="7"/>
      <c r="AA472" s="7"/>
      <c r="AB472" s="7"/>
      <c r="AC472" s="7"/>
      <c r="AD472" s="7"/>
      <c r="AE472" s="7"/>
      <c r="AF472" s="7"/>
      <c r="AG472" s="7"/>
      <c r="AH472" s="7"/>
      <c r="AI472" s="7"/>
      <c r="AJ472" s="7"/>
      <c r="AK472" s="7"/>
      <c r="AL472" s="7"/>
      <c r="AM472" s="7"/>
      <c r="AN472" s="7"/>
      <c r="AO472" s="7"/>
      <c r="AP472" s="7"/>
      <c r="AQ472" s="7"/>
      <c r="AR472" s="7"/>
      <c r="AS472" s="7"/>
      <c r="AT472" s="7"/>
      <c r="AU472" s="7"/>
      <c r="AV472" s="7"/>
      <c r="AW472" s="7"/>
      <c r="AX472" s="7"/>
      <c r="AY472" s="7"/>
      <c r="AZ472" s="7"/>
      <c r="BA472" s="7"/>
      <c r="BB472" s="7"/>
      <c r="BC472" s="7"/>
      <c r="BD472" s="7"/>
      <c r="BE472" s="7"/>
      <c r="BF472" s="7"/>
      <c r="BG472" s="7"/>
      <c r="BH472" s="7"/>
      <c r="BI472" s="7"/>
      <c r="BJ472" s="7"/>
      <c r="BK472" s="7"/>
    </row>
    <row r="473" spans="1:63" s="26" customFormat="1" ht="15" customHeight="1" x14ac:dyDescent="0.2">
      <c r="A473" s="563" t="s">
        <v>324</v>
      </c>
      <c r="B473" s="564"/>
      <c r="C473" s="564"/>
      <c r="D473" s="565" t="s">
        <v>93</v>
      </c>
      <c r="E473" s="564"/>
      <c r="F473" s="566"/>
      <c r="G473" s="567"/>
      <c r="H473" s="568"/>
      <c r="I473" s="569">
        <f>SUM(I474:I496)</f>
        <v>144224.14999999997</v>
      </c>
      <c r="J473" s="262"/>
      <c r="K473" s="25"/>
      <c r="L473" s="132"/>
      <c r="M473" s="25"/>
      <c r="N473" s="25"/>
      <c r="O473" s="25"/>
      <c r="P473" s="25"/>
      <c r="R473" s="25"/>
    </row>
    <row r="474" spans="1:63" s="26" customFormat="1" ht="29.25" customHeight="1" x14ac:dyDescent="0.2">
      <c r="A474" s="320" t="s">
        <v>1123</v>
      </c>
      <c r="B474" s="154" t="s">
        <v>46</v>
      </c>
      <c r="C474" s="226" t="s">
        <v>703</v>
      </c>
      <c r="D474" s="147" t="s">
        <v>704</v>
      </c>
      <c r="E474" s="154" t="s">
        <v>16</v>
      </c>
      <c r="F474" s="146">
        <f>5.2*8</f>
        <v>41.6</v>
      </c>
      <c r="G474" s="146">
        <v>8.3000000000000007</v>
      </c>
      <c r="H474" s="146">
        <f>G474*(1+$L$16)</f>
        <v>10.306723228353773</v>
      </c>
      <c r="I474" s="313">
        <f>ROUND(F474*H474,2)</f>
        <v>428.76</v>
      </c>
      <c r="J474" s="251"/>
      <c r="K474" s="146">
        <f>(3.3*3.2*2.8+2.7*3.2*0.97)</f>
        <v>37.948799999999999</v>
      </c>
      <c r="L474" s="133" t="s">
        <v>583</v>
      </c>
      <c r="M474" s="25"/>
      <c r="N474" s="25"/>
      <c r="O474" s="25"/>
      <c r="P474" s="25"/>
      <c r="R474" s="25"/>
    </row>
    <row r="475" spans="1:63" s="26" customFormat="1" ht="28.5" x14ac:dyDescent="0.2">
      <c r="A475" s="320" t="s">
        <v>1124</v>
      </c>
      <c r="B475" s="226" t="s">
        <v>46</v>
      </c>
      <c r="C475" s="154">
        <v>83338</v>
      </c>
      <c r="D475" s="148" t="s">
        <v>768</v>
      </c>
      <c r="E475" s="226" t="s">
        <v>17</v>
      </c>
      <c r="F475" s="146">
        <f>(4.3*5.2*2.8+3.7*5.2*0.97)*0.9</f>
        <v>73.143720000000002</v>
      </c>
      <c r="G475" s="146">
        <v>2.41</v>
      </c>
      <c r="H475" s="146">
        <f>G475*(1+$L$16)</f>
        <v>2.9926750578713963</v>
      </c>
      <c r="I475" s="313">
        <f>ROUND(F475*H475,2)</f>
        <v>218.9</v>
      </c>
      <c r="J475" s="251"/>
      <c r="K475" s="25"/>
      <c r="L475" s="133"/>
      <c r="M475" s="25"/>
      <c r="N475" s="25"/>
      <c r="O475" s="25"/>
      <c r="P475" s="25"/>
      <c r="R475" s="25"/>
    </row>
    <row r="476" spans="1:63" s="128" customFormat="1" x14ac:dyDescent="0.2">
      <c r="A476" s="320" t="s">
        <v>1125</v>
      </c>
      <c r="B476" s="154" t="s">
        <v>46</v>
      </c>
      <c r="C476" s="154">
        <v>93358</v>
      </c>
      <c r="D476" s="148" t="s">
        <v>776</v>
      </c>
      <c r="E476" s="154" t="s">
        <v>17</v>
      </c>
      <c r="F476" s="146">
        <f>(4.3*5.2*2.8+3.7*5.2*0.97)*0.1</f>
        <v>8.1270799999999994</v>
      </c>
      <c r="G476" s="146">
        <v>65.819999999999993</v>
      </c>
      <c r="H476" s="146">
        <f>G476*(1+$L$16)</f>
        <v>81.73355697472833</v>
      </c>
      <c r="I476" s="313">
        <f>ROUND(F476*H476,2)</f>
        <v>664.26</v>
      </c>
      <c r="J476" s="251"/>
      <c r="K476" s="138"/>
      <c r="L476" s="138"/>
      <c r="M476" s="138"/>
      <c r="N476" s="25"/>
      <c r="O476" s="25"/>
      <c r="P476" s="25"/>
      <c r="Q476" s="26"/>
      <c r="R476" s="25"/>
      <c r="S476" s="26"/>
      <c r="T476" s="26"/>
      <c r="U476" s="26"/>
      <c r="V476" s="26"/>
    </row>
    <row r="477" spans="1:63" s="128" customFormat="1" ht="28.5" x14ac:dyDescent="0.2">
      <c r="A477" s="320" t="s">
        <v>1126</v>
      </c>
      <c r="B477" s="154" t="s">
        <v>46</v>
      </c>
      <c r="C477" s="154">
        <v>93382</v>
      </c>
      <c r="D477" s="148" t="s">
        <v>705</v>
      </c>
      <c r="E477" s="154" t="s">
        <v>17</v>
      </c>
      <c r="F477" s="146">
        <f>F475+F476-K474</f>
        <v>43.32200000000001</v>
      </c>
      <c r="G477" s="146">
        <v>23.98</v>
      </c>
      <c r="H477" s="146">
        <f>G477*(1+$L$16)</f>
        <v>29.777737712761862</v>
      </c>
      <c r="I477" s="313">
        <f>ROUND(F477*H477,2)</f>
        <v>1290.03</v>
      </c>
      <c r="J477" s="251"/>
      <c r="K477" s="138"/>
      <c r="L477" s="138"/>
      <c r="M477" s="138"/>
      <c r="N477" s="25"/>
      <c r="O477" s="25"/>
      <c r="P477" s="25"/>
      <c r="Q477" s="26"/>
      <c r="R477" s="25"/>
      <c r="S477" s="26"/>
      <c r="T477" s="26"/>
      <c r="U477" s="26"/>
      <c r="V477" s="26"/>
    </row>
    <row r="478" spans="1:63" s="26" customFormat="1" ht="28.5" x14ac:dyDescent="0.2">
      <c r="A478" s="320" t="s">
        <v>1127</v>
      </c>
      <c r="B478" s="154" t="s">
        <v>46</v>
      </c>
      <c r="C478" s="154">
        <v>72898</v>
      </c>
      <c r="D478" s="148" t="s">
        <v>743</v>
      </c>
      <c r="E478" s="154" t="s">
        <v>17</v>
      </c>
      <c r="F478" s="146">
        <f>F475+F476-F477</f>
        <v>37.948799999999999</v>
      </c>
      <c r="G478" s="146">
        <v>3.57</v>
      </c>
      <c r="H478" s="146">
        <f t="shared" ref="H478:H481" si="155">ROUND((1+$L$16)*G478,2)</f>
        <v>4.43</v>
      </c>
      <c r="I478" s="313">
        <f>ROUND(F478*H478,2)</f>
        <v>168.11</v>
      </c>
      <c r="J478" s="262"/>
      <c r="K478" s="25" t="s">
        <v>1185</v>
      </c>
      <c r="L478" s="132">
        <v>21583.700000000004</v>
      </c>
      <c r="M478" s="25"/>
      <c r="N478" s="25">
        <v>170</v>
      </c>
      <c r="O478" s="25"/>
      <c r="P478" s="25"/>
      <c r="R478" s="25"/>
    </row>
    <row r="479" spans="1:63" s="128" customFormat="1" ht="28.5" x14ac:dyDescent="0.2">
      <c r="A479" s="320" t="s">
        <v>1128</v>
      </c>
      <c r="B479" s="154" t="s">
        <v>46</v>
      </c>
      <c r="C479" s="154">
        <v>72885</v>
      </c>
      <c r="D479" s="148" t="s">
        <v>334</v>
      </c>
      <c r="E479" s="154" t="s">
        <v>698</v>
      </c>
      <c r="F479" s="146">
        <f>F478*5</f>
        <v>189.744</v>
      </c>
      <c r="G479" s="146">
        <v>1.36</v>
      </c>
      <c r="H479" s="146">
        <f t="shared" si="155"/>
        <v>1.69</v>
      </c>
      <c r="I479" s="313">
        <f t="shared" ref="I479:I481" si="156">ROUND(F479*H479,2)</f>
        <v>320.67</v>
      </c>
      <c r="J479" s="251"/>
      <c r="K479" s="138"/>
      <c r="L479" s="138"/>
      <c r="M479" s="138"/>
      <c r="N479" s="25"/>
      <c r="O479" s="25"/>
      <c r="P479" s="25"/>
      <c r="Q479" s="26"/>
      <c r="R479" s="25"/>
      <c r="S479" s="26"/>
      <c r="T479" s="26"/>
      <c r="U479" s="26"/>
      <c r="V479" s="26"/>
    </row>
    <row r="480" spans="1:63" s="26" customFormat="1" ht="30" customHeight="1" x14ac:dyDescent="0.2">
      <c r="A480" s="320" t="s">
        <v>1129</v>
      </c>
      <c r="B480" s="154" t="s">
        <v>46</v>
      </c>
      <c r="C480" s="154" t="s">
        <v>58</v>
      </c>
      <c r="D480" s="148" t="s">
        <v>699</v>
      </c>
      <c r="E480" s="154" t="s">
        <v>17</v>
      </c>
      <c r="F480" s="146">
        <f>F478</f>
        <v>37.948799999999999</v>
      </c>
      <c r="G480" s="146">
        <v>1.94</v>
      </c>
      <c r="H480" s="146">
        <f t="shared" si="155"/>
        <v>2.41</v>
      </c>
      <c r="I480" s="313">
        <f t="shared" si="156"/>
        <v>91.46</v>
      </c>
      <c r="J480" s="251"/>
      <c r="K480" s="25"/>
      <c r="L480" s="133"/>
      <c r="M480" s="25"/>
      <c r="N480" s="25"/>
      <c r="O480" s="25"/>
      <c r="P480" s="25"/>
      <c r="R480" s="25"/>
    </row>
    <row r="481" spans="1:22" s="26" customFormat="1" ht="43.5" thickBot="1" x14ac:dyDescent="0.25">
      <c r="A481" s="920" t="s">
        <v>1130</v>
      </c>
      <c r="B481" s="913" t="s">
        <v>336</v>
      </c>
      <c r="C481" s="913" t="str">
        <f>COMPOSIÇÕES!C425</f>
        <v>CE-034</v>
      </c>
      <c r="D481" s="584" t="str">
        <f>COMPOSIÇÕES!D425</f>
        <v xml:space="preserve">CRAVAMENTO DE ESTACAS PRÉ-MOLDADA DE CONCRETO, SEÇÃO QUADRADA, CAPACIDADE DE 25 TONELADAS, COMPRIMENTO TOTAL CRAVADO ATÉ 6,00M, BATE-ESTACAS POR GRAVIDADE SOBRE ROLOS </v>
      </c>
      <c r="E481" s="586" t="s">
        <v>19</v>
      </c>
      <c r="F481" s="585">
        <v>1</v>
      </c>
      <c r="G481" s="585">
        <f>COMPOSIÇÕES!I425</f>
        <v>5008.24</v>
      </c>
      <c r="H481" s="585">
        <f t="shared" si="155"/>
        <v>6219.1</v>
      </c>
      <c r="I481" s="915">
        <f t="shared" si="156"/>
        <v>6219.1</v>
      </c>
      <c r="J481" s="251"/>
      <c r="K481" s="25"/>
      <c r="L481" s="133"/>
      <c r="M481" s="25"/>
      <c r="N481" s="25"/>
      <c r="O481" s="25"/>
      <c r="P481" s="25"/>
      <c r="R481" s="25"/>
    </row>
    <row r="482" spans="1:22" s="26" customFormat="1" ht="28.5" x14ac:dyDescent="0.2">
      <c r="A482" s="918" t="s">
        <v>1131</v>
      </c>
      <c r="B482" s="899" t="s">
        <v>46</v>
      </c>
      <c r="C482" s="910">
        <v>95241</v>
      </c>
      <c r="D482" s="931" t="s">
        <v>706</v>
      </c>
      <c r="E482" s="899" t="s">
        <v>16</v>
      </c>
      <c r="F482" s="901">
        <f>3.2*6</f>
        <v>19.200000000000003</v>
      </c>
      <c r="G482" s="901">
        <v>19.88</v>
      </c>
      <c r="H482" s="901">
        <f>G482*(1+$L$16)</f>
        <v>24.686464792731684</v>
      </c>
      <c r="I482" s="919">
        <f>ROUND(F482*H482,2)</f>
        <v>473.98</v>
      </c>
      <c r="J482" s="251"/>
      <c r="K482" s="25"/>
      <c r="L482" s="133"/>
      <c r="M482" s="25"/>
      <c r="N482" s="25"/>
      <c r="O482" s="25"/>
      <c r="P482" s="25"/>
      <c r="R482" s="25"/>
    </row>
    <row r="483" spans="1:22" s="336" customFormat="1" ht="57" x14ac:dyDescent="0.2">
      <c r="A483" s="320" t="s">
        <v>1132</v>
      </c>
      <c r="B483" s="226" t="s">
        <v>46</v>
      </c>
      <c r="C483" s="226">
        <v>92417</v>
      </c>
      <c r="D483" s="148" t="s">
        <v>1351</v>
      </c>
      <c r="E483" s="226" t="s">
        <v>16</v>
      </c>
      <c r="F483" s="146">
        <f>153.8-F484</f>
        <v>77</v>
      </c>
      <c r="G483" s="146">
        <v>96.25</v>
      </c>
      <c r="H483" s="146">
        <f>ROUND((1+$L$16)*G483,2)</f>
        <v>119.52</v>
      </c>
      <c r="I483" s="571">
        <f>ROUND(F483*H483,2)</f>
        <v>9203.0400000000009</v>
      </c>
      <c r="J483" s="335"/>
      <c r="K483" s="335"/>
      <c r="L483" s="335"/>
      <c r="M483" s="335"/>
      <c r="N483" s="335"/>
      <c r="O483" s="335"/>
    </row>
    <row r="484" spans="1:22" s="336" customFormat="1" ht="42.75" x14ac:dyDescent="0.2">
      <c r="A484" s="320" t="s">
        <v>1480</v>
      </c>
      <c r="B484" s="226" t="s">
        <v>46</v>
      </c>
      <c r="C484" s="226">
        <v>92508</v>
      </c>
      <c r="D484" s="148" t="s">
        <v>1355</v>
      </c>
      <c r="E484" s="226" t="s">
        <v>16</v>
      </c>
      <c r="F484" s="146">
        <f>6.4*12</f>
        <v>76.800000000000011</v>
      </c>
      <c r="G484" s="146">
        <v>44.92</v>
      </c>
      <c r="H484" s="146">
        <f>ROUND((1+$L$16)*G484,2)</f>
        <v>55.78</v>
      </c>
      <c r="I484" s="571">
        <f>ROUND(F484*H484,2)</f>
        <v>4283.8999999999996</v>
      </c>
      <c r="J484" s="335"/>
      <c r="K484" s="335"/>
      <c r="L484" s="335"/>
      <c r="M484" s="335"/>
      <c r="N484" s="335"/>
      <c r="O484" s="335"/>
    </row>
    <row r="485" spans="1:22" s="336" customFormat="1" x14ac:dyDescent="0.2">
      <c r="A485" s="320" t="s">
        <v>1481</v>
      </c>
      <c r="B485" s="226" t="s">
        <v>46</v>
      </c>
      <c r="C485" s="226">
        <v>33</v>
      </c>
      <c r="D485" s="148" t="s">
        <v>772</v>
      </c>
      <c r="E485" s="226" t="s">
        <v>170</v>
      </c>
      <c r="F485" s="146">
        <v>186</v>
      </c>
      <c r="G485" s="146">
        <v>4.1900000000000004</v>
      </c>
      <c r="H485" s="146">
        <f>ROUND((1+$K$16)*G485,2)</f>
        <v>4.78</v>
      </c>
      <c r="I485" s="571">
        <f t="shared" ref="I485:I486" si="157">ROUND(F485*H485,2)</f>
        <v>889.08</v>
      </c>
      <c r="J485" s="335"/>
      <c r="K485" s="335"/>
      <c r="L485" s="335"/>
      <c r="M485" s="335"/>
      <c r="N485" s="335"/>
      <c r="O485" s="335"/>
    </row>
    <row r="486" spans="1:22" s="336" customFormat="1" x14ac:dyDescent="0.2">
      <c r="A486" s="320" t="s">
        <v>1133</v>
      </c>
      <c r="B486" s="226" t="s">
        <v>46</v>
      </c>
      <c r="C486" s="226">
        <v>34439</v>
      </c>
      <c r="D486" s="148" t="s">
        <v>771</v>
      </c>
      <c r="E486" s="226" t="s">
        <v>170</v>
      </c>
      <c r="F486" s="146">
        <v>1589</v>
      </c>
      <c r="G486" s="146">
        <v>4</v>
      </c>
      <c r="H486" s="146">
        <f>ROUND((1+$K$16)*G486,2)</f>
        <v>4.5599999999999996</v>
      </c>
      <c r="I486" s="571">
        <f t="shared" si="157"/>
        <v>7245.84</v>
      </c>
      <c r="J486" s="335"/>
      <c r="K486" s="335"/>
      <c r="L486" s="335"/>
      <c r="M486" s="335"/>
      <c r="N486" s="335"/>
      <c r="O486" s="335"/>
    </row>
    <row r="487" spans="1:22" s="26" customFormat="1" ht="28.5" x14ac:dyDescent="0.2">
      <c r="A487" s="320" t="s">
        <v>1134</v>
      </c>
      <c r="B487" s="226" t="s">
        <v>46</v>
      </c>
      <c r="C487" s="226">
        <v>94967</v>
      </c>
      <c r="D487" s="147" t="s">
        <v>1320</v>
      </c>
      <c r="E487" s="154" t="s">
        <v>17</v>
      </c>
      <c r="F487" s="146">
        <v>20.5</v>
      </c>
      <c r="G487" s="146">
        <v>331.4</v>
      </c>
      <c r="H487" s="146">
        <f>ROUND((1+$L$16)*G487,2)</f>
        <v>411.52</v>
      </c>
      <c r="I487" s="571">
        <f>ROUND(F487*H487,2)</f>
        <v>8436.16</v>
      </c>
      <c r="J487" s="262"/>
      <c r="K487" s="25"/>
      <c r="L487" s="132"/>
      <c r="M487" s="25"/>
      <c r="N487" s="25"/>
      <c r="O487" s="25"/>
      <c r="P487" s="25"/>
      <c r="R487" s="25"/>
    </row>
    <row r="488" spans="1:22" s="26" customFormat="1" ht="30" customHeight="1" x14ac:dyDescent="0.2">
      <c r="A488" s="320" t="s">
        <v>1135</v>
      </c>
      <c r="B488" s="154" t="s">
        <v>46</v>
      </c>
      <c r="C488" s="154">
        <v>92874</v>
      </c>
      <c r="D488" s="148" t="s">
        <v>773</v>
      </c>
      <c r="E488" s="154" t="s">
        <v>17</v>
      </c>
      <c r="F488" s="146">
        <f>F487</f>
        <v>20.5</v>
      </c>
      <c r="G488" s="146">
        <v>27.56</v>
      </c>
      <c r="H488" s="146">
        <f t="shared" ref="H488" si="158">G488*(1+$L$16)</f>
        <v>34.223288213666258</v>
      </c>
      <c r="I488" s="313">
        <f t="shared" ref="I488" si="159">ROUND(F488*H488,2)</f>
        <v>701.58</v>
      </c>
      <c r="J488" s="251"/>
      <c r="K488" s="25"/>
      <c r="L488" s="133"/>
      <c r="M488" s="25"/>
      <c r="N488" s="25"/>
      <c r="O488" s="25"/>
      <c r="P488" s="25"/>
      <c r="R488" s="25"/>
    </row>
    <row r="489" spans="1:22" s="26" customFormat="1" ht="42.75" x14ac:dyDescent="0.2">
      <c r="A489" s="320" t="s">
        <v>1482</v>
      </c>
      <c r="B489" s="154" t="s">
        <v>46</v>
      </c>
      <c r="C489" s="154" t="s">
        <v>377</v>
      </c>
      <c r="D489" s="148" t="s">
        <v>378</v>
      </c>
      <c r="E489" s="154" t="s">
        <v>16</v>
      </c>
      <c r="F489" s="146">
        <f>2.8*2.5+(2.8*2+2.5*2)*1.25+2.9*2.8+(2.9*2+2.8*2)*3.08</f>
        <v>63.481999999999992</v>
      </c>
      <c r="G489" s="146">
        <v>31.05</v>
      </c>
      <c r="H489" s="146">
        <f>G489*(1+$L$16)</f>
        <v>38.557079065106578</v>
      </c>
      <c r="I489" s="313">
        <f t="shared" ref="I489:I494" si="160">ROUND(F489*H489,2)</f>
        <v>2447.6799999999998</v>
      </c>
      <c r="J489" s="262"/>
      <c r="K489" s="25"/>
      <c r="L489" s="132"/>
      <c r="M489" s="25"/>
      <c r="N489" s="25"/>
      <c r="O489" s="25"/>
      <c r="P489" s="25"/>
      <c r="R489" s="25"/>
    </row>
    <row r="490" spans="1:22" s="26" customFormat="1" ht="28.5" x14ac:dyDescent="0.2">
      <c r="A490" s="320" t="s">
        <v>1136</v>
      </c>
      <c r="B490" s="226" t="s">
        <v>46</v>
      </c>
      <c r="C490" s="226">
        <v>73661</v>
      </c>
      <c r="D490" s="147" t="s">
        <v>337</v>
      </c>
      <c r="E490" s="226" t="s">
        <v>19</v>
      </c>
      <c r="F490" s="146">
        <v>1</v>
      </c>
      <c r="G490" s="146">
        <v>1752.73</v>
      </c>
      <c r="H490" s="146">
        <f>G490*(1+$L$16)</f>
        <v>2176.4943378352418</v>
      </c>
      <c r="I490" s="313">
        <f t="shared" si="160"/>
        <v>2176.4899999999998</v>
      </c>
      <c r="J490" s="262"/>
      <c r="K490" s="25"/>
      <c r="L490" s="132"/>
      <c r="M490" s="25"/>
      <c r="N490" s="25"/>
      <c r="O490" s="25"/>
      <c r="P490" s="25"/>
      <c r="R490" s="25"/>
    </row>
    <row r="491" spans="1:22" s="26" customFormat="1" ht="28.5" x14ac:dyDescent="0.2">
      <c r="A491" s="320" t="s">
        <v>1137</v>
      </c>
      <c r="B491" s="226" t="s">
        <v>336</v>
      </c>
      <c r="C491" s="226" t="str">
        <f>COMPOSIÇÕES!C433</f>
        <v>CE-035</v>
      </c>
      <c r="D491" s="147" t="str">
        <f>COMPOSIÇÕES!D433</f>
        <v>PÓRTICO PARA RETIRADA DAS BOMBAS EM PERFIS METÁLICOS, CONFORME PROJETO- (ELEVATÓRIA RECIRCULAÇÃO)</v>
      </c>
      <c r="E491" s="226" t="s">
        <v>19</v>
      </c>
      <c r="F491" s="146">
        <v>1</v>
      </c>
      <c r="G491" s="146">
        <f>COMPOSIÇÕES!I433</f>
        <v>6478.87</v>
      </c>
      <c r="H491" s="146">
        <f>G491*(1+$L$16)</f>
        <v>8045.2915569258312</v>
      </c>
      <c r="I491" s="313">
        <f t="shared" si="160"/>
        <v>8045.29</v>
      </c>
      <c r="J491" s="262"/>
      <c r="K491" s="25"/>
      <c r="L491" s="132"/>
      <c r="M491" s="25"/>
      <c r="N491" s="25"/>
      <c r="O491" s="25"/>
      <c r="P491" s="25"/>
      <c r="R491" s="25"/>
    </row>
    <row r="492" spans="1:22" s="26" customFormat="1" ht="28.5" x14ac:dyDescent="0.2">
      <c r="A492" s="320" t="s">
        <v>1483</v>
      </c>
      <c r="B492" s="226" t="s">
        <v>336</v>
      </c>
      <c r="C492" s="226" t="str">
        <f>COMPOSIÇÕES!C440</f>
        <v>CE-036</v>
      </c>
      <c r="D492" s="147" t="str">
        <f>COMPOSIÇÕES!D440</f>
        <v>FORNECIMENTO E INSTALAÇÃO DA TAMPA  EM  CHAPA DE ALUMÍNIO, NAS DIMENSÕES (130X90)CM</v>
      </c>
      <c r="E492" s="226" t="s">
        <v>19</v>
      </c>
      <c r="F492" s="146">
        <v>4</v>
      </c>
      <c r="G492" s="146">
        <f>COMPOSIÇÕES!I440</f>
        <v>488.22</v>
      </c>
      <c r="H492" s="146">
        <f>G492*(1+$L$16)</f>
        <v>606.25884512612993</v>
      </c>
      <c r="I492" s="313">
        <f t="shared" si="160"/>
        <v>2425.04</v>
      </c>
      <c r="J492" s="262"/>
      <c r="K492" s="25"/>
      <c r="L492" s="132"/>
      <c r="M492" s="25"/>
      <c r="N492" s="25"/>
      <c r="O492" s="25"/>
      <c r="P492" s="25"/>
      <c r="R492" s="25"/>
    </row>
    <row r="493" spans="1:22" s="26" customFormat="1" x14ac:dyDescent="0.2">
      <c r="A493" s="320" t="s">
        <v>1484</v>
      </c>
      <c r="B493" s="226" t="s">
        <v>46</v>
      </c>
      <c r="C493" s="226" t="s">
        <v>400</v>
      </c>
      <c r="D493" s="147" t="s">
        <v>401</v>
      </c>
      <c r="E493" s="226" t="s">
        <v>19</v>
      </c>
      <c r="F493" s="146">
        <v>2</v>
      </c>
      <c r="G493" s="146">
        <v>199.94</v>
      </c>
      <c r="H493" s="146">
        <f>G493*(1+$L$16)</f>
        <v>248.28027015386181</v>
      </c>
      <c r="I493" s="313">
        <f t="shared" si="160"/>
        <v>496.56</v>
      </c>
      <c r="J493" s="251"/>
      <c r="K493" s="25"/>
      <c r="L493" s="133"/>
      <c r="M493" s="25"/>
      <c r="N493" s="25"/>
      <c r="O493" s="25"/>
      <c r="P493" s="25"/>
      <c r="R493" s="25"/>
    </row>
    <row r="494" spans="1:22" s="128" customFormat="1" ht="28.5" x14ac:dyDescent="0.2">
      <c r="A494" s="320" t="s">
        <v>1485</v>
      </c>
      <c r="B494" s="154" t="s">
        <v>66</v>
      </c>
      <c r="C494" s="154"/>
      <c r="D494" s="148" t="s">
        <v>1389</v>
      </c>
      <c r="E494" s="154" t="s">
        <v>19</v>
      </c>
      <c r="F494" s="146">
        <v>2</v>
      </c>
      <c r="G494" s="146">
        <f>12690*1.05</f>
        <v>13324.5</v>
      </c>
      <c r="H494" s="146">
        <f>G494*(1+$K$16)</f>
        <v>15192.015930350553</v>
      </c>
      <c r="I494" s="571">
        <f t="shared" si="160"/>
        <v>30384.03</v>
      </c>
      <c r="J494" s="251"/>
      <c r="K494" s="138"/>
      <c r="L494" s="138"/>
      <c r="M494" s="138"/>
      <c r="N494" s="25"/>
      <c r="O494" s="25"/>
      <c r="P494" s="25"/>
      <c r="Q494" s="26"/>
      <c r="R494" s="25"/>
      <c r="S494" s="26"/>
      <c r="T494" s="26"/>
      <c r="U494" s="26"/>
      <c r="V494" s="26"/>
    </row>
    <row r="495" spans="1:22" s="336" customFormat="1" x14ac:dyDescent="0.2">
      <c r="A495" s="320" t="s">
        <v>1486</v>
      </c>
      <c r="B495" s="323" t="s">
        <v>336</v>
      </c>
      <c r="C495" s="323" t="str">
        <f>COMPOSIÇÕES!C446</f>
        <v>CE-037</v>
      </c>
      <c r="D495" s="148" t="str">
        <f>COMPOSIÇÕES!D446</f>
        <v>ABRIGO PARA OS QCM'S DA ELEVATÓRIA DE RECIRCULAÇÃO</v>
      </c>
      <c r="E495" s="154" t="s">
        <v>19</v>
      </c>
      <c r="F495" s="146">
        <v>1</v>
      </c>
      <c r="G495" s="146">
        <f>COMPOSIÇÕES!I446</f>
        <v>27498.780000000006</v>
      </c>
      <c r="H495" s="146">
        <f t="shared" ref="H495" si="161">ROUND((1+$L$16)*G495,2)</f>
        <v>34147.269999999997</v>
      </c>
      <c r="I495" s="571">
        <f t="shared" ref="I495" si="162">ROUND(F495*H495,2)</f>
        <v>34147.269999999997</v>
      </c>
      <c r="J495" s="335"/>
      <c r="K495" s="335"/>
      <c r="L495" s="335"/>
      <c r="M495" s="335"/>
      <c r="N495" s="335"/>
      <c r="O495" s="335"/>
    </row>
    <row r="496" spans="1:22" s="128" customFormat="1" ht="28.5" x14ac:dyDescent="0.2">
      <c r="A496" s="320" t="s">
        <v>1487</v>
      </c>
      <c r="B496" s="154" t="s">
        <v>336</v>
      </c>
      <c r="C496" s="154" t="str">
        <f>COMPOSIÇÕES!C479</f>
        <v>CE-038</v>
      </c>
      <c r="D496" s="147" t="s">
        <v>1583</v>
      </c>
      <c r="E496" s="154" t="s">
        <v>20</v>
      </c>
      <c r="F496" s="146">
        <v>1</v>
      </c>
      <c r="G496" s="146">
        <f>COMPOSIÇÕES!I479</f>
        <v>18897.900000000001</v>
      </c>
      <c r="H496" s="146">
        <f>G496*(1+$L$16)</f>
        <v>23466.918662302018</v>
      </c>
      <c r="I496" s="313">
        <f>ROUND(F496*H496,2)</f>
        <v>23466.92</v>
      </c>
      <c r="J496" s="251"/>
      <c r="K496" s="138"/>
      <c r="L496" s="138"/>
      <c r="M496" s="138"/>
      <c r="N496" s="25"/>
      <c r="O496" s="25"/>
      <c r="P496" s="25"/>
      <c r="Q496" s="26"/>
      <c r="R496" s="25"/>
      <c r="S496" s="26"/>
      <c r="T496" s="26"/>
      <c r="U496" s="26"/>
      <c r="V496" s="26"/>
    </row>
    <row r="497" spans="1:63" s="127" customFormat="1" x14ac:dyDescent="0.2">
      <c r="A497" s="295"/>
      <c r="B497" s="150"/>
      <c r="C497" s="150"/>
      <c r="D497" s="149"/>
      <c r="E497" s="150"/>
      <c r="F497" s="151"/>
      <c r="G497" s="151"/>
      <c r="H497" s="151"/>
      <c r="I497" s="152"/>
      <c r="J497" s="142"/>
      <c r="K497" s="138"/>
      <c r="L497" s="138"/>
      <c r="M497" s="138"/>
      <c r="N497" s="25"/>
      <c r="O497" s="25"/>
      <c r="P497" s="25"/>
      <c r="Q497" s="26"/>
      <c r="R497" s="25"/>
      <c r="S497" s="26"/>
      <c r="T497" s="26"/>
      <c r="U497" s="26"/>
      <c r="V497" s="26"/>
      <c r="W497" s="128"/>
      <c r="X497" s="128"/>
      <c r="Y497" s="128"/>
      <c r="Z497" s="128"/>
      <c r="AA497" s="128"/>
      <c r="AB497" s="128"/>
      <c r="AC497" s="128"/>
      <c r="AD497" s="128"/>
      <c r="AE497" s="128"/>
      <c r="AF497" s="128"/>
      <c r="AG497" s="128"/>
      <c r="AH497" s="128"/>
      <c r="AI497" s="128"/>
      <c r="AJ497" s="128"/>
      <c r="AK497" s="128"/>
      <c r="AL497" s="128"/>
      <c r="AM497" s="128"/>
      <c r="AN497" s="128"/>
      <c r="AO497" s="128"/>
      <c r="AP497" s="128"/>
      <c r="AQ497" s="128"/>
      <c r="AR497" s="128"/>
      <c r="AS497" s="128"/>
      <c r="AT497" s="128"/>
      <c r="AU497" s="128"/>
      <c r="AV497" s="128"/>
      <c r="AW497" s="128"/>
      <c r="AX497" s="128"/>
      <c r="AY497" s="128"/>
      <c r="AZ497" s="128"/>
      <c r="BA497" s="128"/>
      <c r="BB497" s="128"/>
      <c r="BC497" s="128"/>
      <c r="BD497" s="128"/>
      <c r="BE497" s="128"/>
      <c r="BF497" s="128"/>
      <c r="BG497" s="128"/>
      <c r="BH497" s="128"/>
      <c r="BI497" s="128"/>
      <c r="BJ497" s="128"/>
      <c r="BK497" s="128"/>
    </row>
    <row r="498" spans="1:63" s="26" customFormat="1" ht="15" customHeight="1" x14ac:dyDescent="0.2">
      <c r="A498" s="563" t="s">
        <v>325</v>
      </c>
      <c r="B498" s="564"/>
      <c r="C498" s="564"/>
      <c r="D498" s="565" t="s">
        <v>1387</v>
      </c>
      <c r="E498" s="564"/>
      <c r="F498" s="566"/>
      <c r="G498" s="567"/>
      <c r="H498" s="568"/>
      <c r="I498" s="569">
        <f>SUM(I499:I519)</f>
        <v>255813.43</v>
      </c>
      <c r="J498" s="262"/>
      <c r="K498" s="25"/>
      <c r="L498" s="132"/>
      <c r="M498" s="25"/>
      <c r="N498" s="25"/>
      <c r="O498" s="25"/>
      <c r="P498" s="25"/>
      <c r="R498" s="25"/>
    </row>
    <row r="499" spans="1:63" s="26" customFormat="1" ht="29.25" customHeight="1" x14ac:dyDescent="0.2">
      <c r="A499" s="320" t="s">
        <v>1138</v>
      </c>
      <c r="B499" s="154" t="s">
        <v>46</v>
      </c>
      <c r="C499" s="226" t="s">
        <v>703</v>
      </c>
      <c r="D499" s="147" t="s">
        <v>704</v>
      </c>
      <c r="E499" s="154" t="s">
        <v>16</v>
      </c>
      <c r="F499" s="146">
        <f>6.8*8</f>
        <v>54.4</v>
      </c>
      <c r="G499" s="146">
        <v>8.3000000000000007</v>
      </c>
      <c r="H499" s="146">
        <f>G499*(1+$L$16)</f>
        <v>10.306723228353773</v>
      </c>
      <c r="I499" s="313">
        <f>ROUND(F499*H499,2)</f>
        <v>560.69000000000005</v>
      </c>
      <c r="J499" s="251"/>
      <c r="K499" s="146">
        <f>4*2.8*2.8+1.6*1.6*2.37</f>
        <v>37.427199999999999</v>
      </c>
      <c r="L499" s="133" t="s">
        <v>583</v>
      </c>
      <c r="M499" s="25"/>
      <c r="N499" s="25"/>
      <c r="O499" s="25"/>
      <c r="P499" s="25"/>
      <c r="R499" s="25"/>
    </row>
    <row r="500" spans="1:63" s="26" customFormat="1" ht="28.5" x14ac:dyDescent="0.2">
      <c r="A500" s="320" t="s">
        <v>1139</v>
      </c>
      <c r="B500" s="226" t="s">
        <v>46</v>
      </c>
      <c r="C500" s="154">
        <v>83338</v>
      </c>
      <c r="D500" s="148" t="s">
        <v>768</v>
      </c>
      <c r="E500" s="226" t="s">
        <v>17</v>
      </c>
      <c r="F500" s="146">
        <f>(4.8*6*2.8+2.6*2.6*2.37)*0.9</f>
        <v>86.995080000000002</v>
      </c>
      <c r="G500" s="146">
        <v>2.41</v>
      </c>
      <c r="H500" s="146">
        <f>G500*(1+$L$16)</f>
        <v>2.9926750578713963</v>
      </c>
      <c r="I500" s="313">
        <f>ROUND(F500*H500,2)</f>
        <v>260.35000000000002</v>
      </c>
      <c r="J500" s="251"/>
      <c r="K500" s="25"/>
      <c r="L500" s="133"/>
      <c r="M500" s="25"/>
      <c r="N500" s="25"/>
      <c r="O500" s="25"/>
      <c r="P500" s="25"/>
      <c r="R500" s="25"/>
    </row>
    <row r="501" spans="1:63" s="128" customFormat="1" ht="15" thickBot="1" x14ac:dyDescent="0.25">
      <c r="A501" s="920" t="s">
        <v>1391</v>
      </c>
      <c r="B501" s="913" t="s">
        <v>46</v>
      </c>
      <c r="C501" s="913">
        <v>93358</v>
      </c>
      <c r="D501" s="584" t="s">
        <v>776</v>
      </c>
      <c r="E501" s="913" t="s">
        <v>17</v>
      </c>
      <c r="F501" s="585">
        <f>(4.8*6*2.8+2.6*2.6*2.37)*0.1</f>
        <v>9.6661199999999994</v>
      </c>
      <c r="G501" s="585">
        <v>65.819999999999993</v>
      </c>
      <c r="H501" s="585">
        <f>G501*(1+$L$16)</f>
        <v>81.73355697472833</v>
      </c>
      <c r="I501" s="915">
        <f>ROUND(F501*H501,2)</f>
        <v>790.05</v>
      </c>
      <c r="J501" s="251"/>
      <c r="K501" s="138"/>
      <c r="L501" s="138"/>
      <c r="M501" s="138"/>
      <c r="N501" s="25"/>
      <c r="O501" s="25"/>
      <c r="P501" s="25"/>
      <c r="Q501" s="26"/>
      <c r="R501" s="25"/>
      <c r="S501" s="26"/>
      <c r="T501" s="26"/>
      <c r="U501" s="26"/>
      <c r="V501" s="26"/>
    </row>
    <row r="502" spans="1:63" s="128" customFormat="1" ht="28.5" x14ac:dyDescent="0.2">
      <c r="A502" s="918" t="s">
        <v>1488</v>
      </c>
      <c r="B502" s="899" t="s">
        <v>46</v>
      </c>
      <c r="C502" s="899">
        <v>93382</v>
      </c>
      <c r="D502" s="900" t="s">
        <v>705</v>
      </c>
      <c r="E502" s="899" t="s">
        <v>17</v>
      </c>
      <c r="F502" s="901">
        <f>F500+F501-K499</f>
        <v>59.234000000000009</v>
      </c>
      <c r="G502" s="901">
        <v>23.98</v>
      </c>
      <c r="H502" s="901">
        <f>G502*(1+$L$16)</f>
        <v>29.777737712761862</v>
      </c>
      <c r="I502" s="919">
        <f>ROUND(F502*H502,2)</f>
        <v>1763.85</v>
      </c>
      <c r="J502" s="251"/>
      <c r="K502" s="138"/>
      <c r="L502" s="138"/>
      <c r="M502" s="138"/>
      <c r="N502" s="25"/>
      <c r="O502" s="25"/>
      <c r="P502" s="25"/>
      <c r="Q502" s="26"/>
      <c r="R502" s="25"/>
      <c r="S502" s="26"/>
      <c r="T502" s="26"/>
      <c r="U502" s="26"/>
      <c r="V502" s="26"/>
    </row>
    <row r="503" spans="1:63" s="26" customFormat="1" ht="28.5" x14ac:dyDescent="0.2">
      <c r="A503" s="320" t="s">
        <v>1489</v>
      </c>
      <c r="B503" s="154" t="s">
        <v>46</v>
      </c>
      <c r="C503" s="154">
        <v>72898</v>
      </c>
      <c r="D503" s="148" t="s">
        <v>743</v>
      </c>
      <c r="E503" s="154" t="s">
        <v>17</v>
      </c>
      <c r="F503" s="146">
        <f>F500+F501-F502</f>
        <v>37.427199999999999</v>
      </c>
      <c r="G503" s="146">
        <v>3.57</v>
      </c>
      <c r="H503" s="146">
        <f t="shared" ref="H503:H505" si="163">ROUND((1+$L$16)*G503,2)</f>
        <v>4.43</v>
      </c>
      <c r="I503" s="313">
        <f>ROUND(F503*H503,2)</f>
        <v>165.8</v>
      </c>
      <c r="J503" s="262"/>
      <c r="K503" s="25" t="s">
        <v>1185</v>
      </c>
      <c r="L503" s="132">
        <v>21583.700000000004</v>
      </c>
      <c r="M503" s="25"/>
      <c r="N503" s="25">
        <v>170</v>
      </c>
      <c r="O503" s="25"/>
      <c r="P503" s="25"/>
      <c r="R503" s="25"/>
    </row>
    <row r="504" spans="1:63" s="128" customFormat="1" ht="28.5" x14ac:dyDescent="0.2">
      <c r="A504" s="320" t="s">
        <v>1490</v>
      </c>
      <c r="B504" s="154" t="s">
        <v>46</v>
      </c>
      <c r="C504" s="154">
        <v>72885</v>
      </c>
      <c r="D504" s="148" t="s">
        <v>334</v>
      </c>
      <c r="E504" s="154" t="s">
        <v>698</v>
      </c>
      <c r="F504" s="146">
        <f>F503*5</f>
        <v>187.136</v>
      </c>
      <c r="G504" s="146">
        <v>1.36</v>
      </c>
      <c r="H504" s="146">
        <f t="shared" si="163"/>
        <v>1.69</v>
      </c>
      <c r="I504" s="313">
        <f t="shared" ref="I504:I505" si="164">ROUND(F504*H504,2)</f>
        <v>316.26</v>
      </c>
      <c r="J504" s="251"/>
      <c r="K504" s="138"/>
      <c r="L504" s="138"/>
      <c r="M504" s="138"/>
      <c r="N504" s="25"/>
      <c r="O504" s="25"/>
      <c r="P504" s="25"/>
      <c r="Q504" s="26"/>
      <c r="R504" s="25"/>
      <c r="S504" s="26"/>
      <c r="T504" s="26"/>
      <c r="U504" s="26"/>
      <c r="V504" s="26"/>
    </row>
    <row r="505" spans="1:63" s="26" customFormat="1" ht="30" customHeight="1" x14ac:dyDescent="0.2">
      <c r="A505" s="320" t="s">
        <v>1140</v>
      </c>
      <c r="B505" s="154" t="s">
        <v>46</v>
      </c>
      <c r="C505" s="154" t="s">
        <v>58</v>
      </c>
      <c r="D505" s="148" t="s">
        <v>699</v>
      </c>
      <c r="E505" s="154" t="s">
        <v>17</v>
      </c>
      <c r="F505" s="146">
        <f>F503</f>
        <v>37.427199999999999</v>
      </c>
      <c r="G505" s="146">
        <v>1.94</v>
      </c>
      <c r="H505" s="146">
        <f t="shared" si="163"/>
        <v>2.41</v>
      </c>
      <c r="I505" s="313">
        <f t="shared" si="164"/>
        <v>90.2</v>
      </c>
      <c r="J505" s="251"/>
      <c r="K505" s="25"/>
      <c r="L505" s="133"/>
      <c r="M505" s="25"/>
      <c r="N505" s="25"/>
      <c r="O505" s="25"/>
      <c r="P505" s="25"/>
      <c r="R505" s="25"/>
    </row>
    <row r="506" spans="1:63" s="26" customFormat="1" ht="28.5" x14ac:dyDescent="0.2">
      <c r="A506" s="320" t="s">
        <v>1141</v>
      </c>
      <c r="B506" s="154" t="s">
        <v>46</v>
      </c>
      <c r="C506" s="226">
        <v>95241</v>
      </c>
      <c r="D506" s="147" t="s">
        <v>706</v>
      </c>
      <c r="E506" s="154" t="s">
        <v>16</v>
      </c>
      <c r="F506" s="146">
        <f>2.8*4+1.6*1.6</f>
        <v>13.76</v>
      </c>
      <c r="G506" s="146">
        <v>19.88</v>
      </c>
      <c r="H506" s="146">
        <f>G506*(1+$L$16)</f>
        <v>24.686464792731684</v>
      </c>
      <c r="I506" s="313">
        <f>ROUND(F506*H506,2)</f>
        <v>339.69</v>
      </c>
      <c r="J506" s="251"/>
      <c r="K506" s="25"/>
      <c r="L506" s="133"/>
      <c r="M506" s="25"/>
      <c r="N506" s="25"/>
      <c r="O506" s="25"/>
      <c r="P506" s="25"/>
      <c r="R506" s="25"/>
    </row>
    <row r="507" spans="1:63" s="26" customFormat="1" ht="42.75" x14ac:dyDescent="0.2">
      <c r="A507" s="320" t="s">
        <v>1142</v>
      </c>
      <c r="B507" s="154" t="s">
        <v>336</v>
      </c>
      <c r="C507" s="226" t="str">
        <f>COMPOSIÇÕES!C503</f>
        <v>CE-039</v>
      </c>
      <c r="D507" s="147" t="str">
        <f>COMPOSIÇÕES!D503</f>
        <v>CRAVAMENTO DE ESTACAS PRÉ-MOLDADA DE CONCRETO,  SEÇÃO QUADRADA, CAPACIDADE DE 50 TONELADAS, COMPRIMENTO TOTAL CRAVADO ATÉ 8,00M, BATE-ESTACAS POR GRAVIDADE SOBRE ROLOS</v>
      </c>
      <c r="E507" s="154" t="s">
        <v>19</v>
      </c>
      <c r="F507" s="146">
        <v>1</v>
      </c>
      <c r="G507" s="146">
        <f>COMPOSIÇÕES!I503</f>
        <v>4980.6400000000003</v>
      </c>
      <c r="H507" s="146">
        <f>G507*(1+$L$16)</f>
        <v>6184.8286722973407</v>
      </c>
      <c r="I507" s="313">
        <f>ROUND(F507*H507,2)</f>
        <v>6184.83</v>
      </c>
      <c r="J507" s="251"/>
      <c r="K507" s="25"/>
      <c r="L507" s="133"/>
      <c r="M507" s="25"/>
      <c r="N507" s="25"/>
      <c r="O507" s="25"/>
      <c r="P507" s="25"/>
      <c r="R507" s="25"/>
    </row>
    <row r="508" spans="1:63" s="336" customFormat="1" ht="57" x14ac:dyDescent="0.2">
      <c r="A508" s="320" t="s">
        <v>1143</v>
      </c>
      <c r="B508" s="226" t="s">
        <v>46</v>
      </c>
      <c r="C508" s="226">
        <v>92417</v>
      </c>
      <c r="D508" s="148" t="s">
        <v>1351</v>
      </c>
      <c r="E508" s="226" t="s">
        <v>16</v>
      </c>
      <c r="F508" s="146">
        <v>51.8</v>
      </c>
      <c r="G508" s="146">
        <v>96.25</v>
      </c>
      <c r="H508" s="146">
        <f>ROUND((1+$L$16)*G508,2)</f>
        <v>119.52</v>
      </c>
      <c r="I508" s="571">
        <f>ROUND(F508*H508,2)</f>
        <v>6191.14</v>
      </c>
      <c r="J508" s="335"/>
      <c r="K508" s="335"/>
      <c r="L508" s="335"/>
      <c r="M508" s="335"/>
      <c r="N508" s="335"/>
      <c r="O508" s="335"/>
    </row>
    <row r="509" spans="1:63" s="336" customFormat="1" x14ac:dyDescent="0.2">
      <c r="A509" s="320" t="s">
        <v>1144</v>
      </c>
      <c r="B509" s="226" t="s">
        <v>46</v>
      </c>
      <c r="C509" s="226">
        <v>33</v>
      </c>
      <c r="D509" s="148" t="s">
        <v>772</v>
      </c>
      <c r="E509" s="226" t="s">
        <v>170</v>
      </c>
      <c r="F509" s="146">
        <v>61</v>
      </c>
      <c r="G509" s="146">
        <v>4.1900000000000004</v>
      </c>
      <c r="H509" s="146">
        <f>ROUND((1+$K$16)*G509,2)</f>
        <v>4.78</v>
      </c>
      <c r="I509" s="571">
        <f t="shared" ref="I509:I510" si="165">ROUND(F509*H509,2)</f>
        <v>291.58</v>
      </c>
      <c r="J509" s="335"/>
      <c r="K509" s="335"/>
      <c r="L509" s="335"/>
      <c r="M509" s="335"/>
      <c r="N509" s="335"/>
      <c r="O509" s="335"/>
    </row>
    <row r="510" spans="1:63" s="336" customFormat="1" x14ac:dyDescent="0.2">
      <c r="A510" s="320" t="s">
        <v>1145</v>
      </c>
      <c r="B510" s="226" t="s">
        <v>46</v>
      </c>
      <c r="C510" s="226">
        <v>34439</v>
      </c>
      <c r="D510" s="148" t="s">
        <v>771</v>
      </c>
      <c r="E510" s="226" t="s">
        <v>170</v>
      </c>
      <c r="F510" s="146">
        <v>1215</v>
      </c>
      <c r="G510" s="146">
        <v>4</v>
      </c>
      <c r="H510" s="146">
        <f>ROUND((1+$K$16)*G510,2)</f>
        <v>4.5599999999999996</v>
      </c>
      <c r="I510" s="571">
        <f t="shared" si="165"/>
        <v>5540.4</v>
      </c>
      <c r="J510" s="335"/>
      <c r="K510" s="335"/>
      <c r="L510" s="335"/>
      <c r="M510" s="335"/>
      <c r="N510" s="335"/>
      <c r="O510" s="335"/>
    </row>
    <row r="511" spans="1:63" s="26" customFormat="1" ht="42.75" x14ac:dyDescent="0.2">
      <c r="A511" s="320" t="s">
        <v>1146</v>
      </c>
      <c r="B511" s="154" t="s">
        <v>46</v>
      </c>
      <c r="C511" s="154" t="s">
        <v>377</v>
      </c>
      <c r="D511" s="148" t="s">
        <v>378</v>
      </c>
      <c r="E511" s="154" t="s">
        <v>16</v>
      </c>
      <c r="F511" s="146">
        <f>3.6*2.4+(3.6*2+2.4*2)*2.9+1.2*1.2+(1.2*2+1.2*2)*1.2</f>
        <v>50.639999999999993</v>
      </c>
      <c r="G511" s="146">
        <v>31.05</v>
      </c>
      <c r="H511" s="146">
        <f>G511*(1+$L$16)</f>
        <v>38.557079065106578</v>
      </c>
      <c r="I511" s="313">
        <f>ROUND(F511*H511,2)</f>
        <v>1952.53</v>
      </c>
      <c r="J511" s="262"/>
      <c r="K511" s="25"/>
      <c r="L511" s="132"/>
      <c r="M511" s="25"/>
      <c r="N511" s="25"/>
      <c r="O511" s="25"/>
      <c r="P511" s="25"/>
      <c r="R511" s="25"/>
    </row>
    <row r="512" spans="1:63" s="26" customFormat="1" ht="28.5" x14ac:dyDescent="0.2">
      <c r="A512" s="320" t="s">
        <v>1147</v>
      </c>
      <c r="B512" s="226" t="s">
        <v>46</v>
      </c>
      <c r="C512" s="226">
        <v>73661</v>
      </c>
      <c r="D512" s="147" t="s">
        <v>337</v>
      </c>
      <c r="E512" s="226" t="s">
        <v>19</v>
      </c>
      <c r="F512" s="146">
        <v>1</v>
      </c>
      <c r="G512" s="146">
        <v>1752.73</v>
      </c>
      <c r="H512" s="146">
        <f>G512*(1+$L$16)</f>
        <v>2176.4943378352418</v>
      </c>
      <c r="I512" s="313">
        <f>ROUND(F512*H512,2)</f>
        <v>2176.4899999999998</v>
      </c>
      <c r="J512" s="262"/>
      <c r="K512" s="25"/>
      <c r="L512" s="132"/>
      <c r="M512" s="25"/>
      <c r="N512" s="25"/>
      <c r="O512" s="25"/>
      <c r="P512" s="25"/>
      <c r="R512" s="25"/>
    </row>
    <row r="513" spans="1:22" s="26" customFormat="1" ht="28.5" x14ac:dyDescent="0.2">
      <c r="A513" s="320" t="s">
        <v>1148</v>
      </c>
      <c r="B513" s="226" t="s">
        <v>336</v>
      </c>
      <c r="C513" s="226" t="str">
        <f>COMPOSIÇÕES!C511</f>
        <v>CE-040</v>
      </c>
      <c r="D513" s="147" t="s">
        <v>1392</v>
      </c>
      <c r="E513" s="226" t="s">
        <v>19</v>
      </c>
      <c r="F513" s="146">
        <v>1</v>
      </c>
      <c r="G513" s="146">
        <f>COMPOSIÇÕES!I511</f>
        <v>9217.5099999999984</v>
      </c>
      <c r="H513" s="146">
        <f>G513*(1+$L$16)</f>
        <v>11446.063183684717</v>
      </c>
      <c r="I513" s="313">
        <f>ROUND(F513*H513,2)</f>
        <v>11446.06</v>
      </c>
      <c r="J513" s="262"/>
      <c r="K513" s="25"/>
      <c r="L513" s="132"/>
      <c r="M513" s="25"/>
      <c r="N513" s="25"/>
      <c r="O513" s="25"/>
      <c r="P513" s="25"/>
      <c r="R513" s="25"/>
    </row>
    <row r="514" spans="1:22" s="128" customFormat="1" ht="71.25" x14ac:dyDescent="0.2">
      <c r="A514" s="320" t="s">
        <v>1149</v>
      </c>
      <c r="B514" s="226" t="s">
        <v>46</v>
      </c>
      <c r="C514" s="226">
        <v>72110</v>
      </c>
      <c r="D514" s="147" t="s">
        <v>1393</v>
      </c>
      <c r="E514" s="154" t="s">
        <v>16</v>
      </c>
      <c r="F514" s="146">
        <f>6.05*4.8</f>
        <v>29.04</v>
      </c>
      <c r="G514" s="146">
        <v>64</v>
      </c>
      <c r="H514" s="146">
        <f t="shared" ref="H514:H517" si="166">G514*(1+$L$16)</f>
        <v>79.473528507788117</v>
      </c>
      <c r="I514" s="313">
        <f t="shared" ref="I514:I515" si="167">ROUND(F514*H514,2)</f>
        <v>2307.91</v>
      </c>
      <c r="J514" s="251"/>
      <c r="K514" s="138"/>
      <c r="L514" s="138"/>
      <c r="M514" s="138"/>
      <c r="N514" s="25"/>
      <c r="O514" s="25"/>
      <c r="P514" s="25"/>
      <c r="Q514" s="26"/>
      <c r="R514" s="25"/>
      <c r="S514" s="26"/>
      <c r="T514" s="26"/>
      <c r="U514" s="26"/>
      <c r="V514" s="26"/>
    </row>
    <row r="515" spans="1:22" s="128" customFormat="1" ht="28.5" x14ac:dyDescent="0.2">
      <c r="A515" s="320" t="s">
        <v>1150</v>
      </c>
      <c r="B515" s="226" t="s">
        <v>46</v>
      </c>
      <c r="C515" s="226">
        <v>94213</v>
      </c>
      <c r="D515" s="147" t="s">
        <v>1394</v>
      </c>
      <c r="E515" s="154" t="s">
        <v>16</v>
      </c>
      <c r="F515" s="146">
        <f>6.05*4.8</f>
        <v>29.04</v>
      </c>
      <c r="G515" s="146">
        <v>38.15</v>
      </c>
      <c r="H515" s="146">
        <f t="shared" si="166"/>
        <v>47.373673633939319</v>
      </c>
      <c r="I515" s="313">
        <f t="shared" si="167"/>
        <v>1375.73</v>
      </c>
      <c r="J515" s="251"/>
      <c r="K515" s="138"/>
      <c r="L515" s="138"/>
      <c r="M515" s="138"/>
      <c r="N515" s="25"/>
      <c r="O515" s="25"/>
      <c r="P515" s="25"/>
      <c r="Q515" s="26"/>
      <c r="R515" s="25"/>
      <c r="S515" s="26"/>
      <c r="T515" s="26"/>
      <c r="U515" s="26"/>
      <c r="V515" s="26"/>
    </row>
    <row r="516" spans="1:22" s="128" customFormat="1" ht="28.5" x14ac:dyDescent="0.2">
      <c r="A516" s="320" t="s">
        <v>1151</v>
      </c>
      <c r="B516" s="226" t="s">
        <v>46</v>
      </c>
      <c r="C516" s="226">
        <v>11296</v>
      </c>
      <c r="D516" s="147" t="s">
        <v>1395</v>
      </c>
      <c r="E516" s="154" t="s">
        <v>16</v>
      </c>
      <c r="F516" s="146">
        <v>1</v>
      </c>
      <c r="G516" s="146">
        <v>1286.67</v>
      </c>
      <c r="H516" s="146">
        <f>G516*(1+$K$16)</f>
        <v>1467.0052262451984</v>
      </c>
      <c r="I516" s="571">
        <f t="shared" ref="I516" si="168">ROUND(F516*H516,2)</f>
        <v>1467.01</v>
      </c>
      <c r="J516" s="251"/>
      <c r="K516" s="138"/>
      <c r="L516" s="138"/>
      <c r="M516" s="138"/>
      <c r="N516" s="25"/>
      <c r="O516" s="25"/>
      <c r="P516" s="25"/>
      <c r="Q516" s="26"/>
      <c r="R516" s="25"/>
      <c r="S516" s="26"/>
      <c r="T516" s="26"/>
      <c r="U516" s="26"/>
      <c r="V516" s="26"/>
    </row>
    <row r="517" spans="1:22" s="128" customFormat="1" ht="29.25" thickBot="1" x14ac:dyDescent="0.25">
      <c r="A517" s="920" t="s">
        <v>1152</v>
      </c>
      <c r="B517" s="586" t="s">
        <v>46</v>
      </c>
      <c r="C517" s="586">
        <v>73665</v>
      </c>
      <c r="D517" s="929" t="s">
        <v>1396</v>
      </c>
      <c r="E517" s="586" t="s">
        <v>18</v>
      </c>
      <c r="F517" s="585">
        <v>2.9</v>
      </c>
      <c r="G517" s="585">
        <v>58.56</v>
      </c>
      <c r="H517" s="585">
        <f t="shared" si="166"/>
        <v>72.718278584626134</v>
      </c>
      <c r="I517" s="915">
        <f t="shared" ref="I517" si="169">ROUND(F517*H517,2)</f>
        <v>210.88</v>
      </c>
      <c r="J517" s="251"/>
      <c r="K517" s="138"/>
      <c r="L517" s="138"/>
      <c r="M517" s="138"/>
      <c r="N517" s="25"/>
      <c r="O517" s="25"/>
      <c r="P517" s="25"/>
      <c r="Q517" s="26"/>
      <c r="R517" s="25"/>
      <c r="S517" s="26"/>
      <c r="T517" s="26"/>
      <c r="U517" s="26"/>
      <c r="V517" s="26"/>
    </row>
    <row r="518" spans="1:22" s="128" customFormat="1" ht="28.5" x14ac:dyDescent="0.2">
      <c r="A518" s="918" t="s">
        <v>1153</v>
      </c>
      <c r="B518" s="910" t="s">
        <v>66</v>
      </c>
      <c r="C518" s="949"/>
      <c r="D518" s="900" t="s">
        <v>1930</v>
      </c>
      <c r="E518" s="910" t="s">
        <v>19</v>
      </c>
      <c r="F518" s="901">
        <v>1</v>
      </c>
      <c r="G518" s="901">
        <f>3.71*45600</f>
        <v>169176</v>
      </c>
      <c r="H518" s="901">
        <f>G518*(1+$K$16)</f>
        <v>192887.12424728772</v>
      </c>
      <c r="I518" s="902">
        <f t="shared" ref="I518" si="170">ROUND(F518*H518,2)</f>
        <v>192887.12</v>
      </c>
      <c r="J518" s="251"/>
      <c r="K518" s="138"/>
      <c r="L518" s="138"/>
      <c r="M518" s="138"/>
      <c r="N518" s="25"/>
      <c r="O518" s="25"/>
      <c r="P518" s="25"/>
      <c r="Q518" s="26"/>
      <c r="R518" s="25"/>
      <c r="S518" s="26"/>
      <c r="T518" s="26"/>
      <c r="U518" s="26"/>
      <c r="V518" s="26"/>
    </row>
    <row r="519" spans="1:22" s="26" customFormat="1" ht="20.25" customHeight="1" x14ac:dyDescent="0.2">
      <c r="A519" s="320" t="s">
        <v>1154</v>
      </c>
      <c r="B519" s="226" t="s">
        <v>336</v>
      </c>
      <c r="C519" s="226" t="str">
        <f>COMPOSIÇÕES!C518</f>
        <v>CE-041</v>
      </c>
      <c r="D519" s="147" t="str">
        <f>COMPOSIÇÕES!D518</f>
        <v>FORNECIMENTO E APLICAÇÃO DO MATERIAL HIDRÁULICO DA SANITIZAÇÃO</v>
      </c>
      <c r="E519" s="226" t="s">
        <v>19</v>
      </c>
      <c r="F519" s="146">
        <v>1</v>
      </c>
      <c r="G519" s="146">
        <f>COMPOSIÇÕES!I518</f>
        <v>15699.2</v>
      </c>
      <c r="H519" s="146">
        <f>G519*(1+$L$16)</f>
        <v>19494.856542960428</v>
      </c>
      <c r="I519" s="313">
        <f>ROUND(F519*H519,2)</f>
        <v>19494.86</v>
      </c>
      <c r="J519" s="262"/>
      <c r="K519" s="25"/>
      <c r="L519" s="132"/>
      <c r="M519" s="25"/>
      <c r="N519" s="25"/>
      <c r="O519" s="25"/>
      <c r="P519" s="25"/>
      <c r="R519" s="25"/>
    </row>
    <row r="520" spans="1:22" s="128" customFormat="1" x14ac:dyDescent="0.2">
      <c r="A520" s="284"/>
      <c r="B520" s="281"/>
      <c r="C520" s="281"/>
      <c r="D520" s="285"/>
      <c r="E520" s="281"/>
      <c r="F520" s="151"/>
      <c r="G520" s="151"/>
      <c r="H520" s="151"/>
      <c r="I520" s="152"/>
      <c r="J520" s="142"/>
      <c r="K520" s="138"/>
      <c r="L520" s="138"/>
      <c r="M520" s="138"/>
      <c r="N520" s="25"/>
      <c r="O520" s="25"/>
      <c r="P520" s="25"/>
      <c r="Q520" s="26"/>
      <c r="R520" s="25"/>
      <c r="S520" s="26"/>
      <c r="T520" s="26"/>
      <c r="U520" s="26"/>
      <c r="V520" s="26"/>
    </row>
    <row r="521" spans="1:22" s="26" customFormat="1" ht="15" customHeight="1" x14ac:dyDescent="0.2">
      <c r="A521" s="563" t="s">
        <v>326</v>
      </c>
      <c r="B521" s="564"/>
      <c r="C521" s="564"/>
      <c r="D521" s="565" t="s">
        <v>187</v>
      </c>
      <c r="E521" s="564"/>
      <c r="F521" s="566"/>
      <c r="G521" s="567"/>
      <c r="H521" s="568"/>
      <c r="I521" s="569">
        <f>SUM(I522:I528)</f>
        <v>12875.470000000001</v>
      </c>
      <c r="J521" s="262"/>
      <c r="K521" s="25"/>
      <c r="L521" s="132"/>
      <c r="M521" s="25"/>
      <c r="N521" s="25"/>
      <c r="O521" s="25"/>
      <c r="P521" s="25"/>
      <c r="R521" s="25"/>
    </row>
    <row r="522" spans="1:22" s="128" customFormat="1" ht="28.5" customHeight="1" x14ac:dyDescent="0.2">
      <c r="A522" s="320" t="s">
        <v>1155</v>
      </c>
      <c r="B522" s="154" t="s">
        <v>46</v>
      </c>
      <c r="C522" s="226" t="s">
        <v>703</v>
      </c>
      <c r="D522" s="147" t="s">
        <v>704</v>
      </c>
      <c r="E522" s="154" t="s">
        <v>16</v>
      </c>
      <c r="F522" s="146">
        <f>(1.5+4)*(1+4)</f>
        <v>27.5</v>
      </c>
      <c r="G522" s="146">
        <v>8.3000000000000007</v>
      </c>
      <c r="H522" s="146">
        <f t="shared" ref="H522:H527" si="171">G522*(1+$L$16)</f>
        <v>10.306723228353773</v>
      </c>
      <c r="I522" s="313">
        <f>ROUND(F522*H522,2)</f>
        <v>283.43</v>
      </c>
      <c r="J522" s="251"/>
      <c r="K522" s="138"/>
      <c r="L522" s="138"/>
      <c r="M522" s="138"/>
      <c r="N522" s="25"/>
      <c r="O522" s="25"/>
      <c r="P522" s="25"/>
      <c r="Q522" s="26"/>
      <c r="R522" s="25"/>
      <c r="S522" s="26"/>
      <c r="T522" s="26"/>
      <c r="U522" s="26"/>
      <c r="V522" s="26"/>
    </row>
    <row r="523" spans="1:22" s="128" customFormat="1" x14ac:dyDescent="0.2">
      <c r="A523" s="320" t="s">
        <v>1156</v>
      </c>
      <c r="B523" s="154" t="s">
        <v>46</v>
      </c>
      <c r="C523" s="154">
        <v>93358</v>
      </c>
      <c r="D523" s="148" t="s">
        <v>776</v>
      </c>
      <c r="E523" s="154" t="s">
        <v>17</v>
      </c>
      <c r="F523" s="146">
        <v>0.5</v>
      </c>
      <c r="G523" s="146">
        <v>65.819999999999993</v>
      </c>
      <c r="H523" s="146">
        <f t="shared" si="171"/>
        <v>81.73355697472833</v>
      </c>
      <c r="I523" s="313">
        <f t="shared" ref="I523:I528" si="172">ROUND(F523*H523,2)</f>
        <v>40.869999999999997</v>
      </c>
      <c r="J523" s="251"/>
      <c r="K523" s="138"/>
      <c r="L523" s="138"/>
      <c r="M523" s="138"/>
      <c r="N523" s="25"/>
      <c r="O523" s="25"/>
      <c r="P523" s="25"/>
      <c r="Q523" s="26"/>
      <c r="R523" s="25"/>
      <c r="S523" s="26"/>
      <c r="T523" s="26"/>
      <c r="U523" s="26"/>
      <c r="V523" s="26"/>
    </row>
    <row r="524" spans="1:22" s="128" customFormat="1" x14ac:dyDescent="0.2">
      <c r="A524" s="320" t="s">
        <v>1491</v>
      </c>
      <c r="B524" s="226" t="s">
        <v>46</v>
      </c>
      <c r="C524" s="226">
        <v>83683</v>
      </c>
      <c r="D524" s="147" t="s">
        <v>826</v>
      </c>
      <c r="E524" s="226" t="s">
        <v>17</v>
      </c>
      <c r="F524" s="146">
        <v>0.18</v>
      </c>
      <c r="G524" s="146">
        <v>104.94</v>
      </c>
      <c r="H524" s="146">
        <f t="shared" si="171"/>
        <v>130.31175127511383</v>
      </c>
      <c r="I524" s="313">
        <f t="shared" si="172"/>
        <v>23.46</v>
      </c>
      <c r="J524" s="251"/>
      <c r="K524" s="138"/>
      <c r="L524" s="138"/>
      <c r="M524" s="138"/>
      <c r="N524" s="25"/>
      <c r="O524" s="25"/>
      <c r="P524" s="25"/>
      <c r="Q524" s="26"/>
      <c r="R524" s="25"/>
      <c r="S524" s="26"/>
      <c r="T524" s="26"/>
      <c r="U524" s="26"/>
      <c r="V524" s="26"/>
    </row>
    <row r="525" spans="1:22" s="128" customFormat="1" ht="28.5" x14ac:dyDescent="0.2">
      <c r="A525" s="320" t="s">
        <v>1157</v>
      </c>
      <c r="B525" s="226" t="s">
        <v>46</v>
      </c>
      <c r="C525" s="226">
        <v>95241</v>
      </c>
      <c r="D525" s="156" t="s">
        <v>706</v>
      </c>
      <c r="E525" s="226" t="s">
        <v>16</v>
      </c>
      <c r="F525" s="146">
        <f>0.018/0.05</f>
        <v>0.35999999999999993</v>
      </c>
      <c r="G525" s="146">
        <v>19.88</v>
      </c>
      <c r="H525" s="146">
        <f t="shared" si="171"/>
        <v>24.686464792731684</v>
      </c>
      <c r="I525" s="313">
        <f t="shared" si="172"/>
        <v>8.89</v>
      </c>
      <c r="J525" s="251"/>
      <c r="K525" s="138"/>
      <c r="L525" s="138"/>
      <c r="M525" s="138"/>
      <c r="N525" s="25"/>
      <c r="O525" s="25"/>
      <c r="P525" s="25"/>
      <c r="Q525" s="26"/>
      <c r="R525" s="25"/>
      <c r="S525" s="26"/>
      <c r="T525" s="26"/>
      <c r="U525" s="26"/>
      <c r="V525" s="26"/>
    </row>
    <row r="526" spans="1:22" s="128" customFormat="1" ht="57" x14ac:dyDescent="0.2">
      <c r="A526" s="320" t="s">
        <v>1158</v>
      </c>
      <c r="B526" s="154" t="s">
        <v>46</v>
      </c>
      <c r="C526" s="226">
        <v>92417</v>
      </c>
      <c r="D526" s="148" t="s">
        <v>1351</v>
      </c>
      <c r="E526" s="154" t="s">
        <v>16</v>
      </c>
      <c r="F526" s="146">
        <v>3.28</v>
      </c>
      <c r="G526" s="146">
        <v>96.25</v>
      </c>
      <c r="H526" s="146">
        <f t="shared" si="171"/>
        <v>119.52073623241573</v>
      </c>
      <c r="I526" s="313">
        <f t="shared" si="172"/>
        <v>392.03</v>
      </c>
      <c r="J526" s="251"/>
      <c r="K526" s="138"/>
      <c r="L526" s="138"/>
      <c r="M526" s="138"/>
      <c r="N526" s="25"/>
      <c r="O526" s="25"/>
      <c r="P526" s="25"/>
      <c r="Q526" s="26"/>
      <c r="R526" s="25"/>
      <c r="S526" s="26"/>
      <c r="T526" s="26"/>
      <c r="U526" s="26"/>
      <c r="V526" s="26"/>
    </row>
    <row r="527" spans="1:22" s="128" customFormat="1" ht="28.5" x14ac:dyDescent="0.2">
      <c r="A527" s="320" t="s">
        <v>1159</v>
      </c>
      <c r="B527" s="154" t="s">
        <v>46</v>
      </c>
      <c r="C527" s="226">
        <v>94967</v>
      </c>
      <c r="D527" s="147" t="s">
        <v>1320</v>
      </c>
      <c r="E527" s="154" t="s">
        <v>17</v>
      </c>
      <c r="F527" s="146">
        <v>0.5</v>
      </c>
      <c r="G527" s="146">
        <v>331.4</v>
      </c>
      <c r="H527" s="146">
        <f t="shared" si="171"/>
        <v>411.52386480439031</v>
      </c>
      <c r="I527" s="313">
        <f t="shared" si="172"/>
        <v>205.76</v>
      </c>
      <c r="J527" s="251"/>
      <c r="K527" s="138"/>
      <c r="L527" s="138"/>
      <c r="M527" s="138"/>
      <c r="N527" s="25"/>
      <c r="O527" s="25"/>
      <c r="P527" s="25"/>
      <c r="Q527" s="26"/>
      <c r="R527" s="25"/>
      <c r="S527" s="26"/>
      <c r="T527" s="26"/>
      <c r="U527" s="26"/>
      <c r="V527" s="26"/>
    </row>
    <row r="528" spans="1:22" s="128" customFormat="1" ht="28.5" x14ac:dyDescent="0.2">
      <c r="A528" s="320" t="s">
        <v>1160</v>
      </c>
      <c r="B528" s="154" t="s">
        <v>66</v>
      </c>
      <c r="C528" s="154"/>
      <c r="D528" s="148" t="s">
        <v>2197</v>
      </c>
      <c r="E528" s="154" t="s">
        <v>20</v>
      </c>
      <c r="F528" s="146">
        <v>1</v>
      </c>
      <c r="G528" s="146">
        <v>9600</v>
      </c>
      <c r="H528" s="146">
        <f>G528*(1+$L$16)</f>
        <v>11921.029276168218</v>
      </c>
      <c r="I528" s="313">
        <f t="shared" si="172"/>
        <v>11921.03</v>
      </c>
      <c r="J528" s="251"/>
      <c r="K528" s="138"/>
      <c r="L528" s="138"/>
      <c r="M528" s="138"/>
      <c r="N528" s="25"/>
      <c r="O528" s="25"/>
      <c r="P528" s="25"/>
      <c r="Q528" s="26"/>
      <c r="R528" s="25"/>
      <c r="S528" s="26"/>
      <c r="T528" s="26"/>
      <c r="U528" s="26"/>
      <c r="V528" s="26"/>
    </row>
    <row r="529" spans="1:22" s="128" customFormat="1" x14ac:dyDescent="0.2">
      <c r="A529" s="284"/>
      <c r="B529" s="150"/>
      <c r="C529" s="294"/>
      <c r="D529" s="149"/>
      <c r="E529" s="281"/>
      <c r="F529" s="282"/>
      <c r="G529" s="283"/>
      <c r="H529" s="282"/>
      <c r="I529" s="296"/>
      <c r="J529" s="142"/>
      <c r="K529" s="138"/>
      <c r="L529" s="138"/>
      <c r="M529" s="138"/>
      <c r="N529" s="25"/>
      <c r="O529" s="25"/>
      <c r="P529" s="25"/>
      <c r="Q529" s="26"/>
      <c r="R529" s="25"/>
      <c r="S529" s="26"/>
      <c r="T529" s="26"/>
      <c r="U529" s="26"/>
      <c r="V529" s="26"/>
    </row>
    <row r="530" spans="1:22" s="26" customFormat="1" ht="15" customHeight="1" x14ac:dyDescent="0.2">
      <c r="A530" s="563" t="s">
        <v>327</v>
      </c>
      <c r="B530" s="564"/>
      <c r="C530" s="564"/>
      <c r="D530" s="565" t="s">
        <v>88</v>
      </c>
      <c r="E530" s="564"/>
      <c r="F530" s="566"/>
      <c r="G530" s="567"/>
      <c r="H530" s="568"/>
      <c r="I530" s="569">
        <f>SUM(I531:I556)</f>
        <v>211333.06000000003</v>
      </c>
      <c r="J530" s="262"/>
      <c r="K530" s="25"/>
      <c r="L530" s="132"/>
      <c r="M530" s="25"/>
      <c r="N530" s="25"/>
      <c r="O530" s="25"/>
      <c r="P530" s="25"/>
      <c r="R530" s="25"/>
    </row>
    <row r="531" spans="1:22" s="26" customFormat="1" ht="30" customHeight="1" x14ac:dyDescent="0.2">
      <c r="A531" s="320" t="s">
        <v>1161</v>
      </c>
      <c r="B531" s="154" t="s">
        <v>46</v>
      </c>
      <c r="C531" s="226" t="s">
        <v>703</v>
      </c>
      <c r="D531" s="147" t="s">
        <v>704</v>
      </c>
      <c r="E531" s="154" t="s">
        <v>16</v>
      </c>
      <c r="F531" s="146">
        <f>17.4*37.2</f>
        <v>647.28</v>
      </c>
      <c r="G531" s="146">
        <v>8.3000000000000007</v>
      </c>
      <c r="H531" s="146">
        <f t="shared" ref="H531:H555" si="173">G531*(1+$L$16)</f>
        <v>10.306723228353773</v>
      </c>
      <c r="I531" s="313">
        <f t="shared" ref="I531:I556" si="174">ROUND(F531*H531,2)</f>
        <v>6671.34</v>
      </c>
      <c r="J531" s="251"/>
      <c r="K531" s="25"/>
      <c r="L531" s="133"/>
      <c r="M531" s="25"/>
      <c r="N531" s="25"/>
      <c r="O531" s="25"/>
      <c r="P531" s="25"/>
      <c r="R531" s="25"/>
    </row>
    <row r="532" spans="1:22" s="128" customFormat="1" ht="28.5" x14ac:dyDescent="0.2">
      <c r="A532" s="320" t="s">
        <v>1162</v>
      </c>
      <c r="B532" s="154" t="s">
        <v>46</v>
      </c>
      <c r="C532" s="154" t="s">
        <v>51</v>
      </c>
      <c r="D532" s="148" t="s">
        <v>97</v>
      </c>
      <c r="E532" s="154" t="s">
        <v>17</v>
      </c>
      <c r="F532" s="146">
        <f>15.4*35.2*1.5*0.9</f>
        <v>731.80800000000011</v>
      </c>
      <c r="G532" s="146">
        <v>3.32</v>
      </c>
      <c r="H532" s="146">
        <f t="shared" si="173"/>
        <v>4.1226892913415085</v>
      </c>
      <c r="I532" s="313">
        <f t="shared" si="174"/>
        <v>3017.02</v>
      </c>
      <c r="J532" s="251"/>
      <c r="K532" s="138"/>
      <c r="L532" s="138"/>
      <c r="M532" s="138"/>
      <c r="N532" s="25"/>
      <c r="O532" s="25"/>
      <c r="P532" s="25"/>
      <c r="Q532" s="26"/>
      <c r="R532" s="25"/>
      <c r="S532" s="26"/>
      <c r="T532" s="26"/>
      <c r="U532" s="26"/>
      <c r="V532" s="26"/>
    </row>
    <row r="533" spans="1:22" s="128" customFormat="1" x14ac:dyDescent="0.2">
      <c r="A533" s="320" t="s">
        <v>1492</v>
      </c>
      <c r="B533" s="154" t="s">
        <v>46</v>
      </c>
      <c r="C533" s="154">
        <v>93358</v>
      </c>
      <c r="D533" s="148" t="s">
        <v>776</v>
      </c>
      <c r="E533" s="154" t="s">
        <v>17</v>
      </c>
      <c r="F533" s="146">
        <f>15.4*35.2*1.5*0.1</f>
        <v>81.312000000000012</v>
      </c>
      <c r="G533" s="146">
        <v>65.819999999999993</v>
      </c>
      <c r="H533" s="146">
        <f t="shared" si="173"/>
        <v>81.73355697472833</v>
      </c>
      <c r="I533" s="313">
        <f t="shared" si="174"/>
        <v>6645.92</v>
      </c>
      <c r="J533" s="251"/>
      <c r="K533" s="138"/>
      <c r="L533" s="138"/>
      <c r="M533" s="138"/>
      <c r="N533" s="25"/>
      <c r="O533" s="25"/>
      <c r="P533" s="25"/>
      <c r="Q533" s="26"/>
      <c r="R533" s="25"/>
      <c r="S533" s="26"/>
      <c r="T533" s="26"/>
      <c r="U533" s="26"/>
      <c r="V533" s="26"/>
    </row>
    <row r="534" spans="1:22" s="26" customFormat="1" x14ac:dyDescent="0.2">
      <c r="A534" s="320" t="s">
        <v>1493</v>
      </c>
      <c r="B534" s="154" t="s">
        <v>46</v>
      </c>
      <c r="C534" s="154" t="s">
        <v>1376</v>
      </c>
      <c r="D534" s="148" t="s">
        <v>1377</v>
      </c>
      <c r="E534" s="154" t="s">
        <v>17</v>
      </c>
      <c r="F534" s="146">
        <f>1*15.4</f>
        <v>15.4</v>
      </c>
      <c r="G534" s="146">
        <v>49.92</v>
      </c>
      <c r="H534" s="146">
        <f t="shared" si="173"/>
        <v>61.989352236074737</v>
      </c>
      <c r="I534" s="313">
        <f t="shared" si="174"/>
        <v>954.64</v>
      </c>
      <c r="J534" s="251"/>
      <c r="K534" s="25"/>
      <c r="L534" s="133"/>
      <c r="M534" s="25"/>
      <c r="N534" s="25"/>
      <c r="O534" s="25"/>
      <c r="P534" s="25"/>
      <c r="R534" s="25"/>
    </row>
    <row r="535" spans="1:22" s="26" customFormat="1" ht="28.5" x14ac:dyDescent="0.2">
      <c r="A535" s="320" t="s">
        <v>1494</v>
      </c>
      <c r="B535" s="154" t="s">
        <v>46</v>
      </c>
      <c r="C535" s="154">
        <v>72898</v>
      </c>
      <c r="D535" s="148" t="s">
        <v>743</v>
      </c>
      <c r="E535" s="226" t="s">
        <v>17</v>
      </c>
      <c r="F535" s="146">
        <f>F532+F533-F534</f>
        <v>797.72000000000014</v>
      </c>
      <c r="G535" s="146">
        <v>3.57</v>
      </c>
      <c r="H535" s="146">
        <f t="shared" si="173"/>
        <v>4.433132762075056</v>
      </c>
      <c r="I535" s="313">
        <f t="shared" si="174"/>
        <v>3536.4</v>
      </c>
      <c r="J535" s="251"/>
      <c r="K535" s="25"/>
      <c r="L535" s="133"/>
      <c r="M535" s="25"/>
      <c r="N535" s="25"/>
      <c r="O535" s="25"/>
      <c r="P535" s="25"/>
      <c r="R535" s="25"/>
    </row>
    <row r="536" spans="1:22" s="26" customFormat="1" ht="30" customHeight="1" x14ac:dyDescent="0.2">
      <c r="A536" s="320" t="s">
        <v>1495</v>
      </c>
      <c r="B536" s="154" t="s">
        <v>46</v>
      </c>
      <c r="C536" s="154">
        <v>72885</v>
      </c>
      <c r="D536" s="148" t="s">
        <v>334</v>
      </c>
      <c r="E536" s="154" t="s">
        <v>335</v>
      </c>
      <c r="F536" s="146">
        <f>F535*1.3*5</f>
        <v>5185.1800000000012</v>
      </c>
      <c r="G536" s="146">
        <v>1.36</v>
      </c>
      <c r="H536" s="146">
        <f t="shared" si="173"/>
        <v>1.6888124807904976</v>
      </c>
      <c r="I536" s="313">
        <f t="shared" si="174"/>
        <v>8756.7999999999993</v>
      </c>
      <c r="J536" s="251"/>
      <c r="K536" s="25"/>
      <c r="L536" s="133"/>
      <c r="M536" s="25"/>
      <c r="N536" s="25"/>
      <c r="O536" s="25"/>
      <c r="P536" s="25"/>
      <c r="R536" s="25"/>
    </row>
    <row r="537" spans="1:22" s="26" customFormat="1" ht="30" customHeight="1" x14ac:dyDescent="0.2">
      <c r="A537" s="320" t="s">
        <v>1496</v>
      </c>
      <c r="B537" s="154" t="s">
        <v>46</v>
      </c>
      <c r="C537" s="154" t="s">
        <v>58</v>
      </c>
      <c r="D537" s="148" t="s">
        <v>59</v>
      </c>
      <c r="E537" s="154" t="s">
        <v>17</v>
      </c>
      <c r="F537" s="146">
        <f>F535</f>
        <v>797.72000000000014</v>
      </c>
      <c r="G537" s="146">
        <v>1.94</v>
      </c>
      <c r="H537" s="146">
        <f t="shared" si="173"/>
        <v>2.4090413328923272</v>
      </c>
      <c r="I537" s="313">
        <f t="shared" si="174"/>
        <v>1921.74</v>
      </c>
      <c r="J537" s="251"/>
      <c r="K537" s="25"/>
      <c r="L537" s="133"/>
      <c r="M537" s="25"/>
      <c r="N537" s="25"/>
      <c r="O537" s="25"/>
      <c r="P537" s="25"/>
      <c r="R537" s="25"/>
    </row>
    <row r="538" spans="1:22" s="26" customFormat="1" ht="43.5" thickBot="1" x14ac:dyDescent="0.25">
      <c r="A538" s="920" t="s">
        <v>1497</v>
      </c>
      <c r="B538" s="913" t="s">
        <v>46</v>
      </c>
      <c r="C538" s="913" t="str">
        <f>COMPOSIÇÕES!C533</f>
        <v>CE-042</v>
      </c>
      <c r="D538" s="584" t="str">
        <f>COMPOSIÇÕES!D533</f>
        <v xml:space="preserve">CRAVAMENTO DE ESTACAS PRÉ-MOLDADA DE CONCRETO, SEÇÃO QUADRADA, CAPACIDADE DE 25 TONELADAS, COMPRIMENTO TOTAL CRAVADO ATÉ 5,00M, BATE-ESTACAS POR GRAVIDADE SOBRE ROLOS </v>
      </c>
      <c r="E538" s="913" t="s">
        <v>20</v>
      </c>
      <c r="F538" s="585">
        <v>1</v>
      </c>
      <c r="G538" s="585">
        <f>COMPOSIÇÕES!I533</f>
        <v>8154.74</v>
      </c>
      <c r="H538" s="585">
        <f t="shared" ref="H538" si="175">G538*(1+$L$16)</f>
        <v>10126.343154118751</v>
      </c>
      <c r="I538" s="915">
        <f t="shared" ref="I538" si="176">ROUND(F538*H538,2)</f>
        <v>10126.34</v>
      </c>
      <c r="J538" s="251"/>
      <c r="K538" s="25"/>
      <c r="L538" s="133"/>
      <c r="M538" s="25"/>
      <c r="N538" s="25"/>
      <c r="O538" s="25"/>
      <c r="P538" s="25"/>
      <c r="R538" s="25"/>
    </row>
    <row r="539" spans="1:22" s="26" customFormat="1" ht="30" customHeight="1" x14ac:dyDescent="0.2">
      <c r="A539" s="918" t="s">
        <v>1498</v>
      </c>
      <c r="B539" s="899" t="s">
        <v>46</v>
      </c>
      <c r="C539" s="910">
        <v>95241</v>
      </c>
      <c r="D539" s="931" t="s">
        <v>706</v>
      </c>
      <c r="E539" s="899" t="s">
        <v>16</v>
      </c>
      <c r="F539" s="901">
        <f>15.4*35.2</f>
        <v>542.08000000000004</v>
      </c>
      <c r="G539" s="901">
        <v>19.88</v>
      </c>
      <c r="H539" s="901">
        <f t="shared" si="173"/>
        <v>24.686464792731684</v>
      </c>
      <c r="I539" s="919">
        <f t="shared" si="174"/>
        <v>13382.04</v>
      </c>
      <c r="J539" s="251"/>
      <c r="K539" s="25"/>
      <c r="L539" s="133"/>
      <c r="M539" s="25"/>
      <c r="N539" s="25"/>
      <c r="O539" s="25"/>
      <c r="P539" s="25"/>
      <c r="R539" s="25"/>
    </row>
    <row r="540" spans="1:22" s="26" customFormat="1" ht="57" x14ac:dyDescent="0.2">
      <c r="A540" s="320" t="s">
        <v>1499</v>
      </c>
      <c r="B540" s="154" t="s">
        <v>46</v>
      </c>
      <c r="C540" s="226">
        <v>92417</v>
      </c>
      <c r="D540" s="148" t="s">
        <v>1351</v>
      </c>
      <c r="E540" s="154" t="s">
        <v>16</v>
      </c>
      <c r="F540" s="146">
        <v>71.3</v>
      </c>
      <c r="G540" s="146">
        <v>96.25</v>
      </c>
      <c r="H540" s="146">
        <f t="shared" ref="H540" si="177">G540*(1+$L$16)</f>
        <v>119.52073623241573</v>
      </c>
      <c r="I540" s="313">
        <f t="shared" ref="I540" si="178">ROUND(F540*H540,2)</f>
        <v>8521.83</v>
      </c>
      <c r="J540" s="251"/>
      <c r="K540" s="25"/>
      <c r="L540" s="133"/>
      <c r="M540" s="25"/>
      <c r="N540" s="25"/>
      <c r="O540" s="25"/>
      <c r="P540" s="25"/>
      <c r="R540" s="25"/>
    </row>
    <row r="541" spans="1:22" s="336" customFormat="1" x14ac:dyDescent="0.2">
      <c r="A541" s="320" t="s">
        <v>1500</v>
      </c>
      <c r="B541" s="226" t="s">
        <v>46</v>
      </c>
      <c r="C541" s="226">
        <v>34456</v>
      </c>
      <c r="D541" s="148" t="s">
        <v>1323</v>
      </c>
      <c r="E541" s="226" t="s">
        <v>170</v>
      </c>
      <c r="F541" s="146">
        <v>292</v>
      </c>
      <c r="G541" s="146">
        <v>3.7</v>
      </c>
      <c r="H541" s="146">
        <f>ROUND((1+$K$16)*G541,2)</f>
        <v>4.22</v>
      </c>
      <c r="I541" s="571">
        <f t="shared" ref="I541:I546" si="179">ROUND(F541*H541,2)</f>
        <v>1232.24</v>
      </c>
      <c r="J541" s="335"/>
      <c r="K541" s="335"/>
      <c r="L541" s="335"/>
      <c r="M541" s="335"/>
      <c r="N541" s="335"/>
      <c r="O541" s="335"/>
    </row>
    <row r="542" spans="1:22" s="336" customFormat="1" x14ac:dyDescent="0.2">
      <c r="A542" s="320" t="s">
        <v>1163</v>
      </c>
      <c r="B542" s="226" t="s">
        <v>46</v>
      </c>
      <c r="C542" s="226">
        <v>34449</v>
      </c>
      <c r="D542" s="148" t="s">
        <v>1354</v>
      </c>
      <c r="E542" s="226" t="s">
        <v>170</v>
      </c>
      <c r="F542" s="146">
        <v>197</v>
      </c>
      <c r="G542" s="146">
        <v>4.18</v>
      </c>
      <c r="H542" s="146">
        <f t="shared" ref="H542:H546" si="180">ROUND((1+$K$16)*G542,2)</f>
        <v>4.7699999999999996</v>
      </c>
      <c r="I542" s="571">
        <f t="shared" si="179"/>
        <v>939.69</v>
      </c>
      <c r="J542" s="335"/>
      <c r="K542" s="335"/>
      <c r="L542" s="335"/>
      <c r="M542" s="335"/>
      <c r="N542" s="335"/>
      <c r="O542" s="335"/>
    </row>
    <row r="543" spans="1:22" s="336" customFormat="1" x14ac:dyDescent="0.2">
      <c r="A543" s="320" t="s">
        <v>1501</v>
      </c>
      <c r="B543" s="226" t="s">
        <v>46</v>
      </c>
      <c r="C543" s="226">
        <v>33</v>
      </c>
      <c r="D543" s="148" t="s">
        <v>772</v>
      </c>
      <c r="E543" s="226" t="s">
        <v>170</v>
      </c>
      <c r="F543" s="146">
        <v>1002</v>
      </c>
      <c r="G543" s="146">
        <v>4.1900000000000004</v>
      </c>
      <c r="H543" s="146">
        <f t="shared" si="180"/>
        <v>4.78</v>
      </c>
      <c r="I543" s="571">
        <f t="shared" si="179"/>
        <v>4789.5600000000004</v>
      </c>
      <c r="J543" s="335"/>
      <c r="K543" s="335"/>
      <c r="L543" s="335"/>
      <c r="M543" s="335"/>
      <c r="N543" s="335"/>
      <c r="O543" s="335"/>
    </row>
    <row r="544" spans="1:22" s="336" customFormat="1" x14ac:dyDescent="0.2">
      <c r="A544" s="320" t="s">
        <v>1502</v>
      </c>
      <c r="B544" s="226" t="s">
        <v>46</v>
      </c>
      <c r="C544" s="226">
        <v>34439</v>
      </c>
      <c r="D544" s="148" t="s">
        <v>771</v>
      </c>
      <c r="E544" s="226" t="s">
        <v>170</v>
      </c>
      <c r="F544" s="146">
        <v>454</v>
      </c>
      <c r="G544" s="146">
        <v>4</v>
      </c>
      <c r="H544" s="146">
        <f t="shared" si="180"/>
        <v>4.5599999999999996</v>
      </c>
      <c r="I544" s="571">
        <f t="shared" si="179"/>
        <v>2070.2399999999998</v>
      </c>
      <c r="J544" s="335"/>
      <c r="K544" s="335"/>
      <c r="L544" s="335"/>
      <c r="M544" s="335"/>
      <c r="N544" s="335"/>
      <c r="O544" s="335"/>
    </row>
    <row r="545" spans="1:63" s="336" customFormat="1" x14ac:dyDescent="0.2">
      <c r="A545" s="320" t="s">
        <v>1503</v>
      </c>
      <c r="B545" s="226" t="s">
        <v>46</v>
      </c>
      <c r="C545" s="226">
        <v>34441</v>
      </c>
      <c r="D545" s="148" t="s">
        <v>1352</v>
      </c>
      <c r="E545" s="226" t="s">
        <v>170</v>
      </c>
      <c r="F545" s="146">
        <v>331</v>
      </c>
      <c r="G545" s="146">
        <v>3.8</v>
      </c>
      <c r="H545" s="146">
        <f t="shared" si="180"/>
        <v>4.33</v>
      </c>
      <c r="I545" s="571">
        <f t="shared" si="179"/>
        <v>1433.23</v>
      </c>
      <c r="J545" s="335"/>
      <c r="K545" s="335"/>
      <c r="L545" s="335"/>
      <c r="M545" s="335"/>
      <c r="N545" s="335"/>
      <c r="O545" s="335"/>
    </row>
    <row r="546" spans="1:63" s="336" customFormat="1" x14ac:dyDescent="0.2">
      <c r="A546" s="320" t="s">
        <v>1504</v>
      </c>
      <c r="B546" s="226" t="s">
        <v>46</v>
      </c>
      <c r="C546" s="226">
        <v>34443</v>
      </c>
      <c r="D546" s="148" t="s">
        <v>1353</v>
      </c>
      <c r="E546" s="226" t="s">
        <v>170</v>
      </c>
      <c r="F546" s="146">
        <v>228</v>
      </c>
      <c r="G546" s="146">
        <v>3.8</v>
      </c>
      <c r="H546" s="146">
        <f t="shared" si="180"/>
        <v>4.33</v>
      </c>
      <c r="I546" s="571">
        <f t="shared" si="179"/>
        <v>987.24</v>
      </c>
      <c r="J546" s="335"/>
      <c r="K546" s="335"/>
      <c r="L546" s="335"/>
      <c r="M546" s="335"/>
      <c r="N546" s="335"/>
      <c r="O546" s="335"/>
    </row>
    <row r="547" spans="1:63" s="26" customFormat="1" ht="30" customHeight="1" x14ac:dyDescent="0.2">
      <c r="A547" s="320" t="s">
        <v>1505</v>
      </c>
      <c r="B547" s="154" t="s">
        <v>46</v>
      </c>
      <c r="C547" s="226">
        <v>94967</v>
      </c>
      <c r="D547" s="147" t="s">
        <v>1320</v>
      </c>
      <c r="E547" s="154" t="s">
        <v>17</v>
      </c>
      <c r="F547" s="146">
        <f>11+26</f>
        <v>37</v>
      </c>
      <c r="G547" s="146">
        <v>331.4</v>
      </c>
      <c r="H547" s="146">
        <f t="shared" si="173"/>
        <v>411.52386480439031</v>
      </c>
      <c r="I547" s="313">
        <f t="shared" si="174"/>
        <v>15226.38</v>
      </c>
      <c r="J547" s="251"/>
      <c r="K547" s="25"/>
      <c r="L547" s="133"/>
      <c r="M547" s="25"/>
      <c r="N547" s="25"/>
      <c r="O547" s="25"/>
      <c r="P547" s="25"/>
      <c r="R547" s="25"/>
    </row>
    <row r="548" spans="1:63" s="26" customFormat="1" ht="30" customHeight="1" x14ac:dyDescent="0.2">
      <c r="A548" s="320" t="s">
        <v>1506</v>
      </c>
      <c r="B548" s="154" t="s">
        <v>46</v>
      </c>
      <c r="C548" s="154">
        <v>92874</v>
      </c>
      <c r="D548" s="148" t="s">
        <v>773</v>
      </c>
      <c r="E548" s="154" t="s">
        <v>16</v>
      </c>
      <c r="F548" s="146">
        <f>F547</f>
        <v>37</v>
      </c>
      <c r="G548" s="146">
        <v>27.56</v>
      </c>
      <c r="H548" s="146">
        <f t="shared" si="173"/>
        <v>34.223288213666258</v>
      </c>
      <c r="I548" s="313">
        <f t="shared" si="174"/>
        <v>1266.26</v>
      </c>
      <c r="J548" s="251"/>
      <c r="K548" s="25"/>
      <c r="L548" s="133"/>
      <c r="M548" s="25"/>
      <c r="N548" s="25"/>
      <c r="O548" s="25"/>
      <c r="P548" s="25"/>
      <c r="R548" s="25"/>
    </row>
    <row r="549" spans="1:63" s="26" customFormat="1" ht="42.75" x14ac:dyDescent="0.2">
      <c r="A549" s="320" t="s">
        <v>1507</v>
      </c>
      <c r="B549" s="154" t="s">
        <v>46</v>
      </c>
      <c r="C549" s="154" t="s">
        <v>1379</v>
      </c>
      <c r="D549" s="148" t="s">
        <v>1380</v>
      </c>
      <c r="E549" s="154" t="s">
        <v>16</v>
      </c>
      <c r="F549" s="146">
        <f>0.5*0.54*20</f>
        <v>5.4</v>
      </c>
      <c r="G549" s="146">
        <v>65.84</v>
      </c>
      <c r="H549" s="146">
        <f t="shared" ref="H549" si="181">G549*(1+$L$16)</f>
        <v>81.758392452387028</v>
      </c>
      <c r="I549" s="313">
        <f t="shared" ref="I549" si="182">ROUND(F549*H549,2)</f>
        <v>441.5</v>
      </c>
      <c r="J549" s="251"/>
      <c r="K549" s="25"/>
      <c r="L549" s="133"/>
      <c r="M549" s="25"/>
      <c r="N549" s="25"/>
      <c r="O549" s="25"/>
      <c r="P549" s="25"/>
      <c r="R549" s="25"/>
    </row>
    <row r="550" spans="1:63" s="26" customFormat="1" ht="57" x14ac:dyDescent="0.2">
      <c r="A550" s="320" t="s">
        <v>1508</v>
      </c>
      <c r="B550" s="154" t="s">
        <v>46</v>
      </c>
      <c r="C550" s="154">
        <v>87457</v>
      </c>
      <c r="D550" s="148" t="s">
        <v>1718</v>
      </c>
      <c r="E550" s="154" t="s">
        <v>16</v>
      </c>
      <c r="F550" s="146">
        <f>10.2*2*2*0.67</f>
        <v>27.335999999999999</v>
      </c>
      <c r="G550" s="146">
        <v>65.55</v>
      </c>
      <c r="H550" s="146">
        <f t="shared" ref="H550" si="183">G550*(1+$L$16)</f>
        <v>81.398278026336101</v>
      </c>
      <c r="I550" s="313">
        <f t="shared" ref="I550" si="184">ROUND(F550*H550,2)</f>
        <v>2225.1</v>
      </c>
      <c r="J550" s="251"/>
      <c r="K550" s="25"/>
      <c r="L550" s="133"/>
      <c r="M550" s="25"/>
      <c r="N550" s="25"/>
      <c r="O550" s="25"/>
      <c r="P550" s="25"/>
      <c r="R550" s="25"/>
    </row>
    <row r="551" spans="1:63" s="26" customFormat="1" ht="30" customHeight="1" x14ac:dyDescent="0.2">
      <c r="A551" s="320" t="s">
        <v>1509</v>
      </c>
      <c r="B551" s="154" t="s">
        <v>46</v>
      </c>
      <c r="C551" s="226">
        <v>87449</v>
      </c>
      <c r="D551" s="156" t="s">
        <v>423</v>
      </c>
      <c r="E551" s="154" t="s">
        <v>16</v>
      </c>
      <c r="F551" s="146">
        <f>65*2.4*2</f>
        <v>312</v>
      </c>
      <c r="G551" s="146">
        <v>58.15</v>
      </c>
      <c r="H551" s="146">
        <f t="shared" si="173"/>
        <v>72.209151292623105</v>
      </c>
      <c r="I551" s="313">
        <f t="shared" si="174"/>
        <v>22529.26</v>
      </c>
      <c r="J551" s="251"/>
      <c r="K551" s="25"/>
      <c r="L551" s="133"/>
      <c r="M551" s="25"/>
      <c r="N551" s="25"/>
      <c r="O551" s="25"/>
      <c r="P551" s="25"/>
      <c r="R551" s="25"/>
    </row>
    <row r="552" spans="1:63" s="26" customFormat="1" x14ac:dyDescent="0.2">
      <c r="A552" s="320" t="s">
        <v>1717</v>
      </c>
      <c r="B552" s="226" t="s">
        <v>46</v>
      </c>
      <c r="C552" s="226">
        <v>83683</v>
      </c>
      <c r="D552" s="147" t="s">
        <v>826</v>
      </c>
      <c r="E552" s="226" t="s">
        <v>17</v>
      </c>
      <c r="F552" s="146">
        <f>15*8.25*4*0.55</f>
        <v>272.25</v>
      </c>
      <c r="G552" s="146">
        <v>104.94</v>
      </c>
      <c r="H552" s="146">
        <f t="shared" si="173"/>
        <v>130.31175127511383</v>
      </c>
      <c r="I552" s="313">
        <f t="shared" si="174"/>
        <v>35477.370000000003</v>
      </c>
      <c r="J552" s="251"/>
      <c r="K552" s="25"/>
      <c r="L552" s="133"/>
      <c r="M552" s="25"/>
      <c r="N552" s="25"/>
      <c r="O552" s="25"/>
      <c r="P552" s="25"/>
      <c r="R552" s="25"/>
    </row>
    <row r="553" spans="1:63" s="26" customFormat="1" ht="20.25" customHeight="1" x14ac:dyDescent="0.2">
      <c r="A553" s="320" t="s">
        <v>1977</v>
      </c>
      <c r="B553" s="226" t="s">
        <v>46</v>
      </c>
      <c r="C553" s="226" t="s">
        <v>90</v>
      </c>
      <c r="D553" s="147" t="s">
        <v>1</v>
      </c>
      <c r="E553" s="226" t="s">
        <v>17</v>
      </c>
      <c r="F553" s="146">
        <f>15*8.25*4*0.3</f>
        <v>148.5</v>
      </c>
      <c r="G553" s="146">
        <v>75.55</v>
      </c>
      <c r="H553" s="146">
        <f t="shared" si="173"/>
        <v>93.816016855678001</v>
      </c>
      <c r="I553" s="313">
        <f t="shared" si="174"/>
        <v>13931.68</v>
      </c>
      <c r="J553" s="251"/>
      <c r="K553" s="25"/>
      <c r="L553" s="133"/>
      <c r="M553" s="25"/>
      <c r="N553" s="25"/>
      <c r="O553" s="25"/>
      <c r="P553" s="25"/>
      <c r="R553" s="25"/>
    </row>
    <row r="554" spans="1:63" s="26" customFormat="1" ht="28.5" x14ac:dyDescent="0.2">
      <c r="A554" s="320" t="s">
        <v>1978</v>
      </c>
      <c r="B554" s="154" t="s">
        <v>336</v>
      </c>
      <c r="C554" s="154" t="str">
        <f>COMPOSIÇÕES!C541</f>
        <v>CE-043</v>
      </c>
      <c r="D554" s="148" t="str">
        <f>COMPOSIÇÕES!D541</f>
        <v>ASSENTAMENTO DE TIJOLOS MACIÇOS REQUEIMADOS COM JUNTAS DE 3cm COM AREIA</v>
      </c>
      <c r="E554" s="154" t="s">
        <v>19</v>
      </c>
      <c r="F554" s="146">
        <v>1</v>
      </c>
      <c r="G554" s="146">
        <f>COMPOSIÇÕES!I541</f>
        <v>8492.24</v>
      </c>
      <c r="H554" s="146">
        <f t="shared" si="173"/>
        <v>10545.44183960904</v>
      </c>
      <c r="I554" s="313">
        <f t="shared" si="174"/>
        <v>10545.44</v>
      </c>
      <c r="J554" s="251"/>
      <c r="K554" s="25"/>
      <c r="L554" s="133"/>
      <c r="M554" s="25"/>
      <c r="N554" s="25"/>
      <c r="O554" s="25"/>
      <c r="P554" s="25"/>
      <c r="R554" s="25"/>
    </row>
    <row r="555" spans="1:63" s="26" customFormat="1" ht="42.75" x14ac:dyDescent="0.2">
      <c r="A555" s="320" t="s">
        <v>1979</v>
      </c>
      <c r="B555" s="154" t="s">
        <v>336</v>
      </c>
      <c r="C555" s="154" t="str">
        <f>COMPOSIÇÕES!C547</f>
        <v>CE-044</v>
      </c>
      <c r="D555" s="148" t="s">
        <v>191</v>
      </c>
      <c r="E555" s="154" t="s">
        <v>19</v>
      </c>
      <c r="F555" s="146">
        <v>8</v>
      </c>
      <c r="G555" s="146">
        <f>COMPOSIÇÕES!I547</f>
        <v>180.93</v>
      </c>
      <c r="H555" s="146">
        <f t="shared" si="173"/>
        <v>224.67414863928289</v>
      </c>
      <c r="I555" s="313">
        <f t="shared" si="174"/>
        <v>1797.39</v>
      </c>
      <c r="J555" s="251"/>
      <c r="K555" s="25"/>
      <c r="L555" s="133"/>
      <c r="M555" s="25"/>
      <c r="N555" s="25"/>
      <c r="O555" s="25"/>
      <c r="P555" s="25"/>
      <c r="R555" s="25"/>
    </row>
    <row r="556" spans="1:63" s="26" customFormat="1" ht="30" customHeight="1" x14ac:dyDescent="0.2">
      <c r="A556" s="320" t="s">
        <v>1980</v>
      </c>
      <c r="B556" s="226" t="s">
        <v>336</v>
      </c>
      <c r="C556" s="226" t="str">
        <f>COMPOSIÇÕES!C553</f>
        <v>CE-045</v>
      </c>
      <c r="D556" s="147" t="s">
        <v>1382</v>
      </c>
      <c r="E556" s="226" t="s">
        <v>20</v>
      </c>
      <c r="F556" s="146">
        <v>2</v>
      </c>
      <c r="G556" s="146">
        <f>COMPOSIÇÕES!I553</f>
        <v>13249.76</v>
      </c>
      <c r="H556" s="146">
        <f>G556*(1+$L$16)</f>
        <v>16453.205923146106</v>
      </c>
      <c r="I556" s="313">
        <f t="shared" si="174"/>
        <v>32906.410000000003</v>
      </c>
      <c r="J556" s="251"/>
      <c r="K556" s="25"/>
      <c r="L556" s="133"/>
      <c r="M556" s="25"/>
      <c r="N556" s="25"/>
      <c r="O556" s="25"/>
      <c r="P556" s="25"/>
      <c r="R556" s="25"/>
    </row>
    <row r="557" spans="1:63" s="26" customFormat="1" x14ac:dyDescent="0.2">
      <c r="A557" s="320"/>
      <c r="B557" s="226"/>
      <c r="C557" s="226"/>
      <c r="D557" s="147"/>
      <c r="E557" s="226"/>
      <c r="F557" s="146"/>
      <c r="G557" s="146"/>
      <c r="H557" s="146"/>
      <c r="I557" s="313"/>
      <c r="J557" s="251"/>
      <c r="K557" s="25"/>
      <c r="L557" s="133"/>
      <c r="M557" s="25"/>
      <c r="N557" s="25"/>
      <c r="O557" s="25"/>
      <c r="P557" s="25"/>
      <c r="R557" s="25"/>
    </row>
    <row r="558" spans="1:63" s="26" customFormat="1" x14ac:dyDescent="0.2">
      <c r="A558" s="320"/>
      <c r="B558" s="226"/>
      <c r="C558" s="226"/>
      <c r="D558" s="147"/>
      <c r="E558" s="226"/>
      <c r="F558" s="146"/>
      <c r="G558" s="146"/>
      <c r="H558" s="146"/>
      <c r="I558" s="313"/>
      <c r="J558" s="251"/>
      <c r="K558" s="25"/>
      <c r="L558" s="133"/>
      <c r="M558" s="25"/>
      <c r="N558" s="25"/>
      <c r="O558" s="25"/>
      <c r="P558" s="25"/>
      <c r="R558" s="25"/>
    </row>
    <row r="559" spans="1:63" s="127" customFormat="1" ht="15" thickBot="1" x14ac:dyDescent="0.25">
      <c r="A559" s="572"/>
      <c r="B559" s="573"/>
      <c r="C559" s="573"/>
      <c r="D559" s="574"/>
      <c r="E559" s="573"/>
      <c r="F559" s="575"/>
      <c r="G559" s="575"/>
      <c r="H559" s="575"/>
      <c r="I559" s="576"/>
      <c r="J559" s="142"/>
      <c r="K559" s="138"/>
      <c r="L559" s="138"/>
      <c r="M559" s="138"/>
      <c r="N559" s="25"/>
      <c r="O559" s="25"/>
      <c r="P559" s="25"/>
      <c r="Q559" s="26"/>
      <c r="R559" s="25"/>
      <c r="S559" s="26"/>
      <c r="T559" s="26"/>
      <c r="U559" s="26"/>
      <c r="V559" s="26"/>
      <c r="W559" s="128"/>
      <c r="X559" s="128"/>
      <c r="Y559" s="128"/>
      <c r="Z559" s="128"/>
      <c r="AA559" s="128"/>
      <c r="AB559" s="128"/>
      <c r="AC559" s="128"/>
      <c r="AD559" s="128"/>
      <c r="AE559" s="128"/>
      <c r="AF559" s="128"/>
      <c r="AG559" s="128"/>
      <c r="AH559" s="128"/>
      <c r="AI559" s="128"/>
      <c r="AJ559" s="128"/>
      <c r="AK559" s="128"/>
      <c r="AL559" s="128"/>
      <c r="AM559" s="128"/>
      <c r="AN559" s="128"/>
      <c r="AO559" s="128"/>
      <c r="AP559" s="128"/>
      <c r="AQ559" s="128"/>
      <c r="AR559" s="128"/>
      <c r="AS559" s="128"/>
      <c r="AT559" s="128"/>
      <c r="AU559" s="128"/>
      <c r="AV559" s="128"/>
      <c r="AW559" s="128"/>
      <c r="AX559" s="128"/>
      <c r="AY559" s="128"/>
      <c r="AZ559" s="128"/>
      <c r="BA559" s="128"/>
      <c r="BB559" s="128"/>
      <c r="BC559" s="128"/>
      <c r="BD559" s="128"/>
      <c r="BE559" s="128"/>
      <c r="BF559" s="128"/>
      <c r="BG559" s="128"/>
      <c r="BH559" s="128"/>
      <c r="BI559" s="128"/>
      <c r="BJ559" s="128"/>
      <c r="BK559" s="128"/>
    </row>
    <row r="560" spans="1:63" s="26" customFormat="1" ht="15" customHeight="1" x14ac:dyDescent="0.2">
      <c r="A560" s="921" t="s">
        <v>328</v>
      </c>
      <c r="B560" s="922"/>
      <c r="C560" s="922"/>
      <c r="D560" s="923" t="s">
        <v>74</v>
      </c>
      <c r="E560" s="922"/>
      <c r="F560" s="924"/>
      <c r="G560" s="925"/>
      <c r="H560" s="926"/>
      <c r="I560" s="927">
        <f>SUM(I561:I590)</f>
        <v>130306.38000000003</v>
      </c>
      <c r="J560" s="262"/>
      <c r="K560" s="25"/>
      <c r="L560" s="132"/>
      <c r="M560" s="25"/>
      <c r="N560" s="25"/>
      <c r="O560" s="25"/>
      <c r="P560" s="25"/>
      <c r="R560" s="25"/>
    </row>
    <row r="561" spans="1:22" s="128" customFormat="1" ht="42.75" x14ac:dyDescent="0.2">
      <c r="A561" s="320" t="s">
        <v>1164</v>
      </c>
      <c r="B561" s="154" t="s">
        <v>46</v>
      </c>
      <c r="C561" s="226" t="s">
        <v>703</v>
      </c>
      <c r="D561" s="147" t="s">
        <v>704</v>
      </c>
      <c r="E561" s="154" t="s">
        <v>16</v>
      </c>
      <c r="F561" s="146">
        <v>151.29</v>
      </c>
      <c r="G561" s="146">
        <v>8.3000000000000007</v>
      </c>
      <c r="H561" s="146">
        <f t="shared" ref="H561:H589" si="185">G561*(1+$L$16)</f>
        <v>10.306723228353773</v>
      </c>
      <c r="I561" s="313">
        <f>ROUND(F561*H561,2)</f>
        <v>1559.3</v>
      </c>
      <c r="J561" s="251"/>
      <c r="K561" s="138"/>
      <c r="L561" s="138"/>
      <c r="M561" s="138"/>
      <c r="N561" s="25"/>
      <c r="O561" s="25"/>
      <c r="P561" s="25"/>
      <c r="Q561" s="26"/>
      <c r="R561" s="25"/>
      <c r="S561" s="26"/>
      <c r="T561" s="26"/>
      <c r="U561" s="26"/>
      <c r="V561" s="26"/>
    </row>
    <row r="562" spans="1:22" s="26" customFormat="1" ht="30" customHeight="1" x14ac:dyDescent="0.2">
      <c r="A562" s="320" t="s">
        <v>1165</v>
      </c>
      <c r="B562" s="154" t="s">
        <v>46</v>
      </c>
      <c r="C562" s="154">
        <v>73672</v>
      </c>
      <c r="D562" s="148" t="s">
        <v>696</v>
      </c>
      <c r="E562" s="154" t="s">
        <v>16</v>
      </c>
      <c r="F562" s="146">
        <v>151.29</v>
      </c>
      <c r="G562" s="146">
        <v>0.4</v>
      </c>
      <c r="H562" s="146">
        <f t="shared" si="185"/>
        <v>0.49670955317367577</v>
      </c>
      <c r="I562" s="313">
        <f t="shared" ref="I562:I590" si="186">ROUND(F562*H562,2)</f>
        <v>75.150000000000006</v>
      </c>
      <c r="J562" s="251"/>
      <c r="K562" s="25"/>
      <c r="L562" s="133"/>
      <c r="M562" s="25"/>
      <c r="N562" s="25"/>
      <c r="O562" s="25"/>
      <c r="P562" s="25"/>
      <c r="R562" s="25"/>
    </row>
    <row r="563" spans="1:22" s="128" customFormat="1" x14ac:dyDescent="0.2">
      <c r="A563" s="320" t="s">
        <v>1510</v>
      </c>
      <c r="B563" s="154" t="s">
        <v>46</v>
      </c>
      <c r="C563" s="154">
        <v>93358</v>
      </c>
      <c r="D563" s="148" t="s">
        <v>776</v>
      </c>
      <c r="E563" s="154" t="s">
        <v>17</v>
      </c>
      <c r="F563" s="146">
        <v>15</v>
      </c>
      <c r="G563" s="146">
        <v>65.819999999999993</v>
      </c>
      <c r="H563" s="146">
        <f t="shared" si="185"/>
        <v>81.73355697472833</v>
      </c>
      <c r="I563" s="313">
        <f t="shared" si="186"/>
        <v>1226</v>
      </c>
      <c r="J563" s="251"/>
      <c r="K563" s="138"/>
      <c r="L563" s="138"/>
      <c r="M563" s="138"/>
      <c r="N563" s="25"/>
      <c r="O563" s="25"/>
      <c r="P563" s="25"/>
      <c r="Q563" s="26"/>
      <c r="R563" s="25"/>
      <c r="S563" s="26"/>
      <c r="T563" s="26"/>
      <c r="U563" s="26"/>
      <c r="V563" s="26"/>
    </row>
    <row r="564" spans="1:22" s="128" customFormat="1" ht="28.5" x14ac:dyDescent="0.2">
      <c r="A564" s="320" t="s">
        <v>1166</v>
      </c>
      <c r="B564" s="154" t="s">
        <v>46</v>
      </c>
      <c r="C564" s="154" t="s">
        <v>64</v>
      </c>
      <c r="D564" s="148" t="s">
        <v>65</v>
      </c>
      <c r="E564" s="154" t="s">
        <v>17</v>
      </c>
      <c r="F564" s="146">
        <v>4</v>
      </c>
      <c r="G564" s="146">
        <v>4.84</v>
      </c>
      <c r="H564" s="146">
        <f t="shared" si="185"/>
        <v>6.0101855934014763</v>
      </c>
      <c r="I564" s="313">
        <f t="shared" si="186"/>
        <v>24.04</v>
      </c>
      <c r="J564" s="251"/>
      <c r="K564" s="138"/>
      <c r="L564" s="138"/>
      <c r="M564" s="138"/>
      <c r="N564" s="25"/>
      <c r="O564" s="25"/>
      <c r="P564" s="25"/>
      <c r="Q564" s="26"/>
      <c r="R564" s="25"/>
      <c r="S564" s="26"/>
      <c r="T564" s="26"/>
      <c r="U564" s="26"/>
      <c r="V564" s="26"/>
    </row>
    <row r="565" spans="1:22" s="128" customFormat="1" ht="28.5" x14ac:dyDescent="0.2">
      <c r="A565" s="320" t="s">
        <v>1167</v>
      </c>
      <c r="B565" s="154" t="s">
        <v>46</v>
      </c>
      <c r="C565" s="154" t="s">
        <v>58</v>
      </c>
      <c r="D565" s="148" t="s">
        <v>59</v>
      </c>
      <c r="E565" s="154" t="s">
        <v>17</v>
      </c>
      <c r="F565" s="146">
        <v>11</v>
      </c>
      <c r="G565" s="146">
        <v>1.94</v>
      </c>
      <c r="H565" s="146">
        <f t="shared" si="185"/>
        <v>2.4090413328923272</v>
      </c>
      <c r="I565" s="313">
        <f t="shared" si="186"/>
        <v>26.5</v>
      </c>
      <c r="J565" s="251"/>
      <c r="K565" s="138"/>
      <c r="L565" s="138"/>
      <c r="M565" s="138"/>
      <c r="N565" s="25"/>
      <c r="O565" s="25"/>
      <c r="P565" s="25"/>
      <c r="Q565" s="26"/>
      <c r="R565" s="25"/>
      <c r="S565" s="26"/>
      <c r="T565" s="26"/>
      <c r="U565" s="26"/>
      <c r="V565" s="26"/>
    </row>
    <row r="566" spans="1:22" s="128" customFormat="1" ht="42.75" x14ac:dyDescent="0.2">
      <c r="A566" s="320" t="s">
        <v>1168</v>
      </c>
      <c r="B566" s="154" t="s">
        <v>336</v>
      </c>
      <c r="C566" s="154" t="str">
        <f>COMPOSIÇÕES!C568</f>
        <v>CE-046</v>
      </c>
      <c r="D566" s="148" t="str">
        <f>COMPOSIÇÕES!D568</f>
        <v>CRAVAMENTO DE ESTACAS PRÉ-MOLDADA DE CONCRETO,  SEÇÃO QUADRADA, CAPACIDADE DE 50 TONELADAS, COMPRIMENTO TOTAL CRAVADO ATÉ 8,00M, BATE-ESTACAS POR GRAVIDADE SOBRE ROLOS</v>
      </c>
      <c r="E566" s="154" t="s">
        <v>19</v>
      </c>
      <c r="F566" s="146">
        <v>1</v>
      </c>
      <c r="G566" s="146">
        <f>COMPOSIÇÕES!I568</f>
        <v>5627.94</v>
      </c>
      <c r="H566" s="146">
        <f t="shared" ref="H566" si="187">G566*(1+$L$16)</f>
        <v>6988.6289067206408</v>
      </c>
      <c r="I566" s="313">
        <f t="shared" ref="I566" si="188">ROUND(F566*H566,2)</f>
        <v>6988.63</v>
      </c>
      <c r="J566" s="251"/>
      <c r="K566" s="138"/>
      <c r="L566" s="138"/>
      <c r="M566" s="138"/>
      <c r="N566" s="25"/>
      <c r="O566" s="25"/>
      <c r="P566" s="25"/>
      <c r="Q566" s="26"/>
      <c r="R566" s="25"/>
      <c r="S566" s="26"/>
      <c r="T566" s="26"/>
      <c r="U566" s="26"/>
      <c r="V566" s="26"/>
    </row>
    <row r="567" spans="1:22" s="26" customFormat="1" ht="30" customHeight="1" x14ac:dyDescent="0.2">
      <c r="A567" s="320" t="s">
        <v>1511</v>
      </c>
      <c r="B567" s="154" t="s">
        <v>46</v>
      </c>
      <c r="C567" s="226">
        <v>94967</v>
      </c>
      <c r="D567" s="147" t="s">
        <v>1320</v>
      </c>
      <c r="E567" s="154" t="s">
        <v>17</v>
      </c>
      <c r="F567" s="146">
        <v>50.3</v>
      </c>
      <c r="G567" s="146">
        <v>331.4</v>
      </c>
      <c r="H567" s="146">
        <f t="shared" si="185"/>
        <v>411.52386480439031</v>
      </c>
      <c r="I567" s="313">
        <f t="shared" si="186"/>
        <v>20699.650000000001</v>
      </c>
      <c r="J567" s="251"/>
      <c r="K567" s="25"/>
      <c r="L567" s="133"/>
      <c r="M567" s="25"/>
      <c r="N567" s="25"/>
      <c r="O567" s="25"/>
      <c r="P567" s="25"/>
      <c r="R567" s="25"/>
    </row>
    <row r="568" spans="1:22" s="26" customFormat="1" ht="30" customHeight="1" x14ac:dyDescent="0.2">
      <c r="A568" s="320" t="s">
        <v>1169</v>
      </c>
      <c r="B568" s="154" t="s">
        <v>46</v>
      </c>
      <c r="C568" s="226">
        <v>92873</v>
      </c>
      <c r="D568" s="147" t="s">
        <v>1401</v>
      </c>
      <c r="E568" s="154" t="s">
        <v>17</v>
      </c>
      <c r="F568" s="146">
        <f>F567</f>
        <v>50.3</v>
      </c>
      <c r="G568" s="146">
        <v>164.08</v>
      </c>
      <c r="H568" s="146">
        <f t="shared" ref="H568" si="189">G568*(1+$L$16)</f>
        <v>203.75025871184181</v>
      </c>
      <c r="I568" s="313">
        <f t="shared" ref="I568" si="190">ROUND(F568*H568,2)</f>
        <v>10248.64</v>
      </c>
      <c r="J568" s="251"/>
      <c r="K568" s="25"/>
      <c r="L568" s="133"/>
      <c r="M568" s="25"/>
      <c r="N568" s="25"/>
      <c r="O568" s="25"/>
      <c r="P568" s="25"/>
      <c r="R568" s="25"/>
    </row>
    <row r="569" spans="1:22" s="26" customFormat="1" ht="30" customHeight="1" x14ac:dyDescent="0.2">
      <c r="A569" s="320" t="s">
        <v>1170</v>
      </c>
      <c r="B569" s="154" t="s">
        <v>46</v>
      </c>
      <c r="C569" s="154">
        <v>5970</v>
      </c>
      <c r="D569" s="148" t="s">
        <v>1398</v>
      </c>
      <c r="E569" s="154" t="s">
        <v>16</v>
      </c>
      <c r="F569" s="146">
        <v>129.9</v>
      </c>
      <c r="G569" s="146">
        <v>49.6</v>
      </c>
      <c r="H569" s="146">
        <f t="shared" si="185"/>
        <v>61.591984593535791</v>
      </c>
      <c r="I569" s="313">
        <f t="shared" si="186"/>
        <v>8000.8</v>
      </c>
      <c r="J569" s="251"/>
      <c r="K569" s="25"/>
      <c r="L569" s="133"/>
      <c r="M569" s="25"/>
      <c r="N569" s="25"/>
      <c r="O569" s="25"/>
      <c r="P569" s="25"/>
      <c r="R569" s="25"/>
    </row>
    <row r="570" spans="1:22" s="336" customFormat="1" x14ac:dyDescent="0.2">
      <c r="A570" s="320" t="s">
        <v>1512</v>
      </c>
      <c r="B570" s="226" t="s">
        <v>46</v>
      </c>
      <c r="C570" s="226">
        <v>34456</v>
      </c>
      <c r="D570" s="148" t="s">
        <v>1323</v>
      </c>
      <c r="E570" s="226" t="s">
        <v>170</v>
      </c>
      <c r="F570" s="146">
        <v>68</v>
      </c>
      <c r="G570" s="146">
        <v>3.7</v>
      </c>
      <c r="H570" s="146">
        <f>ROUND((1+$K$16)*G570,2)</f>
        <v>4.22</v>
      </c>
      <c r="I570" s="571">
        <f t="shared" si="186"/>
        <v>286.95999999999998</v>
      </c>
      <c r="J570" s="335"/>
      <c r="K570" s="335"/>
      <c r="L570" s="335"/>
      <c r="M570" s="335"/>
      <c r="N570" s="335"/>
      <c r="O570" s="335"/>
    </row>
    <row r="571" spans="1:22" s="336" customFormat="1" x14ac:dyDescent="0.2">
      <c r="A571" s="320" t="s">
        <v>1513</v>
      </c>
      <c r="B571" s="226" t="s">
        <v>46</v>
      </c>
      <c r="C571" s="226">
        <v>33</v>
      </c>
      <c r="D571" s="148" t="s">
        <v>772</v>
      </c>
      <c r="E571" s="226" t="s">
        <v>170</v>
      </c>
      <c r="F571" s="146">
        <v>74</v>
      </c>
      <c r="G571" s="146">
        <v>4.1900000000000004</v>
      </c>
      <c r="H571" s="146">
        <f t="shared" ref="H571:H573" si="191">ROUND((1+$K$16)*G571,2)</f>
        <v>4.78</v>
      </c>
      <c r="I571" s="571">
        <f t="shared" si="186"/>
        <v>353.72</v>
      </c>
      <c r="J571" s="335"/>
      <c r="K571" s="335"/>
      <c r="L571" s="335"/>
      <c r="M571" s="335"/>
      <c r="N571" s="335"/>
      <c r="O571" s="335"/>
    </row>
    <row r="572" spans="1:22" s="336" customFormat="1" x14ac:dyDescent="0.2">
      <c r="A572" s="320" t="s">
        <v>1514</v>
      </c>
      <c r="B572" s="226" t="s">
        <v>46</v>
      </c>
      <c r="C572" s="226">
        <v>34439</v>
      </c>
      <c r="D572" s="148" t="s">
        <v>771</v>
      </c>
      <c r="E572" s="226" t="s">
        <v>170</v>
      </c>
      <c r="F572" s="146">
        <v>148</v>
      </c>
      <c r="G572" s="146">
        <v>4</v>
      </c>
      <c r="H572" s="146">
        <f t="shared" si="191"/>
        <v>4.5599999999999996</v>
      </c>
      <c r="I572" s="571">
        <f t="shared" si="186"/>
        <v>674.88</v>
      </c>
      <c r="J572" s="335"/>
      <c r="K572" s="335"/>
      <c r="L572" s="335"/>
      <c r="M572" s="335"/>
      <c r="N572" s="335"/>
      <c r="O572" s="335"/>
    </row>
    <row r="573" spans="1:22" s="336" customFormat="1" x14ac:dyDescent="0.2">
      <c r="A573" s="320" t="s">
        <v>1515</v>
      </c>
      <c r="B573" s="226" t="s">
        <v>46</v>
      </c>
      <c r="C573" s="226">
        <v>34441</v>
      </c>
      <c r="D573" s="148" t="s">
        <v>1352</v>
      </c>
      <c r="E573" s="226" t="s">
        <v>170</v>
      </c>
      <c r="F573" s="146">
        <v>78</v>
      </c>
      <c r="G573" s="146">
        <v>3.8</v>
      </c>
      <c r="H573" s="146">
        <f t="shared" si="191"/>
        <v>4.33</v>
      </c>
      <c r="I573" s="571">
        <f t="shared" si="186"/>
        <v>337.74</v>
      </c>
      <c r="J573" s="335"/>
      <c r="K573" s="335"/>
      <c r="L573" s="335"/>
      <c r="M573" s="335"/>
      <c r="N573" s="335"/>
      <c r="O573" s="335"/>
    </row>
    <row r="574" spans="1:22" s="128" customFormat="1" ht="57" x14ac:dyDescent="0.2">
      <c r="A574" s="320" t="s">
        <v>1516</v>
      </c>
      <c r="B574" s="154" t="s">
        <v>46</v>
      </c>
      <c r="C574" s="154" t="s">
        <v>421</v>
      </c>
      <c r="D574" s="148" t="s">
        <v>1399</v>
      </c>
      <c r="E574" s="154" t="s">
        <v>19</v>
      </c>
      <c r="F574" s="146">
        <v>3</v>
      </c>
      <c r="G574" s="146">
        <v>138.11000000000001</v>
      </c>
      <c r="H574" s="146">
        <f t="shared" si="185"/>
        <v>171.50139097204089</v>
      </c>
      <c r="I574" s="313">
        <f t="shared" si="186"/>
        <v>514.5</v>
      </c>
      <c r="J574" s="251"/>
      <c r="K574" s="138"/>
      <c r="L574" s="138"/>
      <c r="M574" s="138"/>
      <c r="N574" s="25"/>
      <c r="O574" s="25"/>
      <c r="P574" s="25"/>
      <c r="Q574" s="26"/>
      <c r="R574" s="25"/>
      <c r="S574" s="26"/>
      <c r="T574" s="26"/>
      <c r="U574" s="26"/>
      <c r="V574" s="26"/>
    </row>
    <row r="575" spans="1:22" s="128" customFormat="1" ht="28.5" x14ac:dyDescent="0.2">
      <c r="A575" s="320" t="s">
        <v>1517</v>
      </c>
      <c r="B575" s="154" t="s">
        <v>46</v>
      </c>
      <c r="C575" s="154" t="s">
        <v>155</v>
      </c>
      <c r="D575" s="148" t="s">
        <v>154</v>
      </c>
      <c r="E575" s="154" t="s">
        <v>19</v>
      </c>
      <c r="F575" s="146">
        <v>1</v>
      </c>
      <c r="G575" s="146">
        <v>208.47</v>
      </c>
      <c r="H575" s="146">
        <f t="shared" si="185"/>
        <v>258.87260137529046</v>
      </c>
      <c r="I575" s="313">
        <f t="shared" si="186"/>
        <v>258.87</v>
      </c>
      <c r="J575" s="251"/>
      <c r="K575" s="138"/>
      <c r="L575" s="138"/>
      <c r="M575" s="138"/>
      <c r="N575" s="25"/>
      <c r="O575" s="25"/>
      <c r="P575" s="25"/>
      <c r="Q575" s="26"/>
      <c r="R575" s="25"/>
      <c r="S575" s="26"/>
      <c r="T575" s="26"/>
      <c r="U575" s="26"/>
      <c r="V575" s="26"/>
    </row>
    <row r="576" spans="1:22" s="26" customFormat="1" ht="57.75" thickBot="1" x14ac:dyDescent="0.25">
      <c r="A576" s="920" t="s">
        <v>1518</v>
      </c>
      <c r="B576" s="913" t="s">
        <v>46</v>
      </c>
      <c r="C576" s="913">
        <v>87480</v>
      </c>
      <c r="D576" s="584" t="s">
        <v>1381</v>
      </c>
      <c r="E576" s="586" t="s">
        <v>16</v>
      </c>
      <c r="F576" s="585">
        <f>25.75*3+35.7*0.9</f>
        <v>109.38</v>
      </c>
      <c r="G576" s="585">
        <v>46.04</v>
      </c>
      <c r="H576" s="585">
        <f t="shared" si="185"/>
        <v>57.171269570290079</v>
      </c>
      <c r="I576" s="915">
        <f t="shared" si="186"/>
        <v>6253.39</v>
      </c>
      <c r="J576" s="251"/>
      <c r="K576" s="25"/>
      <c r="L576" s="133"/>
      <c r="M576" s="25"/>
      <c r="N576" s="25"/>
      <c r="O576" s="25"/>
      <c r="P576" s="25"/>
      <c r="R576" s="25"/>
    </row>
    <row r="577" spans="1:22" s="128" customFormat="1" ht="57" x14ac:dyDescent="0.2">
      <c r="A577" s="918" t="s">
        <v>1519</v>
      </c>
      <c r="B577" s="910" t="s">
        <v>46</v>
      </c>
      <c r="C577" s="910">
        <v>87481</v>
      </c>
      <c r="D577" s="931" t="s">
        <v>1400</v>
      </c>
      <c r="E577" s="910" t="s">
        <v>16</v>
      </c>
      <c r="F577" s="901">
        <f>35.7*3</f>
        <v>107.10000000000001</v>
      </c>
      <c r="G577" s="901">
        <v>53.57</v>
      </c>
      <c r="H577" s="901">
        <f t="shared" si="185"/>
        <v>66.521826908784519</v>
      </c>
      <c r="I577" s="919">
        <f t="shared" si="186"/>
        <v>7124.49</v>
      </c>
      <c r="J577" s="251"/>
      <c r="K577" s="138"/>
      <c r="L577" s="138"/>
      <c r="M577" s="138"/>
      <c r="N577" s="25"/>
      <c r="O577" s="25"/>
      <c r="P577" s="25"/>
      <c r="Q577" s="26"/>
      <c r="R577" s="25"/>
      <c r="S577" s="26"/>
      <c r="T577" s="26"/>
      <c r="U577" s="26"/>
      <c r="V577" s="26"/>
    </row>
    <row r="578" spans="1:22" s="26" customFormat="1" ht="42.75" x14ac:dyDescent="0.2">
      <c r="A578" s="320" t="s">
        <v>1520</v>
      </c>
      <c r="B578" s="226" t="s">
        <v>46</v>
      </c>
      <c r="C578" s="154">
        <v>92541</v>
      </c>
      <c r="D578" s="148" t="s">
        <v>1720</v>
      </c>
      <c r="E578" s="226" t="s">
        <v>16</v>
      </c>
      <c r="F578" s="146">
        <f>8.2*7.85</f>
        <v>64.36999999999999</v>
      </c>
      <c r="G578" s="236">
        <v>44.87</v>
      </c>
      <c r="H578" s="327">
        <f t="shared" ref="H578:H581" si="192">G578</f>
        <v>44.87</v>
      </c>
      <c r="I578" s="313">
        <f t="shared" si="186"/>
        <v>2888.28</v>
      </c>
      <c r="J578" s="27"/>
      <c r="K578" s="27"/>
      <c r="L578" s="27"/>
      <c r="M578" s="27"/>
      <c r="N578" s="27"/>
      <c r="O578" s="27"/>
      <c r="P578" s="27"/>
      <c r="Q578" s="27"/>
    </row>
    <row r="579" spans="1:22" s="26" customFormat="1" ht="28.5" x14ac:dyDescent="0.2">
      <c r="A579" s="320" t="s">
        <v>1521</v>
      </c>
      <c r="B579" s="226" t="s">
        <v>46</v>
      </c>
      <c r="C579" s="154">
        <v>94201</v>
      </c>
      <c r="D579" s="148" t="s">
        <v>1721</v>
      </c>
      <c r="E579" s="226" t="s">
        <v>16</v>
      </c>
      <c r="F579" s="146">
        <f>F578</f>
        <v>64.36999999999999</v>
      </c>
      <c r="G579" s="236">
        <v>44.75</v>
      </c>
      <c r="H579" s="327">
        <f t="shared" si="192"/>
        <v>44.75</v>
      </c>
      <c r="I579" s="313">
        <f t="shared" si="186"/>
        <v>2880.56</v>
      </c>
      <c r="J579" s="27"/>
      <c r="K579" s="27"/>
      <c r="L579" s="27"/>
      <c r="M579" s="27"/>
      <c r="N579" s="27"/>
      <c r="O579" s="27"/>
      <c r="P579" s="27"/>
      <c r="Q579" s="27"/>
    </row>
    <row r="580" spans="1:22" s="26" customFormat="1" ht="28.5" x14ac:dyDescent="0.2">
      <c r="A580" s="320" t="s">
        <v>1522</v>
      </c>
      <c r="B580" s="226" t="s">
        <v>46</v>
      </c>
      <c r="C580" s="226">
        <v>91341</v>
      </c>
      <c r="D580" s="156" t="s">
        <v>1719</v>
      </c>
      <c r="E580" s="226" t="s">
        <v>16</v>
      </c>
      <c r="F580" s="146">
        <f>0.7*2.1*2+0.8*2.1*3+0.8*2.1*3+1*2.1*2</f>
        <v>17.220000000000002</v>
      </c>
      <c r="G580" s="236">
        <v>695.38</v>
      </c>
      <c r="H580" s="327">
        <f t="shared" si="192"/>
        <v>695.38</v>
      </c>
      <c r="I580" s="313">
        <f t="shared" si="186"/>
        <v>11974.44</v>
      </c>
      <c r="J580" s="27"/>
      <c r="K580" s="27"/>
      <c r="L580" s="27"/>
      <c r="M580" s="27"/>
      <c r="N580" s="27"/>
      <c r="O580" s="27"/>
      <c r="P580" s="27"/>
      <c r="Q580" s="27"/>
    </row>
    <row r="581" spans="1:22" s="26" customFormat="1" ht="42.75" x14ac:dyDescent="0.2">
      <c r="A581" s="320" t="s">
        <v>1523</v>
      </c>
      <c r="B581" s="226" t="s">
        <v>46</v>
      </c>
      <c r="C581" s="226">
        <v>94576</v>
      </c>
      <c r="D581" s="156" t="s">
        <v>1729</v>
      </c>
      <c r="E581" s="226" t="s">
        <v>16</v>
      </c>
      <c r="F581" s="146">
        <f>2*1.7*1+2.5*0.8*2+1.8*0.8*2+1.1*1.7*2</f>
        <v>14.020000000000001</v>
      </c>
      <c r="G581" s="236">
        <v>520.70000000000005</v>
      </c>
      <c r="H581" s="327">
        <f t="shared" si="192"/>
        <v>520.70000000000005</v>
      </c>
      <c r="I581" s="313">
        <f t="shared" si="186"/>
        <v>7300.21</v>
      </c>
      <c r="J581" s="27"/>
      <c r="K581" s="27"/>
      <c r="L581" s="27"/>
      <c r="M581" s="27"/>
      <c r="N581" s="27"/>
      <c r="O581" s="27"/>
      <c r="P581" s="27"/>
      <c r="Q581" s="27"/>
    </row>
    <row r="582" spans="1:22" s="26" customFormat="1" ht="57" x14ac:dyDescent="0.2">
      <c r="A582" s="320" t="s">
        <v>1524</v>
      </c>
      <c r="B582" s="154" t="s">
        <v>46</v>
      </c>
      <c r="C582" s="154">
        <v>87874</v>
      </c>
      <c r="D582" s="148" t="s">
        <v>422</v>
      </c>
      <c r="E582" s="154" t="s">
        <v>16</v>
      </c>
      <c r="F582" s="146">
        <f>(F576+F577)*2</f>
        <v>432.96000000000004</v>
      </c>
      <c r="G582" s="146">
        <v>3.59</v>
      </c>
      <c r="H582" s="146">
        <f t="shared" si="185"/>
        <v>4.4579682397337397</v>
      </c>
      <c r="I582" s="313">
        <f t="shared" si="186"/>
        <v>1930.12</v>
      </c>
      <c r="J582" s="251"/>
      <c r="K582" s="25"/>
      <c r="L582" s="133"/>
      <c r="M582" s="25"/>
      <c r="N582" s="25"/>
      <c r="O582" s="25"/>
      <c r="P582" s="25"/>
      <c r="R582" s="25"/>
    </row>
    <row r="583" spans="1:22" s="26" customFormat="1" ht="57" x14ac:dyDescent="0.2">
      <c r="A583" s="320" t="s">
        <v>1525</v>
      </c>
      <c r="B583" s="154" t="s">
        <v>46</v>
      </c>
      <c r="C583" s="154">
        <v>87547</v>
      </c>
      <c r="D583" s="148" t="s">
        <v>1358</v>
      </c>
      <c r="E583" s="154" t="s">
        <v>16</v>
      </c>
      <c r="F583" s="146">
        <f>F582</f>
        <v>432.96000000000004</v>
      </c>
      <c r="G583" s="146">
        <v>15.94</v>
      </c>
      <c r="H583" s="146">
        <f t="shared" si="185"/>
        <v>19.793875693970978</v>
      </c>
      <c r="I583" s="313">
        <f t="shared" si="186"/>
        <v>8569.9599999999991</v>
      </c>
      <c r="J583" s="251"/>
      <c r="K583" s="25"/>
      <c r="L583" s="133"/>
      <c r="M583" s="25"/>
      <c r="N583" s="25"/>
      <c r="O583" s="25"/>
      <c r="P583" s="25"/>
      <c r="R583" s="25"/>
    </row>
    <row r="584" spans="1:22" s="26" customFormat="1" ht="17.25" customHeight="1" x14ac:dyDescent="0.2">
      <c r="A584" s="320" t="s">
        <v>1526</v>
      </c>
      <c r="B584" s="226" t="s">
        <v>46</v>
      </c>
      <c r="C584" s="226">
        <v>88489</v>
      </c>
      <c r="D584" s="156" t="s">
        <v>407</v>
      </c>
      <c r="E584" s="226" t="s">
        <v>16</v>
      </c>
      <c r="F584" s="146">
        <f>F583</f>
        <v>432.96000000000004</v>
      </c>
      <c r="G584" s="146">
        <v>9.7100000000000009</v>
      </c>
      <c r="H584" s="146">
        <f t="shared" si="185"/>
        <v>12.05762440329098</v>
      </c>
      <c r="I584" s="313">
        <f t="shared" si="186"/>
        <v>5220.47</v>
      </c>
      <c r="J584" s="251"/>
      <c r="K584" s="25"/>
      <c r="L584" s="133"/>
      <c r="M584" s="25"/>
      <c r="N584" s="25"/>
      <c r="O584" s="25"/>
      <c r="P584" s="25"/>
      <c r="R584" s="25"/>
    </row>
    <row r="585" spans="1:22" s="128" customFormat="1" ht="43.5" customHeight="1" x14ac:dyDescent="0.2">
      <c r="A585" s="320" t="s">
        <v>1527</v>
      </c>
      <c r="B585" s="154" t="s">
        <v>46</v>
      </c>
      <c r="C585" s="226">
        <v>87265</v>
      </c>
      <c r="D585" s="156" t="s">
        <v>1402</v>
      </c>
      <c r="E585" s="154" t="s">
        <v>16</v>
      </c>
      <c r="F585" s="146">
        <v>112</v>
      </c>
      <c r="G585" s="146">
        <v>46.48</v>
      </c>
      <c r="H585" s="146">
        <f t="shared" si="185"/>
        <v>57.717650078781119</v>
      </c>
      <c r="I585" s="313">
        <f t="shared" si="186"/>
        <v>6464.38</v>
      </c>
      <c r="J585" s="251"/>
      <c r="K585" s="138"/>
      <c r="L585" s="138"/>
      <c r="M585" s="138"/>
      <c r="N585" s="25"/>
      <c r="O585" s="25"/>
      <c r="P585" s="25"/>
      <c r="Q585" s="26"/>
      <c r="R585" s="25"/>
      <c r="S585" s="26"/>
      <c r="T585" s="26"/>
      <c r="U585" s="26"/>
      <c r="V585" s="26"/>
    </row>
    <row r="586" spans="1:22" s="128" customFormat="1" ht="57" x14ac:dyDescent="0.2">
      <c r="A586" s="320" t="s">
        <v>1528</v>
      </c>
      <c r="B586" s="226" t="s">
        <v>46</v>
      </c>
      <c r="C586" s="226">
        <v>86927</v>
      </c>
      <c r="D586" s="147" t="s">
        <v>380</v>
      </c>
      <c r="E586" s="226" t="s">
        <v>19</v>
      </c>
      <c r="F586" s="146">
        <v>1</v>
      </c>
      <c r="G586" s="146">
        <v>222.28</v>
      </c>
      <c r="H586" s="146">
        <f t="shared" si="185"/>
        <v>276.02149869861159</v>
      </c>
      <c r="I586" s="313">
        <f t="shared" si="186"/>
        <v>276.02</v>
      </c>
      <c r="J586" s="251"/>
      <c r="K586" s="138"/>
      <c r="L586" s="138"/>
      <c r="M586" s="138"/>
      <c r="N586" s="25"/>
      <c r="O586" s="25"/>
      <c r="P586" s="25"/>
      <c r="Q586" s="26"/>
      <c r="R586" s="25"/>
      <c r="S586" s="26"/>
      <c r="T586" s="26"/>
      <c r="U586" s="26"/>
      <c r="V586" s="26"/>
    </row>
    <row r="587" spans="1:22" s="26" customFormat="1" ht="30" customHeight="1" x14ac:dyDescent="0.2">
      <c r="A587" s="320" t="s">
        <v>1529</v>
      </c>
      <c r="B587" s="154" t="s">
        <v>336</v>
      </c>
      <c r="C587" s="154" t="str">
        <f>COMPOSIÇÕES!C576</f>
        <v>CE-047</v>
      </c>
      <c r="D587" s="148" t="s">
        <v>156</v>
      </c>
      <c r="E587" s="226" t="s">
        <v>19</v>
      </c>
      <c r="F587" s="146">
        <v>1</v>
      </c>
      <c r="G587" s="146">
        <f>COMPOSIÇÕES!I576</f>
        <v>888.99999999999989</v>
      </c>
      <c r="H587" s="146">
        <f t="shared" si="185"/>
        <v>1103.9369819284941</v>
      </c>
      <c r="I587" s="313">
        <f t="shared" si="186"/>
        <v>1103.94</v>
      </c>
      <c r="J587" s="251"/>
      <c r="K587" s="25"/>
      <c r="L587" s="133"/>
      <c r="M587" s="25"/>
      <c r="N587" s="25"/>
      <c r="O587" s="25"/>
      <c r="P587" s="25"/>
      <c r="R587" s="25"/>
    </row>
    <row r="588" spans="1:22" s="26" customFormat="1" ht="30" customHeight="1" thickBot="1" x14ac:dyDescent="0.25">
      <c r="A588" s="920" t="s">
        <v>1981</v>
      </c>
      <c r="B588" s="586" t="s">
        <v>336</v>
      </c>
      <c r="C588" s="586" t="str">
        <f>COMPOSIÇÕES!C588</f>
        <v>CE-048</v>
      </c>
      <c r="D588" s="929" t="s">
        <v>192</v>
      </c>
      <c r="E588" s="586" t="s">
        <v>19</v>
      </c>
      <c r="F588" s="585">
        <v>1</v>
      </c>
      <c r="G588" s="585">
        <f>COMPOSIÇÕES!I588</f>
        <v>899.7600000000001</v>
      </c>
      <c r="H588" s="585">
        <f t="shared" si="185"/>
        <v>1117.2984689088664</v>
      </c>
      <c r="I588" s="915">
        <f t="shared" si="186"/>
        <v>1117.3</v>
      </c>
      <c r="J588" s="251"/>
      <c r="K588" s="25"/>
      <c r="L588" s="133"/>
      <c r="M588" s="25"/>
      <c r="N588" s="25"/>
      <c r="O588" s="25"/>
      <c r="P588" s="25"/>
      <c r="R588" s="25"/>
    </row>
    <row r="589" spans="1:22" s="26" customFormat="1" ht="57" x14ac:dyDescent="0.2">
      <c r="A589" s="918" t="s">
        <v>1982</v>
      </c>
      <c r="B589" s="899" t="s">
        <v>46</v>
      </c>
      <c r="C589" s="899" t="s">
        <v>158</v>
      </c>
      <c r="D589" s="900" t="s">
        <v>157</v>
      </c>
      <c r="E589" s="899" t="s">
        <v>16</v>
      </c>
      <c r="F589" s="901">
        <f>8.57*2.02</f>
        <v>17.311399999999999</v>
      </c>
      <c r="G589" s="901">
        <v>267.14</v>
      </c>
      <c r="H589" s="901">
        <f t="shared" si="185"/>
        <v>331.72747508703929</v>
      </c>
      <c r="I589" s="919">
        <f t="shared" si="186"/>
        <v>5742.67</v>
      </c>
      <c r="J589" s="251"/>
      <c r="K589" s="25"/>
      <c r="L589" s="133"/>
      <c r="M589" s="25"/>
      <c r="N589" s="25"/>
      <c r="O589" s="25"/>
      <c r="P589" s="25"/>
      <c r="R589" s="25"/>
    </row>
    <row r="590" spans="1:22" s="128" customFormat="1" ht="28.5" x14ac:dyDescent="0.2">
      <c r="A590" s="320" t="s">
        <v>1983</v>
      </c>
      <c r="B590" s="226" t="s">
        <v>336</v>
      </c>
      <c r="C590" s="226" t="str">
        <f>COMPOSIÇÕES!C599</f>
        <v>CE-049</v>
      </c>
      <c r="D590" s="147" t="s">
        <v>1596</v>
      </c>
      <c r="E590" s="226" t="s">
        <v>20</v>
      </c>
      <c r="F590" s="146">
        <v>1</v>
      </c>
      <c r="G590" s="146">
        <f>COMPOSIÇÕES!I599</f>
        <v>8201.7899999999991</v>
      </c>
      <c r="H590" s="146">
        <f>G590*(1+$L$16)</f>
        <v>10184.768615310804</v>
      </c>
      <c r="I590" s="313">
        <f t="shared" si="186"/>
        <v>10184.77</v>
      </c>
      <c r="J590" s="251"/>
      <c r="K590" s="138"/>
      <c r="L590" s="138"/>
      <c r="M590" s="138"/>
      <c r="N590" s="25"/>
      <c r="O590" s="25"/>
      <c r="P590" s="25"/>
      <c r="Q590" s="26"/>
      <c r="R590" s="25"/>
      <c r="S590" s="26"/>
      <c r="T590" s="26"/>
      <c r="U590" s="26"/>
      <c r="V590" s="26"/>
    </row>
    <row r="591" spans="1:22" s="128" customFormat="1" x14ac:dyDescent="0.2">
      <c r="A591" s="284"/>
      <c r="B591" s="150"/>
      <c r="C591" s="294"/>
      <c r="D591" s="149"/>
      <c r="E591" s="281"/>
      <c r="F591" s="282"/>
      <c r="G591" s="283"/>
      <c r="H591" s="282"/>
      <c r="I591" s="296"/>
      <c r="J591" s="142"/>
      <c r="K591" s="138"/>
      <c r="L591" s="138"/>
      <c r="M591" s="138"/>
      <c r="N591" s="25"/>
      <c r="O591" s="25"/>
      <c r="P591" s="25"/>
      <c r="Q591" s="26"/>
      <c r="R591" s="25"/>
      <c r="S591" s="26"/>
      <c r="T591" s="26"/>
      <c r="U591" s="26"/>
      <c r="V591" s="26"/>
    </row>
    <row r="592" spans="1:22" s="26" customFormat="1" ht="15" customHeight="1" x14ac:dyDescent="0.2">
      <c r="A592" s="563" t="s">
        <v>329</v>
      </c>
      <c r="B592" s="564"/>
      <c r="C592" s="564"/>
      <c r="D592" s="565" t="s">
        <v>598</v>
      </c>
      <c r="E592" s="564"/>
      <c r="F592" s="566"/>
      <c r="G592" s="567"/>
      <c r="H592" s="568"/>
      <c r="I592" s="569">
        <f>SUM(I593:I607)</f>
        <v>250506.43</v>
      </c>
      <c r="J592" s="262"/>
      <c r="K592" s="25"/>
      <c r="L592" s="132"/>
      <c r="M592" s="25"/>
      <c r="N592" s="25"/>
      <c r="O592" s="25"/>
      <c r="P592" s="25"/>
      <c r="R592" s="25"/>
    </row>
    <row r="593" spans="1:22" s="128" customFormat="1" x14ac:dyDescent="0.2">
      <c r="A593" s="320" t="s">
        <v>1530</v>
      </c>
      <c r="B593" s="154" t="s">
        <v>46</v>
      </c>
      <c r="C593" s="154">
        <v>73610</v>
      </c>
      <c r="D593" s="148" t="s">
        <v>599</v>
      </c>
      <c r="E593" s="154" t="s">
        <v>18</v>
      </c>
      <c r="F593" s="146">
        <f>COMPOSIÇÕES!F709+COMPOSIÇÕES!F719+COMPOSIÇÕES!F724+COMPOSIÇÕES!F728+COMPOSIÇÕES!F731+COMPOSIÇÕES!F734+COMPOSIÇÕES!F739+COMPOSIÇÕES!F742+COMPOSIÇÕES!F745+COMPOSIÇÕES!F749+COMPOSIÇÕES!F762+COMPOSIÇÕES!F763+COMPOSIÇÕES!F772+COMPOSIÇÕES!F778+5.8+1.15+3+COMPOSIÇÕES!F752+COMPOSIÇÕES!F753</f>
        <v>1512.8500000000001</v>
      </c>
      <c r="G593" s="146">
        <v>0.89</v>
      </c>
      <c r="H593" s="146">
        <f t="shared" ref="H593:H606" si="193">G593*(1+$L$16)</f>
        <v>1.1051787558114285</v>
      </c>
      <c r="I593" s="313">
        <f>ROUND(F593*H593,2)</f>
        <v>1671.97</v>
      </c>
      <c r="J593" s="251"/>
      <c r="K593" s="138"/>
      <c r="L593" s="138"/>
      <c r="M593" s="138"/>
      <c r="N593" s="25"/>
      <c r="O593" s="25"/>
      <c r="P593" s="25"/>
      <c r="Q593" s="26"/>
      <c r="R593" s="25"/>
      <c r="S593" s="26"/>
      <c r="T593" s="26"/>
      <c r="U593" s="26"/>
      <c r="V593" s="26"/>
    </row>
    <row r="594" spans="1:22" s="128" customFormat="1" ht="71.25" x14ac:dyDescent="0.2">
      <c r="A594" s="320" t="s">
        <v>1171</v>
      </c>
      <c r="B594" s="154" t="s">
        <v>46</v>
      </c>
      <c r="C594" s="154">
        <v>90105</v>
      </c>
      <c r="D594" s="148" t="s">
        <v>732</v>
      </c>
      <c r="E594" s="154" t="s">
        <v>17</v>
      </c>
      <c r="F594" s="146">
        <f>F593*0.6*1.2*0.9</f>
        <v>980.32679999999993</v>
      </c>
      <c r="G594" s="146">
        <v>12.09</v>
      </c>
      <c r="H594" s="146">
        <f t="shared" si="193"/>
        <v>15.013046244674349</v>
      </c>
      <c r="I594" s="313">
        <f t="shared" ref="I594:I607" si="194">ROUND(F594*H594,2)</f>
        <v>14717.69</v>
      </c>
      <c r="J594" s="251"/>
      <c r="K594" s="138"/>
      <c r="L594" s="138"/>
      <c r="M594" s="138"/>
      <c r="N594" s="25"/>
      <c r="O594" s="25"/>
      <c r="P594" s="25"/>
      <c r="Q594" s="26"/>
      <c r="R594" s="25"/>
      <c r="S594" s="26"/>
      <c r="T594" s="26"/>
      <c r="U594" s="26"/>
      <c r="V594" s="26"/>
    </row>
    <row r="595" spans="1:22" s="128" customFormat="1" x14ac:dyDescent="0.2">
      <c r="A595" s="320" t="s">
        <v>1172</v>
      </c>
      <c r="B595" s="154" t="s">
        <v>46</v>
      </c>
      <c r="C595" s="154">
        <v>93358</v>
      </c>
      <c r="D595" s="148" t="s">
        <v>776</v>
      </c>
      <c r="E595" s="154" t="s">
        <v>17</v>
      </c>
      <c r="F595" s="146">
        <f>F593*0.6*1.2*0.1</f>
        <v>108.9252</v>
      </c>
      <c r="G595" s="146">
        <v>65.819999999999993</v>
      </c>
      <c r="H595" s="146">
        <f t="shared" si="193"/>
        <v>81.73355697472833</v>
      </c>
      <c r="I595" s="313">
        <f t="shared" si="194"/>
        <v>8902.84</v>
      </c>
      <c r="J595" s="251"/>
      <c r="K595" s="138"/>
      <c r="L595" s="138"/>
      <c r="M595" s="138"/>
      <c r="N595" s="25"/>
      <c r="O595" s="25"/>
      <c r="P595" s="25"/>
      <c r="Q595" s="26"/>
      <c r="R595" s="25"/>
      <c r="S595" s="26"/>
      <c r="T595" s="26"/>
      <c r="U595" s="26"/>
      <c r="V595" s="26"/>
    </row>
    <row r="596" spans="1:22" s="128" customFormat="1" ht="71.25" x14ac:dyDescent="0.2">
      <c r="A596" s="320" t="s">
        <v>1173</v>
      </c>
      <c r="B596" s="154" t="s">
        <v>46</v>
      </c>
      <c r="C596" s="154">
        <v>93381</v>
      </c>
      <c r="D596" s="148" t="s">
        <v>1375</v>
      </c>
      <c r="E596" s="154" t="s">
        <v>17</v>
      </c>
      <c r="F596" s="146">
        <f>F594+F595</f>
        <v>1089.252</v>
      </c>
      <c r="G596" s="146">
        <v>6.75</v>
      </c>
      <c r="H596" s="146">
        <f>G596*(1+$L$16)</f>
        <v>8.3819737098057772</v>
      </c>
      <c r="I596" s="313">
        <f>ROUND(F596*H596,2)</f>
        <v>9130.08</v>
      </c>
      <c r="J596" s="251"/>
      <c r="K596" s="138"/>
      <c r="L596" s="138"/>
      <c r="M596" s="138"/>
      <c r="N596" s="25"/>
      <c r="O596" s="25"/>
      <c r="P596" s="25"/>
      <c r="Q596" s="26"/>
      <c r="R596" s="25"/>
      <c r="S596" s="26"/>
      <c r="T596" s="26"/>
      <c r="U596" s="26"/>
      <c r="V596" s="26"/>
    </row>
    <row r="597" spans="1:22" s="26" customFormat="1" ht="36" customHeight="1" x14ac:dyDescent="0.2">
      <c r="A597" s="320" t="s">
        <v>1174</v>
      </c>
      <c r="B597" s="154" t="s">
        <v>46</v>
      </c>
      <c r="C597" s="154" t="s">
        <v>91</v>
      </c>
      <c r="D597" s="148" t="s">
        <v>916</v>
      </c>
      <c r="E597" s="154" t="s">
        <v>19</v>
      </c>
      <c r="F597" s="146">
        <v>12</v>
      </c>
      <c r="G597" s="146">
        <v>322.04000000000002</v>
      </c>
      <c r="H597" s="146">
        <f t="shared" ref="H597" si="195">ROUND((1+$L$16)*G597,2)</f>
        <v>399.9</v>
      </c>
      <c r="I597" s="313">
        <f t="shared" ref="I597" si="196">ROUND(F597*H597,2)</f>
        <v>4798.8</v>
      </c>
      <c r="J597" s="262"/>
      <c r="K597" s="25">
        <v>0.8</v>
      </c>
      <c r="L597" s="132">
        <v>2</v>
      </c>
      <c r="M597" s="25"/>
      <c r="N597" s="25"/>
      <c r="O597" s="25"/>
      <c r="P597" s="25"/>
      <c r="R597" s="25"/>
    </row>
    <row r="598" spans="1:22" s="26" customFormat="1" ht="71.25" x14ac:dyDescent="0.2">
      <c r="A598" s="320" t="s">
        <v>1175</v>
      </c>
      <c r="B598" s="154" t="s">
        <v>46</v>
      </c>
      <c r="C598" s="154" t="s">
        <v>344</v>
      </c>
      <c r="D598" s="148" t="s">
        <v>1409</v>
      </c>
      <c r="E598" s="154" t="s">
        <v>19</v>
      </c>
      <c r="F598" s="146">
        <v>1</v>
      </c>
      <c r="G598" s="146">
        <v>1216.3</v>
      </c>
      <c r="H598" s="146">
        <f t="shared" ref="H598:H601" si="197">ROUND((1+$L$16)*G598,2)</f>
        <v>1510.37</v>
      </c>
      <c r="I598" s="313">
        <f t="shared" ref="I598:I601" si="198">ROUND(F598*H598,2)</f>
        <v>1510.37</v>
      </c>
      <c r="J598" s="262"/>
      <c r="K598" s="25">
        <v>1</v>
      </c>
      <c r="L598" s="132">
        <v>11</v>
      </c>
      <c r="M598" s="25"/>
      <c r="N598" s="25"/>
      <c r="O598" s="25"/>
      <c r="P598" s="25"/>
      <c r="R598" s="25"/>
    </row>
    <row r="599" spans="1:22" s="26" customFormat="1" ht="71.25" x14ac:dyDescent="0.2">
      <c r="A599" s="320" t="s">
        <v>1176</v>
      </c>
      <c r="B599" s="154" t="s">
        <v>46</v>
      </c>
      <c r="C599" s="154" t="s">
        <v>1411</v>
      </c>
      <c r="D599" s="148" t="s">
        <v>1412</v>
      </c>
      <c r="E599" s="154" t="s">
        <v>19</v>
      </c>
      <c r="F599" s="146">
        <v>1</v>
      </c>
      <c r="G599" s="146">
        <v>1366.79</v>
      </c>
      <c r="H599" s="146">
        <f t="shared" si="197"/>
        <v>1697.24</v>
      </c>
      <c r="I599" s="313">
        <f t="shared" si="198"/>
        <v>1697.24</v>
      </c>
      <c r="J599" s="262"/>
      <c r="K599" s="25">
        <v>1.4</v>
      </c>
      <c r="L599" s="132">
        <v>5</v>
      </c>
      <c r="M599" s="25"/>
      <c r="N599" s="25"/>
      <c r="O599" s="25"/>
      <c r="P599" s="25"/>
      <c r="R599" s="25"/>
    </row>
    <row r="600" spans="1:22" s="26" customFormat="1" ht="72" thickBot="1" x14ac:dyDescent="0.25">
      <c r="A600" s="920" t="s">
        <v>1177</v>
      </c>
      <c r="B600" s="913" t="s">
        <v>46</v>
      </c>
      <c r="C600" s="913" t="s">
        <v>1415</v>
      </c>
      <c r="D600" s="584" t="s">
        <v>1416</v>
      </c>
      <c r="E600" s="913" t="s">
        <v>19</v>
      </c>
      <c r="F600" s="585">
        <v>1</v>
      </c>
      <c r="G600" s="585">
        <v>1385.24</v>
      </c>
      <c r="H600" s="585">
        <f t="shared" si="197"/>
        <v>1720.15</v>
      </c>
      <c r="I600" s="915">
        <f t="shared" si="198"/>
        <v>1720.15</v>
      </c>
      <c r="J600" s="262"/>
      <c r="K600" s="25">
        <v>1.6</v>
      </c>
      <c r="L600" s="132">
        <v>3</v>
      </c>
      <c r="M600" s="25"/>
      <c r="N600" s="25"/>
      <c r="O600" s="25"/>
      <c r="P600" s="25"/>
      <c r="R600" s="25"/>
    </row>
    <row r="601" spans="1:22" s="26" customFormat="1" ht="71.25" x14ac:dyDescent="0.2">
      <c r="A601" s="918" t="s">
        <v>1178</v>
      </c>
      <c r="B601" s="899" t="s">
        <v>46</v>
      </c>
      <c r="C601" s="899" t="s">
        <v>1417</v>
      </c>
      <c r="D601" s="900" t="s">
        <v>1418</v>
      </c>
      <c r="E601" s="899" t="s">
        <v>19</v>
      </c>
      <c r="F601" s="901">
        <v>1</v>
      </c>
      <c r="G601" s="901">
        <v>1496.01</v>
      </c>
      <c r="H601" s="901">
        <f t="shared" si="197"/>
        <v>1857.71</v>
      </c>
      <c r="I601" s="919">
        <f t="shared" si="198"/>
        <v>1857.71</v>
      </c>
      <c r="J601" s="262"/>
      <c r="K601" s="25">
        <v>1.7</v>
      </c>
      <c r="L601" s="132">
        <v>3</v>
      </c>
      <c r="M601" s="25"/>
      <c r="N601" s="25"/>
      <c r="O601" s="25"/>
      <c r="P601" s="25"/>
      <c r="R601" s="25"/>
    </row>
    <row r="602" spans="1:22" s="26" customFormat="1" ht="28.5" x14ac:dyDescent="0.2">
      <c r="A602" s="320" t="s">
        <v>1179</v>
      </c>
      <c r="B602" s="154" t="s">
        <v>46</v>
      </c>
      <c r="C602" s="154" t="s">
        <v>1424</v>
      </c>
      <c r="D602" s="148" t="s">
        <v>1405</v>
      </c>
      <c r="E602" s="154" t="s">
        <v>19</v>
      </c>
      <c r="F602" s="146">
        <v>2</v>
      </c>
      <c r="G602" s="146">
        <v>1784.47</v>
      </c>
      <c r="H602" s="146">
        <f t="shared" ref="H602" si="199">ROUND((1+$L$16)*G602,2)</f>
        <v>2215.91</v>
      </c>
      <c r="I602" s="313">
        <f t="shared" ref="I602" si="200">ROUND(F602*H602,2)</f>
        <v>4431.82</v>
      </c>
      <c r="J602" s="262"/>
      <c r="K602" s="25"/>
      <c r="L602" s="132"/>
      <c r="M602" s="25"/>
      <c r="N602" s="25"/>
      <c r="O602" s="25"/>
      <c r="P602" s="25"/>
      <c r="R602" s="25"/>
    </row>
    <row r="603" spans="1:22" s="26" customFormat="1" ht="28.5" x14ac:dyDescent="0.2">
      <c r="A603" s="320" t="s">
        <v>1180</v>
      </c>
      <c r="B603" s="154" t="s">
        <v>46</v>
      </c>
      <c r="C603" s="154">
        <v>6240</v>
      </c>
      <c r="D603" s="148" t="s">
        <v>1420</v>
      </c>
      <c r="E603" s="154" t="s">
        <v>19</v>
      </c>
      <c r="F603" s="146">
        <f>F597</f>
        <v>12</v>
      </c>
      <c r="G603" s="146">
        <v>403.82</v>
      </c>
      <c r="H603" s="146">
        <f>ROUND((1+$K$16)*G603,2)</f>
        <v>460.42</v>
      </c>
      <c r="I603" s="571">
        <f t="shared" ref="I603" si="201">ROUND(F603*H603,2)</f>
        <v>5525.04</v>
      </c>
      <c r="J603" s="262"/>
      <c r="K603" s="25"/>
      <c r="L603" s="132"/>
      <c r="M603" s="25"/>
      <c r="N603" s="25"/>
      <c r="O603" s="25"/>
      <c r="P603" s="25"/>
      <c r="R603" s="25"/>
    </row>
    <row r="604" spans="1:22" s="128" customFormat="1" ht="42.75" x14ac:dyDescent="0.2">
      <c r="A604" s="320" t="s">
        <v>1181</v>
      </c>
      <c r="B604" s="154" t="s">
        <v>46</v>
      </c>
      <c r="C604" s="154">
        <v>83659</v>
      </c>
      <c r="D604" s="148" t="s">
        <v>1425</v>
      </c>
      <c r="E604" s="154" t="s">
        <v>19</v>
      </c>
      <c r="F604" s="146">
        <v>2</v>
      </c>
      <c r="G604" s="146">
        <v>710.76</v>
      </c>
      <c r="H604" s="146">
        <f t="shared" si="193"/>
        <v>882.60320503430444</v>
      </c>
      <c r="I604" s="313">
        <f t="shared" si="194"/>
        <v>1765.21</v>
      </c>
      <c r="J604" s="251"/>
      <c r="K604" s="138"/>
      <c r="L604" s="138"/>
      <c r="M604" s="138"/>
      <c r="N604" s="25"/>
      <c r="O604" s="25"/>
      <c r="P604" s="25"/>
      <c r="Q604" s="26"/>
      <c r="R604" s="25"/>
      <c r="S604" s="26"/>
      <c r="T604" s="26"/>
      <c r="U604" s="26"/>
      <c r="V604" s="26"/>
    </row>
    <row r="605" spans="1:22" s="128" customFormat="1" x14ac:dyDescent="0.2">
      <c r="A605" s="320" t="s">
        <v>1182</v>
      </c>
      <c r="B605" s="226" t="s">
        <v>336</v>
      </c>
      <c r="C605" s="226" t="str">
        <f>COMPOSIÇÕES!C682</f>
        <v>CE-050</v>
      </c>
      <c r="D605" s="147" t="s">
        <v>419</v>
      </c>
      <c r="E605" s="226" t="s">
        <v>19</v>
      </c>
      <c r="F605" s="146">
        <v>1</v>
      </c>
      <c r="G605" s="146">
        <f>COMPOSIÇÕES!I682</f>
        <v>836.74</v>
      </c>
      <c r="H605" s="146">
        <f>G605*(1+$L$16)</f>
        <v>1039.0418788063537</v>
      </c>
      <c r="I605" s="313">
        <f>ROUND(F605*H605,2)</f>
        <v>1039.04</v>
      </c>
      <c r="J605" s="251"/>
      <c r="K605" s="138"/>
      <c r="L605" s="138"/>
      <c r="M605" s="138"/>
      <c r="N605" s="25"/>
      <c r="O605" s="25"/>
      <c r="P605" s="25"/>
      <c r="Q605" s="26"/>
      <c r="R605" s="25"/>
      <c r="S605" s="26"/>
      <c r="T605" s="26"/>
      <c r="U605" s="26"/>
      <c r="V605" s="26"/>
    </row>
    <row r="606" spans="1:22" s="128" customFormat="1" x14ac:dyDescent="0.2">
      <c r="A606" s="320" t="s">
        <v>1183</v>
      </c>
      <c r="B606" s="226" t="s">
        <v>336</v>
      </c>
      <c r="C606" s="226" t="str">
        <f>COMPOSIÇÕES!C688</f>
        <v>CE-051</v>
      </c>
      <c r="D606" s="147" t="str">
        <f>COMPOSIÇÕES!D688</f>
        <v>DISSIPADOR DE ENERGIA CONFORME PROJETO</v>
      </c>
      <c r="E606" s="226" t="s">
        <v>19</v>
      </c>
      <c r="F606" s="146">
        <v>1</v>
      </c>
      <c r="G606" s="146">
        <f>COMPOSIÇÕES!I688</f>
        <v>1416.15</v>
      </c>
      <c r="H606" s="146">
        <f t="shared" si="193"/>
        <v>1758.5380843172522</v>
      </c>
      <c r="I606" s="313">
        <f t="shared" si="194"/>
        <v>1758.54</v>
      </c>
      <c r="J606" s="251"/>
      <c r="K606" s="138"/>
      <c r="L606" s="138"/>
      <c r="M606" s="138"/>
      <c r="N606" s="25"/>
      <c r="O606" s="25"/>
      <c r="P606" s="25"/>
      <c r="Q606" s="26"/>
      <c r="R606" s="25"/>
      <c r="S606" s="26"/>
      <c r="T606" s="26"/>
      <c r="U606" s="26"/>
      <c r="V606" s="26"/>
    </row>
    <row r="607" spans="1:22" s="128" customFormat="1" ht="28.5" x14ac:dyDescent="0.2">
      <c r="A607" s="320" t="s">
        <v>1531</v>
      </c>
      <c r="B607" s="226" t="s">
        <v>336</v>
      </c>
      <c r="C607" s="226" t="str">
        <f>COMPOSIÇÕES!C700</f>
        <v>CE-052</v>
      </c>
      <c r="D607" s="147" t="s">
        <v>1405</v>
      </c>
      <c r="E607" s="226" t="s">
        <v>20</v>
      </c>
      <c r="F607" s="146">
        <v>1</v>
      </c>
      <c r="G607" s="146">
        <f>COMPOSIÇÕES!I700</f>
        <v>152990.76</v>
      </c>
      <c r="H607" s="146">
        <f>G607*(1+$L$16)</f>
        <v>189979.93009825266</v>
      </c>
      <c r="I607" s="313">
        <f t="shared" si="194"/>
        <v>189979.93</v>
      </c>
      <c r="J607" s="251"/>
      <c r="K607" s="138"/>
      <c r="L607" s="138"/>
      <c r="M607" s="138"/>
      <c r="N607" s="25"/>
      <c r="O607" s="25"/>
      <c r="P607" s="25"/>
      <c r="Q607" s="26"/>
      <c r="R607" s="25"/>
      <c r="S607" s="26"/>
      <c r="T607" s="26"/>
      <c r="U607" s="26"/>
      <c r="V607" s="26"/>
    </row>
    <row r="608" spans="1:22" s="128" customFormat="1" x14ac:dyDescent="0.2">
      <c r="A608" s="320"/>
      <c r="B608" s="226"/>
      <c r="C608" s="226"/>
      <c r="D608" s="147"/>
      <c r="E608" s="226"/>
      <c r="F608" s="146"/>
      <c r="G608" s="146"/>
      <c r="H608" s="146"/>
      <c r="I608" s="313"/>
      <c r="J608" s="251"/>
      <c r="K608" s="138"/>
      <c r="L608" s="138"/>
      <c r="M608" s="138"/>
      <c r="N608" s="25"/>
      <c r="O608" s="25"/>
      <c r="P608" s="25"/>
      <c r="Q608" s="26"/>
      <c r="R608" s="25"/>
      <c r="S608" s="26"/>
      <c r="T608" s="26"/>
      <c r="U608" s="26"/>
      <c r="V608" s="26"/>
    </row>
    <row r="609" spans="1:22" s="26" customFormat="1" ht="15" customHeight="1" x14ac:dyDescent="0.2">
      <c r="A609" s="563" t="s">
        <v>330</v>
      </c>
      <c r="B609" s="564"/>
      <c r="C609" s="564"/>
      <c r="D609" s="565" t="s">
        <v>2174</v>
      </c>
      <c r="E609" s="564"/>
      <c r="F609" s="566"/>
      <c r="G609" s="567"/>
      <c r="H609" s="568"/>
      <c r="I609" s="569">
        <f>SUM(I610:I617)</f>
        <v>341993.33999999997</v>
      </c>
      <c r="J609" s="262"/>
      <c r="K609" s="25"/>
      <c r="L609" s="132"/>
      <c r="M609" s="25"/>
      <c r="N609" s="25"/>
      <c r="O609" s="25"/>
      <c r="P609" s="25"/>
      <c r="R609" s="25"/>
    </row>
    <row r="610" spans="1:22" s="128" customFormat="1" x14ac:dyDescent="0.2">
      <c r="A610" s="334" t="s">
        <v>1533</v>
      </c>
      <c r="B610" s="226" t="s">
        <v>336</v>
      </c>
      <c r="C610" s="226" t="str">
        <f>ETE!J2</f>
        <v>ELT-007</v>
      </c>
      <c r="D610" s="147" t="str">
        <f>ETE!H4</f>
        <v>ETE-ILUMINAÇÃO EXTERNA</v>
      </c>
      <c r="E610" s="226" t="s">
        <v>20</v>
      </c>
      <c r="F610" s="146">
        <v>1</v>
      </c>
      <c r="G610" s="146">
        <f>ETE!K35</f>
        <v>32252.099999999995</v>
      </c>
      <c r="H610" s="146">
        <f>G610*(1+$L$16)</f>
        <v>40049.81544978176</v>
      </c>
      <c r="I610" s="313">
        <f>ROUND(F610*H610,2)</f>
        <v>40049.82</v>
      </c>
      <c r="J610" s="251"/>
      <c r="K610" s="138"/>
      <c r="L610" s="138"/>
      <c r="M610" s="138"/>
      <c r="N610" s="25"/>
      <c r="O610" s="25"/>
      <c r="P610" s="25"/>
      <c r="Q610" s="26"/>
      <c r="R610" s="25"/>
      <c r="S610" s="26"/>
      <c r="T610" s="26"/>
      <c r="U610" s="26"/>
      <c r="V610" s="26"/>
    </row>
    <row r="611" spans="1:22" s="128" customFormat="1" x14ac:dyDescent="0.2">
      <c r="A611" s="334" t="s">
        <v>1532</v>
      </c>
      <c r="B611" s="226" t="s">
        <v>336</v>
      </c>
      <c r="C611" s="226" t="str">
        <f>ETE!J40</f>
        <v>ELT-008</v>
      </c>
      <c r="D611" s="147" t="str">
        <f>ETE!H42</f>
        <v>ETE-APOIO OPERACIONAL-ILUMINAÇÃO E TOMADAS</v>
      </c>
      <c r="E611" s="226" t="s">
        <v>20</v>
      </c>
      <c r="F611" s="146">
        <v>1</v>
      </c>
      <c r="G611" s="146">
        <f>ETE!K108</f>
        <v>11123.970000000001</v>
      </c>
      <c r="H611" s="146">
        <f t="shared" ref="H611:H616" si="202">G611*(1+$L$16)</f>
        <v>13813.455420543436</v>
      </c>
      <c r="I611" s="313">
        <f t="shared" ref="I611:I616" si="203">ROUND(F611*H611,2)</f>
        <v>13813.46</v>
      </c>
      <c r="J611" s="251"/>
      <c r="K611" s="138"/>
      <c r="L611" s="138"/>
      <c r="M611" s="138"/>
      <c r="N611" s="25"/>
      <c r="O611" s="25"/>
      <c r="P611" s="25"/>
      <c r="Q611" s="26"/>
      <c r="R611" s="25"/>
      <c r="S611" s="26"/>
      <c r="T611" s="26"/>
      <c r="U611" s="26"/>
      <c r="V611" s="26"/>
    </row>
    <row r="612" spans="1:22" s="128" customFormat="1" x14ac:dyDescent="0.2">
      <c r="A612" s="334" t="s">
        <v>1534</v>
      </c>
      <c r="B612" s="226" t="s">
        <v>336</v>
      </c>
      <c r="C612" s="226" t="str">
        <f>ETE!J115</f>
        <v>ELT-009</v>
      </c>
      <c r="D612" s="147" t="str">
        <f>ETE!H117</f>
        <v>ETE-APOIO OPERACIONAL - SPDA-ATERRAMENTO</v>
      </c>
      <c r="E612" s="226" t="s">
        <v>20</v>
      </c>
      <c r="F612" s="146">
        <v>1</v>
      </c>
      <c r="G612" s="146">
        <f>ETE!K152</f>
        <v>8410.08</v>
      </c>
      <c r="H612" s="146">
        <f t="shared" si="202"/>
        <v>10443.417697387167</v>
      </c>
      <c r="I612" s="313">
        <f t="shared" si="203"/>
        <v>10443.42</v>
      </c>
      <c r="J612" s="251"/>
      <c r="K612" s="138"/>
      <c r="L612" s="138"/>
      <c r="M612" s="138"/>
      <c r="N612" s="25"/>
      <c r="O612" s="25"/>
      <c r="P612" s="25"/>
      <c r="Q612" s="26"/>
      <c r="R612" s="25"/>
      <c r="S612" s="26"/>
      <c r="T612" s="26"/>
      <c r="U612" s="26"/>
      <c r="V612" s="26"/>
    </row>
    <row r="613" spans="1:22" s="128" customFormat="1" x14ac:dyDescent="0.2">
      <c r="A613" s="334" t="s">
        <v>1535</v>
      </c>
      <c r="B613" s="226" t="s">
        <v>336</v>
      </c>
      <c r="C613" s="226" t="str">
        <f>ETE!J154</f>
        <v>ELT-010</v>
      </c>
      <c r="D613" s="147" t="str">
        <f>ETE!H156</f>
        <v>ETE-BANCO DE DUTOS E ALIMENTAÇÃO DOS MOTORES</v>
      </c>
      <c r="E613" s="226" t="s">
        <v>20</v>
      </c>
      <c r="F613" s="146">
        <v>1</v>
      </c>
      <c r="G613" s="146">
        <f>ETE!K188</f>
        <v>81925.100000000006</v>
      </c>
      <c r="H613" s="146">
        <f t="shared" si="202"/>
        <v>101732.44953677176</v>
      </c>
      <c r="I613" s="313">
        <f t="shared" si="203"/>
        <v>101732.45</v>
      </c>
      <c r="J613" s="251"/>
      <c r="K613" s="138"/>
      <c r="L613" s="138"/>
      <c r="M613" s="138"/>
      <c r="N613" s="25"/>
      <c r="O613" s="25"/>
      <c r="P613" s="25"/>
      <c r="Q613" s="26"/>
      <c r="R613" s="25"/>
      <c r="S613" s="26"/>
      <c r="T613" s="26"/>
      <c r="U613" s="26"/>
      <c r="V613" s="26"/>
    </row>
    <row r="614" spans="1:22" s="128" customFormat="1" x14ac:dyDescent="0.2">
      <c r="A614" s="334" t="s">
        <v>1536</v>
      </c>
      <c r="B614" s="226" t="s">
        <v>336</v>
      </c>
      <c r="C614" s="226" t="str">
        <f>ETE!J192</f>
        <v>ELT-011</v>
      </c>
      <c r="D614" s="147" t="str">
        <f>ETE!H194</f>
        <v>SALA ELÉTRICA - EEF - ILUMINAÇÃO E TOMADAS</v>
      </c>
      <c r="E614" s="226" t="s">
        <v>20</v>
      </c>
      <c r="F614" s="146">
        <v>1</v>
      </c>
      <c r="G614" s="146">
        <f>ETE!K229</f>
        <v>10254.92</v>
      </c>
      <c r="H614" s="146">
        <f t="shared" si="202"/>
        <v>12734.291827579476</v>
      </c>
      <c r="I614" s="313">
        <f t="shared" si="203"/>
        <v>12734.29</v>
      </c>
      <c r="J614" s="251"/>
      <c r="K614" s="138"/>
      <c r="L614" s="138"/>
      <c r="M614" s="138"/>
      <c r="N614" s="25"/>
      <c r="O614" s="25"/>
      <c r="P614" s="25"/>
      <c r="Q614" s="26"/>
      <c r="R614" s="25"/>
      <c r="S614" s="26"/>
      <c r="T614" s="26"/>
      <c r="U614" s="26"/>
      <c r="V614" s="26"/>
    </row>
    <row r="615" spans="1:22" s="128" customFormat="1" x14ac:dyDescent="0.2">
      <c r="A615" s="334" t="s">
        <v>1537</v>
      </c>
      <c r="B615" s="226" t="s">
        <v>336</v>
      </c>
      <c r="C615" s="226" t="str">
        <f>ETE!J231</f>
        <v>ELT-012</v>
      </c>
      <c r="D615" s="147" t="str">
        <f>ETE!H233</f>
        <v>SALA ELÉTRICA - EEF - SPDA - ATERRAMENTO</v>
      </c>
      <c r="E615" s="226" t="s">
        <v>20</v>
      </c>
      <c r="F615" s="146">
        <v>1</v>
      </c>
      <c r="G615" s="146">
        <f>ETE!K267</f>
        <v>9490.09</v>
      </c>
      <c r="H615" s="146">
        <f t="shared" si="202"/>
        <v>11784.545908694921</v>
      </c>
      <c r="I615" s="313">
        <f t="shared" si="203"/>
        <v>11784.55</v>
      </c>
      <c r="J615" s="251"/>
      <c r="K615" s="138"/>
      <c r="L615" s="138"/>
      <c r="M615" s="138"/>
      <c r="N615" s="25"/>
      <c r="O615" s="25"/>
      <c r="P615" s="25"/>
      <c r="Q615" s="26"/>
      <c r="R615" s="25"/>
      <c r="S615" s="26"/>
      <c r="T615" s="26"/>
      <c r="U615" s="26"/>
      <c r="V615" s="26"/>
    </row>
    <row r="616" spans="1:22" s="128" customFormat="1" x14ac:dyDescent="0.2">
      <c r="A616" s="334" t="s">
        <v>1538</v>
      </c>
      <c r="B616" s="226" t="s">
        <v>336</v>
      </c>
      <c r="C616" s="226" t="str">
        <f>ETE!J270</f>
        <v>ELT-013</v>
      </c>
      <c r="D616" s="147" t="str">
        <f>ETE!H272</f>
        <v>EQUIPAMENTOS E INSTRUMENTOS</v>
      </c>
      <c r="E616" s="226" t="s">
        <v>20</v>
      </c>
      <c r="F616" s="146">
        <v>1</v>
      </c>
      <c r="G616" s="146">
        <f>ETE!K303</f>
        <v>48254</v>
      </c>
      <c r="H616" s="146">
        <f t="shared" si="202"/>
        <v>59920.556947106372</v>
      </c>
      <c r="I616" s="313">
        <f t="shared" si="203"/>
        <v>59920.56</v>
      </c>
      <c r="J616" s="251"/>
      <c r="K616" s="138"/>
      <c r="L616" s="138"/>
      <c r="M616" s="138"/>
      <c r="N616" s="25"/>
      <c r="O616" s="25"/>
      <c r="P616" s="25"/>
      <c r="Q616" s="26"/>
      <c r="R616" s="25"/>
      <c r="S616" s="26"/>
      <c r="T616" s="26"/>
      <c r="U616" s="26"/>
      <c r="V616" s="26"/>
    </row>
    <row r="617" spans="1:22" s="128" customFormat="1" x14ac:dyDescent="0.2">
      <c r="A617" s="334" t="s">
        <v>2196</v>
      </c>
      <c r="B617" s="226" t="s">
        <v>66</v>
      </c>
      <c r="C617" s="226"/>
      <c r="D617" s="147" t="s">
        <v>2195</v>
      </c>
      <c r="E617" s="226" t="s">
        <v>20</v>
      </c>
      <c r="F617" s="146">
        <v>1</v>
      </c>
      <c r="G617" s="146">
        <v>80265.11</v>
      </c>
      <c r="H617" s="146">
        <f>G617*(1+$K$16)</f>
        <v>91514.790781743359</v>
      </c>
      <c r="I617" s="571">
        <f t="shared" ref="I617" si="204">ROUND(F617*H617,2)</f>
        <v>91514.79</v>
      </c>
      <c r="J617" s="251"/>
      <c r="K617" s="138"/>
      <c r="L617" s="138"/>
      <c r="M617" s="138"/>
      <c r="N617" s="25"/>
      <c r="O617" s="25"/>
      <c r="P617" s="25"/>
      <c r="Q617" s="26"/>
      <c r="R617" s="25"/>
      <c r="S617" s="26"/>
      <c r="T617" s="26"/>
      <c r="U617" s="26"/>
      <c r="V617" s="26"/>
    </row>
    <row r="618" spans="1:22" s="128" customFormat="1" x14ac:dyDescent="0.2">
      <c r="A618" s="284"/>
      <c r="B618" s="150"/>
      <c r="C618" s="150"/>
      <c r="D618" s="149"/>
      <c r="E618" s="150"/>
      <c r="F618" s="151"/>
      <c r="G618" s="151"/>
      <c r="H618" s="151"/>
      <c r="I618" s="152"/>
      <c r="J618" s="142"/>
      <c r="K618" s="138"/>
      <c r="L618" s="138"/>
      <c r="M618" s="138"/>
      <c r="N618" s="25"/>
      <c r="O618" s="25"/>
      <c r="P618" s="25"/>
      <c r="Q618" s="26"/>
      <c r="R618" s="25"/>
      <c r="S618" s="26"/>
      <c r="T618" s="26"/>
      <c r="U618" s="26"/>
      <c r="V618" s="26"/>
    </row>
    <row r="619" spans="1:22" s="26" customFormat="1" ht="15" customHeight="1" x14ac:dyDescent="0.2">
      <c r="A619" s="563" t="s">
        <v>331</v>
      </c>
      <c r="B619" s="564"/>
      <c r="C619" s="564"/>
      <c r="D619" s="565" t="s">
        <v>585</v>
      </c>
      <c r="E619" s="564"/>
      <c r="F619" s="566"/>
      <c r="G619" s="567"/>
      <c r="H619" s="568"/>
      <c r="I619" s="569">
        <f>SUM(I620:I632)</f>
        <v>424822.61</v>
      </c>
      <c r="J619" s="262"/>
      <c r="K619" s="25"/>
      <c r="L619" s="132"/>
      <c r="M619" s="25"/>
      <c r="N619" s="25"/>
      <c r="O619" s="25"/>
      <c r="P619" s="25"/>
      <c r="R619" s="25"/>
    </row>
    <row r="620" spans="1:22" s="128" customFormat="1" ht="28.5" x14ac:dyDescent="0.2">
      <c r="A620" s="334" t="s">
        <v>2175</v>
      </c>
      <c r="B620" s="226" t="s">
        <v>46</v>
      </c>
      <c r="C620" s="226">
        <v>72961</v>
      </c>
      <c r="D620" s="147" t="s">
        <v>333</v>
      </c>
      <c r="E620" s="226" t="s">
        <v>16</v>
      </c>
      <c r="F620" s="146">
        <v>3152</v>
      </c>
      <c r="G620" s="146">
        <v>1.18</v>
      </c>
      <c r="H620" s="146">
        <f t="shared" ref="H620:H626" si="205">G620*(1+$L$16)</f>
        <v>1.4652931818623434</v>
      </c>
      <c r="I620" s="313">
        <f t="shared" ref="I620:I626" si="206">ROUND(F620*H620,2)</f>
        <v>4618.6000000000004</v>
      </c>
      <c r="J620" s="251"/>
      <c r="K620" s="138"/>
      <c r="L620" s="138"/>
      <c r="M620" s="138"/>
      <c r="N620" s="25"/>
      <c r="O620" s="25"/>
      <c r="P620" s="25"/>
      <c r="Q620" s="26"/>
      <c r="R620" s="25"/>
      <c r="S620" s="26"/>
      <c r="T620" s="26"/>
      <c r="U620" s="26"/>
      <c r="V620" s="26"/>
    </row>
    <row r="621" spans="1:22" s="128" customFormat="1" ht="28.5" x14ac:dyDescent="0.2">
      <c r="A621" s="334" t="s">
        <v>2176</v>
      </c>
      <c r="B621" s="226" t="s">
        <v>46</v>
      </c>
      <c r="C621" s="226">
        <v>73710</v>
      </c>
      <c r="D621" s="147" t="s">
        <v>359</v>
      </c>
      <c r="E621" s="226" t="s">
        <v>17</v>
      </c>
      <c r="F621" s="146">
        <f>F622*0.2</f>
        <v>630.40000000000009</v>
      </c>
      <c r="G621" s="146">
        <v>85.36</v>
      </c>
      <c r="H621" s="146">
        <f t="shared" si="205"/>
        <v>105.99781864726241</v>
      </c>
      <c r="I621" s="313">
        <f t="shared" si="206"/>
        <v>66821.02</v>
      </c>
      <c r="J621" s="251"/>
      <c r="K621" s="138"/>
      <c r="L621" s="138"/>
      <c r="M621" s="138"/>
      <c r="N621" s="25"/>
      <c r="O621" s="25"/>
      <c r="P621" s="25"/>
      <c r="Q621" s="26"/>
      <c r="R621" s="25"/>
      <c r="S621" s="26"/>
      <c r="T621" s="26"/>
      <c r="U621" s="26"/>
      <c r="V621" s="26"/>
    </row>
    <row r="622" spans="1:22" s="128" customFormat="1" x14ac:dyDescent="0.2">
      <c r="A622" s="334" t="s">
        <v>2177</v>
      </c>
      <c r="B622" s="226" t="s">
        <v>46</v>
      </c>
      <c r="C622" s="226">
        <v>72945</v>
      </c>
      <c r="D622" s="147" t="s">
        <v>586</v>
      </c>
      <c r="E622" s="226" t="s">
        <v>16</v>
      </c>
      <c r="F622" s="146">
        <f>F620</f>
        <v>3152</v>
      </c>
      <c r="G622" s="146">
        <v>4.71</v>
      </c>
      <c r="H622" s="146">
        <f t="shared" si="205"/>
        <v>5.8487549886200316</v>
      </c>
      <c r="I622" s="313">
        <f t="shared" si="206"/>
        <v>18435.28</v>
      </c>
      <c r="J622" s="251"/>
      <c r="K622" s="138"/>
      <c r="L622" s="138"/>
      <c r="M622" s="138"/>
      <c r="N622" s="25"/>
      <c r="O622" s="25"/>
      <c r="P622" s="25"/>
      <c r="Q622" s="26"/>
      <c r="R622" s="25"/>
      <c r="S622" s="26"/>
      <c r="T622" s="26"/>
      <c r="U622" s="26"/>
      <c r="V622" s="26"/>
    </row>
    <row r="623" spans="1:22" s="128" customFormat="1" x14ac:dyDescent="0.2">
      <c r="A623" s="334" t="s">
        <v>2178</v>
      </c>
      <c r="B623" s="226" t="s">
        <v>46</v>
      </c>
      <c r="C623" s="226">
        <v>72943</v>
      </c>
      <c r="D623" s="147" t="s">
        <v>587</v>
      </c>
      <c r="E623" s="226" t="s">
        <v>16</v>
      </c>
      <c r="F623" s="146">
        <f>F622</f>
        <v>3152</v>
      </c>
      <c r="G623" s="146">
        <v>1.34</v>
      </c>
      <c r="H623" s="146">
        <f t="shared" si="205"/>
        <v>1.6639770031318137</v>
      </c>
      <c r="I623" s="313">
        <f t="shared" si="206"/>
        <v>5244.86</v>
      </c>
      <c r="J623" s="251"/>
      <c r="K623" s="138"/>
      <c r="L623" s="138"/>
      <c r="M623" s="138"/>
      <c r="N623" s="25"/>
      <c r="O623" s="25"/>
      <c r="P623" s="25"/>
      <c r="Q623" s="26"/>
      <c r="R623" s="25"/>
      <c r="S623" s="26"/>
      <c r="T623" s="26"/>
      <c r="U623" s="26"/>
      <c r="V623" s="26"/>
    </row>
    <row r="624" spans="1:22" s="128" customFormat="1" ht="43.5" thickBot="1" x14ac:dyDescent="0.25">
      <c r="A624" s="933" t="s">
        <v>2179</v>
      </c>
      <c r="B624" s="586" t="s">
        <v>46</v>
      </c>
      <c r="C624" s="586">
        <v>95990</v>
      </c>
      <c r="D624" s="929" t="s">
        <v>1428</v>
      </c>
      <c r="E624" s="586" t="s">
        <v>17</v>
      </c>
      <c r="F624" s="585">
        <f>F622*0.03</f>
        <v>94.56</v>
      </c>
      <c r="G624" s="585">
        <v>773.31</v>
      </c>
      <c r="H624" s="585">
        <f t="shared" si="205"/>
        <v>960.27616141183785</v>
      </c>
      <c r="I624" s="915">
        <f t="shared" si="206"/>
        <v>90803.71</v>
      </c>
      <c r="J624" s="251"/>
      <c r="K624" s="138"/>
      <c r="L624" s="138"/>
      <c r="M624" s="138"/>
      <c r="N624" s="25"/>
      <c r="O624" s="25"/>
      <c r="P624" s="25"/>
      <c r="Q624" s="26"/>
      <c r="R624" s="25"/>
      <c r="S624" s="26"/>
      <c r="T624" s="26"/>
      <c r="U624" s="26"/>
      <c r="V624" s="26"/>
    </row>
    <row r="625" spans="1:18" s="26" customFormat="1" ht="28.5" x14ac:dyDescent="0.2">
      <c r="A625" s="930" t="s">
        <v>2180</v>
      </c>
      <c r="B625" s="910" t="s">
        <v>46</v>
      </c>
      <c r="C625" s="910">
        <v>94265</v>
      </c>
      <c r="D625" s="911" t="s">
        <v>1429</v>
      </c>
      <c r="E625" s="910" t="s">
        <v>18</v>
      </c>
      <c r="F625" s="901">
        <v>1073</v>
      </c>
      <c r="G625" s="901">
        <v>27.33</v>
      </c>
      <c r="H625" s="901">
        <f t="shared" si="205"/>
        <v>33.937680220591389</v>
      </c>
      <c r="I625" s="919">
        <f t="shared" si="206"/>
        <v>36415.129999999997</v>
      </c>
      <c r="J625" s="319"/>
      <c r="N625" s="25"/>
      <c r="O625" s="25"/>
      <c r="P625" s="25"/>
      <c r="R625" s="25"/>
    </row>
    <row r="626" spans="1:18" s="26" customFormat="1" ht="28.5" x14ac:dyDescent="0.2">
      <c r="A626" s="334" t="s">
        <v>2181</v>
      </c>
      <c r="B626" s="226" t="s">
        <v>46</v>
      </c>
      <c r="C626" s="226">
        <v>94284</v>
      </c>
      <c r="D626" s="156" t="s">
        <v>1430</v>
      </c>
      <c r="E626" s="226" t="s">
        <v>18</v>
      </c>
      <c r="F626" s="146">
        <v>445</v>
      </c>
      <c r="G626" s="146">
        <v>50.42</v>
      </c>
      <c r="H626" s="146">
        <f t="shared" si="205"/>
        <v>62.610239177541828</v>
      </c>
      <c r="I626" s="313">
        <f t="shared" si="206"/>
        <v>27861.56</v>
      </c>
      <c r="J626" s="319"/>
      <c r="K626" s="26" t="s">
        <v>451</v>
      </c>
      <c r="N626" s="25"/>
      <c r="O626" s="25"/>
      <c r="P626" s="25"/>
      <c r="R626" s="25"/>
    </row>
    <row r="627" spans="1:18" s="26" customFormat="1" ht="28.5" x14ac:dyDescent="0.2">
      <c r="A627" s="334" t="s">
        <v>2182</v>
      </c>
      <c r="B627" s="154" t="s">
        <v>46</v>
      </c>
      <c r="C627" s="154" t="s">
        <v>764</v>
      </c>
      <c r="D627" s="148" t="s">
        <v>765</v>
      </c>
      <c r="E627" s="226" t="s">
        <v>16</v>
      </c>
      <c r="F627" s="146">
        <f>4.4*2.1</f>
        <v>9.240000000000002</v>
      </c>
      <c r="G627" s="146">
        <v>954.7</v>
      </c>
      <c r="H627" s="146">
        <f t="shared" ref="H627:H631" si="207">G627*(1+$L$16)</f>
        <v>1185.5215260372706</v>
      </c>
      <c r="I627" s="313">
        <f t="shared" ref="I627:I631" si="208">ROUND(F627*H627,2)</f>
        <v>10954.22</v>
      </c>
      <c r="J627" s="319"/>
      <c r="N627" s="25"/>
      <c r="O627" s="25"/>
      <c r="P627" s="25"/>
      <c r="R627" s="25"/>
    </row>
    <row r="628" spans="1:18" s="26" customFormat="1" ht="28.5" x14ac:dyDescent="0.2">
      <c r="A628" s="334" t="s">
        <v>2183</v>
      </c>
      <c r="B628" s="154" t="s">
        <v>46</v>
      </c>
      <c r="C628" s="154">
        <v>85188</v>
      </c>
      <c r="D628" s="148" t="s">
        <v>1431</v>
      </c>
      <c r="E628" s="154" t="s">
        <v>19</v>
      </c>
      <c r="F628" s="146">
        <v>1</v>
      </c>
      <c r="G628" s="146">
        <v>630.04</v>
      </c>
      <c r="H628" s="146">
        <f t="shared" si="207"/>
        <v>782.36721720385663</v>
      </c>
      <c r="I628" s="313">
        <f t="shared" si="208"/>
        <v>782.37</v>
      </c>
      <c r="J628" s="319"/>
      <c r="N628" s="25"/>
      <c r="O628" s="25"/>
      <c r="P628" s="25"/>
      <c r="R628" s="25"/>
    </row>
    <row r="629" spans="1:18" s="26" customFormat="1" ht="42.75" x14ac:dyDescent="0.2">
      <c r="A629" s="334" t="s">
        <v>2184</v>
      </c>
      <c r="B629" s="154" t="s">
        <v>46</v>
      </c>
      <c r="C629" s="154">
        <v>84172</v>
      </c>
      <c r="D629" s="148" t="s">
        <v>453</v>
      </c>
      <c r="E629" s="154" t="s">
        <v>16</v>
      </c>
      <c r="F629" s="146">
        <v>487</v>
      </c>
      <c r="G629" s="146">
        <v>52.16</v>
      </c>
      <c r="H629" s="146">
        <f t="shared" si="207"/>
        <v>64.770925733847307</v>
      </c>
      <c r="I629" s="313">
        <f t="shared" si="208"/>
        <v>31543.439999999999</v>
      </c>
      <c r="J629" s="319"/>
      <c r="N629" s="25"/>
      <c r="O629" s="25"/>
      <c r="P629" s="25"/>
      <c r="R629" s="25"/>
    </row>
    <row r="630" spans="1:18" s="26" customFormat="1" x14ac:dyDescent="0.2">
      <c r="A630" s="334" t="s">
        <v>2185</v>
      </c>
      <c r="B630" s="226" t="s">
        <v>46</v>
      </c>
      <c r="C630" s="226" t="s">
        <v>37</v>
      </c>
      <c r="D630" s="147" t="s">
        <v>38</v>
      </c>
      <c r="E630" s="226" t="s">
        <v>16</v>
      </c>
      <c r="F630" s="146">
        <v>7152</v>
      </c>
      <c r="G630" s="146">
        <v>9.75</v>
      </c>
      <c r="H630" s="146">
        <f t="shared" si="207"/>
        <v>12.107295358608345</v>
      </c>
      <c r="I630" s="313">
        <f t="shared" si="208"/>
        <v>86591.38</v>
      </c>
      <c r="J630" s="319"/>
      <c r="N630" s="25"/>
      <c r="O630" s="25"/>
      <c r="P630" s="25"/>
      <c r="R630" s="25"/>
    </row>
    <row r="631" spans="1:18" s="26" customFormat="1" ht="18" customHeight="1" x14ac:dyDescent="0.2">
      <c r="A631" s="334" t="s">
        <v>2186</v>
      </c>
      <c r="B631" s="154" t="s">
        <v>46</v>
      </c>
      <c r="C631" s="154">
        <v>85178</v>
      </c>
      <c r="D631" s="148" t="s">
        <v>420</v>
      </c>
      <c r="E631" s="154" t="s">
        <v>18</v>
      </c>
      <c r="F631" s="146">
        <f>320/0.8</f>
        <v>400</v>
      </c>
      <c r="G631" s="146">
        <v>57.18</v>
      </c>
      <c r="H631" s="146">
        <f t="shared" si="207"/>
        <v>71.004630626176947</v>
      </c>
      <c r="I631" s="313">
        <f t="shared" si="208"/>
        <v>28401.85</v>
      </c>
      <c r="J631" s="319"/>
      <c r="N631" s="25"/>
      <c r="O631" s="25"/>
      <c r="P631" s="25"/>
      <c r="R631" s="25"/>
    </row>
    <row r="632" spans="1:18" s="26" customFormat="1" x14ac:dyDescent="0.2">
      <c r="A632" s="334" t="s">
        <v>2187</v>
      </c>
      <c r="B632" s="226" t="s">
        <v>46</v>
      </c>
      <c r="C632" s="226" t="s">
        <v>81</v>
      </c>
      <c r="D632" s="147" t="s">
        <v>0</v>
      </c>
      <c r="E632" s="226" t="s">
        <v>19</v>
      </c>
      <c r="F632" s="146">
        <v>100</v>
      </c>
      <c r="G632" s="146">
        <v>131.66</v>
      </c>
      <c r="H632" s="146">
        <f>G632*(1+$L$16)</f>
        <v>163.49194942711537</v>
      </c>
      <c r="I632" s="313">
        <f>ROUND(F632*H632,2)</f>
        <v>16349.19</v>
      </c>
      <c r="J632" s="319"/>
      <c r="N632" s="25"/>
      <c r="O632" s="25"/>
      <c r="P632" s="25"/>
      <c r="R632" s="25"/>
    </row>
    <row r="633" spans="1:18" s="26" customFormat="1" x14ac:dyDescent="0.2">
      <c r="A633" s="334"/>
      <c r="B633" s="226"/>
      <c r="C633" s="226"/>
      <c r="D633" s="147"/>
      <c r="E633" s="226"/>
      <c r="F633" s="146"/>
      <c r="G633" s="146"/>
      <c r="H633" s="146"/>
      <c r="I633" s="313"/>
      <c r="J633" s="319"/>
      <c r="N633" s="25"/>
      <c r="O633" s="25"/>
      <c r="P633" s="25"/>
      <c r="R633" s="25"/>
    </row>
    <row r="634" spans="1:18" s="26" customFormat="1" x14ac:dyDescent="0.2">
      <c r="A634" s="334"/>
      <c r="B634" s="226"/>
      <c r="C634" s="226"/>
      <c r="D634" s="147"/>
      <c r="E634" s="226"/>
      <c r="F634" s="146"/>
      <c r="G634" s="146"/>
      <c r="H634" s="146"/>
      <c r="I634" s="313"/>
      <c r="J634" s="319"/>
      <c r="N634" s="25"/>
      <c r="O634" s="25"/>
      <c r="P634" s="25"/>
      <c r="R634" s="25"/>
    </row>
    <row r="635" spans="1:18" s="26" customFormat="1" x14ac:dyDescent="0.2">
      <c r="A635" s="334"/>
      <c r="B635" s="226"/>
      <c r="C635" s="226"/>
      <c r="D635" s="147"/>
      <c r="E635" s="226"/>
      <c r="F635" s="146"/>
      <c r="G635" s="146"/>
      <c r="H635" s="146"/>
      <c r="I635" s="313"/>
      <c r="J635" s="319"/>
      <c r="N635" s="25"/>
      <c r="O635" s="25"/>
      <c r="P635" s="25"/>
      <c r="R635" s="25"/>
    </row>
    <row r="636" spans="1:18" s="26" customFormat="1" x14ac:dyDescent="0.2">
      <c r="A636" s="334"/>
      <c r="B636" s="226"/>
      <c r="C636" s="226"/>
      <c r="D636" s="147"/>
      <c r="E636" s="226"/>
      <c r="F636" s="146"/>
      <c r="G636" s="146"/>
      <c r="H636" s="146"/>
      <c r="I636" s="313"/>
      <c r="J636" s="319"/>
      <c r="N636" s="25"/>
      <c r="O636" s="25"/>
      <c r="P636" s="25"/>
      <c r="R636" s="25"/>
    </row>
    <row r="637" spans="1:18" s="26" customFormat="1" x14ac:dyDescent="0.2">
      <c r="A637" s="334"/>
      <c r="B637" s="226"/>
      <c r="C637" s="226"/>
      <c r="D637" s="147"/>
      <c r="E637" s="226"/>
      <c r="F637" s="146"/>
      <c r="G637" s="146"/>
      <c r="H637" s="146"/>
      <c r="I637" s="313"/>
      <c r="J637" s="319"/>
      <c r="N637" s="25"/>
      <c r="O637" s="25"/>
      <c r="P637" s="25"/>
      <c r="R637" s="25"/>
    </row>
    <row r="638" spans="1:18" s="26" customFormat="1" x14ac:dyDescent="0.2">
      <c r="A638" s="334"/>
      <c r="B638" s="226"/>
      <c r="C638" s="226"/>
      <c r="D638" s="147"/>
      <c r="E638" s="226"/>
      <c r="F638" s="146"/>
      <c r="G638" s="146"/>
      <c r="H638" s="146"/>
      <c r="I638" s="313"/>
      <c r="J638" s="319"/>
      <c r="N638" s="25"/>
      <c r="O638" s="25"/>
      <c r="P638" s="25"/>
      <c r="R638" s="25"/>
    </row>
    <row r="639" spans="1:18" s="26" customFormat="1" x14ac:dyDescent="0.2">
      <c r="A639" s="334"/>
      <c r="B639" s="226"/>
      <c r="C639" s="226"/>
      <c r="D639" s="147"/>
      <c r="E639" s="226"/>
      <c r="F639" s="146"/>
      <c r="G639" s="146"/>
      <c r="H639" s="146"/>
      <c r="I639" s="313"/>
      <c r="J639" s="319"/>
      <c r="N639" s="25"/>
      <c r="O639" s="25"/>
      <c r="P639" s="25"/>
      <c r="R639" s="25"/>
    </row>
    <row r="640" spans="1:18" s="26" customFormat="1" x14ac:dyDescent="0.2">
      <c r="A640" s="334"/>
      <c r="B640" s="226"/>
      <c r="C640" s="226"/>
      <c r="D640" s="147"/>
      <c r="E640" s="226"/>
      <c r="F640" s="146"/>
      <c r="G640" s="146"/>
      <c r="H640" s="146"/>
      <c r="I640" s="313"/>
      <c r="J640" s="319"/>
      <c r="N640" s="25"/>
      <c r="O640" s="25"/>
      <c r="P640" s="25"/>
      <c r="R640" s="25"/>
    </row>
    <row r="641" spans="1:63" s="26" customFormat="1" x14ac:dyDescent="0.2">
      <c r="A641" s="334"/>
      <c r="B641" s="226"/>
      <c r="C641" s="226"/>
      <c r="D641" s="147"/>
      <c r="E641" s="226"/>
      <c r="F641" s="146"/>
      <c r="G641" s="146"/>
      <c r="H641" s="146"/>
      <c r="I641" s="313"/>
      <c r="J641" s="319"/>
      <c r="N641" s="25"/>
      <c r="O641" s="25"/>
      <c r="P641" s="25"/>
      <c r="R641" s="25"/>
    </row>
    <row r="642" spans="1:63" s="26" customFormat="1" x14ac:dyDescent="0.2">
      <c r="A642" s="334"/>
      <c r="B642" s="226"/>
      <c r="C642" s="226"/>
      <c r="D642" s="147"/>
      <c r="E642" s="226"/>
      <c r="F642" s="146"/>
      <c r="G642" s="146"/>
      <c r="H642" s="146"/>
      <c r="I642" s="313"/>
      <c r="J642" s="319"/>
      <c r="N642" s="25"/>
      <c r="O642" s="25"/>
      <c r="P642" s="25"/>
      <c r="R642" s="25"/>
    </row>
    <row r="643" spans="1:63" s="26" customFormat="1" x14ac:dyDescent="0.2">
      <c r="A643" s="334"/>
      <c r="B643" s="226"/>
      <c r="C643" s="226"/>
      <c r="D643" s="147"/>
      <c r="E643" s="226"/>
      <c r="F643" s="146"/>
      <c r="G643" s="146"/>
      <c r="H643" s="146"/>
      <c r="I643" s="313"/>
      <c r="J643" s="319"/>
      <c r="N643" s="25"/>
      <c r="O643" s="25"/>
      <c r="P643" s="25"/>
      <c r="R643" s="25"/>
    </row>
    <row r="644" spans="1:63" s="26" customFormat="1" x14ac:dyDescent="0.2">
      <c r="A644" s="334"/>
      <c r="B644" s="226"/>
      <c r="C644" s="226"/>
      <c r="D644" s="147"/>
      <c r="E644" s="226"/>
      <c r="F644" s="146"/>
      <c r="G644" s="146"/>
      <c r="H644" s="146"/>
      <c r="I644" s="313"/>
      <c r="J644" s="319"/>
      <c r="N644" s="25"/>
      <c r="O644" s="25"/>
      <c r="P644" s="25"/>
      <c r="R644" s="25"/>
    </row>
    <row r="645" spans="1:63" s="26" customFormat="1" x14ac:dyDescent="0.2">
      <c r="A645" s="334"/>
      <c r="B645" s="226"/>
      <c r="C645" s="226"/>
      <c r="D645" s="147"/>
      <c r="E645" s="226"/>
      <c r="F645" s="146"/>
      <c r="G645" s="146"/>
      <c r="H645" s="146"/>
      <c r="I645" s="313"/>
      <c r="J645" s="319"/>
      <c r="N645" s="25"/>
      <c r="O645" s="25"/>
      <c r="P645" s="25"/>
      <c r="R645" s="25"/>
    </row>
    <row r="646" spans="1:63" s="26" customFormat="1" x14ac:dyDescent="0.2">
      <c r="A646" s="334"/>
      <c r="B646" s="226"/>
      <c r="C646" s="226"/>
      <c r="D646" s="147"/>
      <c r="E646" s="226"/>
      <c r="F646" s="146"/>
      <c r="G646" s="146"/>
      <c r="H646" s="146"/>
      <c r="I646" s="313"/>
      <c r="J646" s="319"/>
      <c r="N646" s="25"/>
      <c r="O646" s="25"/>
      <c r="P646" s="25"/>
      <c r="R646" s="25"/>
    </row>
    <row r="647" spans="1:63" s="26" customFormat="1" x14ac:dyDescent="0.2">
      <c r="A647" s="334"/>
      <c r="B647" s="226"/>
      <c r="C647" s="226"/>
      <c r="D647" s="147"/>
      <c r="E647" s="226"/>
      <c r="F647" s="146"/>
      <c r="G647" s="146"/>
      <c r="H647" s="146"/>
      <c r="I647" s="313"/>
      <c r="J647" s="319"/>
      <c r="N647" s="25"/>
      <c r="O647" s="25"/>
      <c r="P647" s="25"/>
      <c r="R647" s="25"/>
    </row>
    <row r="648" spans="1:63" s="26" customFormat="1" x14ac:dyDescent="0.2">
      <c r="A648" s="334"/>
      <c r="B648" s="226"/>
      <c r="C648" s="226"/>
      <c r="D648" s="147"/>
      <c r="E648" s="226"/>
      <c r="F648" s="146"/>
      <c r="G648" s="146"/>
      <c r="H648" s="146"/>
      <c r="I648" s="313"/>
      <c r="J648" s="319"/>
      <c r="N648" s="25"/>
      <c r="O648" s="25"/>
      <c r="P648" s="25"/>
      <c r="R648" s="25"/>
    </row>
    <row r="649" spans="1:63" s="26" customFormat="1" x14ac:dyDescent="0.2">
      <c r="A649" s="334"/>
      <c r="B649" s="226"/>
      <c r="C649" s="226"/>
      <c r="D649" s="147"/>
      <c r="E649" s="226"/>
      <c r="F649" s="146"/>
      <c r="G649" s="146"/>
      <c r="H649" s="146"/>
      <c r="I649" s="313"/>
      <c r="J649" s="319"/>
      <c r="N649" s="25"/>
      <c r="O649" s="25"/>
      <c r="P649" s="25"/>
      <c r="R649" s="25"/>
    </row>
    <row r="650" spans="1:63" s="26" customFormat="1" x14ac:dyDescent="0.2">
      <c r="A650" s="334"/>
      <c r="B650" s="226"/>
      <c r="C650" s="226"/>
      <c r="D650" s="147"/>
      <c r="E650" s="226"/>
      <c r="F650" s="146"/>
      <c r="G650" s="146"/>
      <c r="H650" s="146"/>
      <c r="I650" s="313"/>
      <c r="J650" s="319"/>
      <c r="N650" s="25"/>
      <c r="O650" s="25"/>
      <c r="P650" s="25"/>
      <c r="R650" s="25"/>
    </row>
    <row r="651" spans="1:63" s="26" customFormat="1" x14ac:dyDescent="0.2">
      <c r="A651" s="334"/>
      <c r="B651" s="226"/>
      <c r="C651" s="226"/>
      <c r="D651" s="147"/>
      <c r="E651" s="226"/>
      <c r="F651" s="146"/>
      <c r="G651" s="146"/>
      <c r="H651" s="146"/>
      <c r="I651" s="313"/>
      <c r="J651" s="319"/>
      <c r="N651" s="25"/>
      <c r="O651" s="25"/>
      <c r="P651" s="25"/>
      <c r="R651" s="25"/>
    </row>
    <row r="652" spans="1:63" s="26" customFormat="1" x14ac:dyDescent="0.2">
      <c r="A652" s="334"/>
      <c r="B652" s="226"/>
      <c r="C652" s="226"/>
      <c r="D652" s="147"/>
      <c r="E652" s="226"/>
      <c r="F652" s="146"/>
      <c r="G652" s="146"/>
      <c r="H652" s="146"/>
      <c r="I652" s="313"/>
      <c r="J652" s="319"/>
      <c r="N652" s="25"/>
      <c r="O652" s="25"/>
      <c r="P652" s="25"/>
      <c r="R652" s="25"/>
    </row>
    <row r="653" spans="1:63" s="26" customFormat="1" x14ac:dyDescent="0.2">
      <c r="A653" s="334"/>
      <c r="B653" s="226"/>
      <c r="C653" s="226"/>
      <c r="D653" s="147"/>
      <c r="E653" s="226"/>
      <c r="F653" s="146"/>
      <c r="G653" s="146"/>
      <c r="H653" s="146"/>
      <c r="I653" s="313"/>
      <c r="J653" s="319"/>
      <c r="N653" s="25"/>
      <c r="O653" s="25"/>
      <c r="P653" s="25"/>
      <c r="R653" s="25"/>
    </row>
    <row r="654" spans="1:63" s="26" customFormat="1" x14ac:dyDescent="0.2">
      <c r="A654" s="334"/>
      <c r="B654" s="226"/>
      <c r="C654" s="226"/>
      <c r="D654" s="147"/>
      <c r="E654" s="226"/>
      <c r="F654" s="146"/>
      <c r="G654" s="146"/>
      <c r="H654" s="146"/>
      <c r="I654" s="313"/>
      <c r="J654" s="319"/>
      <c r="N654" s="25"/>
      <c r="O654" s="25"/>
      <c r="P654" s="25"/>
      <c r="R654" s="25"/>
    </row>
    <row r="655" spans="1:63" ht="15" thickBot="1" x14ac:dyDescent="0.25">
      <c r="A655" s="572"/>
      <c r="B655" s="573"/>
      <c r="C655" s="573"/>
      <c r="D655" s="574"/>
      <c r="E655" s="573"/>
      <c r="F655" s="575"/>
      <c r="G655" s="575"/>
      <c r="H655" s="575"/>
      <c r="I655" s="576"/>
      <c r="N655" s="25"/>
      <c r="O655" s="25"/>
      <c r="P655" s="25"/>
      <c r="R655" s="25"/>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c r="AT655" s="7"/>
      <c r="AU655" s="7"/>
      <c r="AV655" s="7"/>
      <c r="AW655" s="7"/>
      <c r="AX655" s="7"/>
      <c r="AY655" s="7"/>
      <c r="AZ655" s="7"/>
      <c r="BA655" s="7"/>
      <c r="BB655" s="7"/>
      <c r="BC655" s="7"/>
      <c r="BD655" s="7"/>
      <c r="BE655" s="7"/>
      <c r="BF655" s="7"/>
      <c r="BG655" s="7"/>
      <c r="BH655" s="7"/>
      <c r="BI655" s="7"/>
      <c r="BJ655" s="7"/>
      <c r="BK655" s="7"/>
    </row>
    <row r="656" spans="1:63" x14ac:dyDescent="0.2">
      <c r="A656" s="9"/>
      <c r="B656" s="3"/>
      <c r="C656" s="3"/>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c r="AT656" s="7"/>
      <c r="AU656" s="7"/>
      <c r="AV656" s="7"/>
      <c r="AW656" s="7"/>
      <c r="AX656" s="7"/>
      <c r="AY656" s="7"/>
      <c r="AZ656" s="7"/>
      <c r="BA656" s="7"/>
      <c r="BB656" s="7"/>
      <c r="BC656" s="7"/>
      <c r="BD656" s="7"/>
      <c r="BE656" s="7"/>
      <c r="BF656" s="7"/>
      <c r="BG656" s="7"/>
      <c r="BH656" s="7"/>
      <c r="BI656" s="7"/>
      <c r="BJ656" s="7"/>
      <c r="BK656" s="7"/>
    </row>
    <row r="657" spans="1:63" x14ac:dyDescent="0.2">
      <c r="A657" s="9"/>
      <c r="B657" s="3"/>
      <c r="C657" s="3"/>
      <c r="H657" s="23" t="s">
        <v>450</v>
      </c>
      <c r="I657" s="5">
        <f>I101+I102+I110+I120+I136+I164+I183+I220+I226+I227+I228+I274+I275+I276+I284+I295+I345+I346+I349+I350+I376+I377+I378+I379+I380+I398+I399+I400+I401+I402+I430+I431+I432+I433+I434+I435+I436+I442+I459+I460+I461+I462+I463+I468+I485+I486+I494+I509+I510+I516+I518+I541+I542+I543+I544+I545+I546+I570+I571+I572+I573+I603+I617</f>
        <v>1983982.6199999994</v>
      </c>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c r="AT657" s="7"/>
      <c r="AU657" s="7"/>
      <c r="AV657" s="7"/>
      <c r="AW657" s="7"/>
      <c r="AX657" s="7"/>
      <c r="AY657" s="7"/>
      <c r="AZ657" s="7"/>
      <c r="BA657" s="7"/>
      <c r="BB657" s="7"/>
      <c r="BC657" s="7"/>
      <c r="BD657" s="7"/>
      <c r="BE657" s="7"/>
      <c r="BF657" s="7"/>
      <c r="BG657" s="7"/>
      <c r="BH657" s="7"/>
      <c r="BI657" s="7"/>
      <c r="BJ657" s="7"/>
      <c r="BK657" s="7"/>
    </row>
    <row r="658" spans="1:63" x14ac:dyDescent="0.2">
      <c r="A658" s="9"/>
      <c r="B658" s="3"/>
      <c r="C658" s="3"/>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c r="AT658" s="7"/>
      <c r="AU658" s="7"/>
      <c r="AV658" s="7"/>
      <c r="AW658" s="7"/>
      <c r="AX658" s="7"/>
      <c r="AY658" s="7"/>
      <c r="AZ658" s="7"/>
      <c r="BA658" s="7"/>
      <c r="BB658" s="7"/>
      <c r="BC658" s="7"/>
      <c r="BD658" s="7"/>
      <c r="BE658" s="7"/>
      <c r="BF658" s="7"/>
      <c r="BG658" s="7"/>
      <c r="BH658" s="7"/>
      <c r="BI658" s="7"/>
      <c r="BJ658" s="7"/>
      <c r="BK658" s="7"/>
    </row>
    <row r="659" spans="1:63" x14ac:dyDescent="0.2">
      <c r="A659" s="9"/>
      <c r="B659" s="3"/>
      <c r="C659" s="3"/>
      <c r="H659" s="23" t="s">
        <v>452</v>
      </c>
      <c r="I659" s="5">
        <f>I56-I657</f>
        <v>6831259.6800000016</v>
      </c>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c r="AT659" s="7"/>
      <c r="AU659" s="7"/>
      <c r="AV659" s="7"/>
      <c r="AW659" s="7"/>
      <c r="AX659" s="7"/>
      <c r="AY659" s="7"/>
      <c r="AZ659" s="7"/>
      <c r="BA659" s="7"/>
      <c r="BB659" s="7"/>
      <c r="BC659" s="7"/>
      <c r="BD659" s="7"/>
      <c r="BE659" s="7"/>
      <c r="BF659" s="7"/>
      <c r="BG659" s="7"/>
      <c r="BH659" s="7"/>
      <c r="BI659" s="7"/>
      <c r="BJ659" s="7"/>
      <c r="BK659" s="7"/>
    </row>
    <row r="660" spans="1:63" x14ac:dyDescent="0.2">
      <c r="A660" s="9"/>
      <c r="B660" s="3"/>
      <c r="C660" s="3"/>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c r="AT660" s="7"/>
      <c r="AU660" s="7"/>
      <c r="AV660" s="7"/>
      <c r="AW660" s="7"/>
      <c r="AX660" s="7"/>
      <c r="AY660" s="7"/>
      <c r="AZ660" s="7"/>
      <c r="BA660" s="7"/>
      <c r="BB660" s="7"/>
      <c r="BC660" s="7"/>
      <c r="BD660" s="7"/>
      <c r="BE660" s="7"/>
      <c r="BF660" s="7"/>
      <c r="BG660" s="7"/>
      <c r="BH660" s="7"/>
      <c r="BI660" s="7"/>
      <c r="BJ660" s="7"/>
      <c r="BK660" s="7"/>
    </row>
    <row r="661" spans="1:63" x14ac:dyDescent="0.2">
      <c r="A661" s="9"/>
      <c r="B661" s="3"/>
      <c r="C661" s="3"/>
      <c r="I661" s="5">
        <f>I657+I659</f>
        <v>8815242.3000000007</v>
      </c>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c r="AJ661" s="7"/>
      <c r="AK661" s="7"/>
      <c r="AL661" s="7"/>
      <c r="AM661" s="7"/>
      <c r="AN661" s="7"/>
      <c r="AO661" s="7"/>
      <c r="AP661" s="7"/>
      <c r="AQ661" s="7"/>
      <c r="AR661" s="7"/>
      <c r="AS661" s="7"/>
      <c r="AT661" s="7"/>
      <c r="AU661" s="7"/>
      <c r="AV661" s="7"/>
      <c r="AW661" s="7"/>
      <c r="AX661" s="7"/>
      <c r="AY661" s="7"/>
      <c r="AZ661" s="7"/>
      <c r="BA661" s="7"/>
      <c r="BB661" s="7"/>
      <c r="BC661" s="7"/>
      <c r="BD661" s="7"/>
      <c r="BE661" s="7"/>
      <c r="BF661" s="7"/>
      <c r="BG661" s="7"/>
      <c r="BH661" s="7"/>
      <c r="BI661" s="7"/>
      <c r="BJ661" s="7"/>
      <c r="BK661" s="7"/>
    </row>
    <row r="662" spans="1:63" x14ac:dyDescent="0.2">
      <c r="A662" s="9"/>
      <c r="B662" s="3"/>
      <c r="C662" s="3"/>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c r="AJ662" s="7"/>
      <c r="AK662" s="7"/>
      <c r="AL662" s="7"/>
      <c r="AM662" s="7"/>
      <c r="AN662" s="7"/>
      <c r="AO662" s="7"/>
      <c r="AP662" s="7"/>
      <c r="AQ662" s="7"/>
      <c r="AR662" s="7"/>
      <c r="AS662" s="7"/>
      <c r="AT662" s="7"/>
      <c r="AU662" s="7"/>
      <c r="AV662" s="7"/>
      <c r="AW662" s="7"/>
      <c r="AX662" s="7"/>
      <c r="AY662" s="7"/>
      <c r="AZ662" s="7"/>
      <c r="BA662" s="7"/>
      <c r="BB662" s="7"/>
      <c r="BC662" s="7"/>
      <c r="BD662" s="7"/>
      <c r="BE662" s="7"/>
      <c r="BF662" s="7"/>
      <c r="BG662" s="7"/>
      <c r="BH662" s="7"/>
      <c r="BI662" s="7"/>
      <c r="BJ662" s="7"/>
      <c r="BK662" s="7"/>
    </row>
    <row r="663" spans="1:63" x14ac:dyDescent="0.2">
      <c r="A663" s="9"/>
      <c r="B663" s="3"/>
      <c r="C663" s="3"/>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c r="AJ663" s="7"/>
      <c r="AK663" s="7"/>
      <c r="AL663" s="7"/>
      <c r="AM663" s="7"/>
      <c r="AN663" s="7"/>
      <c r="AO663" s="7"/>
      <c r="AP663" s="7"/>
      <c r="AQ663" s="7"/>
      <c r="AR663" s="7"/>
      <c r="AS663" s="7"/>
      <c r="AT663" s="7"/>
      <c r="AU663" s="7"/>
      <c r="AV663" s="7"/>
      <c r="AW663" s="7"/>
      <c r="AX663" s="7"/>
      <c r="AY663" s="7"/>
      <c r="AZ663" s="7"/>
      <c r="BA663" s="7"/>
      <c r="BB663" s="7"/>
      <c r="BC663" s="7"/>
      <c r="BD663" s="7"/>
      <c r="BE663" s="7"/>
      <c r="BF663" s="7"/>
      <c r="BG663" s="7"/>
      <c r="BH663" s="7"/>
      <c r="BI663" s="7"/>
      <c r="BJ663" s="7"/>
      <c r="BK663" s="7"/>
    </row>
    <row r="664" spans="1:63" x14ac:dyDescent="0.2">
      <c r="A664" s="9"/>
      <c r="B664" s="3"/>
      <c r="C664" s="3"/>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c r="AJ664" s="7"/>
      <c r="AK664" s="7"/>
      <c r="AL664" s="7"/>
      <c r="AM664" s="7"/>
      <c r="AN664" s="7"/>
      <c r="AO664" s="7"/>
      <c r="AP664" s="7"/>
      <c r="AQ664" s="7"/>
      <c r="AR664" s="7"/>
      <c r="AS664" s="7"/>
      <c r="AT664" s="7"/>
      <c r="AU664" s="7"/>
      <c r="AV664" s="7"/>
      <c r="AW664" s="7"/>
      <c r="AX664" s="7"/>
      <c r="AY664" s="7"/>
      <c r="AZ664" s="7"/>
      <c r="BA664" s="7"/>
      <c r="BB664" s="7"/>
      <c r="BC664" s="7"/>
      <c r="BD664" s="7"/>
      <c r="BE664" s="7"/>
      <c r="BF664" s="7"/>
      <c r="BG664" s="7"/>
      <c r="BH664" s="7"/>
      <c r="BI664" s="7"/>
      <c r="BJ664" s="7"/>
      <c r="BK664" s="7"/>
    </row>
    <row r="665" spans="1:63" x14ac:dyDescent="0.2">
      <c r="A665" s="9"/>
      <c r="B665" s="3"/>
      <c r="C665" s="3"/>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c r="AJ665" s="7"/>
      <c r="AK665" s="7"/>
      <c r="AL665" s="7"/>
      <c r="AM665" s="7"/>
      <c r="AN665" s="7"/>
      <c r="AO665" s="7"/>
      <c r="AP665" s="7"/>
      <c r="AQ665" s="7"/>
      <c r="AR665" s="7"/>
      <c r="AS665" s="7"/>
      <c r="AT665" s="7"/>
      <c r="AU665" s="7"/>
      <c r="AV665" s="7"/>
      <c r="AW665" s="7"/>
      <c r="AX665" s="7"/>
      <c r="AY665" s="7"/>
      <c r="AZ665" s="7"/>
      <c r="BA665" s="7"/>
      <c r="BB665" s="7"/>
      <c r="BC665" s="7"/>
      <c r="BD665" s="7"/>
      <c r="BE665" s="7"/>
      <c r="BF665" s="7"/>
      <c r="BG665" s="7"/>
      <c r="BH665" s="7"/>
      <c r="BI665" s="7"/>
      <c r="BJ665" s="7"/>
      <c r="BK665" s="7"/>
    </row>
    <row r="666" spans="1:63" x14ac:dyDescent="0.2">
      <c r="A666" s="9"/>
      <c r="B666" s="3"/>
      <c r="C666" s="3"/>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c r="AJ666" s="7"/>
      <c r="AK666" s="7"/>
      <c r="AL666" s="7"/>
      <c r="AM666" s="7"/>
      <c r="AN666" s="7"/>
      <c r="AO666" s="7"/>
      <c r="AP666" s="7"/>
      <c r="AQ666" s="7"/>
      <c r="AR666" s="7"/>
      <c r="AS666" s="7"/>
      <c r="AT666" s="7"/>
      <c r="AU666" s="7"/>
      <c r="AV666" s="7"/>
      <c r="AW666" s="7"/>
      <c r="AX666" s="7"/>
      <c r="AY666" s="7"/>
      <c r="AZ666" s="7"/>
      <c r="BA666" s="7"/>
      <c r="BB666" s="7"/>
      <c r="BC666" s="7"/>
      <c r="BD666" s="7"/>
      <c r="BE666" s="7"/>
      <c r="BF666" s="7"/>
      <c r="BG666" s="7"/>
      <c r="BH666" s="7"/>
      <c r="BI666" s="7"/>
      <c r="BJ666" s="7"/>
      <c r="BK666" s="7"/>
    </row>
    <row r="667" spans="1:63" x14ac:dyDescent="0.2">
      <c r="A667" s="9"/>
      <c r="B667" s="3"/>
      <c r="C667" s="3"/>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c r="AJ667" s="7"/>
      <c r="AK667" s="7"/>
      <c r="AL667" s="7"/>
      <c r="AM667" s="7"/>
      <c r="AN667" s="7"/>
      <c r="AO667" s="7"/>
      <c r="AP667" s="7"/>
      <c r="AQ667" s="7"/>
      <c r="AR667" s="7"/>
      <c r="AS667" s="7"/>
      <c r="AT667" s="7"/>
      <c r="AU667" s="7"/>
      <c r="AV667" s="7"/>
      <c r="AW667" s="7"/>
      <c r="AX667" s="7"/>
      <c r="AY667" s="7"/>
      <c r="AZ667" s="7"/>
      <c r="BA667" s="7"/>
      <c r="BB667" s="7"/>
      <c r="BC667" s="7"/>
      <c r="BD667" s="7"/>
      <c r="BE667" s="7"/>
      <c r="BF667" s="7"/>
      <c r="BG667" s="7"/>
      <c r="BH667" s="7"/>
      <c r="BI667" s="7"/>
      <c r="BJ667" s="7"/>
      <c r="BK667" s="7"/>
    </row>
    <row r="668" spans="1:63" x14ac:dyDescent="0.2">
      <c r="A668" s="9"/>
      <c r="B668" s="3"/>
      <c r="C668" s="3"/>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c r="AT668" s="7"/>
      <c r="AU668" s="7"/>
      <c r="AV668" s="7"/>
      <c r="AW668" s="7"/>
      <c r="AX668" s="7"/>
      <c r="AY668" s="7"/>
      <c r="AZ668" s="7"/>
      <c r="BA668" s="7"/>
      <c r="BB668" s="7"/>
      <c r="BC668" s="7"/>
      <c r="BD668" s="7"/>
      <c r="BE668" s="7"/>
      <c r="BF668" s="7"/>
      <c r="BG668" s="7"/>
      <c r="BH668" s="7"/>
      <c r="BI668" s="7"/>
      <c r="BJ668" s="7"/>
      <c r="BK668" s="7"/>
    </row>
    <row r="669" spans="1:63" x14ac:dyDescent="0.2">
      <c r="A669" s="9"/>
      <c r="B669" s="3"/>
      <c r="C669" s="3"/>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c r="AJ669" s="7"/>
      <c r="AK669" s="7"/>
      <c r="AL669" s="7"/>
      <c r="AM669" s="7"/>
      <c r="AN669" s="7"/>
      <c r="AO669" s="7"/>
      <c r="AP669" s="7"/>
      <c r="AQ669" s="7"/>
      <c r="AR669" s="7"/>
      <c r="AS669" s="7"/>
      <c r="AT669" s="7"/>
      <c r="AU669" s="7"/>
      <c r="AV669" s="7"/>
      <c r="AW669" s="7"/>
      <c r="AX669" s="7"/>
      <c r="AY669" s="7"/>
      <c r="AZ669" s="7"/>
      <c r="BA669" s="7"/>
      <c r="BB669" s="7"/>
      <c r="BC669" s="7"/>
      <c r="BD669" s="7"/>
      <c r="BE669" s="7"/>
      <c r="BF669" s="7"/>
      <c r="BG669" s="7"/>
      <c r="BH669" s="7"/>
      <c r="BI669" s="7"/>
      <c r="BJ669" s="7"/>
      <c r="BK669" s="7"/>
    </row>
    <row r="670" spans="1:63" x14ac:dyDescent="0.2">
      <c r="A670" s="9"/>
      <c r="B670" s="3"/>
      <c r="C670" s="3"/>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c r="AT670" s="7"/>
      <c r="AU670" s="7"/>
      <c r="AV670" s="7"/>
      <c r="AW670" s="7"/>
      <c r="AX670" s="7"/>
      <c r="AY670" s="7"/>
      <c r="AZ670" s="7"/>
      <c r="BA670" s="7"/>
      <c r="BB670" s="7"/>
      <c r="BC670" s="7"/>
      <c r="BD670" s="7"/>
      <c r="BE670" s="7"/>
      <c r="BF670" s="7"/>
      <c r="BG670" s="7"/>
      <c r="BH670" s="7"/>
      <c r="BI670" s="7"/>
      <c r="BJ670" s="7"/>
      <c r="BK670" s="7"/>
    </row>
    <row r="671" spans="1:63" x14ac:dyDescent="0.2">
      <c r="A671" s="9"/>
      <c r="B671" s="3"/>
      <c r="C671" s="3"/>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c r="AT671" s="7"/>
      <c r="AU671" s="7"/>
      <c r="AV671" s="7"/>
      <c r="AW671" s="7"/>
      <c r="AX671" s="7"/>
      <c r="AY671" s="7"/>
      <c r="AZ671" s="7"/>
      <c r="BA671" s="7"/>
      <c r="BB671" s="7"/>
      <c r="BC671" s="7"/>
      <c r="BD671" s="7"/>
      <c r="BE671" s="7"/>
      <c r="BF671" s="7"/>
      <c r="BG671" s="7"/>
      <c r="BH671" s="7"/>
      <c r="BI671" s="7"/>
      <c r="BJ671" s="7"/>
      <c r="BK671" s="7"/>
    </row>
    <row r="672" spans="1:63" x14ac:dyDescent="0.2">
      <c r="A672" s="9"/>
      <c r="B672" s="3"/>
      <c r="C672" s="3"/>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c r="AJ672" s="7"/>
      <c r="AK672" s="7"/>
      <c r="AL672" s="7"/>
      <c r="AM672" s="7"/>
      <c r="AN672" s="7"/>
      <c r="AO672" s="7"/>
      <c r="AP672" s="7"/>
      <c r="AQ672" s="7"/>
      <c r="AR672" s="7"/>
      <c r="AS672" s="7"/>
      <c r="AT672" s="7"/>
      <c r="AU672" s="7"/>
      <c r="AV672" s="7"/>
      <c r="AW672" s="7"/>
      <c r="AX672" s="7"/>
      <c r="AY672" s="7"/>
      <c r="AZ672" s="7"/>
      <c r="BA672" s="7"/>
      <c r="BB672" s="7"/>
      <c r="BC672" s="7"/>
      <c r="BD672" s="7"/>
      <c r="BE672" s="7"/>
      <c r="BF672" s="7"/>
      <c r="BG672" s="7"/>
      <c r="BH672" s="7"/>
      <c r="BI672" s="7"/>
      <c r="BJ672" s="7"/>
      <c r="BK672" s="7"/>
    </row>
    <row r="673" spans="1:63" x14ac:dyDescent="0.2">
      <c r="A673" s="9"/>
      <c r="B673" s="3"/>
      <c r="C673" s="3"/>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c r="AJ673" s="7"/>
      <c r="AK673" s="7"/>
      <c r="AL673" s="7"/>
      <c r="AM673" s="7"/>
      <c r="AN673" s="7"/>
      <c r="AO673" s="7"/>
      <c r="AP673" s="7"/>
      <c r="AQ673" s="7"/>
      <c r="AR673" s="7"/>
      <c r="AS673" s="7"/>
      <c r="AT673" s="7"/>
      <c r="AU673" s="7"/>
      <c r="AV673" s="7"/>
      <c r="AW673" s="7"/>
      <c r="AX673" s="7"/>
      <c r="AY673" s="7"/>
      <c r="AZ673" s="7"/>
      <c r="BA673" s="7"/>
      <c r="BB673" s="7"/>
      <c r="BC673" s="7"/>
      <c r="BD673" s="7"/>
      <c r="BE673" s="7"/>
      <c r="BF673" s="7"/>
      <c r="BG673" s="7"/>
      <c r="BH673" s="7"/>
      <c r="BI673" s="7"/>
      <c r="BJ673" s="7"/>
      <c r="BK673" s="7"/>
    </row>
    <row r="674" spans="1:63" x14ac:dyDescent="0.2">
      <c r="A674" s="9"/>
      <c r="B674" s="3"/>
      <c r="C674" s="3"/>
      <c r="D674" s="7"/>
      <c r="E674" s="7"/>
      <c r="F674" s="7"/>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c r="AJ674" s="7"/>
      <c r="AK674" s="7"/>
      <c r="AL674" s="7"/>
      <c r="AM674" s="7"/>
      <c r="AN674" s="7"/>
      <c r="AO674" s="7"/>
      <c r="AP674" s="7"/>
      <c r="AQ674" s="7"/>
      <c r="AR674" s="7"/>
      <c r="AS674" s="7"/>
      <c r="AT674" s="7"/>
      <c r="AU674" s="7"/>
      <c r="AV674" s="7"/>
      <c r="AW674" s="7"/>
      <c r="AX674" s="7"/>
      <c r="AY674" s="7"/>
      <c r="AZ674" s="7"/>
      <c r="BA674" s="7"/>
      <c r="BB674" s="7"/>
      <c r="BC674" s="7"/>
      <c r="BD674" s="7"/>
      <c r="BE674" s="7"/>
      <c r="BF674" s="7"/>
      <c r="BG674" s="7"/>
      <c r="BH674" s="7"/>
      <c r="BI674" s="7"/>
      <c r="BJ674" s="7"/>
      <c r="BK674" s="7"/>
    </row>
    <row r="675" spans="1:63" x14ac:dyDescent="0.2">
      <c r="A675" s="9"/>
      <c r="B675" s="3"/>
      <c r="C675" s="3"/>
      <c r="D675" s="7"/>
      <c r="E675" s="7"/>
      <c r="F675" s="7"/>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c r="AJ675" s="7"/>
      <c r="AK675" s="7"/>
      <c r="AL675" s="7"/>
      <c r="AM675" s="7"/>
      <c r="AN675" s="7"/>
      <c r="AO675" s="7"/>
      <c r="AP675" s="7"/>
      <c r="AQ675" s="7"/>
      <c r="AR675" s="7"/>
      <c r="AS675" s="7"/>
      <c r="AT675" s="7"/>
      <c r="AU675" s="7"/>
      <c r="AV675" s="7"/>
      <c r="AW675" s="7"/>
      <c r="AX675" s="7"/>
      <c r="AY675" s="7"/>
      <c r="AZ675" s="7"/>
      <c r="BA675" s="7"/>
      <c r="BB675" s="7"/>
      <c r="BC675" s="7"/>
      <c r="BD675" s="7"/>
      <c r="BE675" s="7"/>
      <c r="BF675" s="7"/>
      <c r="BG675" s="7"/>
      <c r="BH675" s="7"/>
      <c r="BI675" s="7"/>
      <c r="BJ675" s="7"/>
      <c r="BK675" s="7"/>
    </row>
    <row r="676" spans="1:63" x14ac:dyDescent="0.2">
      <c r="A676" s="9"/>
      <c r="B676" s="3"/>
      <c r="C676" s="3"/>
      <c r="D676" s="7"/>
      <c r="E676" s="7"/>
      <c r="F676" s="7"/>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c r="AJ676" s="7"/>
      <c r="AK676" s="7"/>
      <c r="AL676" s="7"/>
      <c r="AM676" s="7"/>
      <c r="AN676" s="7"/>
      <c r="AO676" s="7"/>
      <c r="AP676" s="7"/>
      <c r="AQ676" s="7"/>
      <c r="AR676" s="7"/>
      <c r="AS676" s="7"/>
      <c r="AT676" s="7"/>
      <c r="AU676" s="7"/>
      <c r="AV676" s="7"/>
      <c r="AW676" s="7"/>
      <c r="AX676" s="7"/>
      <c r="AY676" s="7"/>
      <c r="AZ676" s="7"/>
      <c r="BA676" s="7"/>
      <c r="BB676" s="7"/>
      <c r="BC676" s="7"/>
      <c r="BD676" s="7"/>
      <c r="BE676" s="7"/>
      <c r="BF676" s="7"/>
      <c r="BG676" s="7"/>
      <c r="BH676" s="7"/>
      <c r="BI676" s="7"/>
      <c r="BJ676" s="7"/>
      <c r="BK676" s="7"/>
    </row>
    <row r="677" spans="1:63" x14ac:dyDescent="0.2">
      <c r="A677" s="9"/>
      <c r="B677" s="3"/>
      <c r="C677" s="3"/>
      <c r="D677" s="7"/>
      <c r="E677" s="7"/>
      <c r="F677" s="7"/>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c r="AJ677" s="7"/>
      <c r="AK677" s="7"/>
      <c r="AL677" s="7"/>
      <c r="AM677" s="7"/>
      <c r="AN677" s="7"/>
      <c r="AO677" s="7"/>
      <c r="AP677" s="7"/>
      <c r="AQ677" s="7"/>
      <c r="AR677" s="7"/>
      <c r="AS677" s="7"/>
      <c r="AT677" s="7"/>
      <c r="AU677" s="7"/>
      <c r="AV677" s="7"/>
      <c r="AW677" s="7"/>
      <c r="AX677" s="7"/>
      <c r="AY677" s="7"/>
      <c r="AZ677" s="7"/>
      <c r="BA677" s="7"/>
      <c r="BB677" s="7"/>
      <c r="BC677" s="7"/>
      <c r="BD677" s="7"/>
      <c r="BE677" s="7"/>
      <c r="BF677" s="7"/>
      <c r="BG677" s="7"/>
      <c r="BH677" s="7"/>
      <c r="BI677" s="7"/>
      <c r="BJ677" s="7"/>
      <c r="BK677" s="7"/>
    </row>
    <row r="678" spans="1:63" x14ac:dyDescent="0.2">
      <c r="A678" s="9"/>
      <c r="B678" s="3"/>
      <c r="C678" s="3"/>
      <c r="D678" s="7"/>
      <c r="E678" s="7"/>
      <c r="F678" s="7"/>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c r="AJ678" s="7"/>
      <c r="AK678" s="7"/>
      <c r="AL678" s="7"/>
      <c r="AM678" s="7"/>
      <c r="AN678" s="7"/>
      <c r="AO678" s="7"/>
      <c r="AP678" s="7"/>
      <c r="AQ678" s="7"/>
      <c r="AR678" s="7"/>
      <c r="AS678" s="7"/>
      <c r="AT678" s="7"/>
      <c r="AU678" s="7"/>
      <c r="AV678" s="7"/>
      <c r="AW678" s="7"/>
      <c r="AX678" s="7"/>
      <c r="AY678" s="7"/>
      <c r="AZ678" s="7"/>
      <c r="BA678" s="7"/>
      <c r="BB678" s="7"/>
      <c r="BC678" s="7"/>
      <c r="BD678" s="7"/>
      <c r="BE678" s="7"/>
      <c r="BF678" s="7"/>
      <c r="BG678" s="7"/>
      <c r="BH678" s="7"/>
      <c r="BI678" s="7"/>
      <c r="BJ678" s="7"/>
      <c r="BK678" s="7"/>
    </row>
    <row r="679" spans="1:63" x14ac:dyDescent="0.2">
      <c r="A679" s="9"/>
      <c r="B679" s="3"/>
      <c r="C679" s="3"/>
      <c r="D679" s="7"/>
      <c r="E679" s="7"/>
      <c r="F679" s="7"/>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c r="AJ679" s="7"/>
      <c r="AK679" s="7"/>
      <c r="AL679" s="7"/>
      <c r="AM679" s="7"/>
      <c r="AN679" s="7"/>
      <c r="AO679" s="7"/>
      <c r="AP679" s="7"/>
      <c r="AQ679" s="7"/>
      <c r="AR679" s="7"/>
      <c r="AS679" s="7"/>
      <c r="AT679" s="7"/>
      <c r="AU679" s="7"/>
      <c r="AV679" s="7"/>
      <c r="AW679" s="7"/>
      <c r="AX679" s="7"/>
      <c r="AY679" s="7"/>
      <c r="AZ679" s="7"/>
      <c r="BA679" s="7"/>
      <c r="BB679" s="7"/>
      <c r="BC679" s="7"/>
      <c r="BD679" s="7"/>
      <c r="BE679" s="7"/>
      <c r="BF679" s="7"/>
      <c r="BG679" s="7"/>
      <c r="BH679" s="7"/>
      <c r="BI679" s="7"/>
      <c r="BJ679" s="7"/>
      <c r="BK679" s="7"/>
    </row>
    <row r="680" spans="1:63" x14ac:dyDescent="0.2">
      <c r="A680" s="9"/>
      <c r="B680" s="3"/>
      <c r="C680" s="3"/>
      <c r="D680" s="7"/>
      <c r="E680" s="7"/>
      <c r="F680" s="7"/>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c r="AJ680" s="7"/>
      <c r="AK680" s="7"/>
      <c r="AL680" s="7"/>
      <c r="AM680" s="7"/>
      <c r="AN680" s="7"/>
      <c r="AO680" s="7"/>
      <c r="AP680" s="7"/>
      <c r="AQ680" s="7"/>
      <c r="AR680" s="7"/>
      <c r="AS680" s="7"/>
      <c r="AT680" s="7"/>
      <c r="AU680" s="7"/>
      <c r="AV680" s="7"/>
      <c r="AW680" s="7"/>
      <c r="AX680" s="7"/>
      <c r="AY680" s="7"/>
      <c r="AZ680" s="7"/>
      <c r="BA680" s="7"/>
      <c r="BB680" s="7"/>
      <c r="BC680" s="7"/>
      <c r="BD680" s="7"/>
      <c r="BE680" s="7"/>
      <c r="BF680" s="7"/>
      <c r="BG680" s="7"/>
      <c r="BH680" s="7"/>
      <c r="BI680" s="7"/>
      <c r="BJ680" s="7"/>
      <c r="BK680" s="7"/>
    </row>
    <row r="681" spans="1:63" x14ac:dyDescent="0.2">
      <c r="A681" s="9"/>
      <c r="B681" s="3"/>
      <c r="C681" s="3"/>
      <c r="D681" s="7"/>
      <c r="E681" s="7"/>
      <c r="F681" s="7"/>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c r="AJ681" s="7"/>
      <c r="AK681" s="7"/>
      <c r="AL681" s="7"/>
      <c r="AM681" s="7"/>
      <c r="AN681" s="7"/>
      <c r="AO681" s="7"/>
      <c r="AP681" s="7"/>
      <c r="AQ681" s="7"/>
      <c r="AR681" s="7"/>
      <c r="AS681" s="7"/>
      <c r="AT681" s="7"/>
      <c r="AU681" s="7"/>
      <c r="AV681" s="7"/>
      <c r="AW681" s="7"/>
      <c r="AX681" s="7"/>
      <c r="AY681" s="7"/>
      <c r="AZ681" s="7"/>
      <c r="BA681" s="7"/>
      <c r="BB681" s="7"/>
      <c r="BC681" s="7"/>
      <c r="BD681" s="7"/>
      <c r="BE681" s="7"/>
      <c r="BF681" s="7"/>
      <c r="BG681" s="7"/>
      <c r="BH681" s="7"/>
      <c r="BI681" s="7"/>
      <c r="BJ681" s="7"/>
      <c r="BK681" s="7"/>
    </row>
    <row r="682" spans="1:63" x14ac:dyDescent="0.2">
      <c r="A682" s="9"/>
      <c r="B682" s="3"/>
      <c r="C682" s="3"/>
      <c r="D682" s="7"/>
      <c r="E682" s="7"/>
      <c r="F682" s="7"/>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c r="AJ682" s="7"/>
      <c r="AK682" s="7"/>
      <c r="AL682" s="7"/>
      <c r="AM682" s="7"/>
      <c r="AN682" s="7"/>
      <c r="AO682" s="7"/>
      <c r="AP682" s="7"/>
      <c r="AQ682" s="7"/>
      <c r="AR682" s="7"/>
      <c r="AS682" s="7"/>
      <c r="AT682" s="7"/>
      <c r="AU682" s="7"/>
      <c r="AV682" s="7"/>
      <c r="AW682" s="7"/>
      <c r="AX682" s="7"/>
      <c r="AY682" s="7"/>
      <c r="AZ682" s="7"/>
      <c r="BA682" s="7"/>
      <c r="BB682" s="7"/>
      <c r="BC682" s="7"/>
      <c r="BD682" s="7"/>
      <c r="BE682" s="7"/>
      <c r="BF682" s="7"/>
      <c r="BG682" s="7"/>
      <c r="BH682" s="7"/>
      <c r="BI682" s="7"/>
      <c r="BJ682" s="7"/>
      <c r="BK682" s="7"/>
    </row>
    <row r="683" spans="1:63" x14ac:dyDescent="0.2">
      <c r="A683" s="9"/>
      <c r="B683" s="3"/>
      <c r="C683" s="3"/>
      <c r="D683" s="7"/>
      <c r="E683" s="7"/>
      <c r="F683" s="7"/>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c r="AJ683" s="7"/>
      <c r="AK683" s="7"/>
      <c r="AL683" s="7"/>
      <c r="AM683" s="7"/>
      <c r="AN683" s="7"/>
      <c r="AO683" s="7"/>
      <c r="AP683" s="7"/>
      <c r="AQ683" s="7"/>
      <c r="AR683" s="7"/>
      <c r="AS683" s="7"/>
      <c r="AT683" s="7"/>
      <c r="AU683" s="7"/>
      <c r="AV683" s="7"/>
      <c r="AW683" s="7"/>
      <c r="AX683" s="7"/>
      <c r="AY683" s="7"/>
      <c r="AZ683" s="7"/>
      <c r="BA683" s="7"/>
      <c r="BB683" s="7"/>
      <c r="BC683" s="7"/>
      <c r="BD683" s="7"/>
      <c r="BE683" s="7"/>
      <c r="BF683" s="7"/>
      <c r="BG683" s="7"/>
      <c r="BH683" s="7"/>
      <c r="BI683" s="7"/>
      <c r="BJ683" s="7"/>
      <c r="BK683" s="7"/>
    </row>
    <row r="684" spans="1:63" x14ac:dyDescent="0.2">
      <c r="A684" s="9"/>
      <c r="B684" s="3"/>
      <c r="C684" s="3"/>
      <c r="D684" s="7"/>
      <c r="E684" s="7"/>
      <c r="F684" s="7"/>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c r="AJ684" s="7"/>
      <c r="AK684" s="7"/>
      <c r="AL684" s="7"/>
      <c r="AM684" s="7"/>
      <c r="AN684" s="7"/>
      <c r="AO684" s="7"/>
      <c r="AP684" s="7"/>
      <c r="AQ684" s="7"/>
      <c r="AR684" s="7"/>
      <c r="AS684" s="7"/>
      <c r="AT684" s="7"/>
      <c r="AU684" s="7"/>
      <c r="AV684" s="7"/>
      <c r="AW684" s="7"/>
      <c r="AX684" s="7"/>
      <c r="AY684" s="7"/>
      <c r="AZ684" s="7"/>
      <c r="BA684" s="7"/>
      <c r="BB684" s="7"/>
      <c r="BC684" s="7"/>
      <c r="BD684" s="7"/>
      <c r="BE684" s="7"/>
      <c r="BF684" s="7"/>
      <c r="BG684" s="7"/>
      <c r="BH684" s="7"/>
      <c r="BI684" s="7"/>
      <c r="BJ684" s="7"/>
      <c r="BK684" s="7"/>
    </row>
    <row r="685" spans="1:63" x14ac:dyDescent="0.2">
      <c r="A685" s="9"/>
      <c r="B685" s="3"/>
      <c r="C685" s="3"/>
      <c r="D685" s="7"/>
      <c r="E685" s="7"/>
      <c r="F685" s="7"/>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c r="AJ685" s="7"/>
      <c r="AK685" s="7"/>
      <c r="AL685" s="7"/>
      <c r="AM685" s="7"/>
      <c r="AN685" s="7"/>
      <c r="AO685" s="7"/>
      <c r="AP685" s="7"/>
      <c r="AQ685" s="7"/>
      <c r="AR685" s="7"/>
      <c r="AS685" s="7"/>
      <c r="AT685" s="7"/>
      <c r="AU685" s="7"/>
      <c r="AV685" s="7"/>
      <c r="AW685" s="7"/>
      <c r="AX685" s="7"/>
      <c r="AY685" s="7"/>
      <c r="AZ685" s="7"/>
      <c r="BA685" s="7"/>
      <c r="BB685" s="7"/>
      <c r="BC685" s="7"/>
      <c r="BD685" s="7"/>
      <c r="BE685" s="7"/>
      <c r="BF685" s="7"/>
      <c r="BG685" s="7"/>
      <c r="BH685" s="7"/>
      <c r="BI685" s="7"/>
      <c r="BJ685" s="7"/>
      <c r="BK685" s="7"/>
    </row>
    <row r="686" spans="1:63" x14ac:dyDescent="0.2">
      <c r="A686" s="9"/>
      <c r="B686" s="3"/>
      <c r="C686" s="3"/>
      <c r="D686" s="7"/>
      <c r="E686" s="7"/>
      <c r="F686" s="7"/>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c r="AJ686" s="7"/>
      <c r="AK686" s="7"/>
      <c r="AL686" s="7"/>
      <c r="AM686" s="7"/>
      <c r="AN686" s="7"/>
      <c r="AO686" s="7"/>
      <c r="AP686" s="7"/>
      <c r="AQ686" s="7"/>
      <c r="AR686" s="7"/>
      <c r="AS686" s="7"/>
      <c r="AT686" s="7"/>
      <c r="AU686" s="7"/>
      <c r="AV686" s="7"/>
      <c r="AW686" s="7"/>
      <c r="AX686" s="7"/>
      <c r="AY686" s="7"/>
      <c r="AZ686" s="7"/>
      <c r="BA686" s="7"/>
      <c r="BB686" s="7"/>
      <c r="BC686" s="7"/>
      <c r="BD686" s="7"/>
      <c r="BE686" s="7"/>
      <c r="BF686" s="7"/>
      <c r="BG686" s="7"/>
      <c r="BH686" s="7"/>
      <c r="BI686" s="7"/>
      <c r="BJ686" s="7"/>
      <c r="BK686" s="7"/>
    </row>
    <row r="687" spans="1:63" x14ac:dyDescent="0.2">
      <c r="A687" s="9"/>
      <c r="B687" s="3"/>
      <c r="C687" s="3"/>
      <c r="D687" s="7"/>
      <c r="E687" s="7"/>
      <c r="F687" s="7"/>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c r="AJ687" s="7"/>
      <c r="AK687" s="7"/>
      <c r="AL687" s="7"/>
      <c r="AM687" s="7"/>
      <c r="AN687" s="7"/>
      <c r="AO687" s="7"/>
      <c r="AP687" s="7"/>
      <c r="AQ687" s="7"/>
      <c r="AR687" s="7"/>
      <c r="AS687" s="7"/>
      <c r="AT687" s="7"/>
      <c r="AU687" s="7"/>
      <c r="AV687" s="7"/>
      <c r="AW687" s="7"/>
      <c r="AX687" s="7"/>
      <c r="AY687" s="7"/>
      <c r="AZ687" s="7"/>
      <c r="BA687" s="7"/>
      <c r="BB687" s="7"/>
      <c r="BC687" s="7"/>
      <c r="BD687" s="7"/>
      <c r="BE687" s="7"/>
      <c r="BF687" s="7"/>
      <c r="BG687" s="7"/>
      <c r="BH687" s="7"/>
      <c r="BI687" s="7"/>
      <c r="BJ687" s="7"/>
      <c r="BK687" s="7"/>
    </row>
    <row r="688" spans="1:63" x14ac:dyDescent="0.2">
      <c r="A688" s="9"/>
      <c r="B688" s="3"/>
      <c r="C688" s="3"/>
      <c r="D688" s="7"/>
      <c r="E688" s="7"/>
      <c r="F688" s="7"/>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c r="AJ688" s="7"/>
      <c r="AK688" s="7"/>
      <c r="AL688" s="7"/>
      <c r="AM688" s="7"/>
      <c r="AN688" s="7"/>
      <c r="AO688" s="7"/>
      <c r="AP688" s="7"/>
      <c r="AQ688" s="7"/>
      <c r="AR688" s="7"/>
      <c r="AS688" s="7"/>
      <c r="AT688" s="7"/>
      <c r="AU688" s="7"/>
      <c r="AV688" s="7"/>
      <c r="AW688" s="7"/>
      <c r="AX688" s="7"/>
      <c r="AY688" s="7"/>
      <c r="AZ688" s="7"/>
      <c r="BA688" s="7"/>
      <c r="BB688" s="7"/>
      <c r="BC688" s="7"/>
      <c r="BD688" s="7"/>
      <c r="BE688" s="7"/>
      <c r="BF688" s="7"/>
      <c r="BG688" s="7"/>
      <c r="BH688" s="7"/>
      <c r="BI688" s="7"/>
      <c r="BJ688" s="7"/>
      <c r="BK688" s="7"/>
    </row>
    <row r="689" spans="1:63" x14ac:dyDescent="0.2">
      <c r="A689" s="9"/>
      <c r="B689" s="3"/>
      <c r="C689" s="3"/>
      <c r="D689" s="7"/>
      <c r="E689" s="7"/>
      <c r="F689" s="7"/>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c r="AJ689" s="7"/>
      <c r="AK689" s="7"/>
      <c r="AL689" s="7"/>
      <c r="AM689" s="7"/>
      <c r="AN689" s="7"/>
      <c r="AO689" s="7"/>
      <c r="AP689" s="7"/>
      <c r="AQ689" s="7"/>
      <c r="AR689" s="7"/>
      <c r="AS689" s="7"/>
      <c r="AT689" s="7"/>
      <c r="AU689" s="7"/>
      <c r="AV689" s="7"/>
      <c r="AW689" s="7"/>
      <c r="AX689" s="7"/>
      <c r="AY689" s="7"/>
      <c r="AZ689" s="7"/>
      <c r="BA689" s="7"/>
      <c r="BB689" s="7"/>
      <c r="BC689" s="7"/>
      <c r="BD689" s="7"/>
      <c r="BE689" s="7"/>
      <c r="BF689" s="7"/>
      <c r="BG689" s="7"/>
      <c r="BH689" s="7"/>
      <c r="BI689" s="7"/>
      <c r="BJ689" s="7"/>
      <c r="BK689" s="7"/>
    </row>
    <row r="690" spans="1:63" x14ac:dyDescent="0.2">
      <c r="A690" s="9"/>
      <c r="B690" s="3"/>
      <c r="C690" s="3"/>
      <c r="D690" s="7"/>
      <c r="E690" s="7"/>
      <c r="F690" s="7"/>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c r="AJ690" s="7"/>
      <c r="AK690" s="7"/>
      <c r="AL690" s="7"/>
      <c r="AM690" s="7"/>
      <c r="AN690" s="7"/>
      <c r="AO690" s="7"/>
      <c r="AP690" s="7"/>
      <c r="AQ690" s="7"/>
      <c r="AR690" s="7"/>
      <c r="AS690" s="7"/>
      <c r="AT690" s="7"/>
      <c r="AU690" s="7"/>
      <c r="AV690" s="7"/>
      <c r="AW690" s="7"/>
      <c r="AX690" s="7"/>
      <c r="AY690" s="7"/>
      <c r="AZ690" s="7"/>
      <c r="BA690" s="7"/>
      <c r="BB690" s="7"/>
      <c r="BC690" s="7"/>
      <c r="BD690" s="7"/>
      <c r="BE690" s="7"/>
      <c r="BF690" s="7"/>
      <c r="BG690" s="7"/>
      <c r="BH690" s="7"/>
      <c r="BI690" s="7"/>
      <c r="BJ690" s="7"/>
      <c r="BK690" s="7"/>
    </row>
    <row r="691" spans="1:63" x14ac:dyDescent="0.2">
      <c r="A691" s="9"/>
      <c r="B691" s="3"/>
      <c r="C691" s="3"/>
      <c r="D691" s="7"/>
      <c r="E691" s="7"/>
      <c r="F691" s="7"/>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c r="AJ691" s="7"/>
      <c r="AK691" s="7"/>
      <c r="AL691" s="7"/>
      <c r="AM691" s="7"/>
      <c r="AN691" s="7"/>
      <c r="AO691" s="7"/>
      <c r="AP691" s="7"/>
      <c r="AQ691" s="7"/>
      <c r="AR691" s="7"/>
      <c r="AS691" s="7"/>
      <c r="AT691" s="7"/>
      <c r="AU691" s="7"/>
      <c r="AV691" s="7"/>
      <c r="AW691" s="7"/>
      <c r="AX691" s="7"/>
      <c r="AY691" s="7"/>
      <c r="AZ691" s="7"/>
      <c r="BA691" s="7"/>
      <c r="BB691" s="7"/>
      <c r="BC691" s="7"/>
      <c r="BD691" s="7"/>
      <c r="BE691" s="7"/>
      <c r="BF691" s="7"/>
      <c r="BG691" s="7"/>
      <c r="BH691" s="7"/>
      <c r="BI691" s="7"/>
      <c r="BJ691" s="7"/>
      <c r="BK691" s="7"/>
    </row>
    <row r="692" spans="1:63" x14ac:dyDescent="0.2">
      <c r="A692" s="9"/>
      <c r="B692" s="3"/>
      <c r="C692" s="3"/>
      <c r="D692" s="7"/>
      <c r="E692" s="7"/>
      <c r="F692" s="7"/>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c r="AJ692" s="7"/>
      <c r="AK692" s="7"/>
      <c r="AL692" s="7"/>
      <c r="AM692" s="7"/>
      <c r="AN692" s="7"/>
      <c r="AO692" s="7"/>
      <c r="AP692" s="7"/>
      <c r="AQ692" s="7"/>
      <c r="AR692" s="7"/>
      <c r="AS692" s="7"/>
      <c r="AT692" s="7"/>
      <c r="AU692" s="7"/>
      <c r="AV692" s="7"/>
      <c r="AW692" s="7"/>
      <c r="AX692" s="7"/>
      <c r="AY692" s="7"/>
      <c r="AZ692" s="7"/>
      <c r="BA692" s="7"/>
      <c r="BB692" s="7"/>
      <c r="BC692" s="7"/>
      <c r="BD692" s="7"/>
      <c r="BE692" s="7"/>
      <c r="BF692" s="7"/>
      <c r="BG692" s="7"/>
      <c r="BH692" s="7"/>
      <c r="BI692" s="7"/>
      <c r="BJ692" s="7"/>
      <c r="BK692" s="7"/>
    </row>
    <row r="693" spans="1:63" x14ac:dyDescent="0.2">
      <c r="A693" s="9"/>
      <c r="B693" s="3"/>
      <c r="C693" s="3"/>
      <c r="D693" s="7"/>
      <c r="E693" s="7"/>
      <c r="F693" s="7"/>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c r="AJ693" s="7"/>
      <c r="AK693" s="7"/>
      <c r="AL693" s="7"/>
      <c r="AM693" s="7"/>
      <c r="AN693" s="7"/>
      <c r="AO693" s="7"/>
      <c r="AP693" s="7"/>
      <c r="AQ693" s="7"/>
      <c r="AR693" s="7"/>
      <c r="AS693" s="7"/>
      <c r="AT693" s="7"/>
      <c r="AU693" s="7"/>
      <c r="AV693" s="7"/>
      <c r="AW693" s="7"/>
      <c r="AX693" s="7"/>
      <c r="AY693" s="7"/>
      <c r="AZ693" s="7"/>
      <c r="BA693" s="7"/>
      <c r="BB693" s="7"/>
      <c r="BC693" s="7"/>
      <c r="BD693" s="7"/>
      <c r="BE693" s="7"/>
      <c r="BF693" s="7"/>
      <c r="BG693" s="7"/>
      <c r="BH693" s="7"/>
      <c r="BI693" s="7"/>
      <c r="BJ693" s="7"/>
      <c r="BK693" s="7"/>
    </row>
    <row r="694" spans="1:63" x14ac:dyDescent="0.2">
      <c r="A694" s="9"/>
      <c r="B694" s="3"/>
      <c r="C694" s="3"/>
      <c r="D694" s="7"/>
      <c r="E694" s="7"/>
      <c r="F694" s="7"/>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c r="AJ694" s="7"/>
      <c r="AK694" s="7"/>
      <c r="AL694" s="7"/>
      <c r="AM694" s="7"/>
      <c r="AN694" s="7"/>
      <c r="AO694" s="7"/>
      <c r="AP694" s="7"/>
      <c r="AQ694" s="7"/>
      <c r="AR694" s="7"/>
      <c r="AS694" s="7"/>
      <c r="AT694" s="7"/>
      <c r="AU694" s="7"/>
      <c r="AV694" s="7"/>
      <c r="AW694" s="7"/>
      <c r="AX694" s="7"/>
      <c r="AY694" s="7"/>
      <c r="AZ694" s="7"/>
      <c r="BA694" s="7"/>
      <c r="BB694" s="7"/>
      <c r="BC694" s="7"/>
      <c r="BD694" s="7"/>
      <c r="BE694" s="7"/>
      <c r="BF694" s="7"/>
      <c r="BG694" s="7"/>
      <c r="BH694" s="7"/>
      <c r="BI694" s="7"/>
      <c r="BJ694" s="7"/>
      <c r="BK694" s="7"/>
    </row>
    <row r="695" spans="1:63" x14ac:dyDescent="0.2">
      <c r="A695" s="9"/>
      <c r="B695" s="3"/>
      <c r="C695" s="3"/>
      <c r="D695" s="7"/>
      <c r="E695" s="7"/>
      <c r="F695" s="7"/>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c r="AJ695" s="7"/>
      <c r="AK695" s="7"/>
      <c r="AL695" s="7"/>
      <c r="AM695" s="7"/>
      <c r="AN695" s="7"/>
      <c r="AO695" s="7"/>
      <c r="AP695" s="7"/>
      <c r="AQ695" s="7"/>
      <c r="AR695" s="7"/>
      <c r="AS695" s="7"/>
      <c r="AT695" s="7"/>
      <c r="AU695" s="7"/>
      <c r="AV695" s="7"/>
      <c r="AW695" s="7"/>
      <c r="AX695" s="7"/>
      <c r="AY695" s="7"/>
      <c r="AZ695" s="7"/>
      <c r="BA695" s="7"/>
      <c r="BB695" s="7"/>
      <c r="BC695" s="7"/>
      <c r="BD695" s="7"/>
      <c r="BE695" s="7"/>
      <c r="BF695" s="7"/>
      <c r="BG695" s="7"/>
      <c r="BH695" s="7"/>
      <c r="BI695" s="7"/>
      <c r="BJ695" s="7"/>
      <c r="BK695" s="7"/>
    </row>
    <row r="696" spans="1:63" x14ac:dyDescent="0.2">
      <c r="A696" s="9"/>
      <c r="B696" s="3"/>
      <c r="C696" s="3"/>
      <c r="D696" s="7"/>
      <c r="E696" s="7"/>
      <c r="F696" s="7"/>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c r="AJ696" s="7"/>
      <c r="AK696" s="7"/>
      <c r="AL696" s="7"/>
      <c r="AM696" s="7"/>
      <c r="AN696" s="7"/>
      <c r="AO696" s="7"/>
      <c r="AP696" s="7"/>
      <c r="AQ696" s="7"/>
      <c r="AR696" s="7"/>
      <c r="AS696" s="7"/>
      <c r="AT696" s="7"/>
      <c r="AU696" s="7"/>
      <c r="AV696" s="7"/>
      <c r="AW696" s="7"/>
      <c r="AX696" s="7"/>
      <c r="AY696" s="7"/>
      <c r="AZ696" s="7"/>
      <c r="BA696" s="7"/>
      <c r="BB696" s="7"/>
      <c r="BC696" s="7"/>
      <c r="BD696" s="7"/>
      <c r="BE696" s="7"/>
      <c r="BF696" s="7"/>
      <c r="BG696" s="7"/>
      <c r="BH696" s="7"/>
      <c r="BI696" s="7"/>
      <c r="BJ696" s="7"/>
      <c r="BK696" s="7"/>
    </row>
    <row r="697" spans="1:63" x14ac:dyDescent="0.2">
      <c r="A697" s="9"/>
      <c r="B697" s="3"/>
      <c r="C697" s="3"/>
      <c r="D697" s="7"/>
      <c r="E697" s="7"/>
      <c r="F697" s="7"/>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c r="AJ697" s="7"/>
      <c r="AK697" s="7"/>
      <c r="AL697" s="7"/>
      <c r="AM697" s="7"/>
      <c r="AN697" s="7"/>
      <c r="AO697" s="7"/>
      <c r="AP697" s="7"/>
      <c r="AQ697" s="7"/>
      <c r="AR697" s="7"/>
      <c r="AS697" s="7"/>
      <c r="AT697" s="7"/>
      <c r="AU697" s="7"/>
      <c r="AV697" s="7"/>
      <c r="AW697" s="7"/>
      <c r="AX697" s="7"/>
      <c r="AY697" s="7"/>
      <c r="AZ697" s="7"/>
      <c r="BA697" s="7"/>
      <c r="BB697" s="7"/>
      <c r="BC697" s="7"/>
      <c r="BD697" s="7"/>
      <c r="BE697" s="7"/>
      <c r="BF697" s="7"/>
      <c r="BG697" s="7"/>
      <c r="BH697" s="7"/>
      <c r="BI697" s="7"/>
      <c r="BJ697" s="7"/>
      <c r="BK697" s="7"/>
    </row>
    <row r="698" spans="1:63" x14ac:dyDescent="0.2">
      <c r="A698" s="9"/>
      <c r="B698" s="3"/>
      <c r="C698" s="3"/>
      <c r="D698" s="7"/>
      <c r="E698" s="7"/>
      <c r="F698" s="7"/>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c r="AT698" s="7"/>
      <c r="AU698" s="7"/>
      <c r="AV698" s="7"/>
      <c r="AW698" s="7"/>
      <c r="AX698" s="7"/>
      <c r="AY698" s="7"/>
      <c r="AZ698" s="7"/>
      <c r="BA698" s="7"/>
      <c r="BB698" s="7"/>
      <c r="BC698" s="7"/>
      <c r="BD698" s="7"/>
      <c r="BE698" s="7"/>
      <c r="BF698" s="7"/>
      <c r="BG698" s="7"/>
      <c r="BH698" s="7"/>
      <c r="BI698" s="7"/>
      <c r="BJ698" s="7"/>
      <c r="BK698" s="7"/>
    </row>
    <row r="699" spans="1:63" x14ac:dyDescent="0.2">
      <c r="A699" s="9"/>
      <c r="B699" s="3"/>
      <c r="C699" s="3"/>
      <c r="D699" s="7"/>
      <c r="E699" s="7"/>
      <c r="F699" s="7"/>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c r="AJ699" s="7"/>
      <c r="AK699" s="7"/>
      <c r="AL699" s="7"/>
      <c r="AM699" s="7"/>
      <c r="AN699" s="7"/>
      <c r="AO699" s="7"/>
      <c r="AP699" s="7"/>
      <c r="AQ699" s="7"/>
      <c r="AR699" s="7"/>
      <c r="AS699" s="7"/>
      <c r="AT699" s="7"/>
      <c r="AU699" s="7"/>
      <c r="AV699" s="7"/>
      <c r="AW699" s="7"/>
      <c r="AX699" s="7"/>
      <c r="AY699" s="7"/>
      <c r="AZ699" s="7"/>
      <c r="BA699" s="7"/>
      <c r="BB699" s="7"/>
      <c r="BC699" s="7"/>
      <c r="BD699" s="7"/>
      <c r="BE699" s="7"/>
      <c r="BF699" s="7"/>
      <c r="BG699" s="7"/>
      <c r="BH699" s="7"/>
      <c r="BI699" s="7"/>
      <c r="BJ699" s="7"/>
      <c r="BK699" s="7"/>
    </row>
    <row r="700" spans="1:63" x14ac:dyDescent="0.2">
      <c r="A700" s="9"/>
      <c r="B700" s="3"/>
      <c r="C700" s="3"/>
      <c r="D700" s="7"/>
      <c r="E700" s="7"/>
      <c r="F700" s="7"/>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c r="AJ700" s="7"/>
      <c r="AK700" s="7"/>
      <c r="AL700" s="7"/>
      <c r="AM700" s="7"/>
      <c r="AN700" s="7"/>
      <c r="AO700" s="7"/>
      <c r="AP700" s="7"/>
      <c r="AQ700" s="7"/>
      <c r="AR700" s="7"/>
      <c r="AS700" s="7"/>
      <c r="AT700" s="7"/>
      <c r="AU700" s="7"/>
      <c r="AV700" s="7"/>
      <c r="AW700" s="7"/>
      <c r="AX700" s="7"/>
      <c r="AY700" s="7"/>
      <c r="AZ700" s="7"/>
      <c r="BA700" s="7"/>
      <c r="BB700" s="7"/>
      <c r="BC700" s="7"/>
      <c r="BD700" s="7"/>
      <c r="BE700" s="7"/>
      <c r="BF700" s="7"/>
      <c r="BG700" s="7"/>
      <c r="BH700" s="7"/>
      <c r="BI700" s="7"/>
      <c r="BJ700" s="7"/>
      <c r="BK700" s="7"/>
    </row>
    <row r="701" spans="1:63" x14ac:dyDescent="0.2">
      <c r="A701" s="9"/>
      <c r="B701" s="3"/>
      <c r="C701" s="3"/>
      <c r="D701" s="7"/>
      <c r="E701" s="7"/>
      <c r="F701" s="7"/>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c r="AJ701" s="7"/>
      <c r="AK701" s="7"/>
      <c r="AL701" s="7"/>
      <c r="AM701" s="7"/>
      <c r="AN701" s="7"/>
      <c r="AO701" s="7"/>
      <c r="AP701" s="7"/>
      <c r="AQ701" s="7"/>
      <c r="AR701" s="7"/>
      <c r="AS701" s="7"/>
      <c r="AT701" s="7"/>
      <c r="AU701" s="7"/>
      <c r="AV701" s="7"/>
      <c r="AW701" s="7"/>
      <c r="AX701" s="7"/>
      <c r="AY701" s="7"/>
      <c r="AZ701" s="7"/>
      <c r="BA701" s="7"/>
      <c r="BB701" s="7"/>
      <c r="BC701" s="7"/>
      <c r="BD701" s="7"/>
      <c r="BE701" s="7"/>
      <c r="BF701" s="7"/>
      <c r="BG701" s="7"/>
      <c r="BH701" s="7"/>
      <c r="BI701" s="7"/>
      <c r="BJ701" s="7"/>
      <c r="BK701" s="7"/>
    </row>
    <row r="702" spans="1:63" x14ac:dyDescent="0.2">
      <c r="A702" s="9"/>
      <c r="B702" s="3"/>
      <c r="C702" s="3"/>
      <c r="D702" s="7"/>
      <c r="E702" s="7"/>
      <c r="F702" s="7"/>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c r="AJ702" s="7"/>
      <c r="AK702" s="7"/>
      <c r="AL702" s="7"/>
      <c r="AM702" s="7"/>
      <c r="AN702" s="7"/>
      <c r="AO702" s="7"/>
      <c r="AP702" s="7"/>
      <c r="AQ702" s="7"/>
      <c r="AR702" s="7"/>
      <c r="AS702" s="7"/>
      <c r="AT702" s="7"/>
      <c r="AU702" s="7"/>
      <c r="AV702" s="7"/>
      <c r="AW702" s="7"/>
      <c r="AX702" s="7"/>
      <c r="AY702" s="7"/>
      <c r="AZ702" s="7"/>
      <c r="BA702" s="7"/>
      <c r="BB702" s="7"/>
      <c r="BC702" s="7"/>
      <c r="BD702" s="7"/>
      <c r="BE702" s="7"/>
      <c r="BF702" s="7"/>
      <c r="BG702" s="7"/>
      <c r="BH702" s="7"/>
      <c r="BI702" s="7"/>
      <c r="BJ702" s="7"/>
      <c r="BK702" s="7"/>
    </row>
    <row r="703" spans="1:63" x14ac:dyDescent="0.2">
      <c r="A703" s="9"/>
      <c r="B703" s="3"/>
      <c r="C703" s="3"/>
      <c r="D703" s="7"/>
      <c r="E703" s="7"/>
      <c r="F703" s="7"/>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c r="AJ703" s="7"/>
      <c r="AK703" s="7"/>
      <c r="AL703" s="7"/>
      <c r="AM703" s="7"/>
      <c r="AN703" s="7"/>
      <c r="AO703" s="7"/>
      <c r="AP703" s="7"/>
      <c r="AQ703" s="7"/>
      <c r="AR703" s="7"/>
      <c r="AS703" s="7"/>
      <c r="AT703" s="7"/>
      <c r="AU703" s="7"/>
      <c r="AV703" s="7"/>
      <c r="AW703" s="7"/>
      <c r="AX703" s="7"/>
      <c r="AY703" s="7"/>
      <c r="AZ703" s="7"/>
      <c r="BA703" s="7"/>
      <c r="BB703" s="7"/>
      <c r="BC703" s="7"/>
      <c r="BD703" s="7"/>
      <c r="BE703" s="7"/>
      <c r="BF703" s="7"/>
      <c r="BG703" s="7"/>
      <c r="BH703" s="7"/>
      <c r="BI703" s="7"/>
      <c r="BJ703" s="7"/>
      <c r="BK703" s="7"/>
    </row>
    <row r="704" spans="1:63" x14ac:dyDescent="0.2">
      <c r="A704" s="9"/>
      <c r="B704" s="3"/>
      <c r="C704" s="3"/>
      <c r="D704" s="7"/>
      <c r="E704" s="7"/>
      <c r="F704" s="7"/>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c r="AF704" s="7"/>
      <c r="AG704" s="7"/>
      <c r="AH704" s="7"/>
      <c r="AI704" s="7"/>
      <c r="AJ704" s="7"/>
      <c r="AK704" s="7"/>
      <c r="AL704" s="7"/>
      <c r="AM704" s="7"/>
      <c r="AN704" s="7"/>
      <c r="AO704" s="7"/>
      <c r="AP704" s="7"/>
      <c r="AQ704" s="7"/>
      <c r="AR704" s="7"/>
      <c r="AS704" s="7"/>
      <c r="AT704" s="7"/>
      <c r="AU704" s="7"/>
      <c r="AV704" s="7"/>
      <c r="AW704" s="7"/>
      <c r="AX704" s="7"/>
      <c r="AY704" s="7"/>
      <c r="AZ704" s="7"/>
      <c r="BA704" s="7"/>
      <c r="BB704" s="7"/>
      <c r="BC704" s="7"/>
      <c r="BD704" s="7"/>
      <c r="BE704" s="7"/>
      <c r="BF704" s="7"/>
      <c r="BG704" s="7"/>
      <c r="BH704" s="7"/>
      <c r="BI704" s="7"/>
      <c r="BJ704" s="7"/>
      <c r="BK704" s="7"/>
    </row>
    <row r="705" spans="1:63" x14ac:dyDescent="0.2">
      <c r="A705" s="9"/>
      <c r="B705" s="3"/>
      <c r="C705" s="3"/>
      <c r="D705" s="7"/>
      <c r="E705" s="7"/>
      <c r="F705" s="7"/>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c r="AF705" s="7"/>
      <c r="AG705" s="7"/>
      <c r="AH705" s="7"/>
      <c r="AI705" s="7"/>
      <c r="AJ705" s="7"/>
      <c r="AK705" s="7"/>
      <c r="AL705" s="7"/>
      <c r="AM705" s="7"/>
      <c r="AN705" s="7"/>
      <c r="AO705" s="7"/>
      <c r="AP705" s="7"/>
      <c r="AQ705" s="7"/>
      <c r="AR705" s="7"/>
      <c r="AS705" s="7"/>
      <c r="AT705" s="7"/>
      <c r="AU705" s="7"/>
      <c r="AV705" s="7"/>
      <c r="AW705" s="7"/>
      <c r="AX705" s="7"/>
      <c r="AY705" s="7"/>
      <c r="AZ705" s="7"/>
      <c r="BA705" s="7"/>
      <c r="BB705" s="7"/>
      <c r="BC705" s="7"/>
      <c r="BD705" s="7"/>
      <c r="BE705" s="7"/>
      <c r="BF705" s="7"/>
      <c r="BG705" s="7"/>
      <c r="BH705" s="7"/>
      <c r="BI705" s="7"/>
      <c r="BJ705" s="7"/>
      <c r="BK705" s="7"/>
    </row>
    <row r="706" spans="1:63" x14ac:dyDescent="0.2">
      <c r="A706" s="9"/>
      <c r="B706" s="3"/>
      <c r="C706" s="3"/>
      <c r="D706" s="7"/>
      <c r="E706" s="7"/>
      <c r="F706" s="7"/>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c r="AF706" s="7"/>
      <c r="AG706" s="7"/>
      <c r="AH706" s="7"/>
      <c r="AI706" s="7"/>
      <c r="AJ706" s="7"/>
      <c r="AK706" s="7"/>
      <c r="AL706" s="7"/>
      <c r="AM706" s="7"/>
      <c r="AN706" s="7"/>
      <c r="AO706" s="7"/>
      <c r="AP706" s="7"/>
      <c r="AQ706" s="7"/>
      <c r="AR706" s="7"/>
      <c r="AS706" s="7"/>
      <c r="AT706" s="7"/>
      <c r="AU706" s="7"/>
      <c r="AV706" s="7"/>
      <c r="AW706" s="7"/>
      <c r="AX706" s="7"/>
      <c r="AY706" s="7"/>
      <c r="AZ706" s="7"/>
      <c r="BA706" s="7"/>
      <c r="BB706" s="7"/>
      <c r="BC706" s="7"/>
      <c r="BD706" s="7"/>
      <c r="BE706" s="7"/>
      <c r="BF706" s="7"/>
      <c r="BG706" s="7"/>
      <c r="BH706" s="7"/>
      <c r="BI706" s="7"/>
      <c r="BJ706" s="7"/>
      <c r="BK706" s="7"/>
    </row>
    <row r="707" spans="1:63" x14ac:dyDescent="0.2">
      <c r="A707" s="9"/>
      <c r="B707" s="3"/>
      <c r="C707" s="3"/>
      <c r="D707" s="7"/>
      <c r="E707" s="7"/>
      <c r="F707" s="7"/>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c r="AF707" s="7"/>
      <c r="AG707" s="7"/>
      <c r="AH707" s="7"/>
      <c r="AI707" s="7"/>
      <c r="AJ707" s="7"/>
      <c r="AK707" s="7"/>
      <c r="AL707" s="7"/>
      <c r="AM707" s="7"/>
      <c r="AN707" s="7"/>
      <c r="AO707" s="7"/>
      <c r="AP707" s="7"/>
      <c r="AQ707" s="7"/>
      <c r="AR707" s="7"/>
      <c r="AS707" s="7"/>
      <c r="AT707" s="7"/>
      <c r="AU707" s="7"/>
      <c r="AV707" s="7"/>
      <c r="AW707" s="7"/>
      <c r="AX707" s="7"/>
      <c r="AY707" s="7"/>
      <c r="AZ707" s="7"/>
      <c r="BA707" s="7"/>
      <c r="BB707" s="7"/>
      <c r="BC707" s="7"/>
      <c r="BD707" s="7"/>
      <c r="BE707" s="7"/>
      <c r="BF707" s="7"/>
      <c r="BG707" s="7"/>
      <c r="BH707" s="7"/>
      <c r="BI707" s="7"/>
      <c r="BJ707" s="7"/>
      <c r="BK707" s="7"/>
    </row>
    <row r="708" spans="1:63" x14ac:dyDescent="0.2">
      <c r="A708" s="9"/>
      <c r="B708" s="3"/>
      <c r="C708" s="3"/>
      <c r="D708" s="7"/>
      <c r="E708" s="7"/>
      <c r="F708" s="7"/>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c r="AF708" s="7"/>
      <c r="AG708" s="7"/>
      <c r="AH708" s="7"/>
      <c r="AI708" s="7"/>
      <c r="AJ708" s="7"/>
      <c r="AK708" s="7"/>
      <c r="AL708" s="7"/>
      <c r="AM708" s="7"/>
      <c r="AN708" s="7"/>
      <c r="AO708" s="7"/>
      <c r="AP708" s="7"/>
      <c r="AQ708" s="7"/>
      <c r="AR708" s="7"/>
      <c r="AS708" s="7"/>
      <c r="AT708" s="7"/>
      <c r="AU708" s="7"/>
      <c r="AV708" s="7"/>
      <c r="AW708" s="7"/>
      <c r="AX708" s="7"/>
      <c r="AY708" s="7"/>
      <c r="AZ708" s="7"/>
      <c r="BA708" s="7"/>
      <c r="BB708" s="7"/>
      <c r="BC708" s="7"/>
      <c r="BD708" s="7"/>
      <c r="BE708" s="7"/>
      <c r="BF708" s="7"/>
      <c r="BG708" s="7"/>
      <c r="BH708" s="7"/>
      <c r="BI708" s="7"/>
      <c r="BJ708" s="7"/>
      <c r="BK708" s="7"/>
    </row>
    <row r="709" spans="1:63" x14ac:dyDescent="0.2">
      <c r="A709" s="9"/>
      <c r="B709" s="3"/>
      <c r="C709" s="3"/>
      <c r="D709" s="7"/>
      <c r="E709" s="7"/>
      <c r="F709" s="7"/>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c r="AF709" s="7"/>
      <c r="AG709" s="7"/>
      <c r="AH709" s="7"/>
      <c r="AI709" s="7"/>
      <c r="AJ709" s="7"/>
      <c r="AK709" s="7"/>
      <c r="AL709" s="7"/>
      <c r="AM709" s="7"/>
      <c r="AN709" s="7"/>
      <c r="AO709" s="7"/>
      <c r="AP709" s="7"/>
      <c r="AQ709" s="7"/>
      <c r="AR709" s="7"/>
      <c r="AS709" s="7"/>
      <c r="AT709" s="7"/>
      <c r="AU709" s="7"/>
      <c r="AV709" s="7"/>
      <c r="AW709" s="7"/>
      <c r="AX709" s="7"/>
      <c r="AY709" s="7"/>
      <c r="AZ709" s="7"/>
      <c r="BA709" s="7"/>
      <c r="BB709" s="7"/>
      <c r="BC709" s="7"/>
      <c r="BD709" s="7"/>
      <c r="BE709" s="7"/>
      <c r="BF709" s="7"/>
      <c r="BG709" s="7"/>
      <c r="BH709" s="7"/>
      <c r="BI709" s="7"/>
      <c r="BJ709" s="7"/>
      <c r="BK709" s="7"/>
    </row>
    <row r="710" spans="1:63" x14ac:dyDescent="0.2">
      <c r="A710" s="9"/>
      <c r="B710" s="3"/>
      <c r="C710" s="3"/>
      <c r="D710" s="7"/>
      <c r="E710" s="7"/>
      <c r="F710" s="7"/>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c r="AF710" s="7"/>
      <c r="AG710" s="7"/>
      <c r="AH710" s="7"/>
      <c r="AI710" s="7"/>
      <c r="AJ710" s="7"/>
      <c r="AK710" s="7"/>
      <c r="AL710" s="7"/>
      <c r="AM710" s="7"/>
      <c r="AN710" s="7"/>
      <c r="AO710" s="7"/>
      <c r="AP710" s="7"/>
      <c r="AQ710" s="7"/>
      <c r="AR710" s="7"/>
      <c r="AS710" s="7"/>
      <c r="AT710" s="7"/>
      <c r="AU710" s="7"/>
      <c r="AV710" s="7"/>
      <c r="AW710" s="7"/>
      <c r="AX710" s="7"/>
      <c r="AY710" s="7"/>
      <c r="AZ710" s="7"/>
      <c r="BA710" s="7"/>
      <c r="BB710" s="7"/>
      <c r="BC710" s="7"/>
      <c r="BD710" s="7"/>
      <c r="BE710" s="7"/>
      <c r="BF710" s="7"/>
      <c r="BG710" s="7"/>
      <c r="BH710" s="7"/>
      <c r="BI710" s="7"/>
      <c r="BJ710" s="7"/>
      <c r="BK710" s="7"/>
    </row>
    <row r="711" spans="1:63" x14ac:dyDescent="0.2">
      <c r="A711" s="9"/>
      <c r="B711" s="3"/>
      <c r="C711" s="3"/>
      <c r="D711" s="7"/>
      <c r="E711" s="7"/>
      <c r="F711" s="7"/>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c r="AF711" s="7"/>
      <c r="AG711" s="7"/>
      <c r="AH711" s="7"/>
      <c r="AI711" s="7"/>
      <c r="AJ711" s="7"/>
      <c r="AK711" s="7"/>
      <c r="AL711" s="7"/>
      <c r="AM711" s="7"/>
      <c r="AN711" s="7"/>
      <c r="AO711" s="7"/>
      <c r="AP711" s="7"/>
      <c r="AQ711" s="7"/>
      <c r="AR711" s="7"/>
      <c r="AS711" s="7"/>
      <c r="AT711" s="7"/>
      <c r="AU711" s="7"/>
      <c r="AV711" s="7"/>
      <c r="AW711" s="7"/>
      <c r="AX711" s="7"/>
      <c r="AY711" s="7"/>
      <c r="AZ711" s="7"/>
      <c r="BA711" s="7"/>
      <c r="BB711" s="7"/>
      <c r="BC711" s="7"/>
      <c r="BD711" s="7"/>
      <c r="BE711" s="7"/>
      <c r="BF711" s="7"/>
      <c r="BG711" s="7"/>
      <c r="BH711" s="7"/>
      <c r="BI711" s="7"/>
      <c r="BJ711" s="7"/>
      <c r="BK711" s="7"/>
    </row>
    <row r="712" spans="1:63" x14ac:dyDescent="0.2">
      <c r="A712" s="9"/>
      <c r="B712" s="3"/>
      <c r="C712" s="3"/>
      <c r="D712" s="7"/>
      <c r="E712" s="7"/>
      <c r="F712" s="7"/>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c r="AF712" s="7"/>
      <c r="AG712" s="7"/>
      <c r="AH712" s="7"/>
      <c r="AI712" s="7"/>
      <c r="AJ712" s="7"/>
      <c r="AK712" s="7"/>
      <c r="AL712" s="7"/>
      <c r="AM712" s="7"/>
      <c r="AN712" s="7"/>
      <c r="AO712" s="7"/>
      <c r="AP712" s="7"/>
      <c r="AQ712" s="7"/>
      <c r="AR712" s="7"/>
      <c r="AS712" s="7"/>
      <c r="AT712" s="7"/>
      <c r="AU712" s="7"/>
      <c r="AV712" s="7"/>
      <c r="AW712" s="7"/>
      <c r="AX712" s="7"/>
      <c r="AY712" s="7"/>
      <c r="AZ712" s="7"/>
      <c r="BA712" s="7"/>
      <c r="BB712" s="7"/>
      <c r="BC712" s="7"/>
      <c r="BD712" s="7"/>
      <c r="BE712" s="7"/>
      <c r="BF712" s="7"/>
      <c r="BG712" s="7"/>
      <c r="BH712" s="7"/>
      <c r="BI712" s="7"/>
      <c r="BJ712" s="7"/>
      <c r="BK712" s="7"/>
    </row>
    <row r="713" spans="1:63" x14ac:dyDescent="0.2">
      <c r="A713" s="9"/>
      <c r="B713" s="3"/>
      <c r="C713" s="3"/>
      <c r="D713" s="7"/>
      <c r="E713" s="7"/>
      <c r="F713" s="7"/>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c r="AF713" s="7"/>
      <c r="AG713" s="7"/>
      <c r="AH713" s="7"/>
      <c r="AI713" s="7"/>
      <c r="AJ713" s="7"/>
      <c r="AK713" s="7"/>
      <c r="AL713" s="7"/>
      <c r="AM713" s="7"/>
      <c r="AN713" s="7"/>
      <c r="AO713" s="7"/>
      <c r="AP713" s="7"/>
      <c r="AQ713" s="7"/>
      <c r="AR713" s="7"/>
      <c r="AS713" s="7"/>
      <c r="AT713" s="7"/>
      <c r="AU713" s="7"/>
      <c r="AV713" s="7"/>
      <c r="AW713" s="7"/>
      <c r="AX713" s="7"/>
      <c r="AY713" s="7"/>
      <c r="AZ713" s="7"/>
      <c r="BA713" s="7"/>
      <c r="BB713" s="7"/>
      <c r="BC713" s="7"/>
      <c r="BD713" s="7"/>
      <c r="BE713" s="7"/>
      <c r="BF713" s="7"/>
      <c r="BG713" s="7"/>
      <c r="BH713" s="7"/>
      <c r="BI713" s="7"/>
      <c r="BJ713" s="7"/>
      <c r="BK713" s="7"/>
    </row>
    <row r="714" spans="1:63" x14ac:dyDescent="0.2">
      <c r="A714" s="9"/>
      <c r="B714" s="3"/>
      <c r="C714" s="3"/>
      <c r="D714" s="7"/>
      <c r="E714" s="7"/>
      <c r="F714" s="7"/>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c r="AF714" s="7"/>
      <c r="AG714" s="7"/>
      <c r="AH714" s="7"/>
      <c r="AI714" s="7"/>
      <c r="AJ714" s="7"/>
      <c r="AK714" s="7"/>
      <c r="AL714" s="7"/>
      <c r="AM714" s="7"/>
      <c r="AN714" s="7"/>
      <c r="AO714" s="7"/>
      <c r="AP714" s="7"/>
      <c r="AQ714" s="7"/>
      <c r="AR714" s="7"/>
      <c r="AS714" s="7"/>
      <c r="AT714" s="7"/>
      <c r="AU714" s="7"/>
      <c r="AV714" s="7"/>
      <c r="AW714" s="7"/>
      <c r="AX714" s="7"/>
      <c r="AY714" s="7"/>
      <c r="AZ714" s="7"/>
      <c r="BA714" s="7"/>
      <c r="BB714" s="7"/>
      <c r="BC714" s="7"/>
      <c r="BD714" s="7"/>
      <c r="BE714" s="7"/>
      <c r="BF714" s="7"/>
      <c r="BG714" s="7"/>
      <c r="BH714" s="7"/>
      <c r="BI714" s="7"/>
      <c r="BJ714" s="7"/>
      <c r="BK714" s="7"/>
    </row>
    <row r="715" spans="1:63" x14ac:dyDescent="0.2">
      <c r="A715" s="9"/>
      <c r="B715" s="3"/>
      <c r="C715" s="3"/>
      <c r="D715" s="7"/>
      <c r="E715" s="7"/>
      <c r="F715" s="7"/>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c r="AF715" s="7"/>
      <c r="AG715" s="7"/>
      <c r="AH715" s="7"/>
      <c r="AI715" s="7"/>
      <c r="AJ715" s="7"/>
      <c r="AK715" s="7"/>
      <c r="AL715" s="7"/>
      <c r="AM715" s="7"/>
      <c r="AN715" s="7"/>
      <c r="AO715" s="7"/>
      <c r="AP715" s="7"/>
      <c r="AQ715" s="7"/>
      <c r="AR715" s="7"/>
      <c r="AS715" s="7"/>
      <c r="AT715" s="7"/>
      <c r="AU715" s="7"/>
      <c r="AV715" s="7"/>
      <c r="AW715" s="7"/>
      <c r="AX715" s="7"/>
      <c r="AY715" s="7"/>
      <c r="AZ715" s="7"/>
      <c r="BA715" s="7"/>
      <c r="BB715" s="7"/>
      <c r="BC715" s="7"/>
      <c r="BD715" s="7"/>
      <c r="BE715" s="7"/>
      <c r="BF715" s="7"/>
      <c r="BG715" s="7"/>
      <c r="BH715" s="7"/>
      <c r="BI715" s="7"/>
      <c r="BJ715" s="7"/>
      <c r="BK715" s="7"/>
    </row>
    <row r="716" spans="1:63" x14ac:dyDescent="0.2">
      <c r="A716" s="9"/>
      <c r="B716" s="3"/>
      <c r="C716" s="3"/>
      <c r="D716" s="7"/>
      <c r="E716" s="7"/>
      <c r="F716" s="7"/>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c r="AF716" s="7"/>
      <c r="AG716" s="7"/>
      <c r="AH716" s="7"/>
      <c r="AI716" s="7"/>
      <c r="AJ716" s="7"/>
      <c r="AK716" s="7"/>
      <c r="AL716" s="7"/>
      <c r="AM716" s="7"/>
      <c r="AN716" s="7"/>
      <c r="AO716" s="7"/>
      <c r="AP716" s="7"/>
      <c r="AQ716" s="7"/>
      <c r="AR716" s="7"/>
      <c r="AS716" s="7"/>
      <c r="AT716" s="7"/>
      <c r="AU716" s="7"/>
      <c r="AV716" s="7"/>
      <c r="AW716" s="7"/>
      <c r="AX716" s="7"/>
      <c r="AY716" s="7"/>
      <c r="AZ716" s="7"/>
      <c r="BA716" s="7"/>
      <c r="BB716" s="7"/>
      <c r="BC716" s="7"/>
      <c r="BD716" s="7"/>
      <c r="BE716" s="7"/>
      <c r="BF716" s="7"/>
      <c r="BG716" s="7"/>
      <c r="BH716" s="7"/>
      <c r="BI716" s="7"/>
      <c r="BJ716" s="7"/>
      <c r="BK716" s="7"/>
    </row>
    <row r="717" spans="1:63" x14ac:dyDescent="0.2">
      <c r="A717" s="9"/>
      <c r="B717" s="3"/>
      <c r="C717" s="3"/>
      <c r="D717" s="7"/>
      <c r="E717" s="7"/>
      <c r="F717" s="7"/>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c r="AF717" s="7"/>
      <c r="AG717" s="7"/>
      <c r="AH717" s="7"/>
      <c r="AI717" s="7"/>
      <c r="AJ717" s="7"/>
      <c r="AK717" s="7"/>
      <c r="AL717" s="7"/>
      <c r="AM717" s="7"/>
      <c r="AN717" s="7"/>
      <c r="AO717" s="7"/>
      <c r="AP717" s="7"/>
      <c r="AQ717" s="7"/>
      <c r="AR717" s="7"/>
      <c r="AS717" s="7"/>
      <c r="AT717" s="7"/>
      <c r="AU717" s="7"/>
      <c r="AV717" s="7"/>
      <c r="AW717" s="7"/>
      <c r="AX717" s="7"/>
      <c r="AY717" s="7"/>
      <c r="AZ717" s="7"/>
      <c r="BA717" s="7"/>
      <c r="BB717" s="7"/>
      <c r="BC717" s="7"/>
      <c r="BD717" s="7"/>
      <c r="BE717" s="7"/>
      <c r="BF717" s="7"/>
      <c r="BG717" s="7"/>
      <c r="BH717" s="7"/>
      <c r="BI717" s="7"/>
      <c r="BJ717" s="7"/>
      <c r="BK717" s="7"/>
    </row>
    <row r="718" spans="1:63" x14ac:dyDescent="0.2">
      <c r="A718" s="9"/>
      <c r="B718" s="3"/>
      <c r="C718" s="3"/>
      <c r="D718" s="7"/>
      <c r="E718" s="7"/>
      <c r="F718" s="7"/>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c r="AF718" s="7"/>
      <c r="AG718" s="7"/>
      <c r="AH718" s="7"/>
      <c r="AI718" s="7"/>
      <c r="AJ718" s="7"/>
      <c r="AK718" s="7"/>
      <c r="AL718" s="7"/>
      <c r="AM718" s="7"/>
      <c r="AN718" s="7"/>
      <c r="AO718" s="7"/>
      <c r="AP718" s="7"/>
      <c r="AQ718" s="7"/>
      <c r="AR718" s="7"/>
      <c r="AS718" s="7"/>
      <c r="AT718" s="7"/>
      <c r="AU718" s="7"/>
      <c r="AV718" s="7"/>
      <c r="AW718" s="7"/>
      <c r="AX718" s="7"/>
      <c r="AY718" s="7"/>
      <c r="AZ718" s="7"/>
      <c r="BA718" s="7"/>
      <c r="BB718" s="7"/>
      <c r="BC718" s="7"/>
      <c r="BD718" s="7"/>
      <c r="BE718" s="7"/>
      <c r="BF718" s="7"/>
      <c r="BG718" s="7"/>
      <c r="BH718" s="7"/>
      <c r="BI718" s="7"/>
      <c r="BJ718" s="7"/>
      <c r="BK718" s="7"/>
    </row>
    <row r="719" spans="1:63" x14ac:dyDescent="0.2">
      <c r="A719" s="9"/>
      <c r="B719" s="3"/>
      <c r="C719" s="3"/>
      <c r="D719" s="7"/>
      <c r="E719" s="7"/>
      <c r="F719" s="7"/>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c r="AF719" s="7"/>
      <c r="AG719" s="7"/>
      <c r="AH719" s="7"/>
      <c r="AI719" s="7"/>
      <c r="AJ719" s="7"/>
      <c r="AK719" s="7"/>
      <c r="AL719" s="7"/>
      <c r="AM719" s="7"/>
      <c r="AN719" s="7"/>
      <c r="AO719" s="7"/>
      <c r="AP719" s="7"/>
      <c r="AQ719" s="7"/>
      <c r="AR719" s="7"/>
      <c r="AS719" s="7"/>
      <c r="AT719" s="7"/>
      <c r="AU719" s="7"/>
      <c r="AV719" s="7"/>
      <c r="AW719" s="7"/>
      <c r="AX719" s="7"/>
      <c r="AY719" s="7"/>
      <c r="AZ719" s="7"/>
      <c r="BA719" s="7"/>
      <c r="BB719" s="7"/>
      <c r="BC719" s="7"/>
      <c r="BD719" s="7"/>
      <c r="BE719" s="7"/>
      <c r="BF719" s="7"/>
      <c r="BG719" s="7"/>
      <c r="BH719" s="7"/>
      <c r="BI719" s="7"/>
      <c r="BJ719" s="7"/>
      <c r="BK719" s="7"/>
    </row>
    <row r="720" spans="1:63" x14ac:dyDescent="0.2">
      <c r="A720" s="9"/>
      <c r="B720" s="3"/>
      <c r="C720" s="3"/>
      <c r="D720" s="7"/>
      <c r="E720" s="7"/>
      <c r="F720" s="7"/>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c r="AF720" s="7"/>
      <c r="AG720" s="7"/>
      <c r="AH720" s="7"/>
      <c r="AI720" s="7"/>
      <c r="AJ720" s="7"/>
      <c r="AK720" s="7"/>
      <c r="AL720" s="7"/>
      <c r="AM720" s="7"/>
      <c r="AN720" s="7"/>
      <c r="AO720" s="7"/>
      <c r="AP720" s="7"/>
      <c r="AQ720" s="7"/>
      <c r="AR720" s="7"/>
      <c r="AS720" s="7"/>
      <c r="AT720" s="7"/>
      <c r="AU720" s="7"/>
      <c r="AV720" s="7"/>
      <c r="AW720" s="7"/>
      <c r="AX720" s="7"/>
      <c r="AY720" s="7"/>
      <c r="AZ720" s="7"/>
      <c r="BA720" s="7"/>
      <c r="BB720" s="7"/>
      <c r="BC720" s="7"/>
      <c r="BD720" s="7"/>
      <c r="BE720" s="7"/>
      <c r="BF720" s="7"/>
      <c r="BG720" s="7"/>
      <c r="BH720" s="7"/>
      <c r="BI720" s="7"/>
      <c r="BJ720" s="7"/>
      <c r="BK720" s="7"/>
    </row>
    <row r="721" spans="1:63" x14ac:dyDescent="0.2">
      <c r="A721" s="9"/>
      <c r="B721" s="3"/>
      <c r="C721" s="3"/>
      <c r="D721" s="7"/>
      <c r="E721" s="7"/>
      <c r="F721" s="7"/>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c r="AF721" s="7"/>
      <c r="AG721" s="7"/>
      <c r="AH721" s="7"/>
      <c r="AI721" s="7"/>
      <c r="AJ721" s="7"/>
      <c r="AK721" s="7"/>
      <c r="AL721" s="7"/>
      <c r="AM721" s="7"/>
      <c r="AN721" s="7"/>
      <c r="AO721" s="7"/>
      <c r="AP721" s="7"/>
      <c r="AQ721" s="7"/>
      <c r="AR721" s="7"/>
      <c r="AS721" s="7"/>
      <c r="AT721" s="7"/>
      <c r="AU721" s="7"/>
      <c r="AV721" s="7"/>
      <c r="AW721" s="7"/>
      <c r="AX721" s="7"/>
      <c r="AY721" s="7"/>
      <c r="AZ721" s="7"/>
      <c r="BA721" s="7"/>
      <c r="BB721" s="7"/>
      <c r="BC721" s="7"/>
      <c r="BD721" s="7"/>
      <c r="BE721" s="7"/>
      <c r="BF721" s="7"/>
      <c r="BG721" s="7"/>
      <c r="BH721" s="7"/>
      <c r="BI721" s="7"/>
      <c r="BJ721" s="7"/>
      <c r="BK721" s="7"/>
    </row>
    <row r="722" spans="1:63" x14ac:dyDescent="0.2">
      <c r="A722" s="9"/>
      <c r="B722" s="3"/>
      <c r="C722" s="3"/>
      <c r="D722" s="7"/>
      <c r="E722" s="7"/>
      <c r="F722" s="7"/>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c r="AF722" s="7"/>
      <c r="AG722" s="7"/>
      <c r="AH722" s="7"/>
      <c r="AI722" s="7"/>
      <c r="AJ722" s="7"/>
      <c r="AK722" s="7"/>
      <c r="AL722" s="7"/>
      <c r="AM722" s="7"/>
      <c r="AN722" s="7"/>
      <c r="AO722" s="7"/>
      <c r="AP722" s="7"/>
      <c r="AQ722" s="7"/>
      <c r="AR722" s="7"/>
      <c r="AS722" s="7"/>
      <c r="AT722" s="7"/>
      <c r="AU722" s="7"/>
      <c r="AV722" s="7"/>
      <c r="AW722" s="7"/>
      <c r="AX722" s="7"/>
      <c r="AY722" s="7"/>
      <c r="AZ722" s="7"/>
      <c r="BA722" s="7"/>
      <c r="BB722" s="7"/>
      <c r="BC722" s="7"/>
      <c r="BD722" s="7"/>
      <c r="BE722" s="7"/>
      <c r="BF722" s="7"/>
      <c r="BG722" s="7"/>
      <c r="BH722" s="7"/>
      <c r="BI722" s="7"/>
      <c r="BJ722" s="7"/>
      <c r="BK722" s="7"/>
    </row>
    <row r="723" spans="1:63" x14ac:dyDescent="0.2">
      <c r="A723" s="9"/>
      <c r="B723" s="3"/>
      <c r="C723" s="3"/>
      <c r="D723" s="7"/>
      <c r="E723" s="7"/>
      <c r="F723" s="7"/>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c r="AF723" s="7"/>
      <c r="AG723" s="7"/>
      <c r="AH723" s="7"/>
      <c r="AI723" s="7"/>
      <c r="AJ723" s="7"/>
      <c r="AK723" s="7"/>
      <c r="AL723" s="7"/>
      <c r="AM723" s="7"/>
      <c r="AN723" s="7"/>
      <c r="AO723" s="7"/>
      <c r="AP723" s="7"/>
      <c r="AQ723" s="7"/>
      <c r="AR723" s="7"/>
      <c r="AS723" s="7"/>
      <c r="AT723" s="7"/>
      <c r="AU723" s="7"/>
      <c r="AV723" s="7"/>
      <c r="AW723" s="7"/>
      <c r="AX723" s="7"/>
      <c r="AY723" s="7"/>
      <c r="AZ723" s="7"/>
      <c r="BA723" s="7"/>
      <c r="BB723" s="7"/>
      <c r="BC723" s="7"/>
      <c r="BD723" s="7"/>
      <c r="BE723" s="7"/>
      <c r="BF723" s="7"/>
      <c r="BG723" s="7"/>
      <c r="BH723" s="7"/>
      <c r="BI723" s="7"/>
      <c r="BJ723" s="7"/>
      <c r="BK723" s="7"/>
    </row>
    <row r="724" spans="1:63" x14ac:dyDescent="0.2">
      <c r="A724" s="9"/>
      <c r="B724" s="3"/>
      <c r="C724" s="3"/>
      <c r="D724" s="7"/>
      <c r="E724" s="7"/>
      <c r="F724" s="7"/>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c r="AF724" s="7"/>
      <c r="AG724" s="7"/>
      <c r="AH724" s="7"/>
      <c r="AI724" s="7"/>
      <c r="AJ724" s="7"/>
      <c r="AK724" s="7"/>
      <c r="AL724" s="7"/>
      <c r="AM724" s="7"/>
      <c r="AN724" s="7"/>
      <c r="AO724" s="7"/>
      <c r="AP724" s="7"/>
      <c r="AQ724" s="7"/>
      <c r="AR724" s="7"/>
      <c r="AS724" s="7"/>
      <c r="AT724" s="7"/>
      <c r="AU724" s="7"/>
      <c r="AV724" s="7"/>
      <c r="AW724" s="7"/>
      <c r="AX724" s="7"/>
      <c r="AY724" s="7"/>
      <c r="AZ724" s="7"/>
      <c r="BA724" s="7"/>
      <c r="BB724" s="7"/>
      <c r="BC724" s="7"/>
      <c r="BD724" s="7"/>
      <c r="BE724" s="7"/>
      <c r="BF724" s="7"/>
      <c r="BG724" s="7"/>
      <c r="BH724" s="7"/>
      <c r="BI724" s="7"/>
      <c r="BJ724" s="7"/>
      <c r="BK724" s="7"/>
    </row>
    <row r="725" spans="1:63" x14ac:dyDescent="0.2">
      <c r="A725" s="9"/>
      <c r="B725" s="3"/>
      <c r="C725" s="3"/>
      <c r="D725" s="7"/>
      <c r="E725" s="7"/>
      <c r="F725" s="7"/>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c r="AF725" s="7"/>
      <c r="AG725" s="7"/>
      <c r="AH725" s="7"/>
      <c r="AI725" s="7"/>
      <c r="AJ725" s="7"/>
      <c r="AK725" s="7"/>
      <c r="AL725" s="7"/>
      <c r="AM725" s="7"/>
      <c r="AN725" s="7"/>
      <c r="AO725" s="7"/>
      <c r="AP725" s="7"/>
      <c r="AQ725" s="7"/>
      <c r="AR725" s="7"/>
      <c r="AS725" s="7"/>
      <c r="AT725" s="7"/>
      <c r="AU725" s="7"/>
      <c r="AV725" s="7"/>
      <c r="AW725" s="7"/>
      <c r="AX725" s="7"/>
      <c r="AY725" s="7"/>
      <c r="AZ725" s="7"/>
      <c r="BA725" s="7"/>
      <c r="BB725" s="7"/>
      <c r="BC725" s="7"/>
      <c r="BD725" s="7"/>
      <c r="BE725" s="7"/>
      <c r="BF725" s="7"/>
      <c r="BG725" s="7"/>
      <c r="BH725" s="7"/>
      <c r="BI725" s="7"/>
      <c r="BJ725" s="7"/>
      <c r="BK725" s="7"/>
    </row>
  </sheetData>
  <mergeCells count="26">
    <mergeCell ref="K48:L48"/>
    <mergeCell ref="K50:L50"/>
    <mergeCell ref="K44:L44"/>
    <mergeCell ref="K54:L54"/>
    <mergeCell ref="K56:L56"/>
    <mergeCell ref="K34:L34"/>
    <mergeCell ref="K36:L36"/>
    <mergeCell ref="K38:L38"/>
    <mergeCell ref="K46:L46"/>
    <mergeCell ref="K40:L40"/>
    <mergeCell ref="K28:L28"/>
    <mergeCell ref="K30:L30"/>
    <mergeCell ref="K32:L32"/>
    <mergeCell ref="K18:L18"/>
    <mergeCell ref="K14:L14"/>
    <mergeCell ref="A5:I5"/>
    <mergeCell ref="A1:I1"/>
    <mergeCell ref="E9:E11"/>
    <mergeCell ref="F9:F11"/>
    <mergeCell ref="A9:A11"/>
    <mergeCell ref="B9:B11"/>
    <mergeCell ref="C9:C11"/>
    <mergeCell ref="A7:I7"/>
    <mergeCell ref="A3:D3"/>
    <mergeCell ref="I9:I11"/>
    <mergeCell ref="D9:D11"/>
  </mergeCells>
  <phoneticPr fontId="2" type="noConversion"/>
  <printOptions horizontalCentered="1"/>
  <pageMargins left="0.39370078740157483" right="0.39370078740157483" top="0.78740157480314965" bottom="0.59055118110236227" header="0.35433070866141736" footer="0.23622047244094491"/>
  <pageSetup paperSize="9" scale="71" fitToHeight="20" orientation="landscape" horizontalDpi="360" verticalDpi="360" r:id="rId1"/>
  <headerFooter alignWithMargins="0">
    <oddHeader>&amp;L&amp;G&amp;R&amp;G</oddHeader>
    <oddFooter>&amp;C&amp;K03+000
Rua Nilton Baldo, 744 – Bairro Jardim Paquetá - CEP 31.330-660 – Belo Horizonte / Minas Gerais.
Endereço Eletrônico: ottawaeng@terra.com.br – Telefax (31) 3418-2175 – CNPJ: 04.472.311/0001-04
&amp;R&amp;K03+000Página &amp;P de &amp;N</oddFooter>
  </headerFooter>
  <ignoredErrors>
    <ignoredError sqref="B368:C368 B369 B388 B420:C420 B421 B355:C355 B387:C387 B442:C442 B354:C354" numberStoredAsText="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13"/>
  <sheetViews>
    <sheetView workbookViewId="0">
      <selection activeCell="D7" sqref="D7"/>
    </sheetView>
  </sheetViews>
  <sheetFormatPr defaultRowHeight="12.75" x14ac:dyDescent="0.2"/>
  <cols>
    <col min="2" max="2" width="19.140625" bestFit="1" customWidth="1"/>
    <col min="14" max="14" width="10.28515625" bestFit="1" customWidth="1"/>
  </cols>
  <sheetData>
    <row r="4" spans="2:14" x14ac:dyDescent="0.2">
      <c r="C4" t="s">
        <v>484</v>
      </c>
    </row>
    <row r="6" spans="2:14" x14ac:dyDescent="0.2">
      <c r="B6" s="239"/>
      <c r="C6" s="240" t="s">
        <v>486</v>
      </c>
      <c r="D6" s="240" t="s">
        <v>485</v>
      </c>
      <c r="E6" s="240" t="s">
        <v>487</v>
      </c>
      <c r="F6" s="240" t="s">
        <v>488</v>
      </c>
      <c r="G6" s="240" t="s">
        <v>489</v>
      </c>
      <c r="H6" s="240" t="s">
        <v>490</v>
      </c>
      <c r="I6" s="240" t="s">
        <v>491</v>
      </c>
      <c r="J6" s="240" t="s">
        <v>492</v>
      </c>
      <c r="K6" s="240" t="s">
        <v>493</v>
      </c>
      <c r="L6" s="240" t="s">
        <v>494</v>
      </c>
      <c r="M6" s="240" t="s">
        <v>495</v>
      </c>
      <c r="N6" s="241" t="s">
        <v>503</v>
      </c>
    </row>
    <row r="7" spans="2:14" x14ac:dyDescent="0.2">
      <c r="B7" s="239" t="s">
        <v>496</v>
      </c>
      <c r="C7" s="242">
        <f>8954+906</f>
        <v>9860</v>
      </c>
      <c r="D7" s="242">
        <f>231+2302</f>
        <v>2533</v>
      </c>
      <c r="E7" s="242">
        <f>714+7130</f>
        <v>7844</v>
      </c>
      <c r="F7" s="242">
        <f>263+2616</f>
        <v>2879</v>
      </c>
      <c r="G7" s="242">
        <f>282+2771</f>
        <v>3053</v>
      </c>
      <c r="H7" s="242">
        <f>333+3308</f>
        <v>3641</v>
      </c>
      <c r="I7" s="242">
        <f>60+612</f>
        <v>672</v>
      </c>
      <c r="J7" s="242">
        <f>67+679</f>
        <v>746</v>
      </c>
      <c r="K7" s="242">
        <f>41+417</f>
        <v>458</v>
      </c>
      <c r="L7" s="242">
        <f>62+629</f>
        <v>691</v>
      </c>
      <c r="M7" s="242">
        <f>214+2103</f>
        <v>2317</v>
      </c>
      <c r="N7" s="243">
        <f>SUM(C7:M7)</f>
        <v>34694</v>
      </c>
    </row>
    <row r="8" spans="2:14" x14ac:dyDescent="0.2">
      <c r="B8" s="239" t="s">
        <v>497</v>
      </c>
      <c r="C8" s="242">
        <v>8954</v>
      </c>
      <c r="D8" s="242">
        <v>2302</v>
      </c>
      <c r="E8" s="242">
        <v>7130</v>
      </c>
      <c r="F8" s="242">
        <v>2616</v>
      </c>
      <c r="G8" s="242">
        <v>2771</v>
      </c>
      <c r="H8" s="242">
        <v>3308</v>
      </c>
      <c r="I8" s="242">
        <v>62</v>
      </c>
      <c r="J8" s="242">
        <v>679</v>
      </c>
      <c r="K8" s="242">
        <v>417</v>
      </c>
      <c r="L8" s="242">
        <v>629</v>
      </c>
      <c r="M8" s="242">
        <v>2103</v>
      </c>
      <c r="N8" s="243">
        <f t="shared" ref="N8:N13" si="0">SUM(C8:M8)</f>
        <v>30971</v>
      </c>
    </row>
    <row r="9" spans="2:14" x14ac:dyDescent="0.2">
      <c r="B9" s="239" t="s">
        <v>501</v>
      </c>
      <c r="C9" s="242">
        <v>3544</v>
      </c>
      <c r="D9" s="242">
        <v>1853</v>
      </c>
      <c r="E9" s="242">
        <v>2403</v>
      </c>
      <c r="F9" s="242">
        <v>1605</v>
      </c>
      <c r="G9" s="242">
        <v>2098</v>
      </c>
      <c r="H9" s="242">
        <v>5443</v>
      </c>
      <c r="I9" s="242">
        <v>568</v>
      </c>
      <c r="J9" s="242">
        <v>572</v>
      </c>
      <c r="K9" s="242">
        <v>389</v>
      </c>
      <c r="L9" s="242">
        <v>442</v>
      </c>
      <c r="M9" s="242">
        <v>1936</v>
      </c>
      <c r="N9" s="243">
        <f t="shared" si="0"/>
        <v>20853</v>
      </c>
    </row>
    <row r="10" spans="2:14" x14ac:dyDescent="0.2">
      <c r="B10" s="239" t="s">
        <v>498</v>
      </c>
      <c r="C10" s="242">
        <v>4591</v>
      </c>
      <c r="D10" s="242">
        <v>2407</v>
      </c>
      <c r="E10" s="242">
        <v>4868</v>
      </c>
      <c r="F10" s="242">
        <v>4265</v>
      </c>
      <c r="G10" s="242">
        <v>2501</v>
      </c>
      <c r="H10" s="242">
        <v>0</v>
      </c>
      <c r="I10" s="242">
        <v>0</v>
      </c>
      <c r="J10" s="242">
        <v>460</v>
      </c>
      <c r="K10" s="242">
        <v>39</v>
      </c>
      <c r="L10" s="242">
        <v>749</v>
      </c>
      <c r="M10" s="242">
        <v>423</v>
      </c>
      <c r="N10" s="243">
        <f t="shared" si="0"/>
        <v>20303</v>
      </c>
    </row>
    <row r="11" spans="2:14" x14ac:dyDescent="0.2">
      <c r="B11" s="239" t="s">
        <v>499</v>
      </c>
      <c r="C11" s="242">
        <v>4253</v>
      </c>
      <c r="D11" s="242">
        <v>0</v>
      </c>
      <c r="E11" s="242">
        <v>2358</v>
      </c>
      <c r="F11" s="242">
        <v>0</v>
      </c>
      <c r="G11" s="242">
        <v>2390</v>
      </c>
      <c r="H11" s="242">
        <v>0</v>
      </c>
      <c r="I11" s="242">
        <v>0</v>
      </c>
      <c r="J11" s="242">
        <v>0</v>
      </c>
      <c r="K11" s="242">
        <v>0</v>
      </c>
      <c r="L11" s="242">
        <v>0</v>
      </c>
      <c r="M11" s="242">
        <v>0</v>
      </c>
      <c r="N11" s="243">
        <f t="shared" si="0"/>
        <v>9001</v>
      </c>
    </row>
    <row r="12" spans="2:14" x14ac:dyDescent="0.2">
      <c r="B12" s="239" t="s">
        <v>500</v>
      </c>
      <c r="C12" s="242">
        <v>2735</v>
      </c>
      <c r="D12" s="242">
        <v>0</v>
      </c>
      <c r="E12" s="242">
        <v>5857</v>
      </c>
      <c r="F12" s="242">
        <v>0</v>
      </c>
      <c r="G12" s="242">
        <v>0</v>
      </c>
      <c r="H12" s="242">
        <v>0</v>
      </c>
      <c r="I12" s="242">
        <v>0</v>
      </c>
      <c r="J12" s="242">
        <v>0</v>
      </c>
      <c r="K12" s="242">
        <v>0</v>
      </c>
      <c r="L12" s="242">
        <v>0</v>
      </c>
      <c r="M12" s="242">
        <v>0</v>
      </c>
      <c r="N12" s="243">
        <f t="shared" si="0"/>
        <v>8592</v>
      </c>
    </row>
    <row r="13" spans="2:14" x14ac:dyDescent="0.2">
      <c r="B13" s="239" t="s">
        <v>502</v>
      </c>
      <c r="C13" s="242">
        <v>2628</v>
      </c>
      <c r="D13" s="242">
        <v>0</v>
      </c>
      <c r="E13" s="242">
        <v>0</v>
      </c>
      <c r="F13" s="242">
        <v>0</v>
      </c>
      <c r="G13" s="242">
        <v>0</v>
      </c>
      <c r="H13" s="242">
        <v>0</v>
      </c>
      <c r="I13" s="242">
        <v>0</v>
      </c>
      <c r="J13" s="242">
        <v>0</v>
      </c>
      <c r="K13" s="242">
        <v>0</v>
      </c>
      <c r="L13" s="242">
        <v>0</v>
      </c>
      <c r="M13" s="242">
        <v>0</v>
      </c>
      <c r="N13" s="243">
        <f t="shared" si="0"/>
        <v>2628</v>
      </c>
    </row>
  </sheetData>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topLeftCell="A38" workbookViewId="0">
      <selection activeCell="C65" sqref="C65:D76"/>
    </sheetView>
  </sheetViews>
  <sheetFormatPr defaultRowHeight="12.75" x14ac:dyDescent="0.2"/>
  <cols>
    <col min="1" max="1" width="6.85546875" customWidth="1"/>
    <col min="2" max="2" width="8.140625" customWidth="1"/>
    <col min="3" max="3" width="8.28515625" customWidth="1"/>
    <col min="4" max="4" width="11.28515625" customWidth="1"/>
    <col min="5" max="5" width="11.140625" bestFit="1" customWidth="1"/>
    <col min="6" max="7" width="8" customWidth="1"/>
    <col min="8" max="8" width="4" customWidth="1"/>
    <col min="9" max="9" width="6" customWidth="1"/>
    <col min="10" max="10" width="4.85546875" customWidth="1"/>
    <col min="11" max="14" width="5" customWidth="1"/>
    <col min="15" max="16" width="3" customWidth="1"/>
    <col min="17" max="17" width="12" style="248" customWidth="1"/>
    <col min="18" max="21" width="2" customWidth="1"/>
    <col min="22" max="22" width="14.85546875" customWidth="1"/>
    <col min="23" max="23" width="16.42578125" bestFit="1" customWidth="1"/>
    <col min="24" max="24" width="14.85546875" customWidth="1"/>
    <col min="25" max="25" width="25.85546875" customWidth="1"/>
    <col min="26" max="26" width="5" customWidth="1"/>
  </cols>
  <sheetData>
    <row r="1" spans="1:25" x14ac:dyDescent="0.2">
      <c r="A1" t="s">
        <v>506</v>
      </c>
      <c r="B1" t="s">
        <v>507</v>
      </c>
      <c r="C1">
        <v>80</v>
      </c>
      <c r="D1">
        <v>487.08</v>
      </c>
      <c r="E1">
        <v>486.45</v>
      </c>
      <c r="F1">
        <v>485.98</v>
      </c>
      <c r="G1">
        <v>485.762</v>
      </c>
      <c r="H1">
        <v>200</v>
      </c>
      <c r="I1">
        <v>0.27200000000000002</v>
      </c>
      <c r="J1" t="s">
        <v>848</v>
      </c>
      <c r="K1">
        <v>13.54</v>
      </c>
      <c r="L1">
        <v>5.03</v>
      </c>
      <c r="M1">
        <v>13.54</v>
      </c>
      <c r="N1">
        <v>32</v>
      </c>
      <c r="O1">
        <v>56</v>
      </c>
      <c r="P1" t="s">
        <v>508</v>
      </c>
      <c r="Q1" s="249">
        <f>D1-F1</f>
        <v>1.0999999999999659</v>
      </c>
      <c r="R1">
        <v>0</v>
      </c>
      <c r="S1">
        <v>0</v>
      </c>
      <c r="T1">
        <v>0</v>
      </c>
      <c r="U1" s="244">
        <v>472432876495</v>
      </c>
      <c r="V1" s="244">
        <v>7475755552766</v>
      </c>
      <c r="W1" s="244">
        <v>472510346154</v>
      </c>
      <c r="X1" t="s">
        <v>849</v>
      </c>
      <c r="Y1">
        <v>1.46</v>
      </c>
    </row>
    <row r="2" spans="1:25" x14ac:dyDescent="0.2">
      <c r="A2" t="s">
        <v>507</v>
      </c>
      <c r="B2" t="s">
        <v>509</v>
      </c>
      <c r="C2">
        <v>80</v>
      </c>
      <c r="D2">
        <v>486.45</v>
      </c>
      <c r="E2">
        <v>485.38099999999997</v>
      </c>
      <c r="F2">
        <v>485.762</v>
      </c>
      <c r="G2">
        <v>485.54500000000002</v>
      </c>
      <c r="H2">
        <v>200</v>
      </c>
      <c r="I2">
        <v>0.27200000000000002</v>
      </c>
      <c r="J2" t="s">
        <v>570</v>
      </c>
      <c r="K2">
        <v>0</v>
      </c>
      <c r="L2">
        <v>5.03</v>
      </c>
      <c r="M2">
        <v>13.54</v>
      </c>
      <c r="N2">
        <v>37</v>
      </c>
      <c r="O2">
        <v>67</v>
      </c>
      <c r="P2" t="s">
        <v>508</v>
      </c>
      <c r="Q2" s="249">
        <f t="shared" ref="Q2:Q61" si="0">D2-F2</f>
        <v>0.68799999999998818</v>
      </c>
      <c r="R2">
        <v>0</v>
      </c>
      <c r="S2">
        <v>0</v>
      </c>
      <c r="T2">
        <v>0</v>
      </c>
      <c r="U2" s="244">
        <v>472510346154</v>
      </c>
      <c r="V2" s="244">
        <v>7475735591504</v>
      </c>
      <c r="W2" s="244">
        <v>472588268832</v>
      </c>
      <c r="X2" t="s">
        <v>850</v>
      </c>
      <c r="Y2">
        <v>1.59</v>
      </c>
    </row>
    <row r="3" spans="1:25" x14ac:dyDescent="0.2">
      <c r="A3" t="s">
        <v>509</v>
      </c>
      <c r="B3" t="s">
        <v>510</v>
      </c>
      <c r="C3">
        <v>54</v>
      </c>
      <c r="D3">
        <v>485.38099999999997</v>
      </c>
      <c r="E3">
        <v>485</v>
      </c>
      <c r="F3">
        <v>485.54500000000002</v>
      </c>
      <c r="G3">
        <v>485.39800000000002</v>
      </c>
      <c r="H3">
        <v>200</v>
      </c>
      <c r="I3">
        <v>0.27200000000000002</v>
      </c>
      <c r="J3" t="s">
        <v>570</v>
      </c>
      <c r="K3">
        <v>0</v>
      </c>
      <c r="L3">
        <v>5.03</v>
      </c>
      <c r="M3">
        <v>13.54</v>
      </c>
      <c r="N3">
        <v>37</v>
      </c>
      <c r="O3">
        <v>67</v>
      </c>
      <c r="P3" t="s">
        <v>508</v>
      </c>
      <c r="Q3" s="249">
        <f t="shared" si="0"/>
        <v>-0.16400000000004411</v>
      </c>
      <c r="R3">
        <v>0</v>
      </c>
      <c r="S3">
        <v>0</v>
      </c>
      <c r="T3">
        <v>0</v>
      </c>
      <c r="U3" s="244">
        <v>472588268832</v>
      </c>
      <c r="V3" s="244">
        <v>747571747918</v>
      </c>
      <c r="W3" s="244">
        <v>472640746239</v>
      </c>
      <c r="X3" t="s">
        <v>851</v>
      </c>
      <c r="Y3">
        <v>1.59</v>
      </c>
    </row>
    <row r="4" spans="1:25" x14ac:dyDescent="0.2">
      <c r="A4" t="s">
        <v>510</v>
      </c>
      <c r="B4" t="s">
        <v>511</v>
      </c>
      <c r="C4">
        <v>44</v>
      </c>
      <c r="D4">
        <v>485</v>
      </c>
      <c r="E4">
        <v>485.1</v>
      </c>
      <c r="F4">
        <v>485.39800000000002</v>
      </c>
      <c r="G4">
        <v>485.27800000000002</v>
      </c>
      <c r="H4">
        <v>200</v>
      </c>
      <c r="I4">
        <v>0.27200000000000002</v>
      </c>
      <c r="J4" t="s">
        <v>570</v>
      </c>
      <c r="K4">
        <v>0</v>
      </c>
      <c r="L4">
        <v>5.03</v>
      </c>
      <c r="M4">
        <v>13.54</v>
      </c>
      <c r="N4">
        <v>37</v>
      </c>
      <c r="O4">
        <v>67</v>
      </c>
      <c r="P4" t="s">
        <v>508</v>
      </c>
      <c r="Q4" s="249">
        <f t="shared" si="0"/>
        <v>-0.39800000000002456</v>
      </c>
      <c r="R4">
        <v>0</v>
      </c>
      <c r="S4">
        <v>0</v>
      </c>
      <c r="T4">
        <v>0</v>
      </c>
      <c r="U4" s="244">
        <v>472640746239</v>
      </c>
      <c r="V4" s="244">
        <v>7475704746476</v>
      </c>
      <c r="W4" s="244">
        <v>472665914844</v>
      </c>
      <c r="X4" t="s">
        <v>852</v>
      </c>
      <c r="Y4">
        <v>1.59</v>
      </c>
    </row>
    <row r="5" spans="1:25" x14ac:dyDescent="0.2">
      <c r="A5" t="s">
        <v>511</v>
      </c>
      <c r="B5" t="s">
        <v>514</v>
      </c>
      <c r="C5">
        <v>80</v>
      </c>
      <c r="D5">
        <v>485.1</v>
      </c>
      <c r="E5">
        <v>484.9</v>
      </c>
      <c r="F5">
        <v>485.27800000000002</v>
      </c>
      <c r="G5">
        <v>485.06099999999998</v>
      </c>
      <c r="H5">
        <v>200</v>
      </c>
      <c r="I5">
        <v>0.27200000000000002</v>
      </c>
      <c r="J5" t="s">
        <v>570</v>
      </c>
      <c r="K5">
        <v>0</v>
      </c>
      <c r="L5">
        <v>5.03</v>
      </c>
      <c r="M5">
        <v>13.54</v>
      </c>
      <c r="N5">
        <v>37</v>
      </c>
      <c r="O5">
        <v>67</v>
      </c>
      <c r="P5" t="s">
        <v>508</v>
      </c>
      <c r="Q5" s="249">
        <f t="shared" si="0"/>
        <v>-0.17799999999999727</v>
      </c>
      <c r="R5">
        <v>0</v>
      </c>
      <c r="S5">
        <v>0</v>
      </c>
      <c r="T5">
        <v>0</v>
      </c>
      <c r="U5" s="244">
        <v>472665914844</v>
      </c>
      <c r="V5" s="244">
        <v>7475668655738</v>
      </c>
      <c r="W5" s="244">
        <v>472684901515</v>
      </c>
      <c r="X5" t="s">
        <v>853</v>
      </c>
      <c r="Y5">
        <v>1.59</v>
      </c>
    </row>
    <row r="6" spans="1:25" x14ac:dyDescent="0.2">
      <c r="A6" t="s">
        <v>514</v>
      </c>
      <c r="B6" t="s">
        <v>515</v>
      </c>
      <c r="C6">
        <v>20</v>
      </c>
      <c r="D6">
        <v>484.9</v>
      </c>
      <c r="E6">
        <v>484.84</v>
      </c>
      <c r="F6">
        <v>485.06099999999998</v>
      </c>
      <c r="G6">
        <v>485.00599999999997</v>
      </c>
      <c r="H6">
        <v>200</v>
      </c>
      <c r="I6">
        <v>0.27200000000000002</v>
      </c>
      <c r="J6" t="s">
        <v>570</v>
      </c>
      <c r="K6">
        <v>0</v>
      </c>
      <c r="L6">
        <v>5.03</v>
      </c>
      <c r="M6">
        <v>13.54</v>
      </c>
      <c r="N6">
        <v>37</v>
      </c>
      <c r="O6">
        <v>67</v>
      </c>
      <c r="P6" t="s">
        <v>508</v>
      </c>
      <c r="Q6" s="249">
        <f t="shared" si="0"/>
        <v>-0.16100000000000136</v>
      </c>
      <c r="R6">
        <v>0</v>
      </c>
      <c r="S6">
        <v>0</v>
      </c>
      <c r="T6">
        <v>0</v>
      </c>
      <c r="U6" s="244">
        <v>472684901515</v>
      </c>
      <c r="V6" s="244">
        <v>7475590941478</v>
      </c>
      <c r="W6" s="244">
        <v>472688609355</v>
      </c>
      <c r="X6" t="s">
        <v>854</v>
      </c>
      <c r="Y6">
        <v>1.59</v>
      </c>
    </row>
    <row r="7" spans="1:25" x14ac:dyDescent="0.2">
      <c r="A7" t="s">
        <v>515</v>
      </c>
      <c r="B7" t="s">
        <v>516</v>
      </c>
      <c r="C7">
        <v>80</v>
      </c>
      <c r="D7">
        <v>484.84</v>
      </c>
      <c r="E7">
        <v>484.76299999999998</v>
      </c>
      <c r="F7">
        <v>485.00599999999997</v>
      </c>
      <c r="G7">
        <v>484.78899999999999</v>
      </c>
      <c r="H7">
        <v>200</v>
      </c>
      <c r="I7">
        <v>0.27200000000000002</v>
      </c>
      <c r="J7" t="s">
        <v>570</v>
      </c>
      <c r="K7">
        <v>0</v>
      </c>
      <c r="L7">
        <v>5.03</v>
      </c>
      <c r="M7">
        <v>13.54</v>
      </c>
      <c r="N7">
        <v>37</v>
      </c>
      <c r="O7">
        <v>67</v>
      </c>
      <c r="P7" t="s">
        <v>508</v>
      </c>
      <c r="Q7" s="249">
        <f t="shared" si="0"/>
        <v>-0.16599999999999682</v>
      </c>
      <c r="R7">
        <v>0</v>
      </c>
      <c r="S7">
        <v>0</v>
      </c>
      <c r="T7">
        <v>0</v>
      </c>
      <c r="U7" s="244">
        <v>472688609355</v>
      </c>
      <c r="V7" s="244">
        <v>7475571288185</v>
      </c>
      <c r="W7" s="244">
        <v>472750344377</v>
      </c>
      <c r="X7" t="s">
        <v>855</v>
      </c>
      <c r="Y7">
        <v>1.59</v>
      </c>
    </row>
    <row r="8" spans="1:25" x14ac:dyDescent="0.2">
      <c r="A8" t="s">
        <v>516</v>
      </c>
      <c r="B8" t="s">
        <v>517</v>
      </c>
      <c r="C8">
        <v>80</v>
      </c>
      <c r="D8">
        <v>484.76299999999998</v>
      </c>
      <c r="E8">
        <v>485</v>
      </c>
      <c r="F8">
        <v>484.78899999999999</v>
      </c>
      <c r="G8">
        <v>484.57100000000003</v>
      </c>
      <c r="H8">
        <v>200</v>
      </c>
      <c r="I8">
        <v>0.27200000000000002</v>
      </c>
      <c r="J8" t="s">
        <v>570</v>
      </c>
      <c r="K8">
        <v>0</v>
      </c>
      <c r="L8">
        <v>5.03</v>
      </c>
      <c r="M8">
        <v>13.54</v>
      </c>
      <c r="N8">
        <v>37</v>
      </c>
      <c r="O8">
        <v>67</v>
      </c>
      <c r="P8" t="s">
        <v>508</v>
      </c>
      <c r="Q8" s="249">
        <f t="shared" si="0"/>
        <v>-2.6000000000010459E-2</v>
      </c>
      <c r="R8">
        <v>0</v>
      </c>
      <c r="S8">
        <v>0</v>
      </c>
      <c r="T8">
        <v>0</v>
      </c>
      <c r="U8" s="244">
        <v>472750344377</v>
      </c>
      <c r="V8" s="244">
        <v>7475520408061</v>
      </c>
      <c r="W8" s="244">
        <v>47281110605</v>
      </c>
      <c r="X8" t="s">
        <v>856</v>
      </c>
      <c r="Y8">
        <v>1.59</v>
      </c>
    </row>
    <row r="9" spans="1:25" x14ac:dyDescent="0.2">
      <c r="A9" t="s">
        <v>517</v>
      </c>
      <c r="B9" t="s">
        <v>518</v>
      </c>
      <c r="C9">
        <v>80</v>
      </c>
      <c r="D9">
        <v>485</v>
      </c>
      <c r="E9">
        <v>484.721</v>
      </c>
      <c r="F9">
        <v>484.57100000000003</v>
      </c>
      <c r="G9">
        <v>484.35300000000001</v>
      </c>
      <c r="H9">
        <v>200</v>
      </c>
      <c r="I9">
        <v>0.27200000000000002</v>
      </c>
      <c r="J9" t="s">
        <v>570</v>
      </c>
      <c r="K9">
        <v>0</v>
      </c>
      <c r="L9">
        <v>5.03</v>
      </c>
      <c r="M9">
        <v>13.54</v>
      </c>
      <c r="N9">
        <v>37</v>
      </c>
      <c r="O9">
        <v>67</v>
      </c>
      <c r="P9" t="s">
        <v>508</v>
      </c>
      <c r="Q9" s="249">
        <f t="shared" si="0"/>
        <v>0.42899999999997362</v>
      </c>
      <c r="R9">
        <v>0</v>
      </c>
      <c r="S9">
        <v>0</v>
      </c>
      <c r="T9">
        <v>0</v>
      </c>
      <c r="U9" s="244">
        <v>47281110605</v>
      </c>
      <c r="V9" s="244">
        <v>747546836943</v>
      </c>
      <c r="W9" s="244">
        <v>472873651834</v>
      </c>
      <c r="X9" t="s">
        <v>857</v>
      </c>
      <c r="Y9">
        <v>1.59</v>
      </c>
    </row>
    <row r="10" spans="1:25" x14ac:dyDescent="0.2">
      <c r="A10" t="s">
        <v>518</v>
      </c>
      <c r="B10" t="s">
        <v>519</v>
      </c>
      <c r="C10">
        <v>59</v>
      </c>
      <c r="D10">
        <v>484.721</v>
      </c>
      <c r="E10">
        <v>483.81</v>
      </c>
      <c r="F10">
        <v>484.35300000000001</v>
      </c>
      <c r="G10">
        <v>484.19299999999998</v>
      </c>
      <c r="H10">
        <v>200</v>
      </c>
      <c r="I10">
        <v>0.27200000000000002</v>
      </c>
      <c r="J10" t="s">
        <v>570</v>
      </c>
      <c r="K10">
        <v>0</v>
      </c>
      <c r="L10">
        <v>5.03</v>
      </c>
      <c r="M10">
        <v>13.54</v>
      </c>
      <c r="N10">
        <v>37</v>
      </c>
      <c r="O10">
        <v>67</v>
      </c>
      <c r="P10" t="s">
        <v>508</v>
      </c>
      <c r="Q10" s="249">
        <f t="shared" si="0"/>
        <v>0.367999999999995</v>
      </c>
      <c r="R10">
        <v>0</v>
      </c>
      <c r="S10">
        <v>0</v>
      </c>
      <c r="T10">
        <v>0</v>
      </c>
      <c r="U10" s="244">
        <v>472873651834</v>
      </c>
      <c r="V10" s="244">
        <v>7475418489324</v>
      </c>
      <c r="W10" s="244">
        <v>472919286405</v>
      </c>
      <c r="X10" t="s">
        <v>858</v>
      </c>
      <c r="Y10">
        <v>1.59</v>
      </c>
    </row>
    <row r="11" spans="1:25" x14ac:dyDescent="0.2">
      <c r="A11" t="s">
        <v>519</v>
      </c>
      <c r="B11" t="s">
        <v>520</v>
      </c>
      <c r="C11">
        <v>80</v>
      </c>
      <c r="D11">
        <v>483.81</v>
      </c>
      <c r="E11">
        <v>483.89400000000001</v>
      </c>
      <c r="F11">
        <v>484.19299999999998</v>
      </c>
      <c r="G11">
        <v>483.97500000000002</v>
      </c>
      <c r="H11">
        <v>200</v>
      </c>
      <c r="I11">
        <v>0.27200000000000002</v>
      </c>
      <c r="J11" t="s">
        <v>570</v>
      </c>
      <c r="K11">
        <v>0</v>
      </c>
      <c r="L11">
        <v>5.03</v>
      </c>
      <c r="M11">
        <v>13.54</v>
      </c>
      <c r="N11">
        <v>37</v>
      </c>
      <c r="O11">
        <v>67</v>
      </c>
      <c r="P11" t="s">
        <v>508</v>
      </c>
      <c r="Q11" s="249">
        <f t="shared" si="0"/>
        <v>-0.38299999999998136</v>
      </c>
      <c r="R11">
        <v>0</v>
      </c>
      <c r="S11">
        <v>0</v>
      </c>
      <c r="T11">
        <v>0</v>
      </c>
      <c r="U11" s="244">
        <v>472919286405</v>
      </c>
      <c r="V11" s="244">
        <v>7475381092988</v>
      </c>
      <c r="W11" s="244">
        <v>472997807366</v>
      </c>
      <c r="X11" t="s">
        <v>859</v>
      </c>
      <c r="Y11">
        <v>1.59</v>
      </c>
    </row>
    <row r="12" spans="1:25" x14ac:dyDescent="0.2">
      <c r="A12" t="s">
        <v>520</v>
      </c>
      <c r="B12" t="s">
        <v>521</v>
      </c>
      <c r="C12">
        <v>20</v>
      </c>
      <c r="D12">
        <v>483.89400000000001</v>
      </c>
      <c r="E12">
        <v>484.5</v>
      </c>
      <c r="F12">
        <v>483.97500000000002</v>
      </c>
      <c r="G12">
        <v>483.92099999999999</v>
      </c>
      <c r="H12">
        <v>200</v>
      </c>
      <c r="I12">
        <v>0.27200000000000002</v>
      </c>
      <c r="J12" t="s">
        <v>570</v>
      </c>
      <c r="K12">
        <v>0</v>
      </c>
      <c r="L12">
        <v>5.03</v>
      </c>
      <c r="M12">
        <v>13.54</v>
      </c>
      <c r="N12">
        <v>37</v>
      </c>
      <c r="O12">
        <v>67</v>
      </c>
      <c r="P12" t="s">
        <v>508</v>
      </c>
      <c r="Q12" s="249">
        <f t="shared" si="0"/>
        <v>-8.100000000001728E-2</v>
      </c>
      <c r="R12">
        <v>0</v>
      </c>
      <c r="S12">
        <v>0</v>
      </c>
      <c r="T12">
        <v>0</v>
      </c>
      <c r="U12" s="244">
        <v>472997807366</v>
      </c>
      <c r="V12" s="244">
        <v>7475365780943</v>
      </c>
      <c r="W12" s="244">
        <v>473017420385</v>
      </c>
      <c r="X12" t="s">
        <v>860</v>
      </c>
      <c r="Y12">
        <v>1.59</v>
      </c>
    </row>
    <row r="13" spans="1:25" x14ac:dyDescent="0.2">
      <c r="A13" t="s">
        <v>521</v>
      </c>
      <c r="B13" t="s">
        <v>522</v>
      </c>
      <c r="C13">
        <v>80</v>
      </c>
      <c r="D13">
        <v>484.5</v>
      </c>
      <c r="E13">
        <v>484.61</v>
      </c>
      <c r="F13">
        <v>483.92099999999999</v>
      </c>
      <c r="G13">
        <v>483.70299999999997</v>
      </c>
      <c r="H13">
        <v>200</v>
      </c>
      <c r="I13">
        <v>0.27200000000000002</v>
      </c>
      <c r="J13" t="s">
        <v>570</v>
      </c>
      <c r="K13">
        <v>0</v>
      </c>
      <c r="L13">
        <v>5.03</v>
      </c>
      <c r="M13">
        <v>13.54</v>
      </c>
      <c r="N13">
        <v>37</v>
      </c>
      <c r="O13">
        <v>67</v>
      </c>
      <c r="P13" t="s">
        <v>508</v>
      </c>
      <c r="Q13" s="249">
        <f t="shared" si="0"/>
        <v>0.57900000000000773</v>
      </c>
      <c r="R13">
        <v>0</v>
      </c>
      <c r="S13">
        <v>0</v>
      </c>
      <c r="T13">
        <v>0</v>
      </c>
      <c r="U13" s="244">
        <v>473017420385</v>
      </c>
      <c r="V13" s="244">
        <v>7475361865656</v>
      </c>
      <c r="W13" s="244">
        <v>473097230576</v>
      </c>
      <c r="X13" t="s">
        <v>861</v>
      </c>
      <c r="Y13">
        <v>1.59</v>
      </c>
    </row>
    <row r="14" spans="1:25" x14ac:dyDescent="0.2">
      <c r="A14" t="s">
        <v>522</v>
      </c>
      <c r="B14" t="s">
        <v>523</v>
      </c>
      <c r="C14">
        <v>65</v>
      </c>
      <c r="D14">
        <v>484.61</v>
      </c>
      <c r="E14">
        <v>484.87599999999998</v>
      </c>
      <c r="F14">
        <v>483.70299999999997</v>
      </c>
      <c r="G14">
        <v>483.52699999999999</v>
      </c>
      <c r="H14">
        <v>200</v>
      </c>
      <c r="I14">
        <v>0.27200000000000002</v>
      </c>
      <c r="J14" t="s">
        <v>571</v>
      </c>
      <c r="K14">
        <v>0</v>
      </c>
      <c r="L14">
        <v>5.03</v>
      </c>
      <c r="M14">
        <v>13.54</v>
      </c>
      <c r="N14">
        <v>32</v>
      </c>
      <c r="O14">
        <v>56</v>
      </c>
      <c r="P14" t="s">
        <v>508</v>
      </c>
      <c r="Q14" s="249">
        <f t="shared" si="0"/>
        <v>0.90700000000003911</v>
      </c>
      <c r="R14">
        <v>0</v>
      </c>
      <c r="S14">
        <v>0</v>
      </c>
      <c r="T14">
        <v>0</v>
      </c>
      <c r="U14" s="244">
        <v>473097230576</v>
      </c>
      <c r="V14" s="244">
        <v>7475356358078</v>
      </c>
      <c r="W14" s="244">
        <v>473162050788</v>
      </c>
      <c r="X14" t="s">
        <v>862</v>
      </c>
      <c r="Y14">
        <v>1.46</v>
      </c>
    </row>
    <row r="15" spans="1:25" x14ac:dyDescent="0.2">
      <c r="A15" t="s">
        <v>523</v>
      </c>
      <c r="B15" t="s">
        <v>524</v>
      </c>
      <c r="C15">
        <v>80</v>
      </c>
      <c r="D15">
        <v>484.87599999999998</v>
      </c>
      <c r="E15">
        <v>483.9</v>
      </c>
      <c r="F15">
        <v>483.52699999999999</v>
      </c>
      <c r="G15">
        <v>483.30900000000003</v>
      </c>
      <c r="H15">
        <v>200</v>
      </c>
      <c r="I15">
        <v>0.27200000000000002</v>
      </c>
      <c r="J15" t="s">
        <v>571</v>
      </c>
      <c r="K15">
        <v>0</v>
      </c>
      <c r="L15">
        <v>5.03</v>
      </c>
      <c r="M15">
        <v>13.54</v>
      </c>
      <c r="N15">
        <v>32</v>
      </c>
      <c r="O15">
        <v>56</v>
      </c>
      <c r="P15" t="s">
        <v>508</v>
      </c>
      <c r="Q15" s="249">
        <f t="shared" si="0"/>
        <v>1.3489999999999895</v>
      </c>
      <c r="R15">
        <v>0</v>
      </c>
      <c r="S15">
        <v>0</v>
      </c>
      <c r="T15">
        <v>0</v>
      </c>
      <c r="U15" s="244">
        <v>473162050788</v>
      </c>
      <c r="V15" s="244">
        <v>7475351526922</v>
      </c>
      <c r="W15" s="244">
        <v>473241686482</v>
      </c>
      <c r="X15" t="s">
        <v>863</v>
      </c>
      <c r="Y15">
        <v>1.46</v>
      </c>
    </row>
    <row r="16" spans="1:25" x14ac:dyDescent="0.2">
      <c r="A16" t="s">
        <v>524</v>
      </c>
      <c r="B16" t="s">
        <v>525</v>
      </c>
      <c r="C16">
        <v>7.79</v>
      </c>
      <c r="D16">
        <v>483.9</v>
      </c>
      <c r="E16">
        <v>483.9</v>
      </c>
      <c r="F16">
        <v>483.30900000000003</v>
      </c>
      <c r="G16">
        <v>483.28800000000001</v>
      </c>
      <c r="H16">
        <v>200</v>
      </c>
      <c r="I16">
        <v>0.27200000000000002</v>
      </c>
      <c r="J16" t="s">
        <v>570</v>
      </c>
      <c r="K16">
        <v>0</v>
      </c>
      <c r="L16">
        <v>5.03</v>
      </c>
      <c r="M16">
        <v>13.54</v>
      </c>
      <c r="N16">
        <v>37</v>
      </c>
      <c r="O16">
        <v>67</v>
      </c>
      <c r="P16" t="s">
        <v>508</v>
      </c>
      <c r="Q16" s="249">
        <f t="shared" si="0"/>
        <v>0.59099999999995134</v>
      </c>
      <c r="R16">
        <v>0</v>
      </c>
      <c r="S16">
        <v>0</v>
      </c>
      <c r="T16">
        <v>0</v>
      </c>
      <c r="U16" s="244">
        <v>473241686482</v>
      </c>
      <c r="V16" s="244">
        <v>747535915295</v>
      </c>
      <c r="W16" s="244">
        <v>473249453133</v>
      </c>
      <c r="X16" t="s">
        <v>864</v>
      </c>
      <c r="Y16">
        <v>1.59</v>
      </c>
    </row>
    <row r="17" spans="1:26" x14ac:dyDescent="0.2">
      <c r="A17" t="s">
        <v>525</v>
      </c>
      <c r="B17" t="s">
        <v>526</v>
      </c>
      <c r="C17">
        <v>80</v>
      </c>
      <c r="D17">
        <v>483.9</v>
      </c>
      <c r="E17">
        <v>483.536</v>
      </c>
      <c r="F17">
        <v>483.28800000000001</v>
      </c>
      <c r="G17">
        <v>483.07</v>
      </c>
      <c r="H17">
        <v>200</v>
      </c>
      <c r="I17">
        <v>0.27200000000000002</v>
      </c>
      <c r="J17" t="s">
        <v>865</v>
      </c>
      <c r="K17">
        <v>1.91</v>
      </c>
      <c r="L17">
        <v>5.74</v>
      </c>
      <c r="M17">
        <v>15.45</v>
      </c>
      <c r="N17">
        <v>39</v>
      </c>
      <c r="O17">
        <v>74</v>
      </c>
      <c r="P17" t="s">
        <v>508</v>
      </c>
      <c r="Q17" s="249">
        <f t="shared" si="0"/>
        <v>0.61199999999996635</v>
      </c>
      <c r="R17">
        <v>0</v>
      </c>
      <c r="S17">
        <v>0</v>
      </c>
      <c r="T17">
        <v>0</v>
      </c>
      <c r="U17" s="244">
        <v>473249453133</v>
      </c>
      <c r="V17" s="244">
        <v>7475359752567</v>
      </c>
      <c r="W17" s="244">
        <v>473327637028</v>
      </c>
      <c r="X17" t="s">
        <v>866</v>
      </c>
      <c r="Y17">
        <v>1.64</v>
      </c>
    </row>
    <row r="18" spans="1:26" x14ac:dyDescent="0.2">
      <c r="A18" t="s">
        <v>526</v>
      </c>
      <c r="B18" t="s">
        <v>527</v>
      </c>
      <c r="C18">
        <v>80</v>
      </c>
      <c r="D18">
        <v>483.536</v>
      </c>
      <c r="E18">
        <v>484.4</v>
      </c>
      <c r="F18">
        <v>483.07</v>
      </c>
      <c r="G18">
        <v>482.85300000000001</v>
      </c>
      <c r="H18">
        <v>200</v>
      </c>
      <c r="I18">
        <v>0.27200000000000002</v>
      </c>
      <c r="J18" t="s">
        <v>571</v>
      </c>
      <c r="K18">
        <v>0</v>
      </c>
      <c r="L18">
        <v>5.74</v>
      </c>
      <c r="M18">
        <v>15.45</v>
      </c>
      <c r="N18">
        <v>34</v>
      </c>
      <c r="O18">
        <v>61</v>
      </c>
      <c r="P18" t="s">
        <v>508</v>
      </c>
      <c r="Q18" s="249">
        <f t="shared" si="0"/>
        <v>0.46600000000000819</v>
      </c>
      <c r="R18">
        <v>0</v>
      </c>
      <c r="S18">
        <v>0</v>
      </c>
      <c r="T18">
        <v>0</v>
      </c>
      <c r="U18" s="244">
        <v>473327637028</v>
      </c>
      <c r="V18" s="244">
        <v>7475342803271</v>
      </c>
      <c r="W18" s="244">
        <v>47340538949</v>
      </c>
      <c r="X18" t="s">
        <v>867</v>
      </c>
      <c r="Y18">
        <v>1.53</v>
      </c>
    </row>
    <row r="19" spans="1:26" x14ac:dyDescent="0.2">
      <c r="A19" t="s">
        <v>527</v>
      </c>
      <c r="B19" t="s">
        <v>528</v>
      </c>
      <c r="C19">
        <v>13</v>
      </c>
      <c r="D19">
        <v>484.4</v>
      </c>
      <c r="E19">
        <v>484.43</v>
      </c>
      <c r="F19">
        <v>482.85300000000001</v>
      </c>
      <c r="G19">
        <v>482.81700000000001</v>
      </c>
      <c r="H19">
        <v>200</v>
      </c>
      <c r="I19">
        <v>0.27200000000000002</v>
      </c>
      <c r="J19" t="s">
        <v>571</v>
      </c>
      <c r="K19">
        <v>0</v>
      </c>
      <c r="L19">
        <v>5.74</v>
      </c>
      <c r="M19">
        <v>15.45</v>
      </c>
      <c r="N19">
        <v>34</v>
      </c>
      <c r="O19">
        <v>61</v>
      </c>
      <c r="P19" t="s">
        <v>508</v>
      </c>
      <c r="Q19" s="249">
        <f t="shared" si="0"/>
        <v>1.5469999999999686</v>
      </c>
      <c r="R19">
        <v>0</v>
      </c>
      <c r="S19">
        <v>0</v>
      </c>
      <c r="T19">
        <v>0</v>
      </c>
      <c r="U19" s="244">
        <v>47340538949</v>
      </c>
      <c r="V19" s="244">
        <v>7475323973649</v>
      </c>
      <c r="W19" s="244">
        <v>473418020262</v>
      </c>
      <c r="X19" t="s">
        <v>868</v>
      </c>
      <c r="Y19">
        <v>1.53</v>
      </c>
    </row>
    <row r="20" spans="1:26" x14ac:dyDescent="0.2">
      <c r="A20" t="s">
        <v>528</v>
      </c>
      <c r="B20" t="s">
        <v>529</v>
      </c>
      <c r="C20">
        <v>80</v>
      </c>
      <c r="D20">
        <v>484.43</v>
      </c>
      <c r="E20">
        <v>484.101</v>
      </c>
      <c r="F20">
        <v>482.81700000000001</v>
      </c>
      <c r="G20">
        <v>482.6</v>
      </c>
      <c r="H20">
        <v>200</v>
      </c>
      <c r="I20">
        <v>0.27200000000000002</v>
      </c>
      <c r="J20" t="s">
        <v>571</v>
      </c>
      <c r="K20">
        <v>0</v>
      </c>
      <c r="L20">
        <v>5.74</v>
      </c>
      <c r="M20">
        <v>15.45</v>
      </c>
      <c r="N20">
        <v>34</v>
      </c>
      <c r="O20">
        <v>61</v>
      </c>
      <c r="P20" t="s">
        <v>508</v>
      </c>
      <c r="Q20" s="249">
        <f t="shared" si="0"/>
        <v>1.6129999999999995</v>
      </c>
      <c r="R20">
        <v>0</v>
      </c>
      <c r="S20">
        <v>0</v>
      </c>
      <c r="T20">
        <v>0</v>
      </c>
      <c r="U20" s="244">
        <v>473418020262</v>
      </c>
      <c r="V20" s="244">
        <v>7475320897353</v>
      </c>
      <c r="W20" s="244">
        <v>473496981666</v>
      </c>
      <c r="X20" t="s">
        <v>869</v>
      </c>
      <c r="Y20">
        <v>1.53</v>
      </c>
    </row>
    <row r="21" spans="1:26" x14ac:dyDescent="0.2">
      <c r="A21" t="s">
        <v>529</v>
      </c>
      <c r="B21" t="s">
        <v>530</v>
      </c>
      <c r="C21">
        <v>69</v>
      </c>
      <c r="D21">
        <v>484.101</v>
      </c>
      <c r="E21">
        <v>482.52300000000002</v>
      </c>
      <c r="F21">
        <v>482.6</v>
      </c>
      <c r="G21">
        <v>482.41199999999998</v>
      </c>
      <c r="H21">
        <v>200</v>
      </c>
      <c r="I21">
        <v>0.27200000000000002</v>
      </c>
      <c r="J21" t="s">
        <v>570</v>
      </c>
      <c r="K21">
        <v>0</v>
      </c>
      <c r="L21">
        <v>5.74</v>
      </c>
      <c r="M21">
        <v>15.45</v>
      </c>
      <c r="N21">
        <v>39</v>
      </c>
      <c r="O21">
        <v>74</v>
      </c>
      <c r="P21" t="s">
        <v>508</v>
      </c>
      <c r="Q21" s="249">
        <f t="shared" si="0"/>
        <v>1.5009999999999764</v>
      </c>
      <c r="R21">
        <v>0</v>
      </c>
      <c r="S21">
        <v>0</v>
      </c>
      <c r="T21">
        <v>0</v>
      </c>
      <c r="U21" s="244">
        <v>473496981666</v>
      </c>
      <c r="V21" s="244">
        <v>747530804836</v>
      </c>
      <c r="W21" s="244">
        <v>473562941548</v>
      </c>
      <c r="X21" t="s">
        <v>870</v>
      </c>
      <c r="Y21">
        <v>1.64</v>
      </c>
    </row>
    <row r="22" spans="1:26" x14ac:dyDescent="0.2">
      <c r="A22" t="s">
        <v>530</v>
      </c>
      <c r="B22" t="s">
        <v>531</v>
      </c>
      <c r="C22">
        <v>39</v>
      </c>
      <c r="D22">
        <v>482.52300000000002</v>
      </c>
      <c r="E22">
        <v>484</v>
      </c>
      <c r="F22">
        <v>482.36200000000002</v>
      </c>
      <c r="G22">
        <v>482.25599999999997</v>
      </c>
      <c r="H22">
        <v>250</v>
      </c>
      <c r="I22">
        <v>0.27200000000000002</v>
      </c>
      <c r="J22" t="s">
        <v>871</v>
      </c>
      <c r="K22">
        <v>1.49</v>
      </c>
      <c r="L22">
        <v>6.29</v>
      </c>
      <c r="M22">
        <v>16.940000000000001</v>
      </c>
      <c r="N22">
        <v>30</v>
      </c>
      <c r="O22">
        <v>52</v>
      </c>
      <c r="P22" t="s">
        <v>508</v>
      </c>
      <c r="Q22" s="249">
        <f t="shared" si="0"/>
        <v>0.16100000000000136</v>
      </c>
      <c r="R22">
        <v>0</v>
      </c>
      <c r="S22">
        <v>0</v>
      </c>
      <c r="T22">
        <v>0</v>
      </c>
      <c r="U22" s="244">
        <v>473562941548</v>
      </c>
      <c r="V22" s="244">
        <v>7475328304074</v>
      </c>
      <c r="W22" s="244">
        <v>47359890621</v>
      </c>
      <c r="X22" t="s">
        <v>872</v>
      </c>
      <c r="Y22">
        <v>1.76</v>
      </c>
    </row>
    <row r="23" spans="1:26" x14ac:dyDescent="0.2">
      <c r="A23" t="s">
        <v>531</v>
      </c>
      <c r="B23" t="s">
        <v>532</v>
      </c>
      <c r="C23">
        <v>50</v>
      </c>
      <c r="D23">
        <v>484</v>
      </c>
      <c r="E23">
        <v>483</v>
      </c>
      <c r="F23">
        <v>482.25599999999997</v>
      </c>
      <c r="G23">
        <v>482.12</v>
      </c>
      <c r="H23">
        <v>250</v>
      </c>
      <c r="I23">
        <v>0.27200000000000002</v>
      </c>
      <c r="J23" t="s">
        <v>571</v>
      </c>
      <c r="K23">
        <v>0</v>
      </c>
      <c r="L23">
        <v>6.29</v>
      </c>
      <c r="M23">
        <v>16.940000000000001</v>
      </c>
      <c r="N23">
        <v>26</v>
      </c>
      <c r="O23">
        <v>45</v>
      </c>
      <c r="P23" t="s">
        <v>508</v>
      </c>
      <c r="Q23" s="249">
        <f t="shared" si="0"/>
        <v>1.7440000000000282</v>
      </c>
      <c r="R23">
        <v>0</v>
      </c>
      <c r="S23">
        <v>0</v>
      </c>
      <c r="T23">
        <v>0</v>
      </c>
      <c r="U23" s="244">
        <v>47359890621</v>
      </c>
      <c r="V23" s="244">
        <v>7475313219541</v>
      </c>
      <c r="W23" s="244">
        <v>473622081325</v>
      </c>
      <c r="X23" t="s">
        <v>873</v>
      </c>
      <c r="Y23">
        <v>1.59</v>
      </c>
    </row>
    <row r="24" spans="1:26" x14ac:dyDescent="0.2">
      <c r="A24" t="s">
        <v>532</v>
      </c>
      <c r="B24" t="s">
        <v>533</v>
      </c>
      <c r="C24">
        <v>80</v>
      </c>
      <c r="D24">
        <v>483</v>
      </c>
      <c r="E24">
        <v>484.05</v>
      </c>
      <c r="F24">
        <v>482.12</v>
      </c>
      <c r="G24">
        <v>481.90199999999999</v>
      </c>
      <c r="H24">
        <v>250</v>
      </c>
      <c r="I24">
        <v>0.27200000000000002</v>
      </c>
      <c r="J24" t="s">
        <v>571</v>
      </c>
      <c r="K24">
        <v>0</v>
      </c>
      <c r="L24">
        <v>6.29</v>
      </c>
      <c r="M24">
        <v>16.940000000000001</v>
      </c>
      <c r="N24">
        <v>26</v>
      </c>
      <c r="O24">
        <v>45</v>
      </c>
      <c r="P24" t="s">
        <v>508</v>
      </c>
      <c r="Q24" s="249">
        <f t="shared" si="0"/>
        <v>0.87999999999999545</v>
      </c>
      <c r="R24">
        <v>0</v>
      </c>
      <c r="S24">
        <v>0</v>
      </c>
      <c r="T24">
        <v>0</v>
      </c>
      <c r="U24" s="244">
        <v>473622081325</v>
      </c>
      <c r="V24" s="244">
        <v>7475268914755</v>
      </c>
      <c r="W24" s="244">
        <v>473672879872</v>
      </c>
      <c r="X24" t="s">
        <v>874</v>
      </c>
      <c r="Y24">
        <v>1.59</v>
      </c>
    </row>
    <row r="25" spans="1:26" x14ac:dyDescent="0.2">
      <c r="A25" t="s">
        <v>533</v>
      </c>
      <c r="B25" t="s">
        <v>875</v>
      </c>
      <c r="C25">
        <v>21.87</v>
      </c>
      <c r="D25">
        <v>484.05</v>
      </c>
      <c r="E25">
        <v>484.08499999999998</v>
      </c>
      <c r="F25">
        <v>481.90199999999999</v>
      </c>
      <c r="G25">
        <v>481.84300000000002</v>
      </c>
      <c r="H25">
        <v>250</v>
      </c>
      <c r="I25">
        <v>0.27200000000000002</v>
      </c>
      <c r="J25" t="s">
        <v>571</v>
      </c>
      <c r="K25">
        <v>0</v>
      </c>
      <c r="L25">
        <v>6.29</v>
      </c>
      <c r="M25">
        <v>16.940000000000001</v>
      </c>
      <c r="N25">
        <v>26</v>
      </c>
      <c r="O25">
        <v>45</v>
      </c>
      <c r="P25" t="s">
        <v>508</v>
      </c>
      <c r="Q25" s="249">
        <f t="shared" si="0"/>
        <v>2.1480000000000246</v>
      </c>
      <c r="R25">
        <v>0</v>
      </c>
      <c r="S25">
        <v>0</v>
      </c>
      <c r="T25">
        <v>0</v>
      </c>
      <c r="U25" s="244">
        <v>473672879872</v>
      </c>
      <c r="V25" s="244">
        <v>747520711259</v>
      </c>
      <c r="W25" s="244">
        <v>473688726542</v>
      </c>
      <c r="X25" t="s">
        <v>876</v>
      </c>
      <c r="Y25">
        <v>1.59</v>
      </c>
    </row>
    <row r="26" spans="1:26" x14ac:dyDescent="0.2">
      <c r="A26" t="s">
        <v>534</v>
      </c>
      <c r="B26" t="s">
        <v>535</v>
      </c>
      <c r="C26">
        <v>80</v>
      </c>
      <c r="D26">
        <v>480.42</v>
      </c>
      <c r="E26">
        <v>480.23</v>
      </c>
      <c r="F26">
        <v>479.42</v>
      </c>
      <c r="G26">
        <v>479.005</v>
      </c>
      <c r="H26">
        <v>150</v>
      </c>
      <c r="I26">
        <v>0.51800000000000002</v>
      </c>
      <c r="J26" t="s">
        <v>505</v>
      </c>
      <c r="K26">
        <v>0.28000000000000003</v>
      </c>
      <c r="L26">
        <v>0.76</v>
      </c>
      <c r="M26">
        <v>0.28000000000000003</v>
      </c>
      <c r="N26">
        <v>0.76</v>
      </c>
      <c r="O26">
        <v>21</v>
      </c>
      <c r="P26">
        <v>21</v>
      </c>
      <c r="Q26" s="249">
        <f t="shared" si="0"/>
        <v>1</v>
      </c>
      <c r="R26">
        <v>0</v>
      </c>
      <c r="S26">
        <v>0</v>
      </c>
      <c r="T26">
        <v>0</v>
      </c>
      <c r="U26">
        <v>0</v>
      </c>
      <c r="V26" s="244">
        <v>473955587938</v>
      </c>
      <c r="W26" s="244">
        <v>7474796412672</v>
      </c>
      <c r="X26" s="244">
        <v>474033155287</v>
      </c>
      <c r="Y26" t="s">
        <v>877</v>
      </c>
      <c r="Z26">
        <v>1.02</v>
      </c>
    </row>
    <row r="27" spans="1:26" x14ac:dyDescent="0.2">
      <c r="A27" t="s">
        <v>535</v>
      </c>
      <c r="B27" t="s">
        <v>536</v>
      </c>
      <c r="C27">
        <v>28</v>
      </c>
      <c r="D27">
        <v>480.23</v>
      </c>
      <c r="E27">
        <v>479.89</v>
      </c>
      <c r="F27">
        <v>479.005</v>
      </c>
      <c r="G27">
        <v>478.86</v>
      </c>
      <c r="H27">
        <v>150</v>
      </c>
      <c r="I27">
        <v>0.51800000000000002</v>
      </c>
      <c r="J27" t="s">
        <v>505</v>
      </c>
      <c r="K27">
        <v>0</v>
      </c>
      <c r="L27">
        <v>0</v>
      </c>
      <c r="M27">
        <v>0.28000000000000003</v>
      </c>
      <c r="N27">
        <v>0.76</v>
      </c>
      <c r="O27">
        <v>21</v>
      </c>
      <c r="P27">
        <v>21</v>
      </c>
      <c r="Q27" s="249">
        <f t="shared" si="0"/>
        <v>1.2250000000000227</v>
      </c>
      <c r="R27">
        <v>0</v>
      </c>
      <c r="S27">
        <v>0</v>
      </c>
      <c r="T27">
        <v>0</v>
      </c>
      <c r="U27">
        <v>0</v>
      </c>
      <c r="V27" s="244">
        <v>474033155287</v>
      </c>
      <c r="W27" s="244">
        <v>7474776834458</v>
      </c>
      <c r="X27" s="244">
        <v>47405983837</v>
      </c>
      <c r="Y27" t="s">
        <v>878</v>
      </c>
      <c r="Z27">
        <v>1.02</v>
      </c>
    </row>
    <row r="28" spans="1:26" x14ac:dyDescent="0.2">
      <c r="A28" t="s">
        <v>536</v>
      </c>
      <c r="B28" t="s">
        <v>537</v>
      </c>
      <c r="C28">
        <v>80</v>
      </c>
      <c r="D28">
        <v>479.89</v>
      </c>
      <c r="E28">
        <v>480.072</v>
      </c>
      <c r="F28">
        <v>478.86</v>
      </c>
      <c r="G28">
        <v>478.44600000000003</v>
      </c>
      <c r="H28">
        <v>150</v>
      </c>
      <c r="I28">
        <v>0.51800000000000002</v>
      </c>
      <c r="J28" t="s">
        <v>505</v>
      </c>
      <c r="K28">
        <v>0</v>
      </c>
      <c r="L28">
        <v>0</v>
      </c>
      <c r="M28">
        <v>0.28000000000000003</v>
      </c>
      <c r="N28">
        <v>0.76</v>
      </c>
      <c r="O28">
        <v>21</v>
      </c>
      <c r="P28">
        <v>21</v>
      </c>
      <c r="Q28" s="249">
        <f t="shared" si="0"/>
        <v>1.0299999999999727</v>
      </c>
      <c r="R28">
        <v>0</v>
      </c>
      <c r="S28">
        <v>0</v>
      </c>
      <c r="T28">
        <v>0</v>
      </c>
      <c r="U28">
        <v>0</v>
      </c>
      <c r="V28" s="244">
        <v>47405983837</v>
      </c>
      <c r="W28" s="244">
        <v>7474768348407</v>
      </c>
      <c r="X28" s="244">
        <v>474126635661</v>
      </c>
      <c r="Y28" t="s">
        <v>879</v>
      </c>
      <c r="Z28">
        <v>1.02</v>
      </c>
    </row>
    <row r="29" spans="1:26" x14ac:dyDescent="0.2">
      <c r="A29" t="s">
        <v>537</v>
      </c>
      <c r="B29" t="s">
        <v>538</v>
      </c>
      <c r="C29">
        <v>72</v>
      </c>
      <c r="D29">
        <v>480.072</v>
      </c>
      <c r="E29">
        <v>479.87200000000001</v>
      </c>
      <c r="F29">
        <v>478.44600000000003</v>
      </c>
      <c r="G29">
        <v>478.072</v>
      </c>
      <c r="H29">
        <v>150</v>
      </c>
      <c r="I29">
        <v>0.51800000000000002</v>
      </c>
      <c r="J29" t="s">
        <v>505</v>
      </c>
      <c r="K29">
        <v>0</v>
      </c>
      <c r="L29">
        <v>0</v>
      </c>
      <c r="M29">
        <v>0.28000000000000003</v>
      </c>
      <c r="N29">
        <v>0.76</v>
      </c>
      <c r="O29">
        <v>21</v>
      </c>
      <c r="P29">
        <v>21</v>
      </c>
      <c r="Q29" s="249">
        <f t="shared" si="0"/>
        <v>1.6259999999999764</v>
      </c>
      <c r="R29">
        <v>0</v>
      </c>
      <c r="S29">
        <v>0</v>
      </c>
      <c r="T29">
        <v>0</v>
      </c>
      <c r="U29">
        <v>0</v>
      </c>
      <c r="V29" s="244">
        <v>474126635661</v>
      </c>
      <c r="W29" s="244">
        <v>7474724324301</v>
      </c>
      <c r="X29" s="244">
        <v>474186339556</v>
      </c>
      <c r="Y29" t="s">
        <v>880</v>
      </c>
      <c r="Z29">
        <v>1.02</v>
      </c>
    </row>
    <row r="30" spans="1:26" x14ac:dyDescent="0.2">
      <c r="A30" t="s">
        <v>538</v>
      </c>
      <c r="B30" t="s">
        <v>539</v>
      </c>
      <c r="C30">
        <v>80</v>
      </c>
      <c r="D30">
        <v>479.87200000000001</v>
      </c>
      <c r="E30">
        <v>480.04199999999997</v>
      </c>
      <c r="F30">
        <v>478.072</v>
      </c>
      <c r="G30">
        <v>477.65800000000002</v>
      </c>
      <c r="H30">
        <v>150</v>
      </c>
      <c r="I30">
        <v>0.51800000000000002</v>
      </c>
      <c r="J30" t="s">
        <v>505</v>
      </c>
      <c r="K30">
        <v>1.04</v>
      </c>
      <c r="L30">
        <v>2.79</v>
      </c>
      <c r="M30">
        <v>1.32</v>
      </c>
      <c r="N30">
        <v>3.55</v>
      </c>
      <c r="O30">
        <v>21</v>
      </c>
      <c r="P30">
        <v>34</v>
      </c>
      <c r="Q30" s="249">
        <f t="shared" si="0"/>
        <v>1.8000000000000114</v>
      </c>
      <c r="R30">
        <v>0</v>
      </c>
      <c r="S30">
        <v>0</v>
      </c>
      <c r="T30">
        <v>0</v>
      </c>
      <c r="U30">
        <v>0</v>
      </c>
      <c r="V30" s="244">
        <v>474186339556</v>
      </c>
      <c r="W30" s="244">
        <v>7474684081974</v>
      </c>
      <c r="X30" s="244">
        <v>474260732919</v>
      </c>
      <c r="Y30" t="s">
        <v>881</v>
      </c>
      <c r="Z30">
        <v>1.47</v>
      </c>
    </row>
    <row r="31" spans="1:26" x14ac:dyDescent="0.2">
      <c r="A31" t="s">
        <v>539</v>
      </c>
      <c r="B31" t="s">
        <v>540</v>
      </c>
      <c r="C31">
        <v>28</v>
      </c>
      <c r="D31">
        <v>480.04199999999997</v>
      </c>
      <c r="E31">
        <v>479.83100000000002</v>
      </c>
      <c r="F31">
        <v>477.65800000000002</v>
      </c>
      <c r="G31">
        <v>477.51299999999998</v>
      </c>
      <c r="H31">
        <v>150</v>
      </c>
      <c r="I31">
        <v>0.51800000000000002</v>
      </c>
      <c r="J31" t="s">
        <v>505</v>
      </c>
      <c r="K31">
        <v>0</v>
      </c>
      <c r="L31">
        <v>0</v>
      </c>
      <c r="M31">
        <v>1.32</v>
      </c>
      <c r="N31">
        <v>3.55</v>
      </c>
      <c r="O31">
        <v>21</v>
      </c>
      <c r="P31">
        <v>34</v>
      </c>
      <c r="Q31" s="249">
        <f t="shared" si="0"/>
        <v>2.3839999999999577</v>
      </c>
      <c r="R31">
        <v>0</v>
      </c>
      <c r="S31">
        <v>0</v>
      </c>
      <c r="T31">
        <v>0</v>
      </c>
      <c r="U31">
        <v>0</v>
      </c>
      <c r="V31" s="244">
        <v>474260732919</v>
      </c>
      <c r="W31" s="244">
        <v>7474654660425</v>
      </c>
      <c r="X31" s="244">
        <v>474286841531</v>
      </c>
      <c r="Y31" t="s">
        <v>882</v>
      </c>
      <c r="Z31">
        <v>1.47</v>
      </c>
    </row>
    <row r="32" spans="1:26" x14ac:dyDescent="0.2">
      <c r="A32" t="s">
        <v>540</v>
      </c>
      <c r="B32" t="s">
        <v>541</v>
      </c>
      <c r="C32">
        <v>65</v>
      </c>
      <c r="D32">
        <v>479.83100000000002</v>
      </c>
      <c r="E32">
        <v>477.81400000000002</v>
      </c>
      <c r="F32">
        <v>477.51299999999998</v>
      </c>
      <c r="G32">
        <v>476.81400000000002</v>
      </c>
      <c r="H32">
        <v>150</v>
      </c>
      <c r="I32">
        <v>1.075</v>
      </c>
      <c r="J32" t="s">
        <v>505</v>
      </c>
      <c r="K32">
        <v>1.32</v>
      </c>
      <c r="L32">
        <v>3.56</v>
      </c>
      <c r="M32">
        <v>2.64</v>
      </c>
      <c r="N32">
        <v>7.11</v>
      </c>
      <c r="O32">
        <v>24</v>
      </c>
      <c r="P32">
        <v>40</v>
      </c>
      <c r="Q32" s="249">
        <f t="shared" si="0"/>
        <v>2.3180000000000405</v>
      </c>
      <c r="R32">
        <v>0</v>
      </c>
      <c r="S32">
        <v>0</v>
      </c>
      <c r="T32">
        <v>0</v>
      </c>
      <c r="U32">
        <v>0</v>
      </c>
      <c r="V32" s="244">
        <v>474286841531</v>
      </c>
      <c r="W32" s="244">
        <v>7474644544082</v>
      </c>
      <c r="X32" s="244">
        <v>474310590103</v>
      </c>
      <c r="Y32" t="s">
        <v>883</v>
      </c>
      <c r="Z32">
        <v>3.49</v>
      </c>
    </row>
    <row r="33" spans="1:26" x14ac:dyDescent="0.2">
      <c r="A33" t="s">
        <v>541</v>
      </c>
      <c r="B33" t="s">
        <v>875</v>
      </c>
      <c r="C33">
        <v>11.69</v>
      </c>
      <c r="D33">
        <v>477.81400000000002</v>
      </c>
      <c r="E33">
        <v>479.21600000000001</v>
      </c>
      <c r="F33">
        <v>476.31400000000002</v>
      </c>
      <c r="G33">
        <v>476.267</v>
      </c>
      <c r="H33">
        <v>150</v>
      </c>
      <c r="I33">
        <v>0.4</v>
      </c>
      <c r="J33" t="s">
        <v>512</v>
      </c>
      <c r="K33" t="s">
        <v>513</v>
      </c>
      <c r="L33">
        <v>0</v>
      </c>
      <c r="M33">
        <v>2.64</v>
      </c>
      <c r="N33">
        <v>7.11</v>
      </c>
      <c r="O33">
        <v>35</v>
      </c>
      <c r="P33">
        <v>63</v>
      </c>
      <c r="Q33" s="249">
        <f t="shared" si="0"/>
        <v>1.5</v>
      </c>
      <c r="R33">
        <v>0</v>
      </c>
      <c r="S33">
        <v>0</v>
      </c>
      <c r="T33">
        <v>0</v>
      </c>
      <c r="U33">
        <v>0</v>
      </c>
      <c r="V33" s="244">
        <v>474310590103</v>
      </c>
      <c r="W33" s="244">
        <v>747458403784</v>
      </c>
      <c r="X33" s="244">
        <v>47430083403</v>
      </c>
      <c r="Y33" t="s">
        <v>884</v>
      </c>
      <c r="Z33">
        <v>1.72</v>
      </c>
    </row>
    <row r="34" spans="1:26" x14ac:dyDescent="0.2">
      <c r="A34" t="s">
        <v>542</v>
      </c>
      <c r="B34" t="s">
        <v>543</v>
      </c>
      <c r="C34">
        <v>80</v>
      </c>
      <c r="D34">
        <v>482.5</v>
      </c>
      <c r="E34">
        <v>481.31200000000001</v>
      </c>
      <c r="F34">
        <v>481.7</v>
      </c>
      <c r="G34">
        <v>480.512</v>
      </c>
      <c r="H34">
        <v>200</v>
      </c>
      <c r="I34">
        <v>1.4850000000000001</v>
      </c>
      <c r="J34" t="s">
        <v>505</v>
      </c>
      <c r="K34">
        <v>4.5</v>
      </c>
      <c r="L34">
        <v>12.13</v>
      </c>
      <c r="M34">
        <v>4.5</v>
      </c>
      <c r="N34">
        <v>12.13</v>
      </c>
      <c r="O34">
        <v>19</v>
      </c>
      <c r="P34">
        <v>32</v>
      </c>
      <c r="Q34" s="249">
        <f t="shared" si="0"/>
        <v>0.80000000000001137</v>
      </c>
      <c r="R34">
        <v>0</v>
      </c>
      <c r="S34">
        <v>0</v>
      </c>
      <c r="T34">
        <v>0</v>
      </c>
      <c r="U34">
        <v>0</v>
      </c>
      <c r="V34" s="244">
        <v>474119800729</v>
      </c>
      <c r="W34" s="244">
        <v>7473609938923</v>
      </c>
      <c r="X34" s="244">
        <v>474181607352</v>
      </c>
      <c r="Y34" t="s">
        <v>885</v>
      </c>
      <c r="Z34">
        <v>5.47</v>
      </c>
    </row>
    <row r="35" spans="1:26" x14ac:dyDescent="0.2">
      <c r="A35" t="s">
        <v>543</v>
      </c>
      <c r="B35" t="s">
        <v>544</v>
      </c>
      <c r="C35">
        <v>40</v>
      </c>
      <c r="D35">
        <v>481.31200000000001</v>
      </c>
      <c r="E35">
        <v>481.20299999999997</v>
      </c>
      <c r="F35">
        <v>480.512</v>
      </c>
      <c r="G35">
        <v>480.38799999999998</v>
      </c>
      <c r="H35">
        <v>200</v>
      </c>
      <c r="I35">
        <v>0.309</v>
      </c>
      <c r="J35" t="s">
        <v>505</v>
      </c>
      <c r="K35">
        <v>0</v>
      </c>
      <c r="L35">
        <v>0</v>
      </c>
      <c r="M35">
        <v>4.5</v>
      </c>
      <c r="N35">
        <v>12.13</v>
      </c>
      <c r="O35">
        <v>29</v>
      </c>
      <c r="P35">
        <v>50</v>
      </c>
      <c r="Q35" s="249">
        <f t="shared" si="0"/>
        <v>0.80000000000001137</v>
      </c>
      <c r="R35">
        <v>0</v>
      </c>
      <c r="S35">
        <v>0</v>
      </c>
      <c r="T35">
        <v>0</v>
      </c>
      <c r="U35">
        <v>0</v>
      </c>
      <c r="V35" s="244">
        <v>474181607352</v>
      </c>
      <c r="W35" s="244">
        <v>7473660732046</v>
      </c>
      <c r="X35" s="244">
        <v>474211616776</v>
      </c>
      <c r="Y35" t="s">
        <v>886</v>
      </c>
      <c r="Z35">
        <v>1.56</v>
      </c>
    </row>
    <row r="36" spans="1:26" x14ac:dyDescent="0.2">
      <c r="A36" t="s">
        <v>544</v>
      </c>
      <c r="B36" t="s">
        <v>545</v>
      </c>
      <c r="C36">
        <v>13</v>
      </c>
      <c r="D36">
        <v>481.20299999999997</v>
      </c>
      <c r="E36">
        <v>481.125</v>
      </c>
      <c r="F36">
        <v>480.38799999999998</v>
      </c>
      <c r="G36">
        <v>480.32499999999999</v>
      </c>
      <c r="H36">
        <v>200</v>
      </c>
      <c r="I36">
        <v>0.48699999999999999</v>
      </c>
      <c r="J36" t="s">
        <v>505</v>
      </c>
      <c r="K36">
        <v>0</v>
      </c>
      <c r="L36">
        <v>0</v>
      </c>
      <c r="M36">
        <v>4.5</v>
      </c>
      <c r="N36">
        <v>12.13</v>
      </c>
      <c r="O36">
        <v>26</v>
      </c>
      <c r="P36">
        <v>44</v>
      </c>
      <c r="Q36" s="249">
        <f t="shared" si="0"/>
        <v>0.81499999999999773</v>
      </c>
      <c r="R36">
        <v>0</v>
      </c>
      <c r="S36">
        <v>0</v>
      </c>
      <c r="T36">
        <v>0</v>
      </c>
      <c r="U36">
        <v>0</v>
      </c>
      <c r="V36" s="244">
        <v>474211616776</v>
      </c>
      <c r="W36" s="244">
        <v>7473687178869</v>
      </c>
      <c r="X36" s="244">
        <v>474221310649</v>
      </c>
      <c r="Y36" t="s">
        <v>887</v>
      </c>
      <c r="Z36">
        <v>2.25</v>
      </c>
    </row>
    <row r="37" spans="1:26" x14ac:dyDescent="0.2">
      <c r="A37" t="s">
        <v>545</v>
      </c>
      <c r="B37" t="s">
        <v>546</v>
      </c>
      <c r="C37">
        <v>80.290000000000006</v>
      </c>
      <c r="D37">
        <v>481.125</v>
      </c>
      <c r="E37">
        <v>478.87</v>
      </c>
      <c r="F37">
        <v>480.32499999999999</v>
      </c>
      <c r="G37">
        <v>478.07</v>
      </c>
      <c r="H37">
        <v>200</v>
      </c>
      <c r="I37">
        <v>2.8079999999999998</v>
      </c>
      <c r="J37" t="s">
        <v>505</v>
      </c>
      <c r="K37">
        <v>0</v>
      </c>
      <c r="L37">
        <v>0</v>
      </c>
      <c r="M37">
        <v>4.5</v>
      </c>
      <c r="N37">
        <v>12.13</v>
      </c>
      <c r="O37">
        <v>17</v>
      </c>
      <c r="P37">
        <v>27</v>
      </c>
      <c r="Q37" s="249">
        <f t="shared" si="0"/>
        <v>0.80000000000001137</v>
      </c>
      <c r="R37">
        <v>0</v>
      </c>
      <c r="S37">
        <v>0</v>
      </c>
      <c r="T37">
        <v>0</v>
      </c>
      <c r="U37">
        <v>0</v>
      </c>
      <c r="V37" s="244">
        <v>474221310649</v>
      </c>
      <c r="W37" s="244">
        <v>7473695840787</v>
      </c>
      <c r="X37" s="244">
        <v>474268533831</v>
      </c>
      <c r="Y37" t="s">
        <v>888</v>
      </c>
      <c r="Z37">
        <v>9.0299999999999994</v>
      </c>
    </row>
    <row r="38" spans="1:26" x14ac:dyDescent="0.2">
      <c r="A38" t="s">
        <v>546</v>
      </c>
      <c r="B38" t="s">
        <v>547</v>
      </c>
      <c r="C38">
        <v>79.7</v>
      </c>
      <c r="D38">
        <v>478.87</v>
      </c>
      <c r="E38">
        <v>477.892</v>
      </c>
      <c r="F38">
        <v>478.07</v>
      </c>
      <c r="G38">
        <v>477.09199999999998</v>
      </c>
      <c r="H38">
        <v>200</v>
      </c>
      <c r="I38">
        <v>1.2270000000000001</v>
      </c>
      <c r="J38" t="s">
        <v>505</v>
      </c>
      <c r="K38">
        <v>5.37</v>
      </c>
      <c r="L38">
        <v>14.47</v>
      </c>
      <c r="M38">
        <v>9.8699999999999992</v>
      </c>
      <c r="N38">
        <v>26.6</v>
      </c>
      <c r="O38">
        <v>31</v>
      </c>
      <c r="P38">
        <v>53</v>
      </c>
      <c r="Q38" s="249">
        <f t="shared" si="0"/>
        <v>0.80000000000001137</v>
      </c>
      <c r="R38">
        <v>0</v>
      </c>
      <c r="S38">
        <v>0</v>
      </c>
      <c r="T38">
        <v>0</v>
      </c>
      <c r="U38">
        <v>0</v>
      </c>
      <c r="V38" s="244">
        <v>474268533831</v>
      </c>
      <c r="W38" s="244">
        <v>7473760779926</v>
      </c>
      <c r="X38" s="244">
        <v>474316628563</v>
      </c>
      <c r="Y38" t="s">
        <v>889</v>
      </c>
      <c r="Z38">
        <v>6.4</v>
      </c>
    </row>
    <row r="39" spans="1:26" x14ac:dyDescent="0.2">
      <c r="A39" t="s">
        <v>547</v>
      </c>
      <c r="B39" t="s">
        <v>548</v>
      </c>
      <c r="C39">
        <v>80</v>
      </c>
      <c r="D39">
        <v>477.892</v>
      </c>
      <c r="E39">
        <v>477.64</v>
      </c>
      <c r="F39">
        <v>477.04199999999997</v>
      </c>
      <c r="G39">
        <v>476.79</v>
      </c>
      <c r="H39">
        <v>250</v>
      </c>
      <c r="I39">
        <v>0.315</v>
      </c>
      <c r="J39" t="s">
        <v>505</v>
      </c>
      <c r="K39">
        <v>1.78</v>
      </c>
      <c r="L39">
        <v>4.79</v>
      </c>
      <c r="M39">
        <v>11.65</v>
      </c>
      <c r="N39">
        <v>31.39</v>
      </c>
      <c r="O39">
        <v>35</v>
      </c>
      <c r="P39">
        <v>63</v>
      </c>
      <c r="Q39" s="249">
        <f t="shared" si="0"/>
        <v>0.85000000000002274</v>
      </c>
      <c r="R39">
        <v>0</v>
      </c>
      <c r="S39">
        <v>0</v>
      </c>
      <c r="T39">
        <v>0</v>
      </c>
      <c r="U39">
        <v>0</v>
      </c>
      <c r="V39" s="244">
        <v>474316628563</v>
      </c>
      <c r="W39" s="244">
        <v>7473824328844</v>
      </c>
      <c r="X39" s="244">
        <v>474354821773</v>
      </c>
      <c r="Y39" t="s">
        <v>890</v>
      </c>
      <c r="Z39">
        <v>2.2400000000000002</v>
      </c>
    </row>
    <row r="40" spans="1:26" x14ac:dyDescent="0.2">
      <c r="A40" t="s">
        <v>548</v>
      </c>
      <c r="B40" t="s">
        <v>549</v>
      </c>
      <c r="C40">
        <v>45</v>
      </c>
      <c r="D40">
        <v>477.64</v>
      </c>
      <c r="E40">
        <v>477.5</v>
      </c>
      <c r="F40">
        <v>476.79</v>
      </c>
      <c r="G40">
        <v>476.65</v>
      </c>
      <c r="H40">
        <v>250</v>
      </c>
      <c r="I40">
        <v>0.311</v>
      </c>
      <c r="J40" t="s">
        <v>505</v>
      </c>
      <c r="K40">
        <v>0</v>
      </c>
      <c r="L40">
        <v>0</v>
      </c>
      <c r="M40">
        <v>11.65</v>
      </c>
      <c r="N40">
        <v>31.39</v>
      </c>
      <c r="O40">
        <v>35</v>
      </c>
      <c r="P40">
        <v>63</v>
      </c>
      <c r="Q40" s="249">
        <f t="shared" si="0"/>
        <v>0.84999999999996589</v>
      </c>
      <c r="R40">
        <v>0</v>
      </c>
      <c r="S40">
        <v>0</v>
      </c>
      <c r="T40">
        <v>0</v>
      </c>
      <c r="U40">
        <v>0</v>
      </c>
      <c r="V40" s="244">
        <v>474354821773</v>
      </c>
      <c r="W40" s="244">
        <v>7473894623073</v>
      </c>
      <c r="X40" s="244">
        <v>474370388404</v>
      </c>
      <c r="Y40" t="s">
        <v>891</v>
      </c>
      <c r="Z40">
        <v>2.21</v>
      </c>
    </row>
    <row r="41" spans="1:26" x14ac:dyDescent="0.2">
      <c r="A41" t="s">
        <v>549</v>
      </c>
      <c r="B41" t="s">
        <v>892</v>
      </c>
      <c r="C41">
        <v>51</v>
      </c>
      <c r="D41">
        <v>477.5</v>
      </c>
      <c r="E41">
        <v>481</v>
      </c>
      <c r="F41">
        <v>476.65</v>
      </c>
      <c r="G41">
        <v>476.49700000000001</v>
      </c>
      <c r="H41">
        <v>250</v>
      </c>
      <c r="I41">
        <v>0.3</v>
      </c>
      <c r="J41" t="s">
        <v>505</v>
      </c>
      <c r="K41">
        <v>0</v>
      </c>
      <c r="L41">
        <v>0</v>
      </c>
      <c r="M41">
        <v>11.65</v>
      </c>
      <c r="N41">
        <v>31.39</v>
      </c>
      <c r="O41">
        <v>35</v>
      </c>
      <c r="P41">
        <v>64</v>
      </c>
      <c r="Q41" s="249">
        <f t="shared" si="0"/>
        <v>0.85000000000002274</v>
      </c>
      <c r="R41">
        <v>0</v>
      </c>
      <c r="S41">
        <v>0</v>
      </c>
      <c r="T41">
        <v>0</v>
      </c>
      <c r="U41">
        <v>0</v>
      </c>
      <c r="V41" s="244">
        <v>474370388404</v>
      </c>
      <c r="W41" s="244">
        <v>7473936844869</v>
      </c>
      <c r="X41" s="244">
        <v>474392171281</v>
      </c>
      <c r="Y41" t="s">
        <v>893</v>
      </c>
      <c r="Z41">
        <v>2.15</v>
      </c>
    </row>
    <row r="42" spans="1:26" x14ac:dyDescent="0.2">
      <c r="A42" t="s">
        <v>550</v>
      </c>
      <c r="B42" t="s">
        <v>551</v>
      </c>
      <c r="C42">
        <v>50</v>
      </c>
      <c r="D42">
        <v>506.04599999999999</v>
      </c>
      <c r="E42">
        <v>505.52100000000002</v>
      </c>
      <c r="F42">
        <v>504.99599999999998</v>
      </c>
      <c r="G42">
        <v>504.471</v>
      </c>
      <c r="H42">
        <v>150</v>
      </c>
      <c r="I42">
        <v>1.05</v>
      </c>
      <c r="J42" t="s">
        <v>505</v>
      </c>
      <c r="K42">
        <v>1.44</v>
      </c>
      <c r="L42">
        <v>3.87</v>
      </c>
      <c r="M42">
        <v>1.44</v>
      </c>
      <c r="N42">
        <v>3.87</v>
      </c>
      <c r="O42">
        <v>18</v>
      </c>
      <c r="P42">
        <v>29</v>
      </c>
      <c r="Q42" s="249">
        <f t="shared" si="0"/>
        <v>1.0500000000000114</v>
      </c>
      <c r="R42">
        <v>0</v>
      </c>
      <c r="S42">
        <v>0</v>
      </c>
      <c r="T42">
        <v>0</v>
      </c>
      <c r="U42">
        <v>0</v>
      </c>
      <c r="V42" s="244">
        <v>470125484814</v>
      </c>
      <c r="W42" s="244">
        <v>7475674169459</v>
      </c>
      <c r="X42" s="244">
        <v>470168818579</v>
      </c>
      <c r="Y42" t="s">
        <v>894</v>
      </c>
      <c r="Z42">
        <v>2.66</v>
      </c>
    </row>
    <row r="43" spans="1:26" x14ac:dyDescent="0.2">
      <c r="A43" t="s">
        <v>551</v>
      </c>
      <c r="B43" t="s">
        <v>552</v>
      </c>
      <c r="C43">
        <v>60</v>
      </c>
      <c r="D43">
        <v>505.52100000000002</v>
      </c>
      <c r="E43">
        <v>505</v>
      </c>
      <c r="F43">
        <v>504.471</v>
      </c>
      <c r="G43">
        <v>503.95</v>
      </c>
      <c r="H43">
        <v>150</v>
      </c>
      <c r="I43">
        <v>0.86799999999999999</v>
      </c>
      <c r="J43" t="s">
        <v>505</v>
      </c>
      <c r="K43">
        <v>0</v>
      </c>
      <c r="L43">
        <v>0</v>
      </c>
      <c r="M43">
        <v>1.44</v>
      </c>
      <c r="N43">
        <v>3.87</v>
      </c>
      <c r="O43">
        <v>19</v>
      </c>
      <c r="P43">
        <v>31</v>
      </c>
      <c r="Q43" s="249">
        <f t="shared" si="0"/>
        <v>1.0500000000000114</v>
      </c>
      <c r="R43">
        <v>0</v>
      </c>
      <c r="S43">
        <v>0</v>
      </c>
      <c r="T43">
        <v>0</v>
      </c>
      <c r="U43">
        <v>0</v>
      </c>
      <c r="V43" s="244">
        <v>470168818579</v>
      </c>
      <c r="W43" s="244">
        <v>7475699113091</v>
      </c>
      <c r="X43" s="244">
        <v>470227476085</v>
      </c>
      <c r="Y43" t="s">
        <v>895</v>
      </c>
      <c r="Z43">
        <v>2.29</v>
      </c>
    </row>
    <row r="44" spans="1:26" x14ac:dyDescent="0.2">
      <c r="A44" t="s">
        <v>552</v>
      </c>
      <c r="B44" t="s">
        <v>553</v>
      </c>
      <c r="C44">
        <v>80</v>
      </c>
      <c r="D44">
        <v>505</v>
      </c>
      <c r="E44">
        <v>504.59100000000001</v>
      </c>
      <c r="F44">
        <v>503.95</v>
      </c>
      <c r="G44">
        <v>503.53500000000003</v>
      </c>
      <c r="H44">
        <v>150</v>
      </c>
      <c r="I44">
        <v>0.51800000000000002</v>
      </c>
      <c r="J44" t="s">
        <v>505</v>
      </c>
      <c r="K44">
        <v>0</v>
      </c>
      <c r="L44">
        <v>0</v>
      </c>
      <c r="M44">
        <v>1.44</v>
      </c>
      <c r="N44">
        <v>3.87</v>
      </c>
      <c r="O44">
        <v>21</v>
      </c>
      <c r="P44">
        <v>35</v>
      </c>
      <c r="Q44" s="249">
        <f t="shared" si="0"/>
        <v>1.0500000000000114</v>
      </c>
      <c r="R44">
        <v>0</v>
      </c>
      <c r="S44">
        <v>0</v>
      </c>
      <c r="T44">
        <v>0</v>
      </c>
      <c r="U44">
        <v>0</v>
      </c>
      <c r="V44" s="244">
        <v>470227476085</v>
      </c>
      <c r="W44" s="244">
        <v>7475711734384</v>
      </c>
      <c r="X44" s="244">
        <v>470307465707</v>
      </c>
      <c r="Y44" t="s">
        <v>896</v>
      </c>
      <c r="Z44">
        <v>1.52</v>
      </c>
    </row>
    <row r="45" spans="1:26" x14ac:dyDescent="0.2">
      <c r="A45" t="s">
        <v>553</v>
      </c>
      <c r="B45" t="s">
        <v>554</v>
      </c>
      <c r="C45">
        <v>43</v>
      </c>
      <c r="D45">
        <v>504.59100000000001</v>
      </c>
      <c r="E45">
        <v>504.25599999999997</v>
      </c>
      <c r="F45">
        <v>503.53500000000003</v>
      </c>
      <c r="G45">
        <v>503.20600000000002</v>
      </c>
      <c r="H45">
        <v>150</v>
      </c>
      <c r="I45">
        <v>0.76600000000000001</v>
      </c>
      <c r="J45" t="s">
        <v>505</v>
      </c>
      <c r="K45">
        <v>0</v>
      </c>
      <c r="L45">
        <v>0</v>
      </c>
      <c r="M45">
        <v>1.44</v>
      </c>
      <c r="N45">
        <v>3.87</v>
      </c>
      <c r="O45">
        <v>19</v>
      </c>
      <c r="P45">
        <v>32</v>
      </c>
      <c r="Q45" s="249">
        <f t="shared" si="0"/>
        <v>1.0559999999999832</v>
      </c>
      <c r="R45">
        <v>0</v>
      </c>
      <c r="S45">
        <v>0</v>
      </c>
      <c r="T45">
        <v>0</v>
      </c>
      <c r="U45">
        <v>0</v>
      </c>
      <c r="V45" s="244">
        <v>470307465707</v>
      </c>
      <c r="W45" s="244">
        <v>7475713022949</v>
      </c>
      <c r="X45" s="244">
        <v>470350446519</v>
      </c>
      <c r="Y45" t="s">
        <v>897</v>
      </c>
      <c r="Z45">
        <v>2.0699999999999998</v>
      </c>
    </row>
    <row r="46" spans="1:26" x14ac:dyDescent="0.2">
      <c r="A46" t="s">
        <v>554</v>
      </c>
      <c r="B46" t="s">
        <v>555</v>
      </c>
      <c r="C46">
        <v>80</v>
      </c>
      <c r="D46">
        <v>504.25599999999997</v>
      </c>
      <c r="E46">
        <v>504.07799999999997</v>
      </c>
      <c r="F46">
        <v>503.20600000000002</v>
      </c>
      <c r="G46">
        <v>502.99</v>
      </c>
      <c r="H46">
        <v>150</v>
      </c>
      <c r="I46">
        <v>0.27</v>
      </c>
      <c r="J46" t="s">
        <v>505</v>
      </c>
      <c r="K46">
        <v>0</v>
      </c>
      <c r="L46">
        <v>0</v>
      </c>
      <c r="M46">
        <v>1.44</v>
      </c>
      <c r="N46">
        <v>3.87</v>
      </c>
      <c r="O46">
        <v>25</v>
      </c>
      <c r="P46">
        <v>42</v>
      </c>
      <c r="Q46" s="249">
        <f t="shared" si="0"/>
        <v>1.0499999999999545</v>
      </c>
      <c r="R46">
        <v>0</v>
      </c>
      <c r="S46">
        <v>0</v>
      </c>
      <c r="T46">
        <v>0</v>
      </c>
      <c r="U46">
        <v>0</v>
      </c>
      <c r="V46" s="244">
        <v>470350446519</v>
      </c>
      <c r="W46" s="244">
        <v>7475711738515</v>
      </c>
      <c r="X46" s="244">
        <v>470426484506</v>
      </c>
      <c r="Y46" t="s">
        <v>898</v>
      </c>
      <c r="Z46">
        <v>0.91</v>
      </c>
    </row>
    <row r="47" spans="1:26" x14ac:dyDescent="0.2">
      <c r="A47" t="s">
        <v>555</v>
      </c>
      <c r="B47" t="s">
        <v>556</v>
      </c>
      <c r="C47">
        <v>80</v>
      </c>
      <c r="D47">
        <v>504.07799999999997</v>
      </c>
      <c r="E47">
        <v>503.98200000000003</v>
      </c>
      <c r="F47">
        <v>502.99</v>
      </c>
      <c r="G47">
        <v>502.774</v>
      </c>
      <c r="H47">
        <v>150</v>
      </c>
      <c r="I47">
        <v>0.27</v>
      </c>
      <c r="J47" t="s">
        <v>505</v>
      </c>
      <c r="K47">
        <v>0</v>
      </c>
      <c r="L47">
        <v>0</v>
      </c>
      <c r="M47">
        <v>1.44</v>
      </c>
      <c r="N47">
        <v>3.87</v>
      </c>
      <c r="O47">
        <v>25</v>
      </c>
      <c r="P47">
        <v>42</v>
      </c>
      <c r="Q47" s="249">
        <f t="shared" si="0"/>
        <v>1.0879999999999654</v>
      </c>
      <c r="R47">
        <v>0</v>
      </c>
      <c r="S47">
        <v>0</v>
      </c>
      <c r="T47">
        <v>0</v>
      </c>
      <c r="U47">
        <v>0</v>
      </c>
      <c r="V47" s="244">
        <v>470426484506</v>
      </c>
      <c r="W47" s="244">
        <v>7475686874394</v>
      </c>
      <c r="X47" s="244">
        <v>470504996675</v>
      </c>
      <c r="Y47" t="s">
        <v>899</v>
      </c>
      <c r="Z47">
        <v>0.91</v>
      </c>
    </row>
    <row r="48" spans="1:26" x14ac:dyDescent="0.2">
      <c r="A48" t="s">
        <v>556</v>
      </c>
      <c r="B48" t="s">
        <v>557</v>
      </c>
      <c r="C48">
        <v>75</v>
      </c>
      <c r="D48">
        <v>503.98200000000003</v>
      </c>
      <c r="E48">
        <v>503.887</v>
      </c>
      <c r="F48">
        <v>502.774</v>
      </c>
      <c r="G48">
        <v>502.57100000000003</v>
      </c>
      <c r="H48">
        <v>150</v>
      </c>
      <c r="I48">
        <v>0.27</v>
      </c>
      <c r="J48" t="s">
        <v>505</v>
      </c>
      <c r="K48">
        <v>0</v>
      </c>
      <c r="L48">
        <v>0</v>
      </c>
      <c r="M48">
        <v>1.44</v>
      </c>
      <c r="N48">
        <v>3.87</v>
      </c>
      <c r="O48">
        <v>25</v>
      </c>
      <c r="P48">
        <v>42</v>
      </c>
      <c r="Q48" s="249">
        <f t="shared" si="0"/>
        <v>1.2080000000000268</v>
      </c>
      <c r="R48">
        <v>0</v>
      </c>
      <c r="S48">
        <v>0</v>
      </c>
      <c r="T48">
        <v>0</v>
      </c>
      <c r="U48">
        <v>0</v>
      </c>
      <c r="V48" s="244">
        <v>470504996675</v>
      </c>
      <c r="W48" s="244">
        <v>7475671517333</v>
      </c>
      <c r="X48" s="244">
        <v>47057952772</v>
      </c>
      <c r="Y48" t="s">
        <v>900</v>
      </c>
      <c r="Z48">
        <v>0.91</v>
      </c>
    </row>
    <row r="49" spans="1:26" x14ac:dyDescent="0.2">
      <c r="A49" t="s">
        <v>557</v>
      </c>
      <c r="B49" t="s">
        <v>558</v>
      </c>
      <c r="C49">
        <v>80</v>
      </c>
      <c r="D49">
        <v>503.887</v>
      </c>
      <c r="E49">
        <v>503.93900000000002</v>
      </c>
      <c r="F49">
        <v>502.57100000000003</v>
      </c>
      <c r="G49">
        <v>502.35500000000002</v>
      </c>
      <c r="H49">
        <v>150</v>
      </c>
      <c r="I49">
        <v>0.27</v>
      </c>
      <c r="J49" t="s">
        <v>505</v>
      </c>
      <c r="K49">
        <v>0</v>
      </c>
      <c r="L49">
        <v>0</v>
      </c>
      <c r="M49">
        <v>1.44</v>
      </c>
      <c r="N49">
        <v>3.87</v>
      </c>
      <c r="O49">
        <v>25</v>
      </c>
      <c r="P49">
        <v>42</v>
      </c>
      <c r="Q49" s="249">
        <f t="shared" si="0"/>
        <v>1.3159999999999741</v>
      </c>
      <c r="R49">
        <v>0</v>
      </c>
      <c r="S49">
        <v>0</v>
      </c>
      <c r="T49">
        <v>0</v>
      </c>
      <c r="U49">
        <v>0</v>
      </c>
      <c r="V49" s="244">
        <v>47057952772</v>
      </c>
      <c r="W49" s="244">
        <v>7475663143363</v>
      </c>
      <c r="X49" s="244">
        <v>470657118163</v>
      </c>
      <c r="Y49" t="s">
        <v>901</v>
      </c>
      <c r="Z49">
        <v>0.91</v>
      </c>
    </row>
    <row r="50" spans="1:26" x14ac:dyDescent="0.2">
      <c r="A50" t="s">
        <v>558</v>
      </c>
      <c r="B50" t="s">
        <v>559</v>
      </c>
      <c r="C50">
        <v>80</v>
      </c>
      <c r="D50">
        <v>503.93900000000002</v>
      </c>
      <c r="E50">
        <v>503.50299999999999</v>
      </c>
      <c r="F50">
        <v>502.35500000000002</v>
      </c>
      <c r="G50">
        <v>502.13900000000001</v>
      </c>
      <c r="H50">
        <v>150</v>
      </c>
      <c r="I50">
        <v>0.27</v>
      </c>
      <c r="J50" t="s">
        <v>505</v>
      </c>
      <c r="K50">
        <v>0</v>
      </c>
      <c r="L50">
        <v>0</v>
      </c>
      <c r="M50">
        <v>1.44</v>
      </c>
      <c r="N50">
        <v>3.87</v>
      </c>
      <c r="O50">
        <v>25</v>
      </c>
      <c r="P50">
        <v>42</v>
      </c>
      <c r="Q50" s="249">
        <f t="shared" si="0"/>
        <v>1.5840000000000032</v>
      </c>
      <c r="R50">
        <v>0</v>
      </c>
      <c r="S50">
        <v>0</v>
      </c>
      <c r="T50">
        <v>0</v>
      </c>
      <c r="U50">
        <v>0</v>
      </c>
      <c r="V50" s="244">
        <v>470657118163</v>
      </c>
      <c r="W50" s="244">
        <v>7475682629847</v>
      </c>
      <c r="X50" s="244">
        <v>470734734321</v>
      </c>
      <c r="Y50" t="s">
        <v>902</v>
      </c>
      <c r="Z50">
        <v>0.91</v>
      </c>
    </row>
    <row r="51" spans="1:26" x14ac:dyDescent="0.2">
      <c r="A51" t="s">
        <v>559</v>
      </c>
      <c r="B51" t="s">
        <v>560</v>
      </c>
      <c r="C51">
        <v>64</v>
      </c>
      <c r="D51">
        <v>503.50299999999999</v>
      </c>
      <c r="E51">
        <v>503.601</v>
      </c>
      <c r="F51">
        <v>502.13900000000001</v>
      </c>
      <c r="G51">
        <v>501.96699999999998</v>
      </c>
      <c r="H51">
        <v>150</v>
      </c>
      <c r="I51">
        <v>0.27</v>
      </c>
      <c r="J51" t="s">
        <v>505</v>
      </c>
      <c r="K51">
        <v>0</v>
      </c>
      <c r="L51">
        <v>0</v>
      </c>
      <c r="M51">
        <v>1.44</v>
      </c>
      <c r="N51">
        <v>3.87</v>
      </c>
      <c r="O51">
        <v>25</v>
      </c>
      <c r="P51">
        <v>42</v>
      </c>
      <c r="Q51" s="249">
        <f t="shared" si="0"/>
        <v>1.3639999999999759</v>
      </c>
      <c r="R51">
        <v>0</v>
      </c>
      <c r="S51">
        <v>0</v>
      </c>
      <c r="T51">
        <v>0</v>
      </c>
      <c r="U51">
        <v>0</v>
      </c>
      <c r="V51" s="244">
        <v>470734734321</v>
      </c>
      <c r="W51" s="244">
        <v>7475702013656</v>
      </c>
      <c r="X51" s="244">
        <v>470797662745</v>
      </c>
      <c r="Y51" t="s">
        <v>903</v>
      </c>
      <c r="Z51">
        <v>0.91</v>
      </c>
    </row>
    <row r="52" spans="1:26" x14ac:dyDescent="0.2">
      <c r="A52" t="s">
        <v>560</v>
      </c>
      <c r="B52" t="s">
        <v>561</v>
      </c>
      <c r="C52">
        <v>80</v>
      </c>
      <c r="D52">
        <v>503.601</v>
      </c>
      <c r="E52">
        <v>503.49700000000001</v>
      </c>
      <c r="F52">
        <v>501.96699999999998</v>
      </c>
      <c r="G52">
        <v>501.75099999999998</v>
      </c>
      <c r="H52">
        <v>150</v>
      </c>
      <c r="I52">
        <v>0.27</v>
      </c>
      <c r="J52" t="s">
        <v>505</v>
      </c>
      <c r="K52">
        <v>0</v>
      </c>
      <c r="L52">
        <v>0</v>
      </c>
      <c r="M52">
        <v>1.44</v>
      </c>
      <c r="N52">
        <v>3.87</v>
      </c>
      <c r="O52">
        <v>25</v>
      </c>
      <c r="P52">
        <v>42</v>
      </c>
      <c r="Q52" s="249">
        <f t="shared" si="0"/>
        <v>1.6340000000000146</v>
      </c>
      <c r="R52">
        <v>0</v>
      </c>
      <c r="S52">
        <v>0</v>
      </c>
      <c r="T52">
        <v>0</v>
      </c>
      <c r="U52">
        <v>0</v>
      </c>
      <c r="V52" s="244">
        <v>470797662745</v>
      </c>
      <c r="W52" s="244">
        <v>7475713676138</v>
      </c>
      <c r="X52" s="244">
        <v>470877599532</v>
      </c>
      <c r="Y52" t="s">
        <v>904</v>
      </c>
      <c r="Z52">
        <v>0.91</v>
      </c>
    </row>
    <row r="53" spans="1:26" x14ac:dyDescent="0.2">
      <c r="A53" t="s">
        <v>561</v>
      </c>
      <c r="B53" t="s">
        <v>562</v>
      </c>
      <c r="C53">
        <v>80</v>
      </c>
      <c r="D53">
        <v>503.49700000000001</v>
      </c>
      <c r="E53">
        <v>503.66399999999999</v>
      </c>
      <c r="F53">
        <v>501.75099999999998</v>
      </c>
      <c r="G53">
        <v>501.53500000000003</v>
      </c>
      <c r="H53">
        <v>150</v>
      </c>
      <c r="I53">
        <v>0.27</v>
      </c>
      <c r="J53" t="s">
        <v>505</v>
      </c>
      <c r="K53">
        <v>0</v>
      </c>
      <c r="L53">
        <v>0</v>
      </c>
      <c r="M53">
        <v>1.44</v>
      </c>
      <c r="N53">
        <v>3.87</v>
      </c>
      <c r="O53">
        <v>25</v>
      </c>
      <c r="P53">
        <v>42</v>
      </c>
      <c r="Q53" s="249">
        <f t="shared" si="0"/>
        <v>1.7460000000000377</v>
      </c>
      <c r="R53">
        <v>0</v>
      </c>
      <c r="S53">
        <v>0</v>
      </c>
      <c r="T53">
        <v>0</v>
      </c>
      <c r="U53">
        <v>0</v>
      </c>
      <c r="V53" s="244">
        <v>470877599532</v>
      </c>
      <c r="W53" s="244">
        <v>7475716855774</v>
      </c>
      <c r="X53" s="244">
        <v>470957568232</v>
      </c>
      <c r="Y53" t="s">
        <v>905</v>
      </c>
      <c r="Z53">
        <v>0.91</v>
      </c>
    </row>
    <row r="54" spans="1:26" x14ac:dyDescent="0.2">
      <c r="A54" t="s">
        <v>562</v>
      </c>
      <c r="B54" t="s">
        <v>563</v>
      </c>
      <c r="C54">
        <v>80</v>
      </c>
      <c r="D54">
        <v>503.66399999999999</v>
      </c>
      <c r="E54">
        <v>503.63600000000002</v>
      </c>
      <c r="F54">
        <v>501.53500000000003</v>
      </c>
      <c r="G54">
        <v>501.31900000000002</v>
      </c>
      <c r="H54">
        <v>150</v>
      </c>
      <c r="I54">
        <v>0.27</v>
      </c>
      <c r="J54" t="s">
        <v>505</v>
      </c>
      <c r="K54">
        <v>0</v>
      </c>
      <c r="L54">
        <v>0</v>
      </c>
      <c r="M54">
        <v>1.44</v>
      </c>
      <c r="N54">
        <v>3.87</v>
      </c>
      <c r="O54">
        <v>25</v>
      </c>
      <c r="P54">
        <v>42</v>
      </c>
      <c r="Q54" s="249">
        <f t="shared" si="0"/>
        <v>2.1289999999999623</v>
      </c>
      <c r="R54">
        <v>0</v>
      </c>
      <c r="S54">
        <v>0</v>
      </c>
      <c r="T54">
        <v>0</v>
      </c>
      <c r="U54">
        <v>0</v>
      </c>
      <c r="V54" s="244">
        <v>470957568232</v>
      </c>
      <c r="W54" s="244">
        <v>7475719093386</v>
      </c>
      <c r="X54" s="244">
        <v>471037551568</v>
      </c>
      <c r="Y54" t="s">
        <v>906</v>
      </c>
      <c r="Z54">
        <v>0.91</v>
      </c>
    </row>
    <row r="55" spans="1:26" x14ac:dyDescent="0.2">
      <c r="A55" t="s">
        <v>563</v>
      </c>
      <c r="B55" t="s">
        <v>564</v>
      </c>
      <c r="C55">
        <v>80</v>
      </c>
      <c r="D55">
        <v>503.63600000000002</v>
      </c>
      <c r="E55">
        <v>503.56900000000002</v>
      </c>
      <c r="F55">
        <v>501.31900000000002</v>
      </c>
      <c r="G55">
        <v>501.10300000000001</v>
      </c>
      <c r="H55">
        <v>150</v>
      </c>
      <c r="I55">
        <v>0.27</v>
      </c>
      <c r="J55" t="s">
        <v>505</v>
      </c>
      <c r="K55">
        <v>0</v>
      </c>
      <c r="L55">
        <v>0</v>
      </c>
      <c r="M55">
        <v>1.44</v>
      </c>
      <c r="N55">
        <v>3.87</v>
      </c>
      <c r="O55">
        <v>25</v>
      </c>
      <c r="P55">
        <v>42</v>
      </c>
      <c r="Q55" s="249">
        <f t="shared" si="0"/>
        <v>2.3170000000000073</v>
      </c>
      <c r="R55">
        <v>0</v>
      </c>
      <c r="S55">
        <v>0</v>
      </c>
      <c r="T55">
        <v>0</v>
      </c>
      <c r="U55">
        <v>0</v>
      </c>
      <c r="V55" s="244">
        <v>471037551568</v>
      </c>
      <c r="W55" s="244">
        <v>7475720726176</v>
      </c>
      <c r="X55" s="244">
        <v>471117549586</v>
      </c>
      <c r="Y55" t="s">
        <v>907</v>
      </c>
      <c r="Z55">
        <v>0.91</v>
      </c>
    </row>
    <row r="56" spans="1:26" x14ac:dyDescent="0.2">
      <c r="A56" t="s">
        <v>564</v>
      </c>
      <c r="B56" t="s">
        <v>565</v>
      </c>
      <c r="C56">
        <v>80</v>
      </c>
      <c r="D56">
        <v>503.56900000000002</v>
      </c>
      <c r="E56">
        <v>503.45</v>
      </c>
      <c r="F56">
        <v>501.10300000000001</v>
      </c>
      <c r="G56">
        <v>500.887</v>
      </c>
      <c r="H56">
        <v>150</v>
      </c>
      <c r="I56">
        <v>0.27</v>
      </c>
      <c r="J56" t="s">
        <v>505</v>
      </c>
      <c r="K56">
        <v>0</v>
      </c>
      <c r="L56">
        <v>0</v>
      </c>
      <c r="M56">
        <v>1.44</v>
      </c>
      <c r="N56">
        <v>3.87</v>
      </c>
      <c r="O56">
        <v>25</v>
      </c>
      <c r="P56">
        <v>42</v>
      </c>
      <c r="Q56" s="249">
        <f t="shared" si="0"/>
        <v>2.4660000000000082</v>
      </c>
      <c r="R56">
        <v>0</v>
      </c>
      <c r="S56">
        <v>0</v>
      </c>
      <c r="T56">
        <v>0</v>
      </c>
      <c r="U56">
        <v>0</v>
      </c>
      <c r="V56" s="244">
        <v>471117549586</v>
      </c>
      <c r="W56" s="244">
        <v>7475721289354</v>
      </c>
      <c r="X56" s="244">
        <v>471197538592</v>
      </c>
      <c r="Y56" t="s">
        <v>908</v>
      </c>
      <c r="Z56">
        <v>0.91</v>
      </c>
    </row>
    <row r="57" spans="1:26" x14ac:dyDescent="0.2">
      <c r="A57" t="s">
        <v>565</v>
      </c>
      <c r="B57" t="s">
        <v>566</v>
      </c>
      <c r="C57">
        <v>80</v>
      </c>
      <c r="D57">
        <v>503.45</v>
      </c>
      <c r="E57">
        <v>503.00799999999998</v>
      </c>
      <c r="F57">
        <v>500.887</v>
      </c>
      <c r="G57">
        <v>500.67099999999999</v>
      </c>
      <c r="H57">
        <v>150</v>
      </c>
      <c r="I57">
        <v>0.27</v>
      </c>
      <c r="J57" t="s">
        <v>505</v>
      </c>
      <c r="K57">
        <v>0</v>
      </c>
      <c r="L57">
        <v>0</v>
      </c>
      <c r="M57">
        <v>1.44</v>
      </c>
      <c r="N57">
        <v>3.87</v>
      </c>
      <c r="O57">
        <v>25</v>
      </c>
      <c r="P57">
        <v>42</v>
      </c>
      <c r="Q57" s="249">
        <f t="shared" si="0"/>
        <v>2.5629999999999882</v>
      </c>
      <c r="R57">
        <v>0</v>
      </c>
      <c r="S57">
        <v>0</v>
      </c>
      <c r="T57">
        <v>0</v>
      </c>
      <c r="U57">
        <v>0</v>
      </c>
      <c r="V57" s="244">
        <v>471197538592</v>
      </c>
      <c r="W57" s="244">
        <v>747571996314</v>
      </c>
      <c r="X57" s="244">
        <v>471277531602</v>
      </c>
      <c r="Y57" t="s">
        <v>909</v>
      </c>
      <c r="Z57">
        <v>0.91</v>
      </c>
    </row>
    <row r="58" spans="1:26" x14ac:dyDescent="0.2">
      <c r="A58" t="s">
        <v>566</v>
      </c>
      <c r="B58" t="s">
        <v>567</v>
      </c>
      <c r="C58">
        <v>80</v>
      </c>
      <c r="D58">
        <v>503.00799999999998</v>
      </c>
      <c r="E58">
        <v>502.18099999999998</v>
      </c>
      <c r="F58">
        <v>500.67099999999999</v>
      </c>
      <c r="G58">
        <v>500.45499999999998</v>
      </c>
      <c r="H58">
        <v>150</v>
      </c>
      <c r="I58">
        <v>0.27</v>
      </c>
      <c r="J58" t="s">
        <v>505</v>
      </c>
      <c r="K58">
        <v>0</v>
      </c>
      <c r="L58">
        <v>0</v>
      </c>
      <c r="M58">
        <v>1.44</v>
      </c>
      <c r="N58">
        <v>3.87</v>
      </c>
      <c r="O58">
        <v>25</v>
      </c>
      <c r="P58">
        <v>42</v>
      </c>
      <c r="Q58" s="249">
        <f t="shared" si="0"/>
        <v>2.3369999999999891</v>
      </c>
      <c r="R58">
        <v>0</v>
      </c>
      <c r="S58">
        <v>0</v>
      </c>
      <c r="T58">
        <v>0</v>
      </c>
      <c r="U58">
        <v>0</v>
      </c>
      <c r="V58" s="244">
        <v>471277531602</v>
      </c>
      <c r="W58" s="244">
        <v>7475718905615</v>
      </c>
      <c r="X58" s="244">
        <v>471357521108</v>
      </c>
      <c r="Y58" t="s">
        <v>910</v>
      </c>
      <c r="Z58">
        <v>0.91</v>
      </c>
    </row>
    <row r="59" spans="1:26" x14ac:dyDescent="0.2">
      <c r="A59" t="s">
        <v>567</v>
      </c>
      <c r="B59" t="s">
        <v>568</v>
      </c>
      <c r="C59">
        <v>80</v>
      </c>
      <c r="D59">
        <v>502.18099999999998</v>
      </c>
      <c r="E59">
        <v>501.64</v>
      </c>
      <c r="F59">
        <v>500.45499999999998</v>
      </c>
      <c r="G59">
        <v>500.23899999999998</v>
      </c>
      <c r="H59">
        <v>150</v>
      </c>
      <c r="I59">
        <v>0.27</v>
      </c>
      <c r="J59" t="s">
        <v>505</v>
      </c>
      <c r="K59">
        <v>0</v>
      </c>
      <c r="L59">
        <v>0</v>
      </c>
      <c r="M59">
        <v>1.44</v>
      </c>
      <c r="N59">
        <v>3.87</v>
      </c>
      <c r="O59">
        <v>25</v>
      </c>
      <c r="P59">
        <v>42</v>
      </c>
      <c r="Q59" s="249">
        <f t="shared" si="0"/>
        <v>1.7259999999999991</v>
      </c>
      <c r="R59">
        <v>0</v>
      </c>
      <c r="S59">
        <v>0</v>
      </c>
      <c r="T59">
        <v>0</v>
      </c>
      <c r="U59">
        <v>0</v>
      </c>
      <c r="V59" s="244">
        <v>471357521108</v>
      </c>
      <c r="W59" s="244">
        <v>7475717609881</v>
      </c>
      <c r="X59" s="244">
        <v>471437504327</v>
      </c>
      <c r="Y59" t="s">
        <v>911</v>
      </c>
      <c r="Z59">
        <v>0.91</v>
      </c>
    </row>
    <row r="60" spans="1:26" x14ac:dyDescent="0.2">
      <c r="A60" t="s">
        <v>568</v>
      </c>
      <c r="B60" t="s">
        <v>569</v>
      </c>
      <c r="C60">
        <v>80</v>
      </c>
      <c r="D60">
        <v>501.64</v>
      </c>
      <c r="E60">
        <v>501.49099999999999</v>
      </c>
      <c r="F60">
        <v>500.23899999999998</v>
      </c>
      <c r="G60">
        <v>500.02300000000002</v>
      </c>
      <c r="H60">
        <v>150</v>
      </c>
      <c r="I60">
        <v>0.27</v>
      </c>
      <c r="J60" t="s">
        <v>505</v>
      </c>
      <c r="K60">
        <v>0</v>
      </c>
      <c r="L60">
        <v>0</v>
      </c>
      <c r="M60">
        <v>1.44</v>
      </c>
      <c r="N60">
        <v>3.87</v>
      </c>
      <c r="O60">
        <v>25</v>
      </c>
      <c r="P60">
        <v>42</v>
      </c>
      <c r="Q60" s="249">
        <f t="shared" si="0"/>
        <v>1.4010000000000105</v>
      </c>
      <c r="R60">
        <v>0</v>
      </c>
      <c r="S60">
        <v>0</v>
      </c>
      <c r="T60">
        <v>0</v>
      </c>
      <c r="U60">
        <v>0</v>
      </c>
      <c r="V60" s="244">
        <v>471437504327</v>
      </c>
      <c r="W60" s="244">
        <v>747571597139</v>
      </c>
      <c r="X60" s="244">
        <v>471517461183</v>
      </c>
      <c r="Y60" t="s">
        <v>912</v>
      </c>
      <c r="Z60">
        <v>0.91</v>
      </c>
    </row>
    <row r="61" spans="1:26" x14ac:dyDescent="0.2">
      <c r="A61" t="s">
        <v>569</v>
      </c>
      <c r="B61" t="s">
        <v>875</v>
      </c>
      <c r="C61">
        <v>9.48</v>
      </c>
      <c r="D61">
        <v>501.49099999999999</v>
      </c>
      <c r="E61">
        <v>501.416</v>
      </c>
      <c r="F61">
        <v>500.02300000000002</v>
      </c>
      <c r="G61">
        <v>499.99700000000001</v>
      </c>
      <c r="H61">
        <v>150</v>
      </c>
      <c r="I61">
        <v>0.27</v>
      </c>
      <c r="J61" t="s">
        <v>505</v>
      </c>
      <c r="K61">
        <v>0</v>
      </c>
      <c r="L61">
        <v>0</v>
      </c>
      <c r="M61">
        <v>1.44</v>
      </c>
      <c r="N61">
        <v>3.87</v>
      </c>
      <c r="O61">
        <v>25</v>
      </c>
      <c r="P61">
        <v>42</v>
      </c>
      <c r="Q61" s="249">
        <f t="shared" si="0"/>
        <v>1.4679999999999609</v>
      </c>
      <c r="R61">
        <v>0</v>
      </c>
      <c r="S61">
        <v>0</v>
      </c>
      <c r="T61">
        <v>0</v>
      </c>
      <c r="U61">
        <v>0</v>
      </c>
      <c r="V61" s="244">
        <v>471517461183</v>
      </c>
      <c r="W61" s="244">
        <v>7475713344354</v>
      </c>
      <c r="X61" s="244">
        <v>471526345792</v>
      </c>
      <c r="Y61" t="s">
        <v>913</v>
      </c>
      <c r="Z61">
        <v>0.91</v>
      </c>
    </row>
    <row r="64" spans="1:26" x14ac:dyDescent="0.2">
      <c r="A64" s="781" t="s">
        <v>572</v>
      </c>
      <c r="B64" s="781"/>
      <c r="C64" s="781"/>
      <c r="D64" s="352" t="s">
        <v>573</v>
      </c>
    </row>
    <row r="65" spans="1:17" x14ac:dyDescent="0.2">
      <c r="A65" s="352"/>
      <c r="B65" s="352"/>
      <c r="C65" s="246" t="s">
        <v>574</v>
      </c>
      <c r="D65" s="246">
        <f>COUNTIFS(Q1:Q61,"&lt;0")</f>
        <v>8</v>
      </c>
    </row>
    <row r="66" spans="1:17" x14ac:dyDescent="0.2">
      <c r="C66" s="246">
        <v>0.6</v>
      </c>
      <c r="D66" s="250">
        <f>COUNTIFS(Q1:Q61,"&gt;0",Q1:Q61,"&lt;=0,60")</f>
        <v>6</v>
      </c>
      <c r="Q66"/>
    </row>
    <row r="67" spans="1:17" x14ac:dyDescent="0.2">
      <c r="C67" s="246">
        <v>0.8</v>
      </c>
      <c r="D67" s="250">
        <f>COUNTIFS(Q1:Q61,"&gt;0,6",Q1:Q61,"&lt;=0,80")</f>
        <v>2</v>
      </c>
      <c r="Q67"/>
    </row>
    <row r="68" spans="1:17" x14ac:dyDescent="0.2">
      <c r="C68" s="246">
        <v>1</v>
      </c>
      <c r="D68" s="250">
        <f>COUNTIFS(Q1:Q61,"&gt;0,8",Q1:Q61,"&lt;=1")</f>
        <v>11</v>
      </c>
      <c r="Q68"/>
    </row>
    <row r="69" spans="1:17" x14ac:dyDescent="0.2">
      <c r="A69" s="352"/>
      <c r="B69" s="352"/>
      <c r="C69" s="246">
        <v>1.2</v>
      </c>
      <c r="D69" s="250">
        <f>COUNTIFS(Q1:Q61,"&gt;1",Q1:Q61,"&lt;=1,2")</f>
        <v>8</v>
      </c>
    </row>
    <row r="70" spans="1:17" x14ac:dyDescent="0.2">
      <c r="A70" s="352"/>
      <c r="B70" s="352"/>
      <c r="C70" s="246">
        <v>1.4</v>
      </c>
      <c r="D70" s="246">
        <f>COUNTIFS(Q1:Q61,"&gt;1,2",Q1:Q61,"&lt;=1,4")</f>
        <v>5</v>
      </c>
    </row>
    <row r="71" spans="1:17" x14ac:dyDescent="0.2">
      <c r="A71" s="352"/>
      <c r="B71" s="352"/>
      <c r="C71" s="246">
        <v>1.5</v>
      </c>
      <c r="D71" s="246">
        <f>COUNTIFS(Q1:Q61,"&gt;1,4",Q1:Q61,"&lt;=1,5")</f>
        <v>3</v>
      </c>
    </row>
    <row r="72" spans="1:17" x14ac:dyDescent="0.2">
      <c r="A72" s="352"/>
      <c r="B72" s="352"/>
      <c r="C72" s="246">
        <v>1.6</v>
      </c>
      <c r="D72" s="246">
        <f>COUNTIFS(Q1:Q61,"&gt;1,5",Q1:Q61,"&lt;=1,6")</f>
        <v>3</v>
      </c>
    </row>
    <row r="73" spans="1:17" x14ac:dyDescent="0.2">
      <c r="A73" s="352"/>
      <c r="B73" s="352"/>
      <c r="C73" s="246">
        <v>1.7</v>
      </c>
      <c r="D73" s="246">
        <f>COUNTIFS(Q1:Q61,"&gt;1,6",Q1:Q61,"&lt;=1,7")</f>
        <v>3</v>
      </c>
    </row>
    <row r="74" spans="1:17" x14ac:dyDescent="0.2">
      <c r="A74" s="352"/>
      <c r="B74" s="352"/>
      <c r="C74" s="246">
        <v>2</v>
      </c>
      <c r="D74" s="246">
        <f>COUNTIFS(Q1:Q61,"&gt;1,7",Q1:Q61,"&lt;=2")</f>
        <v>4</v>
      </c>
    </row>
    <row r="75" spans="1:17" x14ac:dyDescent="0.2">
      <c r="A75" s="352"/>
      <c r="B75" s="352"/>
      <c r="C75" s="246">
        <v>2.2999999999999998</v>
      </c>
      <c r="D75" s="246">
        <f>COUNTIFS(Q1:Q61,"&gt;2",Q1:Q61,"&lt;=2,3")</f>
        <v>2</v>
      </c>
    </row>
    <row r="76" spans="1:17" x14ac:dyDescent="0.2">
      <c r="A76" s="352"/>
      <c r="B76" s="352"/>
      <c r="C76" s="246">
        <v>2.6</v>
      </c>
      <c r="D76" s="246">
        <f>COUNTIFS(Q1:Q61,"&gt;2,3",Q1:Q61,"&lt;=2,6")</f>
        <v>6</v>
      </c>
    </row>
    <row r="77" spans="1:17" x14ac:dyDescent="0.2">
      <c r="A77" s="352"/>
      <c r="B77" s="352"/>
      <c r="C77" s="246">
        <v>2.9</v>
      </c>
      <c r="D77" s="246">
        <f>COUNTIFS(Q1:Q61,"&gt;2,6",Q1:Q61,"&lt;=2,9")</f>
        <v>0</v>
      </c>
    </row>
    <row r="78" spans="1:17" x14ac:dyDescent="0.2">
      <c r="A78" s="352"/>
      <c r="B78" s="352"/>
      <c r="C78" s="246">
        <v>3.2</v>
      </c>
      <c r="D78" s="246">
        <f>COUNTIFS(Q1:Q61,"&gt;2,9",Q1:Q61,"&lt;=3,2")</f>
        <v>0</v>
      </c>
    </row>
    <row r="79" spans="1:17" x14ac:dyDescent="0.2">
      <c r="A79" s="352"/>
      <c r="B79" s="352"/>
      <c r="C79" s="246">
        <v>3.5</v>
      </c>
      <c r="D79" s="246" t="e">
        <f>COUNTIFS(#REF!,"&gt;3,2",#REF!,"&lt;=3,5")</f>
        <v>#REF!</v>
      </c>
    </row>
    <row r="80" spans="1:17" x14ac:dyDescent="0.2">
      <c r="A80" s="352"/>
      <c r="B80" s="352"/>
      <c r="C80" s="246">
        <v>3.8</v>
      </c>
      <c r="D80" s="246" t="e">
        <f>COUNTIFS(#REF!,"&gt;3,5",#REF!,"&lt;=3,8")</f>
        <v>#REF!</v>
      </c>
    </row>
    <row r="81" spans="1:4" x14ac:dyDescent="0.2">
      <c r="A81" s="352"/>
      <c r="B81" s="352"/>
      <c r="C81" s="246">
        <v>4.0999999999999996</v>
      </c>
      <c r="D81" s="246" t="e">
        <f>COUNTIFS(#REF!,"&gt;3,8",#REF!,"&lt;=4,1")</f>
        <v>#REF!</v>
      </c>
    </row>
    <row r="82" spans="1:4" x14ac:dyDescent="0.2">
      <c r="A82" s="352"/>
      <c r="B82" s="352"/>
      <c r="C82" s="246">
        <v>4.4000000000000004</v>
      </c>
      <c r="D82" s="246" t="e">
        <f>COUNTIFS(#REF!,"&gt;4,1",#REF!,"&lt;=4,4")</f>
        <v>#REF!</v>
      </c>
    </row>
    <row r="83" spans="1:4" x14ac:dyDescent="0.2">
      <c r="A83" s="352"/>
      <c r="B83" s="352"/>
      <c r="C83" s="246">
        <v>4.7</v>
      </c>
      <c r="D83" s="246" t="e">
        <f>COUNTIFS(#REF!,"&gt;4,4",#REF!,"&lt;=4,7")</f>
        <v>#REF!</v>
      </c>
    </row>
    <row r="84" spans="1:4" x14ac:dyDescent="0.2">
      <c r="A84" s="352"/>
      <c r="B84" s="352"/>
      <c r="C84" s="246">
        <v>5</v>
      </c>
      <c r="D84" s="246" t="e">
        <f>COUNTIFS(#REF!,"&gt;4,7")</f>
        <v>#REF!</v>
      </c>
    </row>
    <row r="85" spans="1:4" ht="15" x14ac:dyDescent="0.25">
      <c r="A85" s="352"/>
      <c r="B85" s="352"/>
      <c r="C85" s="247" t="s">
        <v>503</v>
      </c>
      <c r="D85" s="247">
        <f>SUM(D65:D78)</f>
        <v>61</v>
      </c>
    </row>
  </sheetData>
  <mergeCells count="1">
    <mergeCell ref="A64:C64"/>
  </mergeCells>
  <pageMargins left="0.511811024" right="0.511811024" top="0.78740157499999996" bottom="0.78740157499999996" header="0.31496062000000002" footer="0.3149606200000000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3"/>
  <sheetViews>
    <sheetView view="pageBreakPreview" topLeftCell="A13" zoomScale="85" zoomScaleNormal="100" zoomScaleSheetLayoutView="85" workbookViewId="0">
      <selection activeCell="C36" sqref="C36"/>
    </sheetView>
  </sheetViews>
  <sheetFormatPr defaultRowHeight="14.25" x14ac:dyDescent="0.2"/>
  <cols>
    <col min="1" max="1" width="12.85546875" style="3" customWidth="1"/>
    <col min="2" max="2" width="43.7109375" style="3" customWidth="1"/>
    <col min="3" max="3" width="15.140625" style="3" customWidth="1"/>
    <col min="4" max="4" width="22.140625" style="37" customWidth="1"/>
    <col min="5" max="5" width="21" style="1" customWidth="1"/>
    <col min="6" max="6" width="5.85546875" style="1" customWidth="1"/>
    <col min="7" max="7" width="9.28515625" style="1" bestFit="1" customWidth="1"/>
    <col min="8" max="16384" width="9.140625" style="1"/>
  </cols>
  <sheetData>
    <row r="1" spans="1:16" ht="32.25" customHeight="1" thickBot="1" x14ac:dyDescent="0.25">
      <c r="A1" s="658" t="s">
        <v>285</v>
      </c>
      <c r="B1" s="659"/>
      <c r="C1" s="659"/>
      <c r="D1" s="660"/>
      <c r="E1" s="29"/>
      <c r="F1" s="29"/>
      <c r="G1" s="29"/>
      <c r="H1" s="29"/>
      <c r="I1" s="29"/>
      <c r="J1" s="29"/>
      <c r="K1" s="29"/>
      <c r="L1" s="29"/>
    </row>
    <row r="2" spans="1:16" ht="4.5" customHeight="1" thickBot="1" x14ac:dyDescent="0.25">
      <c r="A2" s="48"/>
      <c r="B2" s="49"/>
      <c r="C2" s="49"/>
      <c r="D2" s="50"/>
      <c r="E2" s="29"/>
      <c r="F2" s="29"/>
      <c r="G2" s="29"/>
      <c r="H2" s="29"/>
      <c r="I2" s="29"/>
      <c r="J2" s="29"/>
      <c r="K2" s="29"/>
      <c r="L2" s="29"/>
    </row>
    <row r="3" spans="1:16" ht="20.100000000000001" customHeight="1" thickBot="1" x14ac:dyDescent="0.25">
      <c r="A3" s="118" t="s">
        <v>39</v>
      </c>
      <c r="B3" s="661" t="s">
        <v>689</v>
      </c>
      <c r="C3" s="661"/>
      <c r="D3" s="662"/>
      <c r="E3" s="29"/>
      <c r="F3" s="29"/>
      <c r="G3" s="29"/>
      <c r="H3" s="29"/>
      <c r="I3" s="29"/>
      <c r="J3" s="29"/>
      <c r="K3" s="29"/>
      <c r="L3" s="29"/>
    </row>
    <row r="4" spans="1:16" ht="4.5" customHeight="1" thickBot="1" x14ac:dyDescent="0.25">
      <c r="A4" s="51"/>
      <c r="B4" s="47"/>
      <c r="C4" s="47"/>
      <c r="D4" s="52"/>
      <c r="E4" s="29"/>
      <c r="F4" s="29"/>
      <c r="G4" s="29"/>
      <c r="H4" s="29"/>
      <c r="I4" s="29"/>
      <c r="J4" s="29"/>
      <c r="K4" s="29"/>
      <c r="L4" s="29"/>
    </row>
    <row r="5" spans="1:16" ht="20.100000000000001" customHeight="1" thickBot="1" x14ac:dyDescent="0.25">
      <c r="A5" s="119" t="s">
        <v>198</v>
      </c>
      <c r="B5" s="663" t="s">
        <v>691</v>
      </c>
      <c r="C5" s="664"/>
      <c r="D5" s="665"/>
      <c r="E5" s="29"/>
      <c r="F5" s="29"/>
      <c r="G5" s="29"/>
      <c r="H5" s="29"/>
      <c r="I5" s="29"/>
      <c r="J5" s="29"/>
      <c r="K5" s="29"/>
      <c r="L5" s="29"/>
    </row>
    <row r="6" spans="1:16" ht="4.5" customHeight="1" thickBot="1" x14ac:dyDescent="0.25">
      <c r="A6" s="48"/>
      <c r="B6" s="49"/>
      <c r="C6" s="49"/>
      <c r="D6" s="50"/>
      <c r="E6" s="29"/>
      <c r="F6" s="29"/>
      <c r="G6" s="29"/>
      <c r="H6" s="29"/>
      <c r="I6" s="29"/>
      <c r="J6" s="29"/>
      <c r="K6" s="29"/>
      <c r="L6" s="29"/>
    </row>
    <row r="7" spans="1:16" ht="20.100000000000001" customHeight="1" thickBot="1" x14ac:dyDescent="0.25">
      <c r="A7" s="118" t="s">
        <v>40</v>
      </c>
      <c r="B7" s="120" t="s">
        <v>694</v>
      </c>
      <c r="C7" s="121" t="s">
        <v>312</v>
      </c>
      <c r="D7" s="122" t="s">
        <v>1934</v>
      </c>
      <c r="E7" s="55"/>
      <c r="F7" s="29"/>
      <c r="G7" s="29"/>
      <c r="H7" s="29"/>
      <c r="I7" s="29"/>
      <c r="J7" s="29"/>
      <c r="K7" s="29"/>
      <c r="L7" s="29"/>
      <c r="M7" s="29"/>
      <c r="N7" s="29"/>
      <c r="O7" s="29"/>
      <c r="P7" s="29"/>
    </row>
    <row r="8" spans="1:16" ht="4.5" customHeight="1" thickBot="1" x14ac:dyDescent="0.25">
      <c r="A8" s="48"/>
      <c r="B8" s="49"/>
      <c r="C8" s="49"/>
      <c r="D8" s="50"/>
      <c r="E8" s="29"/>
      <c r="F8" s="29"/>
      <c r="G8" s="29"/>
      <c r="H8" s="29"/>
      <c r="I8" s="29"/>
      <c r="J8" s="29"/>
      <c r="K8" s="29"/>
      <c r="L8" s="29"/>
      <c r="M8" s="29"/>
      <c r="N8" s="29"/>
      <c r="O8" s="29"/>
      <c r="P8" s="29"/>
    </row>
    <row r="9" spans="1:16" s="7" customFormat="1" ht="20.100000000000001" customHeight="1" thickBot="1" x14ac:dyDescent="0.3">
      <c r="A9" s="123" t="s">
        <v>200</v>
      </c>
      <c r="B9" s="124" t="s">
        <v>286</v>
      </c>
      <c r="C9" s="124" t="s">
        <v>287</v>
      </c>
      <c r="D9" s="125" t="s">
        <v>288</v>
      </c>
      <c r="E9" s="56"/>
      <c r="F9" s="29"/>
      <c r="G9" s="29"/>
      <c r="H9" s="29"/>
      <c r="I9" s="29"/>
      <c r="J9" s="29"/>
      <c r="K9" s="29"/>
      <c r="L9" s="29"/>
      <c r="M9" s="29"/>
      <c r="N9" s="29"/>
      <c r="O9" s="29"/>
      <c r="P9" s="29"/>
    </row>
    <row r="10" spans="1:16" s="7" customFormat="1" ht="4.5" customHeight="1" thickBot="1" x14ac:dyDescent="0.25">
      <c r="A10" s="57"/>
      <c r="B10" s="58"/>
      <c r="C10" s="58"/>
      <c r="D10" s="59"/>
      <c r="E10" s="56"/>
      <c r="F10" s="29"/>
      <c r="G10" s="29"/>
      <c r="H10" s="29"/>
      <c r="I10" s="29"/>
      <c r="J10" s="29"/>
      <c r="K10" s="29"/>
      <c r="L10" s="29"/>
      <c r="M10" s="29"/>
      <c r="N10" s="29"/>
      <c r="O10" s="29"/>
      <c r="P10" s="29"/>
    </row>
    <row r="11" spans="1:16" s="7" customFormat="1" ht="20.100000000000001" customHeight="1" thickBot="1" x14ac:dyDescent="0.25">
      <c r="A11" s="60"/>
      <c r="B11" s="61"/>
      <c r="C11" s="61"/>
      <c r="D11" s="62"/>
      <c r="E11" s="63"/>
      <c r="F11" s="29"/>
      <c r="G11" s="29"/>
      <c r="H11" s="29"/>
      <c r="I11" s="29"/>
      <c r="J11" s="29"/>
      <c r="K11" s="29"/>
      <c r="L11" s="29"/>
      <c r="M11" s="29"/>
      <c r="N11" s="29"/>
      <c r="O11" s="29"/>
      <c r="P11" s="29"/>
    </row>
    <row r="12" spans="1:16" s="7" customFormat="1" ht="20.100000000000001" customHeight="1" thickTop="1" thickBot="1" x14ac:dyDescent="0.3">
      <c r="A12" s="64" t="s">
        <v>289</v>
      </c>
      <c r="B12" s="65" t="s">
        <v>290</v>
      </c>
      <c r="C12" s="66"/>
      <c r="D12" s="67">
        <f>D22-D14</f>
        <v>5312851.6473612227</v>
      </c>
      <c r="E12" s="68"/>
      <c r="F12" s="29"/>
      <c r="G12" s="224">
        <f>D34/D12</f>
        <v>1.2857990648756283</v>
      </c>
      <c r="H12" s="29"/>
      <c r="I12" s="29"/>
      <c r="J12" s="29"/>
      <c r="K12" s="29"/>
      <c r="L12" s="29"/>
      <c r="M12" s="29"/>
      <c r="N12" s="29"/>
      <c r="O12" s="29"/>
      <c r="P12" s="29"/>
    </row>
    <row r="13" spans="1:16" s="7" customFormat="1" ht="20.100000000000001" customHeight="1" thickBot="1" x14ac:dyDescent="0.25">
      <c r="A13" s="69"/>
      <c r="B13" s="70"/>
      <c r="C13" s="71"/>
      <c r="D13" s="72"/>
      <c r="E13"/>
      <c r="F13" s="29"/>
      <c r="G13" s="225">
        <f>D34/(D12-ORÇAMENTO!N14)</f>
        <v>1.4730327622543558</v>
      </c>
      <c r="H13" s="29"/>
      <c r="I13" s="29"/>
      <c r="J13" s="29"/>
      <c r="K13" s="29"/>
      <c r="L13" s="29"/>
      <c r="M13" s="29"/>
      <c r="N13" s="29"/>
      <c r="O13" s="29"/>
      <c r="P13" s="29"/>
    </row>
    <row r="14" spans="1:16" s="7" customFormat="1" ht="20.100000000000001" customHeight="1" thickTop="1" x14ac:dyDescent="0.25">
      <c r="A14" s="64" t="s">
        <v>291</v>
      </c>
      <c r="B14" s="65" t="s">
        <v>292</v>
      </c>
      <c r="C14" s="73">
        <f>SUM(C15:C19)</f>
        <v>7.9600000000000004E-2</v>
      </c>
      <c r="D14" s="74">
        <f>SUM(D15:D19)</f>
        <v>459477.39149277844</v>
      </c>
      <c r="E14" s="75"/>
      <c r="F14" s="29"/>
      <c r="G14" s="29"/>
      <c r="H14" s="29"/>
      <c r="I14" s="29"/>
      <c r="J14" s="29"/>
      <c r="K14" s="29"/>
      <c r="L14" s="29"/>
      <c r="M14" s="29"/>
      <c r="N14" s="29"/>
      <c r="O14" s="29"/>
      <c r="P14" s="29"/>
    </row>
    <row r="15" spans="1:16" s="7" customFormat="1" ht="20.100000000000001" customHeight="1" x14ac:dyDescent="0.2">
      <c r="A15" s="69" t="s">
        <v>72</v>
      </c>
      <c r="B15" s="70" t="s">
        <v>293</v>
      </c>
      <c r="C15" s="76">
        <v>5.04E-2</v>
      </c>
      <c r="D15" s="77">
        <f>C15*D$22</f>
        <v>290925.38355824165</v>
      </c>
      <c r="E15" s="78"/>
      <c r="F15" s="29"/>
      <c r="G15" s="231"/>
      <c r="H15" s="29"/>
      <c r="I15" s="29"/>
      <c r="J15" s="29"/>
      <c r="K15" s="29"/>
      <c r="L15" s="29"/>
      <c r="M15" s="29"/>
      <c r="N15" s="29"/>
      <c r="O15" s="29"/>
      <c r="P15" s="29"/>
    </row>
    <row r="16" spans="1:16" s="7" customFormat="1" ht="20.100000000000001" customHeight="1" x14ac:dyDescent="0.2">
      <c r="A16" s="69" t="s">
        <v>171</v>
      </c>
      <c r="B16" s="70" t="s">
        <v>447</v>
      </c>
      <c r="C16" s="76">
        <v>2.8999999999999998E-3</v>
      </c>
      <c r="D16" s="77">
        <f t="shared" ref="D16:D19" si="0">C16*D$22</f>
        <v>16739.754212676602</v>
      </c>
      <c r="E16" s="78"/>
      <c r="F16" s="29"/>
      <c r="G16" s="231"/>
      <c r="H16" s="29"/>
      <c r="I16" s="29"/>
      <c r="J16" s="29"/>
      <c r="K16" s="29"/>
      <c r="L16" s="29"/>
      <c r="M16" s="29"/>
      <c r="N16" s="29"/>
      <c r="O16" s="29"/>
      <c r="P16" s="29"/>
    </row>
    <row r="17" spans="1:16" s="7" customFormat="1" ht="20.100000000000001" customHeight="1" x14ac:dyDescent="0.2">
      <c r="A17" s="69" t="s">
        <v>167</v>
      </c>
      <c r="B17" s="70" t="s">
        <v>382</v>
      </c>
      <c r="C17" s="76">
        <v>1.3899999999999999E-2</v>
      </c>
      <c r="D17" s="77">
        <f t="shared" si="0"/>
        <v>80235.373640070611</v>
      </c>
      <c r="E17" s="78"/>
      <c r="F17" s="29"/>
      <c r="G17" s="231"/>
      <c r="H17" s="29"/>
      <c r="I17" s="29"/>
      <c r="J17" s="29"/>
      <c r="K17" s="29"/>
      <c r="L17" s="29"/>
      <c r="M17" s="29"/>
      <c r="N17" s="29"/>
      <c r="O17" s="29"/>
      <c r="P17" s="29"/>
    </row>
    <row r="18" spans="1:16" s="7" customFormat="1" ht="20.100000000000001" customHeight="1" x14ac:dyDescent="0.2">
      <c r="A18" s="69" t="s">
        <v>168</v>
      </c>
      <c r="B18" s="70" t="s">
        <v>446</v>
      </c>
      <c r="C18" s="76">
        <v>2.5000000000000001E-3</v>
      </c>
      <c r="D18" s="77">
        <f t="shared" si="0"/>
        <v>14430.822597135004</v>
      </c>
      <c r="E18" s="78"/>
      <c r="F18" s="29"/>
      <c r="G18" s="231"/>
      <c r="H18" s="29"/>
      <c r="I18" s="29"/>
      <c r="J18" s="29"/>
      <c r="K18" s="29"/>
      <c r="L18" s="29"/>
      <c r="M18" s="29"/>
      <c r="N18" s="29"/>
      <c r="O18" s="29"/>
      <c r="P18" s="29"/>
    </row>
    <row r="19" spans="1:16" s="26" customFormat="1" ht="20.100000000000001" customHeight="1" x14ac:dyDescent="0.2">
      <c r="A19" s="69" t="s">
        <v>169</v>
      </c>
      <c r="B19" s="79" t="s">
        <v>295</v>
      </c>
      <c r="C19" s="80">
        <v>9.9000000000000008E-3</v>
      </c>
      <c r="D19" s="77">
        <f t="shared" si="0"/>
        <v>57146.057484654615</v>
      </c>
      <c r="E19" s="81"/>
      <c r="F19" s="29"/>
      <c r="G19" s="231"/>
      <c r="H19" s="29"/>
      <c r="I19" s="29"/>
      <c r="J19" s="29"/>
      <c r="K19" s="29"/>
      <c r="L19" s="29"/>
      <c r="M19" s="29"/>
      <c r="N19" s="29"/>
      <c r="O19" s="29"/>
      <c r="P19" s="29"/>
    </row>
    <row r="20" spans="1:16" s="7" customFormat="1" ht="20.100000000000001" customHeight="1" x14ac:dyDescent="0.2">
      <c r="A20" s="655" t="s">
        <v>448</v>
      </c>
      <c r="B20" s="656"/>
      <c r="C20" s="656"/>
      <c r="D20" s="657"/>
      <c r="E20"/>
      <c r="F20" s="29"/>
      <c r="G20" s="231"/>
      <c r="H20" s="29"/>
      <c r="I20" s="29"/>
      <c r="J20" s="29"/>
      <c r="K20" s="29"/>
      <c r="L20" s="29"/>
      <c r="M20" s="29"/>
      <c r="N20" s="29"/>
      <c r="O20" s="29"/>
      <c r="P20" s="29"/>
    </row>
    <row r="21" spans="1:16" s="7" customFormat="1" ht="20.100000000000001" customHeight="1" x14ac:dyDescent="0.2">
      <c r="A21" s="82"/>
      <c r="B21" s="83"/>
      <c r="C21" s="83"/>
      <c r="D21" s="84"/>
      <c r="E21"/>
      <c r="F21" s="29"/>
      <c r="G21" s="29"/>
      <c r="H21" s="29"/>
      <c r="I21" s="29"/>
      <c r="J21" s="29"/>
      <c r="K21" s="29"/>
      <c r="L21" s="29"/>
      <c r="M21" s="29"/>
      <c r="N21" s="29"/>
      <c r="O21" s="29"/>
      <c r="P21" s="29"/>
    </row>
    <row r="22" spans="1:16" s="7" customFormat="1" ht="20.100000000000001" customHeight="1" x14ac:dyDescent="0.25">
      <c r="A22" s="64" t="s">
        <v>296</v>
      </c>
      <c r="B22" s="65" t="s">
        <v>297</v>
      </c>
      <c r="C22" s="66"/>
      <c r="D22" s="74">
        <f>D34-D31-D24</f>
        <v>5772329.0388540011</v>
      </c>
      <c r="E22" s="75"/>
      <c r="F22" s="29"/>
      <c r="G22" s="29"/>
      <c r="H22" s="29"/>
      <c r="I22" s="29"/>
      <c r="J22" s="29"/>
      <c r="K22" s="29"/>
      <c r="L22" s="29"/>
      <c r="M22" s="29"/>
      <c r="N22" s="29"/>
      <c r="O22" s="29"/>
      <c r="P22" s="29"/>
    </row>
    <row r="23" spans="1:16" s="7" customFormat="1" ht="20.100000000000001" customHeight="1" x14ac:dyDescent="0.2">
      <c r="A23" s="69"/>
      <c r="B23" s="70"/>
      <c r="C23" s="71"/>
      <c r="D23" s="72"/>
      <c r="E23"/>
      <c r="F23" s="29"/>
      <c r="G23" s="29"/>
      <c r="H23" s="29"/>
      <c r="I23" s="29"/>
      <c r="J23" s="29"/>
      <c r="K23" s="29"/>
      <c r="L23" s="29"/>
      <c r="M23" s="29"/>
      <c r="N23" s="29"/>
      <c r="O23" s="29"/>
      <c r="P23" s="29"/>
    </row>
    <row r="24" spans="1:16" s="7" customFormat="1" ht="20.100000000000001" customHeight="1" x14ac:dyDescent="0.25">
      <c r="A24" s="64" t="s">
        <v>298</v>
      </c>
      <c r="B24" s="65" t="s">
        <v>299</v>
      </c>
      <c r="C24" s="73">
        <f>SUM(C25:C28)</f>
        <v>8.6500000000000007E-2</v>
      </c>
      <c r="D24" s="74">
        <f>SUM(D25:D28)</f>
        <v>590903.96232000005</v>
      </c>
      <c r="E24" s="75"/>
      <c r="F24" s="29"/>
      <c r="G24" s="29"/>
      <c r="H24" s="29"/>
      <c r="I24" s="29"/>
      <c r="J24" s="29"/>
      <c r="K24" s="29"/>
      <c r="L24" s="29"/>
      <c r="M24" s="29"/>
      <c r="N24" s="29"/>
      <c r="O24" s="29"/>
      <c r="P24" s="29"/>
    </row>
    <row r="25" spans="1:16" s="7" customFormat="1" ht="20.100000000000001" customHeight="1" x14ac:dyDescent="0.2">
      <c r="A25" s="69" t="s">
        <v>76</v>
      </c>
      <c r="B25" s="70" t="s">
        <v>300</v>
      </c>
      <c r="C25" s="76">
        <v>0.03</v>
      </c>
      <c r="D25" s="77">
        <f>C25*D$34</f>
        <v>204937.79040000003</v>
      </c>
      <c r="E25" s="75"/>
      <c r="F25" s="29"/>
      <c r="G25" s="29"/>
      <c r="H25" s="29"/>
      <c r="I25" s="29"/>
      <c r="J25" s="29"/>
      <c r="K25" s="29"/>
      <c r="L25" s="29"/>
      <c r="M25" s="29"/>
      <c r="N25" s="29"/>
      <c r="O25" s="29"/>
      <c r="P25" s="29"/>
    </row>
    <row r="26" spans="1:16" s="7" customFormat="1" ht="20.100000000000001" customHeight="1" x14ac:dyDescent="0.2">
      <c r="A26" s="69" t="s">
        <v>100</v>
      </c>
      <c r="B26" s="70" t="s">
        <v>301</v>
      </c>
      <c r="C26" s="76">
        <v>6.4999999999999997E-3</v>
      </c>
      <c r="D26" s="77">
        <f t="shared" ref="D26:D28" si="1">C26*D$34</f>
        <v>44403.187920000011</v>
      </c>
      <c r="E26" s="75"/>
      <c r="F26" s="29"/>
      <c r="G26" s="29"/>
      <c r="H26" s="29"/>
      <c r="I26" s="29"/>
      <c r="J26" s="29"/>
      <c r="K26" s="29"/>
      <c r="L26" s="29"/>
      <c r="M26" s="29"/>
      <c r="N26" s="29"/>
      <c r="O26" s="29"/>
      <c r="P26" s="29"/>
    </row>
    <row r="27" spans="1:16" s="7" customFormat="1" ht="20.100000000000001" customHeight="1" x14ac:dyDescent="0.2">
      <c r="A27" s="69" t="s">
        <v>253</v>
      </c>
      <c r="B27" s="70" t="s">
        <v>302</v>
      </c>
      <c r="C27" s="76">
        <v>0.03</v>
      </c>
      <c r="D27" s="77">
        <f t="shared" si="1"/>
        <v>204937.79040000003</v>
      </c>
      <c r="E27" s="75"/>
      <c r="F27" s="29"/>
      <c r="G27" s="29"/>
      <c r="H27" s="29"/>
      <c r="I27" s="29"/>
      <c r="J27" s="29"/>
      <c r="K27" s="29"/>
      <c r="L27" s="29"/>
      <c r="M27" s="29"/>
      <c r="N27" s="29"/>
      <c r="O27" s="29"/>
      <c r="P27" s="29"/>
    </row>
    <row r="28" spans="1:16" s="7" customFormat="1" ht="20.100000000000001" customHeight="1" x14ac:dyDescent="0.2">
      <c r="A28" s="69" t="s">
        <v>254</v>
      </c>
      <c r="B28" s="70" t="s">
        <v>383</v>
      </c>
      <c r="C28" s="76">
        <v>0.02</v>
      </c>
      <c r="D28" s="77">
        <f t="shared" si="1"/>
        <v>136625.19360000003</v>
      </c>
      <c r="E28" s="75"/>
      <c r="F28" s="29"/>
      <c r="G28" s="29"/>
      <c r="H28" s="29"/>
      <c r="I28" s="29"/>
      <c r="J28" s="29"/>
      <c r="K28" s="29"/>
      <c r="L28" s="29"/>
      <c r="M28" s="29"/>
      <c r="N28" s="29"/>
      <c r="O28" s="29"/>
      <c r="P28" s="29"/>
    </row>
    <row r="29" spans="1:16" s="7" customFormat="1" ht="20.100000000000001" customHeight="1" x14ac:dyDescent="0.2">
      <c r="A29" s="655" t="s">
        <v>303</v>
      </c>
      <c r="B29" s="656"/>
      <c r="C29" s="656"/>
      <c r="D29" s="657"/>
      <c r="E29" s="75"/>
      <c r="F29" s="29"/>
      <c r="G29" s="29"/>
      <c r="H29" s="29"/>
      <c r="I29" s="29"/>
      <c r="J29" s="29"/>
      <c r="K29" s="29"/>
      <c r="L29" s="29"/>
      <c r="M29" s="29"/>
      <c r="N29" s="29"/>
      <c r="O29" s="29"/>
      <c r="P29" s="29"/>
    </row>
    <row r="30" spans="1:16" s="7" customFormat="1" ht="20.100000000000001" customHeight="1" x14ac:dyDescent="0.2">
      <c r="A30" s="82"/>
      <c r="B30" s="83"/>
      <c r="C30" s="83"/>
      <c r="D30" s="84"/>
      <c r="E30" s="75"/>
      <c r="F30" s="29"/>
      <c r="G30" s="29"/>
      <c r="H30" s="29"/>
      <c r="I30" s="29"/>
      <c r="J30" s="29"/>
      <c r="K30" s="29"/>
      <c r="L30" s="29"/>
      <c r="M30" s="29"/>
      <c r="N30" s="29"/>
      <c r="O30" s="29"/>
      <c r="P30" s="29"/>
    </row>
    <row r="31" spans="1:16" s="7" customFormat="1" ht="20.100000000000001" customHeight="1" x14ac:dyDescent="0.25">
      <c r="A31" s="64" t="s">
        <v>304</v>
      </c>
      <c r="B31" s="65" t="s">
        <v>305</v>
      </c>
      <c r="C31" s="73">
        <v>7.4999999999999997E-2</v>
      </c>
      <c r="D31" s="74">
        <f>C31*(D34-D24)</f>
        <v>468026.67882600013</v>
      </c>
      <c r="E31" s="75"/>
      <c r="F31" s="29"/>
      <c r="G31" s="29"/>
      <c r="H31" s="29"/>
      <c r="I31" s="29"/>
      <c r="J31" s="29"/>
      <c r="K31" s="29"/>
      <c r="L31" s="29"/>
      <c r="M31" s="29"/>
      <c r="N31" s="29"/>
      <c r="O31" s="29"/>
      <c r="P31" s="29"/>
    </row>
    <row r="32" spans="1:16" s="7" customFormat="1" ht="20.100000000000001" customHeight="1" x14ac:dyDescent="0.2">
      <c r="A32" s="655" t="s">
        <v>449</v>
      </c>
      <c r="B32" s="656"/>
      <c r="C32" s="656"/>
      <c r="D32" s="657"/>
      <c r="E32"/>
      <c r="F32" s="29"/>
      <c r="G32" s="29"/>
      <c r="H32" s="29"/>
      <c r="I32" s="29"/>
      <c r="J32" s="29"/>
      <c r="K32" s="29"/>
      <c r="L32" s="29"/>
      <c r="M32" s="29"/>
      <c r="N32" s="29"/>
      <c r="O32" s="29"/>
      <c r="P32" s="29"/>
    </row>
    <row r="33" spans="1:16" s="7" customFormat="1" ht="20.100000000000001" customHeight="1" x14ac:dyDescent="0.2">
      <c r="A33" s="82"/>
      <c r="B33" s="83"/>
      <c r="C33" s="83"/>
      <c r="D33" s="84"/>
      <c r="E33"/>
      <c r="F33" s="29"/>
      <c r="G33" s="29"/>
      <c r="H33" s="29"/>
      <c r="I33" s="29"/>
      <c r="J33" s="29"/>
      <c r="K33" s="29"/>
      <c r="L33" s="29"/>
      <c r="M33" s="29"/>
      <c r="N33" s="29"/>
      <c r="O33" s="29"/>
      <c r="P33" s="29"/>
    </row>
    <row r="34" spans="1:16" s="7" customFormat="1" ht="20.100000000000001" customHeight="1" x14ac:dyDescent="0.25">
      <c r="A34" s="64" t="s">
        <v>306</v>
      </c>
      <c r="B34" s="65" t="s">
        <v>307</v>
      </c>
      <c r="C34" s="71"/>
      <c r="D34" s="74">
        <f>ORÇAMENTO!I659</f>
        <v>6831259.6800000016</v>
      </c>
      <c r="E34" s="75"/>
      <c r="F34" s="29"/>
      <c r="G34" s="29"/>
      <c r="H34" s="29"/>
      <c r="I34" s="29"/>
      <c r="J34" s="29"/>
      <c r="K34" s="29"/>
      <c r="L34" s="29"/>
      <c r="M34" s="29"/>
      <c r="N34" s="29"/>
      <c r="O34" s="29"/>
      <c r="P34" s="29"/>
    </row>
    <row r="35" spans="1:16" s="7" customFormat="1" ht="20.100000000000001" customHeight="1" x14ac:dyDescent="0.2">
      <c r="A35" s="69"/>
      <c r="B35" s="70"/>
      <c r="C35" s="71"/>
      <c r="D35" s="72"/>
      <c r="E35"/>
      <c r="F35" s="29"/>
      <c r="G35" s="29"/>
      <c r="H35" s="29"/>
      <c r="I35" s="29"/>
      <c r="J35" s="29"/>
      <c r="K35" s="29"/>
      <c r="L35" s="29"/>
      <c r="M35" s="29"/>
      <c r="N35" s="29"/>
      <c r="O35" s="29"/>
      <c r="P35" s="29"/>
    </row>
    <row r="36" spans="1:16" s="7" customFormat="1" ht="20.100000000000001" customHeight="1" x14ac:dyDescent="0.25">
      <c r="A36" s="64" t="s">
        <v>308</v>
      </c>
      <c r="B36" s="65" t="s">
        <v>309</v>
      </c>
      <c r="C36" s="73">
        <f>(1+C15+C16+C17+C18)*(1+C19)*(1+C31)/(1-C24)-1</f>
        <v>0.27127726573617927</v>
      </c>
      <c r="D36" s="72"/>
      <c r="E36"/>
      <c r="F36" s="29"/>
      <c r="G36" s="237">
        <v>26.44</v>
      </c>
      <c r="H36" s="29"/>
      <c r="I36" s="29"/>
      <c r="J36" s="29"/>
      <c r="K36" s="29"/>
      <c r="L36" s="29"/>
      <c r="M36" s="29"/>
      <c r="N36" s="29"/>
      <c r="O36" s="29"/>
      <c r="P36" s="29"/>
    </row>
    <row r="37" spans="1:16" s="7" customFormat="1" ht="20.100000000000001" customHeight="1" x14ac:dyDescent="0.2">
      <c r="A37" s="85"/>
      <c r="B37" s="86"/>
      <c r="C37" s="86"/>
      <c r="D37" s="87"/>
      <c r="E37"/>
      <c r="F37" s="6"/>
      <c r="G37" s="6"/>
      <c r="H37" s="6"/>
      <c r="I37" s="6"/>
      <c r="J37" s="6"/>
      <c r="K37" s="6"/>
      <c r="L37" s="6"/>
    </row>
    <row r="38" spans="1:16" s="7" customFormat="1" ht="20.100000000000001" customHeight="1" x14ac:dyDescent="0.25">
      <c r="A38" s="88" t="s">
        <v>381</v>
      </c>
      <c r="B38" s="86"/>
      <c r="C38" s="86"/>
      <c r="D38" s="87"/>
      <c r="E38"/>
      <c r="F38" s="6"/>
      <c r="G38" s="6"/>
      <c r="H38" s="6"/>
      <c r="I38" s="6"/>
      <c r="J38" s="6"/>
      <c r="K38" s="6"/>
      <c r="L38" s="6"/>
    </row>
    <row r="39" spans="1:16" s="7" customFormat="1" ht="20.100000000000001" customHeight="1" thickBot="1" x14ac:dyDescent="0.3">
      <c r="A39" s="238" t="s">
        <v>310</v>
      </c>
      <c r="B39" s="91"/>
      <c r="C39" s="91"/>
      <c r="D39" s="92"/>
      <c r="E39"/>
      <c r="F39" s="6"/>
      <c r="G39" s="6"/>
      <c r="H39" s="6"/>
      <c r="I39" s="6"/>
      <c r="J39" s="6"/>
      <c r="K39" s="6"/>
      <c r="L39" s="6"/>
    </row>
    <row r="40" spans="1:16" s="7" customFormat="1" x14ac:dyDescent="0.2">
      <c r="E40" s="6"/>
      <c r="F40" s="8"/>
      <c r="G40" s="6"/>
      <c r="H40" s="6"/>
      <c r="I40" s="6"/>
      <c r="J40" s="6"/>
      <c r="K40" s="6"/>
      <c r="L40" s="6"/>
    </row>
    <row r="41" spans="1:16" ht="15.95" customHeight="1" x14ac:dyDescent="0.2">
      <c r="E41" s="41"/>
      <c r="F41" s="41"/>
      <c r="G41" s="41"/>
      <c r="H41" s="41"/>
      <c r="I41" s="41"/>
      <c r="J41" s="41"/>
      <c r="K41" s="41"/>
      <c r="L41" s="41"/>
    </row>
    <row r="42" spans="1:16" ht="15.95" customHeight="1" x14ac:dyDescent="0.2">
      <c r="E42" s="41"/>
      <c r="F42" s="41"/>
      <c r="G42" s="41"/>
      <c r="H42" s="41"/>
      <c r="I42" s="41"/>
      <c r="J42" s="41"/>
      <c r="K42" s="41"/>
      <c r="L42" s="41"/>
    </row>
    <row r="43" spans="1:16" ht="15.95" customHeight="1" x14ac:dyDescent="0.2">
      <c r="E43" s="41"/>
      <c r="F43" s="41"/>
      <c r="G43" s="41"/>
      <c r="H43" s="41"/>
      <c r="I43" s="41"/>
      <c r="J43" s="41"/>
      <c r="K43" s="41"/>
      <c r="L43" s="41"/>
    </row>
    <row r="44" spans="1:16" ht="15.95" customHeight="1" x14ac:dyDescent="0.2">
      <c r="E44" s="41"/>
      <c r="F44" s="41"/>
      <c r="G44" s="41"/>
      <c r="H44" s="41"/>
      <c r="I44" s="41"/>
      <c r="J44" s="41"/>
      <c r="K44" s="41"/>
      <c r="L44" s="41"/>
    </row>
    <row r="45" spans="1:16" ht="15.95" customHeight="1" x14ac:dyDescent="0.2">
      <c r="E45" s="41"/>
      <c r="F45" s="41"/>
      <c r="G45" s="41"/>
      <c r="H45" s="41"/>
      <c r="I45" s="41"/>
      <c r="J45" s="41"/>
      <c r="K45" s="41"/>
      <c r="L45" s="41"/>
    </row>
    <row r="46" spans="1:16" ht="15.95" customHeight="1" x14ac:dyDescent="0.2">
      <c r="E46" s="41"/>
      <c r="F46" s="41"/>
      <c r="G46" s="41"/>
      <c r="H46" s="41"/>
      <c r="I46" s="41"/>
      <c r="J46" s="41"/>
      <c r="K46" s="41"/>
      <c r="L46" s="41"/>
    </row>
    <row r="47" spans="1:16" ht="15.95" customHeight="1" x14ac:dyDescent="0.2">
      <c r="E47" s="41"/>
      <c r="F47" s="41"/>
      <c r="G47" s="41"/>
      <c r="H47" s="41"/>
      <c r="I47" s="41"/>
      <c r="J47" s="41"/>
      <c r="K47" s="41"/>
      <c r="L47" s="41"/>
    </row>
    <row r="48" spans="1:16" ht="15.95" customHeight="1" x14ac:dyDescent="0.2">
      <c r="A48" s="1"/>
      <c r="B48" s="1"/>
      <c r="C48" s="1"/>
      <c r="D48" s="1"/>
      <c r="E48" s="41"/>
      <c r="F48" s="41"/>
      <c r="G48" s="41"/>
      <c r="H48" s="41"/>
      <c r="I48" s="41"/>
      <c r="J48" s="41"/>
      <c r="K48" s="41"/>
      <c r="L48" s="41"/>
    </row>
    <row r="49" spans="1:12" ht="15.95" customHeight="1" x14ac:dyDescent="0.2">
      <c r="A49" s="1"/>
      <c r="B49" s="1"/>
      <c r="C49" s="1"/>
      <c r="D49" s="1"/>
      <c r="E49" s="41"/>
      <c r="F49" s="41"/>
      <c r="G49" s="41"/>
      <c r="H49" s="41"/>
      <c r="I49" s="41"/>
      <c r="J49" s="41"/>
      <c r="K49" s="41"/>
      <c r="L49" s="41"/>
    </row>
    <row r="50" spans="1:12" ht="15.95" customHeight="1" x14ac:dyDescent="0.2">
      <c r="A50" s="1"/>
      <c r="B50" s="1"/>
      <c r="C50" s="1"/>
      <c r="D50" s="1"/>
      <c r="E50" s="41"/>
      <c r="F50" s="41"/>
      <c r="G50" s="41"/>
      <c r="H50" s="41"/>
      <c r="I50" s="41"/>
      <c r="J50" s="41"/>
      <c r="K50" s="41"/>
      <c r="L50" s="41"/>
    </row>
    <row r="51" spans="1:12" ht="15.95" customHeight="1" x14ac:dyDescent="0.2">
      <c r="A51" s="1"/>
      <c r="B51" s="1"/>
      <c r="C51" s="1"/>
      <c r="D51" s="1"/>
      <c r="E51" s="41"/>
      <c r="F51" s="41"/>
      <c r="G51" s="41"/>
      <c r="H51" s="41"/>
      <c r="I51" s="41"/>
      <c r="J51" s="41"/>
      <c r="K51" s="41"/>
      <c r="L51" s="41"/>
    </row>
    <row r="52" spans="1:12" ht="15.95" customHeight="1" x14ac:dyDescent="0.2">
      <c r="A52" s="1"/>
      <c r="B52" s="1"/>
      <c r="C52" s="1"/>
      <c r="D52" s="1"/>
      <c r="E52" s="41"/>
      <c r="F52" s="41"/>
      <c r="G52" s="41"/>
      <c r="H52" s="41"/>
      <c r="I52" s="41"/>
      <c r="J52" s="41"/>
      <c r="K52" s="41"/>
      <c r="L52" s="41"/>
    </row>
    <row r="53" spans="1:12" ht="15.95" customHeight="1" x14ac:dyDescent="0.2">
      <c r="A53" s="1"/>
      <c r="B53" s="1"/>
      <c r="C53" s="1"/>
      <c r="D53" s="1"/>
      <c r="E53" s="41"/>
      <c r="F53" s="41"/>
      <c r="G53" s="41"/>
      <c r="H53" s="41"/>
      <c r="I53" s="41"/>
      <c r="J53" s="41"/>
      <c r="K53" s="41"/>
      <c r="L53" s="41"/>
    </row>
    <row r="54" spans="1:12" ht="15.95" customHeight="1" x14ac:dyDescent="0.2">
      <c r="A54" s="1"/>
      <c r="B54" s="1"/>
      <c r="C54" s="1"/>
      <c r="D54" s="1"/>
      <c r="E54" s="41"/>
      <c r="F54" s="41"/>
      <c r="G54" s="41"/>
      <c r="H54" s="41"/>
      <c r="I54" s="41"/>
      <c r="J54" s="41"/>
      <c r="K54" s="41"/>
      <c r="L54" s="41"/>
    </row>
    <row r="55" spans="1:12" ht="15.95" customHeight="1" x14ac:dyDescent="0.2">
      <c r="A55" s="1"/>
      <c r="B55" s="1"/>
      <c r="C55" s="1"/>
      <c r="D55" s="1"/>
      <c r="E55" s="41"/>
      <c r="F55" s="41"/>
      <c r="G55" s="41"/>
      <c r="H55" s="41"/>
      <c r="I55" s="41"/>
      <c r="J55" s="41"/>
      <c r="K55" s="41"/>
      <c r="L55" s="41"/>
    </row>
    <row r="56" spans="1:12" ht="15.95" customHeight="1" x14ac:dyDescent="0.2">
      <c r="A56" s="1"/>
      <c r="B56" s="1"/>
      <c r="C56" s="1"/>
      <c r="D56" s="1"/>
      <c r="E56" s="41"/>
      <c r="F56" s="41"/>
      <c r="G56" s="41"/>
      <c r="H56" s="41"/>
      <c r="I56" s="41"/>
      <c r="J56" s="41"/>
      <c r="K56" s="41"/>
      <c r="L56" s="41"/>
    </row>
    <row r="57" spans="1:12" ht="15.95" customHeight="1" x14ac:dyDescent="0.2">
      <c r="A57" s="1"/>
      <c r="B57" s="1"/>
      <c r="C57" s="1"/>
      <c r="D57" s="1"/>
      <c r="E57" s="41"/>
      <c r="F57" s="41"/>
      <c r="G57" s="41"/>
      <c r="H57" s="41"/>
      <c r="I57" s="41"/>
      <c r="J57" s="41"/>
      <c r="K57" s="41"/>
      <c r="L57" s="41"/>
    </row>
    <row r="58" spans="1:12" ht="15.95" customHeight="1" x14ac:dyDescent="0.2">
      <c r="A58" s="1"/>
      <c r="B58" s="1"/>
      <c r="C58" s="1"/>
      <c r="D58" s="1"/>
      <c r="E58" s="41"/>
      <c r="F58" s="41"/>
      <c r="G58" s="41"/>
      <c r="H58" s="41"/>
      <c r="I58" s="41"/>
      <c r="J58" s="41"/>
      <c r="K58" s="41"/>
      <c r="L58" s="41"/>
    </row>
    <row r="59" spans="1:12" ht="15.95" customHeight="1" x14ac:dyDescent="0.2">
      <c r="A59" s="1"/>
      <c r="B59" s="1"/>
      <c r="C59" s="1"/>
      <c r="D59" s="1"/>
      <c r="E59" s="41"/>
      <c r="F59" s="41"/>
      <c r="G59" s="41"/>
      <c r="H59" s="41"/>
      <c r="I59" s="41"/>
      <c r="J59" s="41"/>
      <c r="K59" s="41"/>
      <c r="L59" s="41"/>
    </row>
    <row r="60" spans="1:12" ht="15.95" customHeight="1" x14ac:dyDescent="0.2">
      <c r="A60" s="1"/>
      <c r="B60" s="1"/>
      <c r="C60" s="1"/>
      <c r="D60" s="1"/>
      <c r="E60" s="41"/>
      <c r="F60" s="41"/>
      <c r="G60" s="41"/>
      <c r="H60" s="41"/>
      <c r="I60" s="41"/>
      <c r="J60" s="41"/>
      <c r="K60" s="41"/>
      <c r="L60" s="41"/>
    </row>
    <row r="61" spans="1:12" ht="15.95" customHeight="1" x14ac:dyDescent="0.2">
      <c r="A61" s="1"/>
      <c r="B61" s="1"/>
      <c r="C61" s="1"/>
      <c r="D61" s="1"/>
      <c r="E61" s="41"/>
      <c r="F61" s="41"/>
      <c r="G61" s="41"/>
      <c r="H61" s="41"/>
      <c r="I61" s="41"/>
      <c r="J61" s="41"/>
      <c r="K61" s="41"/>
      <c r="L61" s="41"/>
    </row>
    <row r="62" spans="1:12" ht="15.95" customHeight="1" x14ac:dyDescent="0.2">
      <c r="A62" s="1"/>
      <c r="B62" s="1"/>
      <c r="C62" s="1"/>
      <c r="D62" s="1"/>
      <c r="E62" s="41"/>
      <c r="F62" s="41"/>
      <c r="G62" s="41"/>
      <c r="H62" s="41"/>
      <c r="I62" s="41"/>
      <c r="J62" s="41"/>
      <c r="K62" s="41"/>
      <c r="L62" s="41"/>
    </row>
    <row r="63" spans="1:12" ht="15.95" customHeight="1" x14ac:dyDescent="0.2">
      <c r="A63" s="1"/>
      <c r="B63" s="1"/>
      <c r="C63" s="1"/>
      <c r="D63" s="1"/>
      <c r="E63" s="41"/>
      <c r="F63" s="41"/>
      <c r="G63" s="41"/>
      <c r="H63" s="41"/>
      <c r="I63" s="41"/>
      <c r="J63" s="41"/>
      <c r="K63" s="41"/>
      <c r="L63" s="41"/>
    </row>
    <row r="64" spans="1:12" ht="15.95" customHeight="1" x14ac:dyDescent="0.2">
      <c r="A64" s="1"/>
      <c r="B64" s="1"/>
      <c r="C64" s="1"/>
      <c r="D64" s="1"/>
      <c r="E64" s="41"/>
      <c r="F64" s="41"/>
      <c r="G64" s="41"/>
      <c r="H64" s="41"/>
      <c r="I64" s="41"/>
      <c r="J64" s="41"/>
      <c r="K64" s="41"/>
      <c r="L64" s="41"/>
    </row>
    <row r="65" spans="1:12" ht="15.95" customHeight="1" x14ac:dyDescent="0.2">
      <c r="A65" s="1"/>
      <c r="B65" s="1"/>
      <c r="C65" s="1"/>
      <c r="D65" s="1"/>
      <c r="E65" s="41"/>
      <c r="F65" s="41"/>
      <c r="G65" s="41"/>
      <c r="H65" s="41"/>
      <c r="I65" s="41"/>
      <c r="J65" s="41"/>
      <c r="K65" s="41"/>
      <c r="L65" s="41"/>
    </row>
    <row r="66" spans="1:12" ht="15.95" customHeight="1" x14ac:dyDescent="0.2">
      <c r="A66" s="1"/>
      <c r="B66" s="1"/>
      <c r="C66" s="1"/>
      <c r="D66" s="1"/>
      <c r="E66" s="41"/>
      <c r="F66" s="41"/>
      <c r="G66" s="41"/>
      <c r="H66" s="41"/>
      <c r="I66" s="41"/>
      <c r="J66" s="41"/>
      <c r="K66" s="41"/>
      <c r="L66" s="41"/>
    </row>
    <row r="67" spans="1:12" ht="15.95" customHeight="1" x14ac:dyDescent="0.2">
      <c r="A67" s="1"/>
      <c r="B67" s="1"/>
      <c r="C67" s="1"/>
      <c r="D67" s="1"/>
      <c r="E67" s="41"/>
      <c r="F67" s="41"/>
      <c r="G67" s="41"/>
      <c r="H67" s="41"/>
      <c r="I67" s="41"/>
      <c r="J67" s="41"/>
      <c r="K67" s="41"/>
      <c r="L67" s="41"/>
    </row>
    <row r="68" spans="1:12" ht="15.95" customHeight="1" x14ac:dyDescent="0.2">
      <c r="A68" s="1"/>
      <c r="B68" s="1"/>
      <c r="C68" s="1"/>
      <c r="D68" s="1"/>
      <c r="E68" s="41"/>
      <c r="F68" s="41"/>
      <c r="G68" s="41"/>
      <c r="H68" s="41"/>
      <c r="I68" s="41"/>
      <c r="J68" s="41"/>
      <c r="K68" s="41"/>
      <c r="L68" s="41"/>
    </row>
    <row r="69" spans="1:12" ht="15.95" customHeight="1" x14ac:dyDescent="0.2">
      <c r="A69" s="1"/>
      <c r="B69" s="1"/>
      <c r="C69" s="1"/>
      <c r="D69" s="1"/>
      <c r="E69" s="41"/>
      <c r="F69" s="41"/>
      <c r="G69" s="41"/>
      <c r="H69" s="41"/>
      <c r="I69" s="41"/>
      <c r="J69" s="41"/>
      <c r="K69" s="41"/>
      <c r="L69" s="41"/>
    </row>
    <row r="70" spans="1:12" ht="15.95" customHeight="1" x14ac:dyDescent="0.2">
      <c r="A70" s="1"/>
      <c r="B70" s="1"/>
      <c r="C70" s="1"/>
      <c r="D70" s="1"/>
      <c r="E70" s="41"/>
      <c r="F70" s="41"/>
      <c r="G70" s="41"/>
      <c r="H70" s="41"/>
      <c r="I70" s="41"/>
      <c r="J70" s="41"/>
      <c r="K70" s="41"/>
      <c r="L70" s="41"/>
    </row>
    <row r="71" spans="1:12" ht="15.95" customHeight="1" x14ac:dyDescent="0.2">
      <c r="A71" s="1"/>
      <c r="B71" s="1"/>
      <c r="C71" s="1"/>
      <c r="D71" s="1"/>
      <c r="E71" s="41"/>
      <c r="F71" s="41"/>
      <c r="G71" s="41"/>
      <c r="H71" s="41"/>
      <c r="I71" s="41"/>
      <c r="J71" s="41"/>
      <c r="K71" s="41"/>
      <c r="L71" s="41"/>
    </row>
    <row r="72" spans="1:12" ht="15.95" customHeight="1" x14ac:dyDescent="0.2">
      <c r="A72" s="1"/>
      <c r="B72" s="1"/>
      <c r="C72" s="1"/>
      <c r="D72" s="1"/>
      <c r="E72" s="41"/>
      <c r="F72" s="41"/>
      <c r="G72" s="41"/>
      <c r="H72" s="41"/>
      <c r="I72" s="41"/>
      <c r="J72" s="41"/>
      <c r="K72" s="41"/>
      <c r="L72" s="41"/>
    </row>
    <row r="73" spans="1:12" ht="15.95" customHeight="1" x14ac:dyDescent="0.2">
      <c r="A73" s="1"/>
      <c r="B73" s="1"/>
      <c r="C73" s="1"/>
      <c r="D73" s="1"/>
      <c r="E73" s="41"/>
      <c r="F73" s="41"/>
      <c r="G73" s="41"/>
      <c r="H73" s="41"/>
      <c r="I73" s="41"/>
      <c r="J73" s="41"/>
      <c r="K73" s="41"/>
      <c r="L73" s="41"/>
    </row>
    <row r="74" spans="1:12" ht="15.95" customHeight="1" x14ac:dyDescent="0.2">
      <c r="A74" s="1"/>
      <c r="B74" s="1"/>
      <c r="C74" s="1"/>
      <c r="D74" s="1"/>
      <c r="E74" s="41"/>
      <c r="F74" s="41"/>
      <c r="G74" s="41"/>
      <c r="H74" s="41"/>
      <c r="I74" s="41"/>
      <c r="J74" s="41"/>
      <c r="K74" s="41"/>
      <c r="L74" s="41"/>
    </row>
    <row r="75" spans="1:12" ht="15.95" customHeight="1" x14ac:dyDescent="0.2">
      <c r="A75" s="1"/>
      <c r="B75" s="1"/>
      <c r="C75" s="1"/>
      <c r="D75" s="1"/>
      <c r="E75" s="41"/>
      <c r="F75" s="41"/>
      <c r="G75" s="41"/>
      <c r="H75" s="41"/>
      <c r="I75" s="41"/>
      <c r="J75" s="41"/>
      <c r="K75" s="41"/>
      <c r="L75" s="41"/>
    </row>
    <row r="76" spans="1:12" ht="15.95" customHeight="1" x14ac:dyDescent="0.2">
      <c r="A76" s="1"/>
      <c r="B76" s="1"/>
      <c r="C76" s="1"/>
      <c r="D76" s="1"/>
      <c r="E76" s="41"/>
      <c r="F76" s="41"/>
      <c r="G76" s="41"/>
      <c r="H76" s="41"/>
      <c r="I76" s="41"/>
      <c r="J76" s="41"/>
      <c r="K76" s="41"/>
      <c r="L76" s="41"/>
    </row>
    <row r="77" spans="1:12" ht="15.95" customHeight="1" x14ac:dyDescent="0.2">
      <c r="A77" s="1"/>
      <c r="B77" s="1"/>
      <c r="C77" s="1"/>
      <c r="D77" s="1"/>
      <c r="E77" s="41"/>
      <c r="F77" s="41"/>
      <c r="G77" s="41"/>
      <c r="H77" s="41"/>
      <c r="I77" s="41"/>
      <c r="J77" s="41"/>
      <c r="K77" s="41"/>
      <c r="L77" s="41"/>
    </row>
    <row r="78" spans="1:12" ht="15.95" customHeight="1" x14ac:dyDescent="0.2">
      <c r="A78" s="1"/>
      <c r="B78" s="1"/>
      <c r="C78" s="1"/>
      <c r="D78" s="1"/>
      <c r="E78" s="41"/>
      <c r="F78" s="41"/>
      <c r="G78" s="41"/>
      <c r="H78" s="41"/>
      <c r="I78" s="41"/>
      <c r="J78" s="41"/>
      <c r="K78" s="41"/>
      <c r="L78" s="41"/>
    </row>
    <row r="79" spans="1:12" ht="15.95" customHeight="1" x14ac:dyDescent="0.2">
      <c r="A79" s="1"/>
      <c r="B79" s="1"/>
      <c r="C79" s="1"/>
      <c r="D79" s="1"/>
      <c r="E79" s="41"/>
      <c r="F79" s="41"/>
      <c r="G79" s="41"/>
      <c r="H79" s="41"/>
      <c r="I79" s="41"/>
      <c r="J79" s="41"/>
      <c r="K79" s="41"/>
      <c r="L79" s="41"/>
    </row>
    <row r="80" spans="1:12" ht="15.95" customHeight="1" x14ac:dyDescent="0.2">
      <c r="A80" s="1"/>
      <c r="B80" s="1"/>
      <c r="C80" s="1"/>
      <c r="D80" s="1"/>
      <c r="E80" s="41"/>
      <c r="F80" s="41"/>
      <c r="G80" s="41"/>
      <c r="H80" s="41"/>
      <c r="I80" s="41"/>
      <c r="J80" s="41"/>
      <c r="K80" s="41"/>
      <c r="L80" s="41"/>
    </row>
    <row r="81" spans="1:12" ht="15.95" customHeight="1" x14ac:dyDescent="0.2">
      <c r="A81" s="1"/>
      <c r="B81" s="1"/>
      <c r="C81" s="1"/>
      <c r="D81" s="1"/>
      <c r="E81" s="41"/>
      <c r="F81" s="41"/>
      <c r="G81" s="41"/>
      <c r="H81" s="41"/>
      <c r="I81" s="41"/>
      <c r="J81" s="41"/>
      <c r="K81" s="41"/>
      <c r="L81" s="41"/>
    </row>
    <row r="82" spans="1:12" ht="15.95" customHeight="1" x14ac:dyDescent="0.2">
      <c r="A82" s="1"/>
      <c r="B82" s="1"/>
      <c r="C82" s="1"/>
      <c r="D82" s="1"/>
      <c r="E82" s="41"/>
      <c r="F82" s="41"/>
      <c r="G82" s="41"/>
      <c r="H82" s="41"/>
      <c r="I82" s="41"/>
      <c r="J82" s="41"/>
      <c r="K82" s="41"/>
      <c r="L82" s="41"/>
    </row>
    <row r="83" spans="1:12" ht="15.95" customHeight="1" x14ac:dyDescent="0.2">
      <c r="A83" s="1"/>
      <c r="B83" s="1"/>
      <c r="C83" s="1"/>
      <c r="D83" s="1"/>
      <c r="E83" s="41"/>
      <c r="F83" s="41"/>
      <c r="G83" s="41"/>
      <c r="H83" s="41"/>
      <c r="I83" s="41"/>
      <c r="J83" s="41"/>
      <c r="K83" s="41"/>
      <c r="L83" s="41"/>
    </row>
    <row r="84" spans="1:12" ht="15.95" customHeight="1" x14ac:dyDescent="0.2">
      <c r="A84" s="1"/>
      <c r="B84" s="1"/>
      <c r="C84" s="1"/>
      <c r="D84" s="1"/>
      <c r="E84" s="41"/>
      <c r="F84" s="41"/>
      <c r="G84" s="41"/>
      <c r="H84" s="41"/>
      <c r="I84" s="41"/>
      <c r="J84" s="41"/>
      <c r="K84" s="41"/>
      <c r="L84" s="41"/>
    </row>
    <row r="85" spans="1:12" ht="15.95" customHeight="1" x14ac:dyDescent="0.2">
      <c r="A85" s="1"/>
      <c r="B85" s="1"/>
      <c r="C85" s="1"/>
      <c r="D85" s="1"/>
      <c r="E85" s="41"/>
      <c r="F85" s="41"/>
      <c r="G85" s="41"/>
      <c r="H85" s="41"/>
      <c r="I85" s="41"/>
      <c r="J85" s="41"/>
      <c r="K85" s="41"/>
      <c r="L85" s="41"/>
    </row>
    <row r="86" spans="1:12" ht="15.95" customHeight="1" x14ac:dyDescent="0.2">
      <c r="A86" s="1"/>
      <c r="B86" s="1"/>
      <c r="C86" s="1"/>
      <c r="D86" s="1"/>
      <c r="E86" s="41"/>
      <c r="F86" s="41"/>
      <c r="G86" s="41"/>
      <c r="H86" s="41"/>
      <c r="I86" s="41"/>
      <c r="J86" s="41"/>
      <c r="K86" s="41"/>
      <c r="L86" s="41"/>
    </row>
    <row r="87" spans="1:12" ht="15.95" customHeight="1" x14ac:dyDescent="0.2">
      <c r="A87" s="1"/>
      <c r="B87" s="1"/>
      <c r="C87" s="1"/>
      <c r="D87" s="1"/>
      <c r="E87" s="41"/>
      <c r="F87" s="41"/>
      <c r="G87" s="41"/>
      <c r="H87" s="41"/>
      <c r="I87" s="41"/>
      <c r="J87" s="41"/>
      <c r="K87" s="41"/>
      <c r="L87" s="41"/>
    </row>
    <row r="88" spans="1:12" ht="15.95" customHeight="1" x14ac:dyDescent="0.2">
      <c r="A88" s="1"/>
      <c r="B88" s="1"/>
      <c r="C88" s="1"/>
      <c r="D88" s="1"/>
      <c r="E88" s="41"/>
      <c r="F88" s="41"/>
      <c r="G88" s="41"/>
      <c r="H88" s="41"/>
      <c r="I88" s="41"/>
      <c r="J88" s="41"/>
      <c r="K88" s="41"/>
      <c r="L88" s="41"/>
    </row>
    <row r="89" spans="1:12" ht="15.95" customHeight="1" x14ac:dyDescent="0.2">
      <c r="A89" s="1"/>
      <c r="B89" s="1"/>
      <c r="C89" s="1"/>
      <c r="D89" s="1"/>
      <c r="E89" s="41"/>
      <c r="F89" s="41"/>
      <c r="G89" s="41"/>
      <c r="H89" s="41"/>
      <c r="I89" s="41"/>
      <c r="J89" s="41"/>
      <c r="K89" s="41"/>
      <c r="L89" s="41"/>
    </row>
    <row r="90" spans="1:12" ht="15.95" customHeight="1" x14ac:dyDescent="0.2">
      <c r="A90" s="1"/>
      <c r="B90" s="1"/>
      <c r="C90" s="1"/>
      <c r="D90" s="1"/>
      <c r="E90" s="41"/>
      <c r="F90" s="41"/>
      <c r="G90" s="41"/>
      <c r="H90" s="41"/>
      <c r="I90" s="41"/>
      <c r="J90" s="41"/>
      <c r="K90" s="41"/>
      <c r="L90" s="41"/>
    </row>
    <row r="91" spans="1:12" ht="15.95" customHeight="1" x14ac:dyDescent="0.2">
      <c r="A91" s="1"/>
      <c r="B91" s="1"/>
      <c r="C91" s="1"/>
      <c r="D91" s="1"/>
      <c r="E91" s="41"/>
      <c r="F91" s="41"/>
      <c r="G91" s="41"/>
      <c r="H91" s="41"/>
      <c r="I91" s="41"/>
      <c r="J91" s="41"/>
      <c r="K91" s="41"/>
      <c r="L91" s="41"/>
    </row>
    <row r="92" spans="1:12" ht="15.95" customHeight="1" x14ac:dyDescent="0.2">
      <c r="A92" s="1"/>
      <c r="B92" s="1"/>
      <c r="C92" s="1"/>
      <c r="D92" s="1"/>
      <c r="E92" s="41"/>
      <c r="F92" s="41"/>
      <c r="G92" s="41"/>
      <c r="H92" s="41"/>
      <c r="I92" s="41"/>
      <c r="J92" s="41"/>
      <c r="K92" s="41"/>
      <c r="L92" s="41"/>
    </row>
    <row r="93" spans="1:12" ht="15.95" customHeight="1" x14ac:dyDescent="0.2">
      <c r="A93" s="1"/>
      <c r="B93" s="1"/>
      <c r="C93" s="1"/>
      <c r="D93" s="1"/>
      <c r="E93" s="41"/>
      <c r="F93" s="41"/>
      <c r="G93" s="41"/>
      <c r="H93" s="41"/>
      <c r="I93" s="41"/>
      <c r="J93" s="41"/>
      <c r="K93" s="41"/>
      <c r="L93" s="41"/>
    </row>
    <row r="94" spans="1:12" ht="15.95" customHeight="1" x14ac:dyDescent="0.2">
      <c r="A94" s="1"/>
      <c r="B94" s="1"/>
      <c r="C94" s="1"/>
      <c r="D94" s="1"/>
      <c r="E94" s="41"/>
      <c r="F94" s="41"/>
      <c r="G94" s="41"/>
      <c r="H94" s="41"/>
      <c r="I94" s="41"/>
      <c r="J94" s="41"/>
      <c r="K94" s="41"/>
      <c r="L94" s="41"/>
    </row>
    <row r="95" spans="1:12" ht="15.95" customHeight="1" x14ac:dyDescent="0.2">
      <c r="A95" s="1"/>
      <c r="B95" s="1"/>
      <c r="C95" s="1"/>
      <c r="D95" s="1"/>
      <c r="E95" s="41"/>
      <c r="F95" s="41"/>
      <c r="G95" s="41"/>
      <c r="H95" s="41"/>
      <c r="I95" s="41"/>
      <c r="J95" s="41"/>
      <c r="K95" s="41"/>
      <c r="L95" s="41"/>
    </row>
    <row r="96" spans="1:12" ht="15.95" customHeight="1" x14ac:dyDescent="0.2">
      <c r="A96" s="1"/>
      <c r="B96" s="1"/>
      <c r="C96" s="1"/>
      <c r="D96" s="1"/>
      <c r="E96" s="41"/>
      <c r="F96" s="41"/>
      <c r="G96" s="41"/>
      <c r="H96" s="41"/>
      <c r="I96" s="41"/>
      <c r="J96" s="41"/>
      <c r="K96" s="41"/>
      <c r="L96" s="41"/>
    </row>
    <row r="97" spans="1:12" ht="15.95" customHeight="1" x14ac:dyDescent="0.2">
      <c r="A97" s="1"/>
      <c r="B97" s="1"/>
      <c r="C97" s="1"/>
      <c r="D97" s="1"/>
      <c r="E97" s="41"/>
      <c r="F97" s="41"/>
      <c r="G97" s="41"/>
      <c r="H97" s="41"/>
      <c r="I97" s="41"/>
      <c r="J97" s="41"/>
      <c r="K97" s="41"/>
      <c r="L97" s="41"/>
    </row>
    <row r="98" spans="1:12" ht="15.95" customHeight="1" x14ac:dyDescent="0.2">
      <c r="A98" s="1"/>
      <c r="B98" s="1"/>
      <c r="C98" s="1"/>
      <c r="D98" s="1"/>
      <c r="E98" s="41"/>
      <c r="F98" s="41"/>
      <c r="G98" s="41"/>
      <c r="H98" s="41"/>
      <c r="I98" s="41"/>
      <c r="J98" s="41"/>
      <c r="K98" s="41"/>
      <c r="L98" s="41"/>
    </row>
    <row r="99" spans="1:12" ht="15.95" customHeight="1" x14ac:dyDescent="0.2">
      <c r="A99" s="1"/>
      <c r="B99" s="1"/>
      <c r="C99" s="1"/>
      <c r="D99" s="1"/>
      <c r="E99" s="41"/>
      <c r="F99" s="41"/>
      <c r="G99" s="41"/>
      <c r="H99" s="41"/>
      <c r="I99" s="41"/>
      <c r="J99" s="41"/>
      <c r="K99" s="41"/>
      <c r="L99" s="41"/>
    </row>
    <row r="100" spans="1:12" ht="15.95" customHeight="1" x14ac:dyDescent="0.2">
      <c r="A100" s="1"/>
      <c r="B100" s="1"/>
      <c r="C100" s="1"/>
      <c r="D100" s="1"/>
      <c r="E100" s="41"/>
      <c r="F100" s="41"/>
      <c r="G100" s="41"/>
      <c r="H100" s="41"/>
      <c r="I100" s="41"/>
      <c r="J100" s="41"/>
      <c r="K100" s="41"/>
      <c r="L100" s="41"/>
    </row>
    <row r="101" spans="1:12" ht="15.95" customHeight="1" x14ac:dyDescent="0.2">
      <c r="A101" s="1"/>
      <c r="B101" s="1"/>
      <c r="C101" s="1"/>
      <c r="D101" s="1"/>
      <c r="E101" s="41"/>
      <c r="F101" s="41"/>
      <c r="G101" s="41"/>
      <c r="H101" s="41"/>
      <c r="I101" s="41"/>
      <c r="J101" s="41"/>
      <c r="K101" s="41"/>
      <c r="L101" s="41"/>
    </row>
    <row r="102" spans="1:12" ht="15.95" customHeight="1" x14ac:dyDescent="0.2">
      <c r="A102" s="1"/>
      <c r="B102" s="1"/>
      <c r="C102" s="1"/>
      <c r="D102" s="1"/>
      <c r="E102" s="41"/>
      <c r="F102" s="41"/>
      <c r="G102" s="41"/>
      <c r="H102" s="41"/>
      <c r="I102" s="41"/>
      <c r="J102" s="41"/>
      <c r="K102" s="41"/>
      <c r="L102" s="41"/>
    </row>
    <row r="103" spans="1:12" ht="15.95" customHeight="1" x14ac:dyDescent="0.2">
      <c r="A103" s="1"/>
      <c r="B103" s="1"/>
      <c r="C103" s="1"/>
      <c r="D103" s="1"/>
      <c r="E103" s="41"/>
      <c r="F103" s="41"/>
      <c r="G103" s="41"/>
      <c r="H103" s="41"/>
      <c r="I103" s="41"/>
      <c r="J103" s="41"/>
      <c r="K103" s="41"/>
      <c r="L103" s="41"/>
    </row>
    <row r="104" spans="1:12" ht="15.95" customHeight="1" x14ac:dyDescent="0.2">
      <c r="A104" s="1"/>
      <c r="B104" s="1"/>
      <c r="C104" s="1"/>
      <c r="D104" s="1"/>
      <c r="E104" s="41"/>
      <c r="F104" s="41"/>
      <c r="G104" s="41"/>
      <c r="H104" s="41"/>
      <c r="I104" s="41"/>
      <c r="J104" s="41"/>
      <c r="K104" s="41"/>
      <c r="L104" s="41"/>
    </row>
    <row r="105" spans="1:12" ht="15.95" customHeight="1" x14ac:dyDescent="0.2">
      <c r="A105" s="1"/>
      <c r="B105" s="1"/>
      <c r="C105" s="1"/>
      <c r="D105" s="1"/>
      <c r="E105" s="41"/>
      <c r="F105" s="41"/>
      <c r="G105" s="41"/>
      <c r="H105" s="41"/>
      <c r="I105" s="41"/>
      <c r="J105" s="41"/>
      <c r="K105" s="41"/>
      <c r="L105" s="41"/>
    </row>
    <row r="106" spans="1:12" ht="15.95" customHeight="1" x14ac:dyDescent="0.2">
      <c r="A106" s="1"/>
      <c r="B106" s="1"/>
      <c r="C106" s="1"/>
      <c r="D106" s="1"/>
      <c r="E106" s="41"/>
      <c r="F106" s="41"/>
      <c r="G106" s="41"/>
      <c r="H106" s="41"/>
      <c r="I106" s="41"/>
      <c r="J106" s="41"/>
      <c r="K106" s="41"/>
      <c r="L106" s="41"/>
    </row>
    <row r="107" spans="1:12" ht="15.95" customHeight="1" x14ac:dyDescent="0.2">
      <c r="A107" s="1"/>
      <c r="B107" s="1"/>
      <c r="C107" s="1"/>
      <c r="D107" s="1"/>
      <c r="E107" s="41"/>
      <c r="F107" s="41"/>
      <c r="G107" s="41"/>
      <c r="H107" s="41"/>
      <c r="I107" s="41"/>
      <c r="J107" s="41"/>
      <c r="K107" s="41"/>
      <c r="L107" s="41"/>
    </row>
    <row r="108" spans="1:12" ht="15.95" customHeight="1" x14ac:dyDescent="0.2">
      <c r="A108" s="1"/>
      <c r="B108" s="1"/>
      <c r="C108" s="1"/>
      <c r="D108" s="1"/>
      <c r="E108" s="41"/>
      <c r="F108" s="41"/>
      <c r="G108" s="41"/>
      <c r="H108" s="41"/>
      <c r="I108" s="41"/>
      <c r="J108" s="41"/>
      <c r="K108" s="41"/>
      <c r="L108" s="41"/>
    </row>
    <row r="109" spans="1:12" ht="15.95" customHeight="1" x14ac:dyDescent="0.2">
      <c r="A109" s="1"/>
      <c r="B109" s="1"/>
      <c r="C109" s="1"/>
      <c r="D109" s="1"/>
      <c r="E109" s="41"/>
      <c r="F109" s="41"/>
      <c r="G109" s="41"/>
      <c r="H109" s="41"/>
      <c r="I109" s="41"/>
      <c r="J109" s="41"/>
      <c r="K109" s="41"/>
      <c r="L109" s="41"/>
    </row>
    <row r="110" spans="1:12" ht="15.95" customHeight="1" x14ac:dyDescent="0.2">
      <c r="A110" s="1"/>
      <c r="B110" s="1"/>
      <c r="C110" s="1"/>
      <c r="D110" s="1"/>
      <c r="E110" s="41"/>
      <c r="F110" s="41"/>
      <c r="G110" s="41"/>
      <c r="H110" s="41"/>
      <c r="I110" s="41"/>
      <c r="J110" s="41"/>
      <c r="K110" s="41"/>
      <c r="L110" s="41"/>
    </row>
    <row r="111" spans="1:12" ht="15.95" customHeight="1" x14ac:dyDescent="0.2">
      <c r="A111" s="1"/>
      <c r="B111" s="1"/>
      <c r="C111" s="1"/>
      <c r="D111" s="1"/>
      <c r="E111" s="41"/>
      <c r="F111" s="41"/>
      <c r="G111" s="41"/>
      <c r="H111" s="41"/>
      <c r="I111" s="41"/>
      <c r="J111" s="41"/>
      <c r="K111" s="41"/>
      <c r="L111" s="41"/>
    </row>
    <row r="112" spans="1:12" ht="15.95" customHeight="1" x14ac:dyDescent="0.2">
      <c r="A112" s="1"/>
      <c r="B112" s="1"/>
      <c r="C112" s="1"/>
      <c r="D112" s="1"/>
      <c r="E112" s="41"/>
      <c r="F112" s="41"/>
      <c r="G112" s="41"/>
      <c r="H112" s="41"/>
      <c r="I112" s="41"/>
      <c r="J112" s="41"/>
      <c r="K112" s="41"/>
      <c r="L112" s="41"/>
    </row>
    <row r="113" spans="1:12" ht="15.95" customHeight="1" x14ac:dyDescent="0.2">
      <c r="A113" s="1"/>
      <c r="B113" s="1"/>
      <c r="C113" s="1"/>
      <c r="D113" s="1"/>
      <c r="E113" s="41"/>
      <c r="F113" s="41"/>
      <c r="G113" s="41"/>
      <c r="H113" s="41"/>
      <c r="I113" s="41"/>
      <c r="J113" s="41"/>
      <c r="K113" s="41"/>
      <c r="L113" s="41"/>
    </row>
    <row r="114" spans="1:12" ht="15.95" customHeight="1" x14ac:dyDescent="0.2">
      <c r="A114" s="1"/>
      <c r="B114" s="1"/>
      <c r="C114" s="1"/>
      <c r="D114" s="1"/>
      <c r="E114" s="41"/>
      <c r="F114" s="41"/>
      <c r="G114" s="41"/>
      <c r="H114" s="41"/>
      <c r="I114" s="41"/>
      <c r="J114" s="41"/>
      <c r="K114" s="41"/>
      <c r="L114" s="41"/>
    </row>
    <row r="115" spans="1:12" ht="15.95" customHeight="1" x14ac:dyDescent="0.2">
      <c r="A115" s="1"/>
      <c r="B115" s="1"/>
      <c r="C115" s="1"/>
      <c r="D115" s="1"/>
      <c r="E115" s="41"/>
      <c r="F115" s="41"/>
      <c r="G115" s="41"/>
      <c r="H115" s="41"/>
      <c r="I115" s="41"/>
      <c r="J115" s="41"/>
      <c r="K115" s="41"/>
      <c r="L115" s="41"/>
    </row>
    <row r="116" spans="1:12" ht="15.95" customHeight="1" x14ac:dyDescent="0.2">
      <c r="A116" s="1"/>
      <c r="B116" s="1"/>
      <c r="C116" s="1"/>
      <c r="D116" s="1"/>
      <c r="E116" s="41"/>
      <c r="F116" s="41"/>
      <c r="G116" s="41"/>
      <c r="H116" s="41"/>
      <c r="I116" s="41"/>
      <c r="J116" s="41"/>
      <c r="K116" s="41"/>
      <c r="L116" s="41"/>
    </row>
    <row r="117" spans="1:12" ht="15.95" customHeight="1" x14ac:dyDescent="0.2">
      <c r="A117" s="1"/>
      <c r="B117" s="1"/>
      <c r="C117" s="1"/>
      <c r="D117" s="1"/>
      <c r="E117" s="41"/>
      <c r="F117" s="41"/>
      <c r="G117" s="41"/>
      <c r="H117" s="41"/>
      <c r="I117" s="41"/>
      <c r="J117" s="41"/>
      <c r="K117" s="41"/>
      <c r="L117" s="41"/>
    </row>
    <row r="118" spans="1:12" ht="15.95" customHeight="1" x14ac:dyDescent="0.2">
      <c r="A118" s="1"/>
      <c r="B118" s="1"/>
      <c r="C118" s="1"/>
      <c r="D118" s="1"/>
      <c r="E118" s="41"/>
      <c r="F118" s="41"/>
      <c r="G118" s="41"/>
      <c r="H118" s="41"/>
      <c r="I118" s="41"/>
      <c r="J118" s="41"/>
      <c r="K118" s="41"/>
      <c r="L118" s="41"/>
    </row>
    <row r="119" spans="1:12" ht="15.95" customHeight="1" x14ac:dyDescent="0.2">
      <c r="A119" s="1"/>
      <c r="B119" s="1"/>
      <c r="C119" s="1"/>
      <c r="D119" s="1"/>
      <c r="E119" s="41"/>
      <c r="F119" s="41"/>
      <c r="G119" s="41"/>
      <c r="H119" s="41"/>
      <c r="I119" s="41"/>
      <c r="J119" s="41"/>
      <c r="K119" s="41"/>
      <c r="L119" s="41"/>
    </row>
    <row r="120" spans="1:12" ht="15.95" customHeight="1" x14ac:dyDescent="0.2">
      <c r="A120" s="1"/>
      <c r="B120" s="1"/>
      <c r="C120" s="1"/>
      <c r="D120" s="1"/>
      <c r="E120" s="41"/>
      <c r="F120" s="41"/>
      <c r="G120" s="41"/>
      <c r="H120" s="41"/>
      <c r="I120" s="41"/>
      <c r="J120" s="41"/>
      <c r="K120" s="41"/>
      <c r="L120" s="41"/>
    </row>
    <row r="121" spans="1:12" ht="15.95" customHeight="1" x14ac:dyDescent="0.2">
      <c r="A121" s="1"/>
      <c r="B121" s="1"/>
      <c r="C121" s="1"/>
      <c r="D121" s="1"/>
      <c r="E121" s="41"/>
      <c r="F121" s="41"/>
      <c r="G121" s="41"/>
      <c r="H121" s="41"/>
      <c r="I121" s="41"/>
      <c r="J121" s="41"/>
      <c r="K121" s="41"/>
      <c r="L121" s="41"/>
    </row>
    <row r="122" spans="1:12" ht="15.95" customHeight="1" x14ac:dyDescent="0.2">
      <c r="A122" s="1"/>
      <c r="B122" s="1"/>
      <c r="C122" s="1"/>
      <c r="D122" s="1"/>
      <c r="E122" s="41"/>
      <c r="F122" s="41"/>
      <c r="G122" s="41"/>
      <c r="H122" s="41"/>
      <c r="I122" s="41"/>
      <c r="J122" s="41"/>
      <c r="K122" s="41"/>
      <c r="L122" s="41"/>
    </row>
    <row r="123" spans="1:12" ht="15.95" customHeight="1" x14ac:dyDescent="0.2">
      <c r="A123" s="1"/>
      <c r="B123" s="1"/>
      <c r="C123" s="1"/>
      <c r="D123" s="1"/>
      <c r="E123" s="41"/>
      <c r="F123" s="41"/>
      <c r="G123" s="41"/>
      <c r="H123" s="41"/>
      <c r="I123" s="41"/>
      <c r="J123" s="41"/>
      <c r="K123" s="41"/>
      <c r="L123" s="41"/>
    </row>
    <row r="124" spans="1:12" ht="15.95" customHeight="1" x14ac:dyDescent="0.2">
      <c r="A124" s="1"/>
      <c r="B124" s="1"/>
      <c r="C124" s="1"/>
      <c r="D124" s="1"/>
      <c r="E124" s="41"/>
      <c r="F124" s="41"/>
      <c r="G124" s="41"/>
      <c r="H124" s="41"/>
      <c r="I124" s="41"/>
      <c r="J124" s="41"/>
      <c r="K124" s="41"/>
      <c r="L124" s="41"/>
    </row>
    <row r="125" spans="1:12" ht="15.95" customHeight="1" x14ac:dyDescent="0.2">
      <c r="A125" s="1"/>
      <c r="B125" s="1"/>
      <c r="C125" s="1"/>
      <c r="D125" s="1"/>
      <c r="E125" s="41"/>
      <c r="F125" s="41"/>
      <c r="G125" s="41"/>
      <c r="H125" s="41"/>
      <c r="I125" s="41"/>
      <c r="J125" s="41"/>
      <c r="K125" s="41"/>
      <c r="L125" s="41"/>
    </row>
    <row r="126" spans="1:12" ht="15.95" customHeight="1" x14ac:dyDescent="0.2">
      <c r="A126" s="1"/>
      <c r="B126" s="1"/>
      <c r="C126" s="1"/>
      <c r="D126" s="1"/>
      <c r="E126" s="41"/>
      <c r="F126" s="41"/>
      <c r="G126" s="41"/>
      <c r="H126" s="41"/>
      <c r="I126" s="41"/>
      <c r="J126" s="41"/>
      <c r="K126" s="41"/>
      <c r="L126" s="41"/>
    </row>
    <row r="127" spans="1:12" ht="15.95" customHeight="1" x14ac:dyDescent="0.2">
      <c r="A127" s="1"/>
      <c r="B127" s="1"/>
      <c r="C127" s="1"/>
      <c r="D127" s="1"/>
      <c r="E127" s="41"/>
      <c r="F127" s="41"/>
      <c r="G127" s="41"/>
      <c r="H127" s="41"/>
      <c r="I127" s="41"/>
      <c r="J127" s="41"/>
      <c r="K127" s="41"/>
      <c r="L127" s="41"/>
    </row>
    <row r="128" spans="1:12" ht="15.95" customHeight="1" x14ac:dyDescent="0.2">
      <c r="A128" s="1"/>
      <c r="B128" s="1"/>
      <c r="C128" s="1"/>
      <c r="D128" s="1"/>
      <c r="E128" s="41"/>
      <c r="F128" s="41"/>
      <c r="G128" s="41"/>
      <c r="H128" s="41"/>
      <c r="I128" s="41"/>
      <c r="J128" s="41"/>
      <c r="K128" s="41"/>
      <c r="L128" s="41"/>
    </row>
    <row r="129" spans="1:12" ht="15.95" customHeight="1" x14ac:dyDescent="0.2">
      <c r="A129" s="1"/>
      <c r="B129" s="1"/>
      <c r="C129" s="1"/>
      <c r="D129" s="1"/>
      <c r="E129" s="41"/>
      <c r="F129" s="41"/>
      <c r="G129" s="41"/>
      <c r="H129" s="41"/>
      <c r="I129" s="41"/>
      <c r="J129" s="41"/>
      <c r="K129" s="41"/>
      <c r="L129" s="41"/>
    </row>
    <row r="130" spans="1:12" ht="15.95" customHeight="1" x14ac:dyDescent="0.2">
      <c r="A130" s="1"/>
      <c r="B130" s="1"/>
      <c r="C130" s="1"/>
      <c r="D130" s="1"/>
      <c r="E130" s="41"/>
      <c r="F130" s="41"/>
      <c r="G130" s="41"/>
      <c r="H130" s="41"/>
      <c r="I130" s="41"/>
      <c r="J130" s="41"/>
      <c r="K130" s="41"/>
      <c r="L130" s="41"/>
    </row>
    <row r="131" spans="1:12" ht="15.95" customHeight="1" x14ac:dyDescent="0.2">
      <c r="A131" s="1"/>
      <c r="B131" s="1"/>
      <c r="C131" s="1"/>
      <c r="D131" s="1"/>
      <c r="E131" s="41"/>
      <c r="F131" s="41"/>
      <c r="G131" s="41"/>
      <c r="H131" s="41"/>
      <c r="I131" s="41"/>
      <c r="J131" s="41"/>
      <c r="K131" s="41"/>
      <c r="L131" s="41"/>
    </row>
    <row r="132" spans="1:12" ht="15.95" customHeight="1" x14ac:dyDescent="0.2">
      <c r="A132" s="1"/>
      <c r="B132" s="1"/>
      <c r="C132" s="1"/>
      <c r="D132" s="1"/>
      <c r="E132" s="41"/>
      <c r="F132" s="41"/>
      <c r="G132" s="41"/>
      <c r="H132" s="41"/>
      <c r="I132" s="41"/>
      <c r="J132" s="41"/>
      <c r="K132" s="41"/>
      <c r="L132" s="41"/>
    </row>
    <row r="133" spans="1:12" ht="15.95" customHeight="1" x14ac:dyDescent="0.2">
      <c r="A133" s="1"/>
      <c r="B133" s="1"/>
      <c r="C133" s="1"/>
      <c r="D133" s="1"/>
      <c r="E133" s="41"/>
      <c r="F133" s="41"/>
      <c r="G133" s="41"/>
      <c r="H133" s="41"/>
      <c r="I133" s="41"/>
      <c r="J133" s="41"/>
      <c r="K133" s="41"/>
      <c r="L133" s="41"/>
    </row>
    <row r="134" spans="1:12" ht="15.95" customHeight="1" x14ac:dyDescent="0.2">
      <c r="A134" s="1"/>
      <c r="B134" s="1"/>
      <c r="C134" s="1"/>
      <c r="D134" s="1"/>
      <c r="E134" s="41"/>
      <c r="F134" s="41"/>
      <c r="G134" s="41"/>
      <c r="H134" s="41"/>
      <c r="I134" s="41"/>
      <c r="J134" s="41"/>
      <c r="K134" s="41"/>
      <c r="L134" s="41"/>
    </row>
    <row r="135" spans="1:12" ht="15.95" customHeight="1" x14ac:dyDescent="0.2">
      <c r="A135" s="1"/>
      <c r="B135" s="1"/>
      <c r="C135" s="1"/>
      <c r="D135" s="1"/>
      <c r="E135" s="41"/>
      <c r="F135" s="41"/>
      <c r="G135" s="41"/>
      <c r="H135" s="41"/>
      <c r="I135" s="41"/>
      <c r="J135" s="41"/>
      <c r="K135" s="41"/>
      <c r="L135" s="41"/>
    </row>
    <row r="136" spans="1:12" ht="15.95" customHeight="1" x14ac:dyDescent="0.2">
      <c r="A136" s="1"/>
      <c r="B136" s="1"/>
      <c r="C136" s="1"/>
      <c r="D136" s="1"/>
      <c r="E136" s="41"/>
      <c r="F136" s="41"/>
      <c r="G136" s="41"/>
      <c r="H136" s="41"/>
      <c r="I136" s="41"/>
      <c r="J136" s="41"/>
      <c r="K136" s="41"/>
      <c r="L136" s="41"/>
    </row>
    <row r="137" spans="1:12" ht="15.95" customHeight="1" x14ac:dyDescent="0.2">
      <c r="A137" s="1"/>
      <c r="B137" s="1"/>
      <c r="C137" s="1"/>
      <c r="D137" s="1"/>
      <c r="E137" s="41"/>
      <c r="F137" s="41"/>
      <c r="G137" s="41"/>
      <c r="H137" s="41"/>
      <c r="I137" s="41"/>
      <c r="J137" s="41"/>
      <c r="K137" s="41"/>
      <c r="L137" s="41"/>
    </row>
    <row r="138" spans="1:12" ht="15.95" customHeight="1" x14ac:dyDescent="0.2">
      <c r="A138" s="1"/>
      <c r="B138" s="1"/>
      <c r="C138" s="1"/>
      <c r="D138" s="1"/>
      <c r="E138" s="41"/>
      <c r="F138" s="41"/>
      <c r="G138" s="41"/>
      <c r="H138" s="41"/>
      <c r="I138" s="41"/>
      <c r="J138" s="41"/>
      <c r="K138" s="41"/>
      <c r="L138" s="41"/>
    </row>
    <row r="139" spans="1:12" ht="15.95" customHeight="1" x14ac:dyDescent="0.2">
      <c r="A139" s="1"/>
      <c r="B139" s="1"/>
      <c r="C139" s="1"/>
      <c r="D139" s="1"/>
      <c r="E139" s="41"/>
      <c r="F139" s="41"/>
      <c r="G139" s="41"/>
      <c r="H139" s="41"/>
      <c r="I139" s="41"/>
      <c r="J139" s="41"/>
      <c r="K139" s="41"/>
      <c r="L139" s="41"/>
    </row>
    <row r="140" spans="1:12" ht="15.95" customHeight="1" x14ac:dyDescent="0.2">
      <c r="A140" s="1"/>
      <c r="B140" s="1"/>
      <c r="C140" s="1"/>
      <c r="D140" s="1"/>
      <c r="E140" s="41"/>
      <c r="F140" s="41"/>
      <c r="G140" s="41"/>
      <c r="H140" s="41"/>
      <c r="I140" s="41"/>
      <c r="J140" s="41"/>
      <c r="K140" s="41"/>
      <c r="L140" s="41"/>
    </row>
    <row r="141" spans="1:12" ht="15.95" customHeight="1" x14ac:dyDescent="0.2">
      <c r="A141" s="1"/>
      <c r="B141" s="1"/>
      <c r="C141" s="1"/>
      <c r="D141" s="1"/>
      <c r="E141" s="41"/>
      <c r="F141" s="41"/>
      <c r="G141" s="41"/>
      <c r="H141" s="41"/>
      <c r="I141" s="41"/>
      <c r="J141" s="41"/>
      <c r="K141" s="41"/>
      <c r="L141" s="41"/>
    </row>
    <row r="142" spans="1:12" ht="15.95" customHeight="1" x14ac:dyDescent="0.2">
      <c r="A142" s="1"/>
      <c r="B142" s="1"/>
      <c r="C142" s="1"/>
      <c r="D142" s="1"/>
      <c r="E142" s="41"/>
      <c r="F142" s="41"/>
      <c r="G142" s="41"/>
      <c r="H142" s="41"/>
      <c r="I142" s="41"/>
      <c r="J142" s="41"/>
      <c r="K142" s="41"/>
      <c r="L142" s="41"/>
    </row>
    <row r="143" spans="1:12" ht="15.95" customHeight="1" x14ac:dyDescent="0.2">
      <c r="A143" s="1"/>
      <c r="B143" s="1"/>
      <c r="C143" s="1"/>
      <c r="D143" s="1"/>
      <c r="E143" s="41"/>
      <c r="F143" s="41"/>
      <c r="G143" s="41"/>
      <c r="H143" s="41"/>
      <c r="I143" s="41"/>
      <c r="J143" s="41"/>
      <c r="K143" s="41"/>
      <c r="L143" s="41"/>
    </row>
    <row r="144" spans="1:12" ht="15.95" customHeight="1" x14ac:dyDescent="0.2">
      <c r="A144" s="1"/>
      <c r="B144" s="1"/>
      <c r="C144" s="1"/>
      <c r="D144" s="1"/>
      <c r="E144" s="41"/>
      <c r="F144" s="41"/>
      <c r="G144" s="41"/>
      <c r="H144" s="41"/>
      <c r="I144" s="41"/>
      <c r="J144" s="41"/>
      <c r="K144" s="41"/>
      <c r="L144" s="41"/>
    </row>
    <row r="145" spans="1:12" ht="15.95" customHeight="1" x14ac:dyDescent="0.2">
      <c r="A145" s="1"/>
      <c r="B145" s="1"/>
      <c r="C145" s="1"/>
      <c r="D145" s="1"/>
      <c r="E145" s="41"/>
      <c r="F145" s="41"/>
      <c r="G145" s="41"/>
      <c r="H145" s="41"/>
      <c r="I145" s="41"/>
      <c r="J145" s="41"/>
      <c r="K145" s="41"/>
      <c r="L145" s="41"/>
    </row>
    <row r="146" spans="1:12" ht="15.95" customHeight="1" x14ac:dyDescent="0.2">
      <c r="A146" s="1"/>
      <c r="B146" s="1"/>
      <c r="C146" s="1"/>
      <c r="D146" s="1"/>
      <c r="E146" s="41"/>
      <c r="F146" s="41"/>
      <c r="G146" s="41"/>
      <c r="H146" s="41"/>
      <c r="I146" s="41"/>
      <c r="J146" s="41"/>
      <c r="K146" s="41"/>
      <c r="L146" s="41"/>
    </row>
    <row r="147" spans="1:12" ht="15.95" customHeight="1" x14ac:dyDescent="0.2">
      <c r="A147" s="1"/>
      <c r="B147" s="1"/>
      <c r="C147" s="1"/>
      <c r="D147" s="1"/>
      <c r="E147" s="41"/>
      <c r="F147" s="41"/>
      <c r="G147" s="41"/>
      <c r="H147" s="41"/>
      <c r="I147" s="41"/>
      <c r="J147" s="41"/>
      <c r="K147" s="41"/>
      <c r="L147" s="41"/>
    </row>
    <row r="148" spans="1:12" ht="15.95" customHeight="1" x14ac:dyDescent="0.2">
      <c r="A148" s="1"/>
      <c r="B148" s="1"/>
      <c r="C148" s="1"/>
      <c r="D148" s="1"/>
      <c r="E148" s="41"/>
      <c r="F148" s="41"/>
      <c r="G148" s="41"/>
      <c r="H148" s="41"/>
      <c r="I148" s="41"/>
      <c r="J148" s="41"/>
      <c r="K148" s="41"/>
      <c r="L148" s="41"/>
    </row>
    <row r="149" spans="1:12" ht="15.95" customHeight="1" x14ac:dyDescent="0.2">
      <c r="A149" s="1"/>
      <c r="B149" s="1"/>
      <c r="C149" s="1"/>
      <c r="D149" s="1"/>
      <c r="E149" s="41"/>
      <c r="F149" s="41"/>
      <c r="G149" s="41"/>
      <c r="H149" s="41"/>
      <c r="I149" s="41"/>
      <c r="J149" s="41"/>
      <c r="K149" s="41"/>
      <c r="L149" s="41"/>
    </row>
    <row r="150" spans="1:12" ht="15.95" customHeight="1" x14ac:dyDescent="0.2">
      <c r="A150" s="1"/>
      <c r="B150" s="1"/>
      <c r="C150" s="1"/>
      <c r="D150" s="1"/>
      <c r="E150" s="41"/>
      <c r="F150" s="41"/>
      <c r="G150" s="41"/>
      <c r="H150" s="41"/>
      <c r="I150" s="41"/>
      <c r="J150" s="41"/>
      <c r="K150" s="41"/>
      <c r="L150" s="41"/>
    </row>
    <row r="151" spans="1:12" ht="15.95" customHeight="1" x14ac:dyDescent="0.2">
      <c r="A151" s="1"/>
      <c r="B151" s="1"/>
      <c r="C151" s="1"/>
      <c r="D151" s="1"/>
      <c r="E151" s="41"/>
      <c r="F151" s="41"/>
      <c r="G151" s="41"/>
      <c r="H151" s="41"/>
      <c r="I151" s="41"/>
      <c r="J151" s="41"/>
      <c r="K151" s="41"/>
      <c r="L151" s="41"/>
    </row>
    <row r="152" spans="1:12" ht="15.95" customHeight="1" x14ac:dyDescent="0.2">
      <c r="A152" s="1"/>
      <c r="B152" s="1"/>
      <c r="C152" s="1"/>
      <c r="D152" s="1"/>
      <c r="E152" s="41"/>
      <c r="F152" s="41"/>
      <c r="G152" s="41"/>
      <c r="H152" s="41"/>
      <c r="I152" s="41"/>
      <c r="J152" s="41"/>
      <c r="K152" s="41"/>
      <c r="L152" s="41"/>
    </row>
    <row r="153" spans="1:12" ht="15.95" customHeight="1" x14ac:dyDescent="0.2">
      <c r="A153" s="1"/>
      <c r="B153" s="1"/>
      <c r="C153" s="1"/>
      <c r="D153" s="1"/>
      <c r="E153" s="41"/>
      <c r="F153" s="41"/>
      <c r="G153" s="41"/>
      <c r="H153" s="41"/>
      <c r="I153" s="41"/>
      <c r="J153" s="41"/>
      <c r="K153" s="41"/>
      <c r="L153" s="41"/>
    </row>
    <row r="154" spans="1:12" ht="15.95" customHeight="1" x14ac:dyDescent="0.2">
      <c r="A154" s="1"/>
      <c r="B154" s="1"/>
      <c r="C154" s="1"/>
      <c r="D154" s="1"/>
      <c r="E154" s="41"/>
      <c r="F154" s="41"/>
      <c r="G154" s="41"/>
      <c r="H154" s="41"/>
      <c r="I154" s="41"/>
      <c r="J154" s="41"/>
      <c r="K154" s="41"/>
      <c r="L154" s="41"/>
    </row>
    <row r="155" spans="1:12" ht="15.95" customHeight="1" x14ac:dyDescent="0.2">
      <c r="A155" s="1"/>
      <c r="B155" s="1"/>
      <c r="C155" s="1"/>
      <c r="D155" s="1"/>
      <c r="E155" s="41"/>
      <c r="F155" s="41"/>
      <c r="G155" s="41"/>
      <c r="H155" s="41"/>
      <c r="I155" s="41"/>
      <c r="J155" s="41"/>
      <c r="K155" s="41"/>
      <c r="L155" s="41"/>
    </row>
    <row r="156" spans="1:12" ht="15.95" customHeight="1" x14ac:dyDescent="0.2">
      <c r="A156" s="1"/>
      <c r="B156" s="1"/>
      <c r="C156" s="1"/>
      <c r="D156" s="1"/>
      <c r="E156" s="41"/>
      <c r="F156" s="41"/>
      <c r="G156" s="41"/>
      <c r="H156" s="41"/>
      <c r="I156" s="41"/>
      <c r="J156" s="41"/>
      <c r="K156" s="41"/>
      <c r="L156" s="41"/>
    </row>
    <row r="157" spans="1:12" ht="15.95" customHeight="1" x14ac:dyDescent="0.2">
      <c r="A157" s="1"/>
      <c r="B157" s="1"/>
      <c r="C157" s="1"/>
      <c r="D157" s="1"/>
      <c r="E157" s="41"/>
      <c r="F157" s="41"/>
      <c r="G157" s="41"/>
      <c r="H157" s="41"/>
      <c r="I157" s="41"/>
      <c r="J157" s="41"/>
      <c r="K157" s="41"/>
      <c r="L157" s="41"/>
    </row>
    <row r="158" spans="1:12" ht="15.95" customHeight="1" x14ac:dyDescent="0.2">
      <c r="A158" s="1"/>
      <c r="B158" s="1"/>
      <c r="C158" s="1"/>
      <c r="D158" s="1"/>
      <c r="E158" s="41"/>
      <c r="F158" s="41"/>
      <c r="G158" s="41"/>
      <c r="H158" s="41"/>
      <c r="I158" s="41"/>
      <c r="J158" s="41"/>
      <c r="K158" s="41"/>
      <c r="L158" s="41"/>
    </row>
    <row r="159" spans="1:12" ht="15.95" customHeight="1" x14ac:dyDescent="0.2">
      <c r="A159" s="1"/>
      <c r="B159" s="1"/>
      <c r="C159" s="1"/>
      <c r="D159" s="1"/>
      <c r="E159" s="41"/>
      <c r="F159" s="41"/>
      <c r="G159" s="41"/>
      <c r="H159" s="41"/>
      <c r="I159" s="41"/>
      <c r="J159" s="41"/>
      <c r="K159" s="41"/>
      <c r="L159" s="41"/>
    </row>
    <row r="160" spans="1:12" ht="15.95" customHeight="1" x14ac:dyDescent="0.2">
      <c r="A160" s="1"/>
      <c r="B160" s="1"/>
      <c r="C160" s="1"/>
      <c r="D160" s="1"/>
      <c r="E160" s="41"/>
      <c r="F160" s="41"/>
      <c r="G160" s="41"/>
      <c r="H160" s="41"/>
      <c r="I160" s="41"/>
      <c r="J160" s="41"/>
      <c r="K160" s="41"/>
      <c r="L160" s="41"/>
    </row>
    <row r="161" spans="1:12" ht="15.95" customHeight="1" x14ac:dyDescent="0.2">
      <c r="A161" s="1"/>
      <c r="B161" s="1"/>
      <c r="C161" s="1"/>
      <c r="D161" s="1"/>
      <c r="E161" s="41"/>
      <c r="F161" s="41"/>
      <c r="G161" s="41"/>
      <c r="H161" s="41"/>
      <c r="I161" s="41"/>
      <c r="J161" s="41"/>
      <c r="K161" s="41"/>
      <c r="L161" s="41"/>
    </row>
    <row r="162" spans="1:12" ht="15.95" customHeight="1" x14ac:dyDescent="0.2">
      <c r="A162" s="1"/>
      <c r="B162" s="1"/>
      <c r="C162" s="1"/>
      <c r="D162" s="1"/>
      <c r="E162" s="41"/>
      <c r="F162" s="41"/>
      <c r="G162" s="41"/>
      <c r="H162" s="41"/>
      <c r="I162" s="41"/>
      <c r="J162" s="41"/>
      <c r="K162" s="41"/>
      <c r="L162" s="41"/>
    </row>
    <row r="163" spans="1:12" ht="15.95" customHeight="1" x14ac:dyDescent="0.2">
      <c r="A163" s="1"/>
      <c r="B163" s="1"/>
      <c r="C163" s="1"/>
      <c r="D163" s="1"/>
      <c r="E163" s="41"/>
      <c r="F163" s="41"/>
      <c r="G163" s="41"/>
      <c r="H163" s="41"/>
      <c r="I163" s="41"/>
      <c r="J163" s="41"/>
      <c r="K163" s="41"/>
      <c r="L163" s="41"/>
    </row>
    <row r="164" spans="1:12" ht="15.95" customHeight="1" x14ac:dyDescent="0.2">
      <c r="A164" s="1"/>
      <c r="B164" s="1"/>
      <c r="C164" s="1"/>
      <c r="D164" s="1"/>
      <c r="E164" s="41"/>
      <c r="F164" s="41"/>
      <c r="G164" s="41"/>
      <c r="H164" s="41"/>
      <c r="I164" s="41"/>
      <c r="J164" s="41"/>
      <c r="K164" s="41"/>
      <c r="L164" s="41"/>
    </row>
    <row r="165" spans="1:12" ht="15.95" customHeight="1" x14ac:dyDescent="0.2">
      <c r="A165" s="1"/>
      <c r="B165" s="1"/>
      <c r="C165" s="1"/>
      <c r="D165" s="1"/>
      <c r="E165" s="41"/>
      <c r="F165" s="41"/>
      <c r="G165" s="41"/>
      <c r="H165" s="41"/>
      <c r="I165" s="41"/>
      <c r="J165" s="41"/>
      <c r="K165" s="41"/>
      <c r="L165" s="41"/>
    </row>
    <row r="166" spans="1:12" ht="15.95" customHeight="1" x14ac:dyDescent="0.2">
      <c r="A166" s="1"/>
      <c r="B166" s="1"/>
      <c r="C166" s="1"/>
      <c r="D166" s="1"/>
      <c r="E166" s="41"/>
      <c r="F166" s="41"/>
      <c r="G166" s="41"/>
      <c r="H166" s="41"/>
      <c r="I166" s="41"/>
      <c r="J166" s="41"/>
      <c r="K166" s="41"/>
      <c r="L166" s="41"/>
    </row>
    <row r="167" spans="1:12" ht="15.95" customHeight="1" x14ac:dyDescent="0.2">
      <c r="A167" s="1"/>
      <c r="B167" s="1"/>
      <c r="C167" s="1"/>
      <c r="D167" s="1"/>
      <c r="E167" s="41"/>
      <c r="F167" s="41"/>
      <c r="G167" s="41"/>
      <c r="H167" s="41"/>
      <c r="I167" s="41"/>
      <c r="J167" s="41"/>
      <c r="K167" s="41"/>
      <c r="L167" s="41"/>
    </row>
    <row r="168" spans="1:12" ht="15.95" customHeight="1" x14ac:dyDescent="0.2">
      <c r="A168" s="1"/>
      <c r="B168" s="1"/>
      <c r="C168" s="1"/>
      <c r="D168" s="1"/>
      <c r="E168" s="41"/>
      <c r="F168" s="41"/>
      <c r="G168" s="41"/>
      <c r="H168" s="41"/>
      <c r="I168" s="41"/>
      <c r="J168" s="41"/>
      <c r="K168" s="41"/>
      <c r="L168" s="41"/>
    </row>
    <row r="169" spans="1:12" ht="15.95" customHeight="1" x14ac:dyDescent="0.2">
      <c r="A169" s="1"/>
      <c r="B169" s="1"/>
      <c r="C169" s="1"/>
      <c r="D169" s="1"/>
      <c r="E169" s="41"/>
      <c r="F169" s="41"/>
      <c r="G169" s="41"/>
      <c r="H169" s="41"/>
      <c r="I169" s="41"/>
      <c r="J169" s="41"/>
      <c r="K169" s="41"/>
      <c r="L169" s="41"/>
    </row>
    <row r="170" spans="1:12" ht="15.95" customHeight="1" x14ac:dyDescent="0.2">
      <c r="A170" s="1"/>
      <c r="B170" s="1"/>
      <c r="C170" s="1"/>
      <c r="D170" s="1"/>
      <c r="E170" s="41"/>
      <c r="F170" s="41"/>
      <c r="G170" s="41"/>
      <c r="H170" s="41"/>
      <c r="I170" s="41"/>
      <c r="J170" s="41"/>
      <c r="K170" s="41"/>
      <c r="L170" s="41"/>
    </row>
    <row r="171" spans="1:12" ht="15.95" customHeight="1" x14ac:dyDescent="0.2">
      <c r="A171" s="1"/>
      <c r="B171" s="1"/>
      <c r="C171" s="1"/>
      <c r="D171" s="1"/>
      <c r="E171" s="41"/>
      <c r="F171" s="41"/>
      <c r="G171" s="41"/>
      <c r="H171" s="41"/>
      <c r="I171" s="41"/>
      <c r="J171" s="41"/>
      <c r="K171" s="41"/>
      <c r="L171" s="41"/>
    </row>
    <row r="172" spans="1:12" x14ac:dyDescent="0.2">
      <c r="A172" s="1"/>
      <c r="B172" s="1"/>
      <c r="C172" s="1"/>
      <c r="D172" s="1"/>
      <c r="E172" s="41"/>
      <c r="F172" s="41"/>
      <c r="G172" s="41"/>
      <c r="H172" s="41"/>
      <c r="I172" s="41"/>
      <c r="J172" s="41"/>
      <c r="K172" s="41"/>
      <c r="L172" s="41"/>
    </row>
    <row r="173" spans="1:12" x14ac:dyDescent="0.2">
      <c r="A173" s="1"/>
      <c r="B173" s="1"/>
      <c r="C173" s="1"/>
      <c r="D173" s="1"/>
      <c r="E173" s="41"/>
      <c r="F173" s="41"/>
      <c r="G173" s="41"/>
      <c r="H173" s="41"/>
      <c r="I173" s="41"/>
      <c r="J173" s="41"/>
      <c r="K173" s="41"/>
      <c r="L173" s="41"/>
    </row>
    <row r="174" spans="1:12" x14ac:dyDescent="0.2">
      <c r="A174" s="1"/>
      <c r="B174" s="1"/>
      <c r="C174" s="1"/>
      <c r="D174" s="1"/>
      <c r="E174" s="41"/>
      <c r="F174" s="41"/>
      <c r="G174" s="41"/>
      <c r="H174" s="41"/>
      <c r="I174" s="41"/>
      <c r="J174" s="41"/>
      <c r="K174" s="41"/>
      <c r="L174" s="41"/>
    </row>
    <row r="175" spans="1:12" x14ac:dyDescent="0.2">
      <c r="A175" s="1"/>
      <c r="B175" s="1"/>
      <c r="C175" s="1"/>
      <c r="D175" s="1"/>
      <c r="E175" s="41"/>
      <c r="F175" s="41"/>
      <c r="G175" s="41"/>
      <c r="H175" s="41"/>
      <c r="I175" s="41"/>
      <c r="J175" s="41"/>
      <c r="K175" s="41"/>
      <c r="L175" s="41"/>
    </row>
    <row r="176" spans="1:12" x14ac:dyDescent="0.2">
      <c r="A176" s="1"/>
      <c r="B176" s="1"/>
      <c r="C176" s="1"/>
      <c r="D176" s="1"/>
      <c r="E176" s="41"/>
      <c r="F176" s="41"/>
      <c r="G176" s="41"/>
      <c r="H176" s="41"/>
      <c r="I176" s="41"/>
      <c r="J176" s="41"/>
      <c r="K176" s="41"/>
      <c r="L176" s="41"/>
    </row>
    <row r="177" spans="1:12" x14ac:dyDescent="0.2">
      <c r="A177" s="1"/>
      <c r="B177" s="1"/>
      <c r="C177" s="1"/>
      <c r="D177" s="1"/>
      <c r="E177" s="41"/>
      <c r="F177" s="41"/>
      <c r="G177" s="41"/>
      <c r="H177" s="41"/>
      <c r="I177" s="41"/>
      <c r="J177" s="41"/>
      <c r="K177" s="41"/>
      <c r="L177" s="41"/>
    </row>
    <row r="178" spans="1:12" x14ac:dyDescent="0.2">
      <c r="A178" s="1"/>
      <c r="B178" s="1"/>
      <c r="C178" s="1"/>
      <c r="D178" s="1"/>
      <c r="E178" s="41"/>
      <c r="F178" s="41"/>
      <c r="G178" s="41"/>
      <c r="H178" s="41"/>
      <c r="I178" s="41"/>
      <c r="J178" s="41"/>
      <c r="K178" s="41"/>
      <c r="L178" s="41"/>
    </row>
    <row r="179" spans="1:12" x14ac:dyDescent="0.2">
      <c r="A179" s="1"/>
      <c r="B179" s="1"/>
      <c r="C179" s="1"/>
      <c r="D179" s="1"/>
      <c r="E179" s="41"/>
      <c r="F179" s="41"/>
      <c r="G179" s="41"/>
      <c r="H179" s="41"/>
      <c r="I179" s="41"/>
      <c r="J179" s="41"/>
      <c r="K179" s="41"/>
      <c r="L179" s="41"/>
    </row>
    <row r="180" spans="1:12" x14ac:dyDescent="0.2">
      <c r="A180" s="1"/>
      <c r="B180" s="1"/>
      <c r="C180" s="1"/>
      <c r="D180" s="1"/>
      <c r="E180" s="41"/>
      <c r="F180" s="41"/>
      <c r="G180" s="41"/>
      <c r="H180" s="41"/>
      <c r="I180" s="41"/>
      <c r="J180" s="41"/>
      <c r="K180" s="41"/>
      <c r="L180" s="41"/>
    </row>
    <row r="181" spans="1:12" x14ac:dyDescent="0.2">
      <c r="A181" s="1"/>
      <c r="B181" s="1"/>
      <c r="C181" s="1"/>
      <c r="D181" s="1"/>
      <c r="E181" s="41"/>
      <c r="F181" s="41"/>
      <c r="G181" s="41"/>
      <c r="H181" s="41"/>
      <c r="I181" s="41"/>
      <c r="J181" s="41"/>
      <c r="K181" s="41"/>
      <c r="L181" s="41"/>
    </row>
    <row r="182" spans="1:12" x14ac:dyDescent="0.2">
      <c r="A182" s="1"/>
      <c r="B182" s="1"/>
      <c r="C182" s="1"/>
      <c r="D182" s="1"/>
      <c r="E182" s="41"/>
      <c r="F182" s="41"/>
      <c r="G182" s="41"/>
      <c r="H182" s="41"/>
      <c r="I182" s="41"/>
      <c r="J182" s="41"/>
      <c r="K182" s="41"/>
      <c r="L182" s="41"/>
    </row>
    <row r="183" spans="1:12" x14ac:dyDescent="0.2">
      <c r="A183" s="1"/>
      <c r="B183" s="1"/>
      <c r="C183" s="1"/>
      <c r="D183" s="1"/>
      <c r="E183" s="41"/>
      <c r="F183" s="41"/>
      <c r="G183" s="41"/>
      <c r="H183" s="41"/>
      <c r="I183" s="41"/>
      <c r="J183" s="41"/>
      <c r="K183" s="41"/>
      <c r="L183" s="41"/>
    </row>
    <row r="184" spans="1:12" x14ac:dyDescent="0.2">
      <c r="A184" s="1"/>
      <c r="B184" s="1"/>
      <c r="C184" s="1"/>
      <c r="D184" s="1"/>
      <c r="E184" s="41"/>
      <c r="F184" s="41"/>
      <c r="G184" s="41"/>
      <c r="H184" s="41"/>
      <c r="I184" s="41"/>
      <c r="J184" s="41"/>
      <c r="K184" s="41"/>
      <c r="L184" s="41"/>
    </row>
    <row r="185" spans="1:12" x14ac:dyDescent="0.2">
      <c r="A185" s="1"/>
      <c r="B185" s="1"/>
      <c r="C185" s="1"/>
      <c r="D185" s="1"/>
      <c r="E185" s="41"/>
      <c r="F185" s="41"/>
      <c r="G185" s="41"/>
      <c r="H185" s="41"/>
      <c r="I185" s="41"/>
      <c r="J185" s="41"/>
      <c r="K185" s="41"/>
      <c r="L185" s="41"/>
    </row>
    <row r="186" spans="1:12" x14ac:dyDescent="0.2">
      <c r="A186" s="1"/>
      <c r="B186" s="1"/>
      <c r="C186" s="1"/>
      <c r="D186" s="1"/>
      <c r="E186" s="41"/>
      <c r="F186" s="41"/>
      <c r="G186" s="41"/>
      <c r="H186" s="41"/>
      <c r="I186" s="41"/>
      <c r="J186" s="41"/>
      <c r="K186" s="41"/>
      <c r="L186" s="41"/>
    </row>
    <row r="187" spans="1:12" x14ac:dyDescent="0.2">
      <c r="A187" s="1"/>
      <c r="B187" s="1"/>
      <c r="C187" s="1"/>
      <c r="D187" s="1"/>
      <c r="E187" s="41"/>
      <c r="F187" s="41"/>
      <c r="G187" s="41"/>
      <c r="H187" s="41"/>
      <c r="I187" s="41"/>
      <c r="J187" s="41"/>
      <c r="K187" s="41"/>
      <c r="L187" s="41"/>
    </row>
    <row r="188" spans="1:12" x14ac:dyDescent="0.2">
      <c r="A188" s="1"/>
      <c r="B188" s="1"/>
      <c r="C188" s="1"/>
      <c r="D188" s="1"/>
      <c r="E188" s="41"/>
      <c r="F188" s="41"/>
      <c r="G188" s="41"/>
      <c r="H188" s="41"/>
      <c r="I188" s="41"/>
      <c r="J188" s="41"/>
      <c r="K188" s="41"/>
      <c r="L188" s="41"/>
    </row>
    <row r="189" spans="1:12" x14ac:dyDescent="0.2">
      <c r="A189" s="1"/>
      <c r="B189" s="1"/>
      <c r="C189" s="1"/>
      <c r="D189" s="1"/>
      <c r="E189" s="41"/>
      <c r="F189" s="41"/>
      <c r="G189" s="41"/>
      <c r="H189" s="41"/>
      <c r="I189" s="41"/>
      <c r="J189" s="41"/>
      <c r="K189" s="41"/>
      <c r="L189" s="41"/>
    </row>
    <row r="190" spans="1:12" x14ac:dyDescent="0.2">
      <c r="A190" s="1"/>
      <c r="B190" s="1"/>
      <c r="C190" s="1"/>
      <c r="D190" s="1"/>
      <c r="E190" s="41"/>
      <c r="F190" s="41"/>
      <c r="G190" s="41"/>
      <c r="H190" s="41"/>
      <c r="I190" s="41"/>
      <c r="J190" s="41"/>
      <c r="K190" s="41"/>
      <c r="L190" s="41"/>
    </row>
    <row r="191" spans="1:12" x14ac:dyDescent="0.2">
      <c r="A191" s="1"/>
      <c r="B191" s="1"/>
      <c r="C191" s="1"/>
      <c r="D191" s="1"/>
      <c r="E191" s="41"/>
      <c r="F191" s="41"/>
      <c r="G191" s="41"/>
      <c r="H191" s="41"/>
      <c r="I191" s="41"/>
      <c r="J191" s="41"/>
      <c r="K191" s="41"/>
      <c r="L191" s="41"/>
    </row>
    <row r="192" spans="1:12" x14ac:dyDescent="0.2">
      <c r="A192" s="1"/>
      <c r="B192" s="1"/>
      <c r="C192" s="1"/>
      <c r="D192" s="1"/>
      <c r="E192" s="41"/>
      <c r="F192" s="41"/>
      <c r="G192" s="41"/>
      <c r="H192" s="41"/>
      <c r="I192" s="41"/>
      <c r="J192" s="41"/>
      <c r="K192" s="41"/>
      <c r="L192" s="41"/>
    </row>
    <row r="193" spans="1:12" x14ac:dyDescent="0.2">
      <c r="A193" s="1"/>
      <c r="B193" s="1"/>
      <c r="C193" s="1"/>
      <c r="D193" s="1"/>
      <c r="E193" s="41"/>
      <c r="F193" s="41"/>
      <c r="G193" s="41"/>
      <c r="H193" s="41"/>
      <c r="I193" s="41"/>
      <c r="J193" s="41"/>
      <c r="K193" s="41"/>
      <c r="L193" s="41"/>
    </row>
    <row r="194" spans="1:12" x14ac:dyDescent="0.2">
      <c r="A194" s="1"/>
      <c r="B194" s="1"/>
      <c r="C194" s="1"/>
      <c r="D194" s="1"/>
      <c r="E194" s="41"/>
      <c r="F194" s="41"/>
      <c r="G194" s="41"/>
      <c r="H194" s="41"/>
      <c r="I194" s="41"/>
      <c r="J194" s="41"/>
      <c r="K194" s="41"/>
      <c r="L194" s="41"/>
    </row>
    <row r="195" spans="1:12" x14ac:dyDescent="0.2">
      <c r="A195" s="1"/>
      <c r="B195" s="1"/>
      <c r="C195" s="1"/>
      <c r="D195" s="1"/>
      <c r="E195" s="41"/>
      <c r="F195" s="41"/>
      <c r="G195" s="41"/>
      <c r="H195" s="41"/>
      <c r="I195" s="41"/>
      <c r="J195" s="41"/>
      <c r="K195" s="41"/>
      <c r="L195" s="41"/>
    </row>
    <row r="196" spans="1:12" x14ac:dyDescent="0.2">
      <c r="A196" s="1"/>
      <c r="B196" s="1"/>
      <c r="C196" s="1"/>
      <c r="D196" s="1"/>
      <c r="E196" s="41"/>
      <c r="F196" s="41"/>
      <c r="G196" s="41"/>
      <c r="H196" s="41"/>
      <c r="I196" s="41"/>
      <c r="J196" s="41"/>
      <c r="K196" s="41"/>
      <c r="L196" s="41"/>
    </row>
    <row r="197" spans="1:12" x14ac:dyDescent="0.2">
      <c r="A197" s="1"/>
      <c r="B197" s="1"/>
      <c r="C197" s="1"/>
      <c r="D197" s="1"/>
      <c r="E197" s="41"/>
      <c r="F197" s="41"/>
      <c r="G197" s="41"/>
      <c r="H197" s="41"/>
      <c r="I197" s="41"/>
      <c r="J197" s="41"/>
      <c r="K197" s="41"/>
      <c r="L197" s="41"/>
    </row>
    <row r="198" spans="1:12" x14ac:dyDescent="0.2">
      <c r="A198" s="1"/>
      <c r="B198" s="1"/>
      <c r="C198" s="1"/>
      <c r="D198" s="1"/>
      <c r="E198" s="41"/>
      <c r="F198" s="41"/>
      <c r="G198" s="41"/>
      <c r="H198" s="41"/>
      <c r="I198" s="41"/>
      <c r="J198" s="41"/>
      <c r="K198" s="41"/>
      <c r="L198" s="41"/>
    </row>
    <row r="199" spans="1:12" x14ac:dyDescent="0.2">
      <c r="A199" s="1"/>
      <c r="B199" s="1"/>
      <c r="C199" s="1"/>
      <c r="D199" s="1"/>
      <c r="E199" s="41"/>
      <c r="F199" s="41"/>
      <c r="G199" s="41"/>
      <c r="H199" s="41"/>
      <c r="I199" s="41"/>
      <c r="J199" s="41"/>
      <c r="K199" s="41"/>
      <c r="L199" s="41"/>
    </row>
    <row r="200" spans="1:12" x14ac:dyDescent="0.2">
      <c r="A200" s="1"/>
      <c r="B200" s="1"/>
      <c r="C200" s="1"/>
      <c r="D200" s="1"/>
      <c r="E200" s="41"/>
      <c r="F200" s="41"/>
      <c r="G200" s="41"/>
      <c r="H200" s="41"/>
      <c r="I200" s="41"/>
      <c r="J200" s="41"/>
      <c r="K200" s="41"/>
      <c r="L200" s="41"/>
    </row>
    <row r="201" spans="1:12" x14ac:dyDescent="0.2">
      <c r="A201" s="1"/>
      <c r="B201" s="1"/>
      <c r="C201" s="1"/>
      <c r="D201" s="1"/>
      <c r="E201" s="41"/>
      <c r="F201" s="41"/>
      <c r="G201" s="41"/>
      <c r="H201" s="41"/>
      <c r="I201" s="41"/>
      <c r="J201" s="41"/>
      <c r="K201" s="41"/>
      <c r="L201" s="41"/>
    </row>
    <row r="202" spans="1:12" x14ac:dyDescent="0.2">
      <c r="A202" s="1"/>
      <c r="B202" s="1"/>
      <c r="C202" s="1"/>
      <c r="D202" s="1"/>
      <c r="E202" s="41"/>
      <c r="F202" s="41"/>
      <c r="G202" s="41"/>
      <c r="H202" s="41"/>
      <c r="I202" s="41"/>
      <c r="J202" s="41"/>
      <c r="K202" s="41"/>
      <c r="L202" s="41"/>
    </row>
    <row r="203" spans="1:12" x14ac:dyDescent="0.2">
      <c r="A203" s="1"/>
      <c r="B203" s="1"/>
      <c r="C203" s="1"/>
      <c r="D203" s="1"/>
      <c r="E203" s="41"/>
      <c r="F203" s="41"/>
      <c r="G203" s="41"/>
      <c r="H203" s="41"/>
      <c r="I203" s="41"/>
      <c r="J203" s="41"/>
      <c r="K203" s="41"/>
      <c r="L203" s="41"/>
    </row>
    <row r="204" spans="1:12" x14ac:dyDescent="0.2">
      <c r="A204" s="1"/>
      <c r="B204" s="1"/>
      <c r="C204" s="1"/>
      <c r="D204" s="1"/>
      <c r="E204" s="41"/>
      <c r="F204" s="41"/>
      <c r="G204" s="41"/>
      <c r="H204" s="41"/>
      <c r="I204" s="41"/>
      <c r="J204" s="41"/>
      <c r="K204" s="41"/>
      <c r="L204" s="41"/>
    </row>
    <row r="205" spans="1:12" x14ac:dyDescent="0.2">
      <c r="A205" s="1"/>
      <c r="B205" s="1"/>
      <c r="C205" s="1"/>
      <c r="D205" s="1"/>
      <c r="E205" s="41"/>
      <c r="F205" s="41"/>
      <c r="G205" s="41"/>
      <c r="H205" s="41"/>
      <c r="I205" s="41"/>
      <c r="J205" s="41"/>
      <c r="K205" s="41"/>
      <c r="L205" s="41"/>
    </row>
    <row r="206" spans="1:12" x14ac:dyDescent="0.2">
      <c r="A206" s="1"/>
      <c r="B206" s="1"/>
      <c r="C206" s="1"/>
      <c r="D206" s="1"/>
      <c r="E206" s="41"/>
      <c r="F206" s="41"/>
      <c r="G206" s="41"/>
      <c r="H206" s="41"/>
      <c r="I206" s="41"/>
      <c r="J206" s="41"/>
      <c r="K206" s="41"/>
      <c r="L206" s="41"/>
    </row>
    <row r="207" spans="1:12" x14ac:dyDescent="0.2">
      <c r="A207" s="1"/>
      <c r="B207" s="1"/>
      <c r="C207" s="1"/>
      <c r="D207" s="1"/>
      <c r="E207" s="41"/>
      <c r="F207" s="41"/>
      <c r="G207" s="41"/>
      <c r="H207" s="41"/>
      <c r="I207" s="41"/>
      <c r="J207" s="41"/>
      <c r="K207" s="41"/>
      <c r="L207" s="41"/>
    </row>
    <row r="208" spans="1:12" x14ac:dyDescent="0.2">
      <c r="A208" s="1"/>
      <c r="B208" s="1"/>
      <c r="C208" s="1"/>
      <c r="D208" s="1"/>
      <c r="E208" s="41"/>
      <c r="F208" s="41"/>
      <c r="G208" s="41"/>
      <c r="H208" s="41"/>
      <c r="I208" s="41"/>
      <c r="J208" s="41"/>
      <c r="K208" s="41"/>
      <c r="L208" s="41"/>
    </row>
    <row r="209" spans="1:12" x14ac:dyDescent="0.2">
      <c r="A209" s="1"/>
      <c r="B209" s="1"/>
      <c r="C209" s="1"/>
      <c r="D209" s="1"/>
      <c r="E209" s="41"/>
      <c r="F209" s="41"/>
      <c r="G209" s="41"/>
      <c r="H209" s="41"/>
      <c r="I209" s="41"/>
      <c r="J209" s="41"/>
      <c r="K209" s="41"/>
      <c r="L209" s="41"/>
    </row>
    <row r="210" spans="1:12" x14ac:dyDescent="0.2">
      <c r="A210" s="1"/>
      <c r="B210" s="1"/>
      <c r="C210" s="1"/>
      <c r="D210" s="1"/>
      <c r="E210" s="41"/>
      <c r="F210" s="41"/>
      <c r="G210" s="41"/>
      <c r="H210" s="41"/>
      <c r="I210" s="41"/>
      <c r="J210" s="41"/>
      <c r="K210" s="41"/>
      <c r="L210" s="41"/>
    </row>
    <row r="211" spans="1:12" x14ac:dyDescent="0.2">
      <c r="A211" s="1"/>
      <c r="B211" s="1"/>
      <c r="C211" s="1"/>
      <c r="D211" s="1"/>
      <c r="E211" s="41"/>
      <c r="F211" s="41"/>
      <c r="G211" s="41"/>
      <c r="H211" s="41"/>
      <c r="I211" s="41"/>
      <c r="J211" s="41"/>
      <c r="K211" s="41"/>
      <c r="L211" s="41"/>
    </row>
    <row r="212" spans="1:12" x14ac:dyDescent="0.2">
      <c r="A212" s="1"/>
      <c r="B212" s="1"/>
      <c r="C212" s="1"/>
      <c r="D212" s="1"/>
      <c r="E212" s="41"/>
      <c r="F212" s="41"/>
      <c r="G212" s="41"/>
      <c r="H212" s="41"/>
      <c r="I212" s="41"/>
      <c r="J212" s="41"/>
      <c r="K212" s="41"/>
      <c r="L212" s="41"/>
    </row>
    <row r="213" spans="1:12" x14ac:dyDescent="0.2">
      <c r="A213" s="1"/>
      <c r="B213" s="1"/>
      <c r="C213" s="1"/>
      <c r="D213" s="1"/>
      <c r="E213" s="41"/>
      <c r="F213" s="41"/>
      <c r="G213" s="41"/>
      <c r="H213" s="41"/>
      <c r="I213" s="41"/>
      <c r="J213" s="41"/>
      <c r="K213" s="41"/>
      <c r="L213" s="41"/>
    </row>
    <row r="214" spans="1:12" x14ac:dyDescent="0.2">
      <c r="A214" s="1"/>
      <c r="B214" s="1"/>
      <c r="C214" s="1"/>
      <c r="D214" s="1"/>
      <c r="E214" s="41"/>
      <c r="F214" s="41"/>
      <c r="G214" s="41"/>
      <c r="H214" s="41"/>
      <c r="I214" s="41"/>
      <c r="J214" s="41"/>
      <c r="K214" s="41"/>
      <c r="L214" s="41"/>
    </row>
    <row r="215" spans="1:12" x14ac:dyDescent="0.2">
      <c r="A215" s="1"/>
      <c r="B215" s="1"/>
      <c r="C215" s="1"/>
      <c r="D215" s="1"/>
      <c r="E215" s="41"/>
      <c r="F215" s="41"/>
      <c r="G215" s="41"/>
      <c r="H215" s="41"/>
      <c r="I215" s="41"/>
      <c r="J215" s="41"/>
      <c r="K215" s="41"/>
      <c r="L215" s="41"/>
    </row>
    <row r="216" spans="1:12" x14ac:dyDescent="0.2">
      <c r="A216" s="1"/>
      <c r="B216" s="1"/>
      <c r="C216" s="1"/>
      <c r="D216" s="1"/>
      <c r="E216" s="41"/>
      <c r="F216" s="41"/>
      <c r="G216" s="41"/>
      <c r="H216" s="41"/>
      <c r="I216" s="41"/>
      <c r="J216" s="41"/>
      <c r="K216" s="41"/>
      <c r="L216" s="41"/>
    </row>
    <row r="217" spans="1:12" x14ac:dyDescent="0.2">
      <c r="A217" s="1"/>
      <c r="B217" s="1"/>
      <c r="C217" s="1"/>
      <c r="D217" s="1"/>
      <c r="E217" s="41"/>
      <c r="F217" s="41"/>
      <c r="G217" s="41"/>
      <c r="H217" s="41"/>
      <c r="I217" s="41"/>
      <c r="J217" s="41"/>
      <c r="K217" s="41"/>
      <c r="L217" s="41"/>
    </row>
    <row r="218" spans="1:12" x14ac:dyDescent="0.2">
      <c r="A218" s="1"/>
      <c r="B218" s="1"/>
      <c r="C218" s="1"/>
      <c r="D218" s="1"/>
      <c r="E218" s="41"/>
      <c r="F218" s="41"/>
      <c r="G218" s="41"/>
      <c r="H218" s="41"/>
      <c r="I218" s="41"/>
      <c r="J218" s="41"/>
      <c r="K218" s="41"/>
      <c r="L218" s="41"/>
    </row>
    <row r="219" spans="1:12" x14ac:dyDescent="0.2">
      <c r="A219" s="1"/>
      <c r="B219" s="1"/>
      <c r="C219" s="1"/>
      <c r="D219" s="1"/>
      <c r="E219" s="41"/>
      <c r="F219" s="41"/>
      <c r="G219" s="41"/>
      <c r="H219" s="41"/>
      <c r="I219" s="41"/>
      <c r="J219" s="41"/>
      <c r="K219" s="41"/>
      <c r="L219" s="41"/>
    </row>
    <row r="220" spans="1:12" x14ac:dyDescent="0.2">
      <c r="A220" s="1"/>
      <c r="B220" s="1"/>
      <c r="C220" s="1"/>
      <c r="D220" s="1"/>
      <c r="E220" s="41"/>
      <c r="F220" s="41"/>
      <c r="G220" s="41"/>
      <c r="H220" s="41"/>
      <c r="I220" s="41"/>
      <c r="J220" s="41"/>
      <c r="K220" s="41"/>
      <c r="L220" s="41"/>
    </row>
    <row r="221" spans="1:12" x14ac:dyDescent="0.2">
      <c r="A221" s="1"/>
      <c r="B221" s="1"/>
      <c r="C221" s="1"/>
      <c r="D221" s="1"/>
      <c r="E221" s="41"/>
      <c r="F221" s="41"/>
      <c r="G221" s="41"/>
      <c r="H221" s="41"/>
      <c r="I221" s="41"/>
      <c r="J221" s="41"/>
      <c r="K221" s="41"/>
      <c r="L221" s="41"/>
    </row>
    <row r="222" spans="1:12" x14ac:dyDescent="0.2">
      <c r="A222" s="1"/>
      <c r="B222" s="1"/>
      <c r="C222" s="1"/>
      <c r="D222" s="1"/>
      <c r="E222" s="41"/>
      <c r="F222" s="41"/>
      <c r="G222" s="41"/>
      <c r="H222" s="41"/>
      <c r="I222" s="41"/>
      <c r="J222" s="41"/>
      <c r="K222" s="41"/>
      <c r="L222" s="41"/>
    </row>
    <row r="223" spans="1:12" x14ac:dyDescent="0.2">
      <c r="A223" s="1"/>
      <c r="B223" s="1"/>
      <c r="C223" s="1"/>
      <c r="D223" s="1"/>
      <c r="E223" s="41"/>
      <c r="F223" s="41"/>
      <c r="G223" s="41"/>
      <c r="H223" s="41"/>
      <c r="I223" s="41"/>
      <c r="J223" s="41"/>
      <c r="K223" s="41"/>
      <c r="L223" s="41"/>
    </row>
    <row r="224" spans="1:12" x14ac:dyDescent="0.2">
      <c r="A224" s="1"/>
      <c r="B224" s="1"/>
      <c r="C224" s="1"/>
      <c r="D224" s="1"/>
      <c r="E224" s="41"/>
      <c r="F224" s="41"/>
      <c r="G224" s="41"/>
      <c r="H224" s="41"/>
      <c r="I224" s="41"/>
      <c r="J224" s="41"/>
      <c r="K224" s="41"/>
      <c r="L224" s="41"/>
    </row>
    <row r="225" spans="1:12" x14ac:dyDescent="0.2">
      <c r="A225" s="1"/>
      <c r="B225" s="1"/>
      <c r="C225" s="1"/>
      <c r="D225" s="1"/>
      <c r="E225" s="41"/>
      <c r="F225" s="41"/>
      <c r="G225" s="41"/>
      <c r="H225" s="41"/>
      <c r="I225" s="41"/>
      <c r="J225" s="41"/>
      <c r="K225" s="41"/>
      <c r="L225" s="41"/>
    </row>
    <row r="226" spans="1:12" x14ac:dyDescent="0.2">
      <c r="A226" s="1"/>
      <c r="B226" s="1"/>
      <c r="C226" s="1"/>
      <c r="D226" s="1"/>
      <c r="E226" s="41"/>
      <c r="F226" s="41"/>
      <c r="G226" s="41"/>
      <c r="H226" s="41"/>
      <c r="I226" s="41"/>
      <c r="J226" s="41"/>
      <c r="K226" s="41"/>
      <c r="L226" s="41"/>
    </row>
    <row r="227" spans="1:12" x14ac:dyDescent="0.2">
      <c r="A227" s="1"/>
      <c r="B227" s="1"/>
      <c r="C227" s="1"/>
      <c r="D227" s="1"/>
      <c r="E227" s="41"/>
      <c r="F227" s="41"/>
      <c r="G227" s="41"/>
      <c r="H227" s="41"/>
      <c r="I227" s="41"/>
      <c r="J227" s="41"/>
      <c r="K227" s="41"/>
      <c r="L227" s="41"/>
    </row>
    <row r="228" spans="1:12" x14ac:dyDescent="0.2">
      <c r="A228" s="1"/>
      <c r="B228" s="1"/>
      <c r="C228" s="1"/>
      <c r="D228" s="1"/>
      <c r="E228" s="41"/>
      <c r="F228" s="41"/>
      <c r="G228" s="41"/>
      <c r="H228" s="41"/>
      <c r="I228" s="41"/>
      <c r="J228" s="41"/>
      <c r="K228" s="41"/>
      <c r="L228" s="41"/>
    </row>
    <row r="229" spans="1:12" x14ac:dyDescent="0.2">
      <c r="A229" s="1"/>
      <c r="B229" s="1"/>
      <c r="C229" s="1"/>
      <c r="D229" s="1"/>
      <c r="E229" s="41"/>
      <c r="F229" s="41"/>
      <c r="G229" s="41"/>
      <c r="H229" s="41"/>
      <c r="I229" s="41"/>
      <c r="J229" s="41"/>
      <c r="K229" s="41"/>
      <c r="L229" s="41"/>
    </row>
    <row r="230" spans="1:12" x14ac:dyDescent="0.2">
      <c r="A230" s="1"/>
      <c r="B230" s="1"/>
      <c r="C230" s="1"/>
      <c r="D230" s="1"/>
      <c r="E230" s="41"/>
      <c r="F230" s="41"/>
      <c r="G230" s="41"/>
      <c r="H230" s="41"/>
      <c r="I230" s="41"/>
      <c r="J230" s="41"/>
      <c r="K230" s="41"/>
      <c r="L230" s="41"/>
    </row>
    <row r="231" spans="1:12" x14ac:dyDescent="0.2">
      <c r="A231" s="1"/>
      <c r="B231" s="1"/>
      <c r="C231" s="1"/>
      <c r="D231" s="1"/>
      <c r="E231" s="41"/>
      <c r="F231" s="41"/>
      <c r="G231" s="41"/>
      <c r="H231" s="41"/>
      <c r="I231" s="41"/>
      <c r="J231" s="41"/>
      <c r="K231" s="41"/>
      <c r="L231" s="41"/>
    </row>
    <row r="232" spans="1:12" x14ac:dyDescent="0.2">
      <c r="A232" s="1"/>
      <c r="B232" s="1"/>
      <c r="C232" s="1"/>
      <c r="D232" s="1"/>
      <c r="E232" s="41"/>
      <c r="F232" s="41"/>
      <c r="G232" s="41"/>
      <c r="H232" s="41"/>
      <c r="I232" s="41"/>
      <c r="J232" s="41"/>
      <c r="K232" s="41"/>
      <c r="L232" s="41"/>
    </row>
    <row r="233" spans="1:12" x14ac:dyDescent="0.2">
      <c r="A233" s="1"/>
      <c r="B233" s="1"/>
      <c r="C233" s="1"/>
      <c r="D233" s="1"/>
      <c r="E233" s="41"/>
      <c r="F233" s="41"/>
      <c r="G233" s="41"/>
      <c r="H233" s="41"/>
      <c r="I233" s="41"/>
      <c r="J233" s="41"/>
      <c r="K233" s="41"/>
      <c r="L233" s="41"/>
    </row>
    <row r="234" spans="1:12" x14ac:dyDescent="0.2">
      <c r="A234" s="1"/>
      <c r="B234" s="1"/>
      <c r="C234" s="1"/>
      <c r="D234" s="1"/>
      <c r="E234" s="41"/>
      <c r="F234" s="41"/>
      <c r="G234" s="41"/>
      <c r="H234" s="41"/>
      <c r="I234" s="41"/>
      <c r="J234" s="41"/>
      <c r="K234" s="41"/>
      <c r="L234" s="41"/>
    </row>
    <row r="235" spans="1:12" x14ac:dyDescent="0.2">
      <c r="A235" s="1"/>
      <c r="B235" s="1"/>
      <c r="C235" s="1"/>
      <c r="D235" s="1"/>
      <c r="E235" s="41"/>
      <c r="F235" s="41"/>
      <c r="G235" s="41"/>
      <c r="H235" s="41"/>
      <c r="I235" s="41"/>
      <c r="J235" s="41"/>
      <c r="K235" s="41"/>
      <c r="L235" s="41"/>
    </row>
    <row r="236" spans="1:12" x14ac:dyDescent="0.2">
      <c r="A236" s="1"/>
      <c r="B236" s="1"/>
      <c r="C236" s="1"/>
      <c r="D236" s="1"/>
      <c r="E236" s="41"/>
      <c r="F236" s="41"/>
      <c r="G236" s="41"/>
      <c r="H236" s="41"/>
      <c r="I236" s="41"/>
      <c r="J236" s="41"/>
      <c r="K236" s="41"/>
      <c r="L236" s="41"/>
    </row>
    <row r="237" spans="1:12" x14ac:dyDescent="0.2">
      <c r="A237" s="1"/>
      <c r="B237" s="1"/>
      <c r="C237" s="1"/>
      <c r="D237" s="1"/>
      <c r="E237" s="41"/>
      <c r="F237" s="41"/>
      <c r="G237" s="41"/>
      <c r="H237" s="41"/>
      <c r="I237" s="41"/>
      <c r="J237" s="41"/>
      <c r="K237" s="41"/>
      <c r="L237" s="41"/>
    </row>
    <row r="238" spans="1:12" x14ac:dyDescent="0.2">
      <c r="A238" s="1"/>
      <c r="B238" s="1"/>
      <c r="C238" s="1"/>
      <c r="D238" s="1"/>
      <c r="E238" s="41"/>
      <c r="F238" s="41"/>
      <c r="G238" s="41"/>
      <c r="H238" s="41"/>
      <c r="I238" s="41"/>
      <c r="J238" s="41"/>
      <c r="K238" s="41"/>
      <c r="L238" s="41"/>
    </row>
    <row r="239" spans="1:12" x14ac:dyDescent="0.2">
      <c r="A239" s="1"/>
      <c r="B239" s="1"/>
      <c r="C239" s="1"/>
      <c r="D239" s="1"/>
      <c r="E239" s="41"/>
      <c r="F239" s="41"/>
      <c r="G239" s="41"/>
      <c r="H239" s="41"/>
      <c r="I239" s="41"/>
      <c r="J239" s="41"/>
      <c r="K239" s="41"/>
      <c r="L239" s="41"/>
    </row>
    <row r="240" spans="1:12" x14ac:dyDescent="0.2">
      <c r="A240" s="1"/>
      <c r="B240" s="1"/>
      <c r="C240" s="1"/>
      <c r="D240" s="1"/>
      <c r="E240" s="41"/>
      <c r="F240" s="41"/>
      <c r="G240" s="41"/>
      <c r="H240" s="41"/>
      <c r="I240" s="41"/>
      <c r="J240" s="41"/>
      <c r="K240" s="41"/>
      <c r="L240" s="41"/>
    </row>
    <row r="241" spans="1:12" x14ac:dyDescent="0.2">
      <c r="A241" s="1"/>
      <c r="B241" s="1"/>
      <c r="C241" s="1"/>
      <c r="D241" s="1"/>
      <c r="E241" s="41"/>
      <c r="F241" s="41"/>
      <c r="G241" s="41"/>
      <c r="H241" s="41"/>
      <c r="I241" s="41"/>
      <c r="J241" s="41"/>
      <c r="K241" s="41"/>
      <c r="L241" s="41"/>
    </row>
    <row r="242" spans="1:12" x14ac:dyDescent="0.2">
      <c r="A242" s="1"/>
      <c r="B242" s="1"/>
      <c r="C242" s="1"/>
      <c r="D242" s="1"/>
      <c r="E242" s="41"/>
      <c r="F242" s="41"/>
      <c r="G242" s="41"/>
      <c r="H242" s="41"/>
      <c r="I242" s="41"/>
      <c r="J242" s="41"/>
      <c r="K242" s="41"/>
      <c r="L242" s="41"/>
    </row>
    <row r="243" spans="1:12" x14ac:dyDescent="0.2">
      <c r="A243" s="1"/>
      <c r="B243" s="1"/>
      <c r="C243" s="1"/>
      <c r="D243" s="1"/>
      <c r="E243" s="41"/>
      <c r="F243" s="41"/>
      <c r="G243" s="41"/>
      <c r="H243" s="41"/>
      <c r="I243" s="41"/>
      <c r="J243" s="41"/>
      <c r="K243" s="41"/>
      <c r="L243" s="41"/>
    </row>
    <row r="244" spans="1:12" x14ac:dyDescent="0.2">
      <c r="A244" s="1"/>
      <c r="B244" s="1"/>
      <c r="C244" s="1"/>
      <c r="D244" s="1"/>
      <c r="E244" s="41"/>
      <c r="F244" s="41"/>
      <c r="G244" s="41"/>
      <c r="H244" s="41"/>
      <c r="I244" s="41"/>
      <c r="J244" s="41"/>
      <c r="K244" s="41"/>
      <c r="L244" s="41"/>
    </row>
    <row r="245" spans="1:12" x14ac:dyDescent="0.2">
      <c r="A245" s="1"/>
      <c r="B245" s="1"/>
      <c r="C245" s="1"/>
      <c r="D245" s="1"/>
      <c r="E245" s="41"/>
      <c r="F245" s="41"/>
      <c r="G245" s="41"/>
      <c r="H245" s="41"/>
      <c r="I245" s="41"/>
      <c r="J245" s="41"/>
      <c r="K245" s="41"/>
      <c r="L245" s="41"/>
    </row>
    <row r="246" spans="1:12" x14ac:dyDescent="0.2">
      <c r="A246" s="1"/>
      <c r="B246" s="1"/>
      <c r="C246" s="1"/>
      <c r="D246" s="1"/>
      <c r="E246" s="41"/>
      <c r="F246" s="41"/>
      <c r="G246" s="41"/>
      <c r="H246" s="41"/>
      <c r="I246" s="41"/>
      <c r="J246" s="41"/>
      <c r="K246" s="41"/>
      <c r="L246" s="41"/>
    </row>
    <row r="247" spans="1:12" x14ac:dyDescent="0.2">
      <c r="A247" s="1"/>
      <c r="B247" s="1"/>
      <c r="C247" s="1"/>
      <c r="D247" s="1"/>
      <c r="E247" s="41"/>
      <c r="F247" s="41"/>
      <c r="G247" s="41"/>
      <c r="H247" s="41"/>
      <c r="I247" s="41"/>
      <c r="J247" s="41"/>
      <c r="K247" s="41"/>
      <c r="L247" s="41"/>
    </row>
    <row r="248" spans="1:12" x14ac:dyDescent="0.2">
      <c r="A248" s="1"/>
      <c r="B248" s="1"/>
      <c r="C248" s="1"/>
      <c r="D248" s="1"/>
      <c r="E248" s="41"/>
      <c r="F248" s="41"/>
      <c r="G248" s="41"/>
      <c r="H248" s="41"/>
      <c r="I248" s="41"/>
      <c r="J248" s="41"/>
      <c r="K248" s="41"/>
      <c r="L248" s="41"/>
    </row>
    <row r="249" spans="1:12" x14ac:dyDescent="0.2">
      <c r="A249" s="1"/>
      <c r="B249" s="1"/>
      <c r="C249" s="1"/>
      <c r="D249" s="1"/>
      <c r="E249" s="41"/>
      <c r="F249" s="41"/>
      <c r="G249" s="41"/>
      <c r="H249" s="41"/>
      <c r="I249" s="41"/>
      <c r="J249" s="41"/>
      <c r="K249" s="41"/>
      <c r="L249" s="41"/>
    </row>
    <row r="250" spans="1:12" x14ac:dyDescent="0.2">
      <c r="A250" s="1"/>
      <c r="B250" s="1"/>
      <c r="C250" s="1"/>
      <c r="D250" s="1"/>
      <c r="E250" s="41"/>
      <c r="F250" s="41"/>
      <c r="G250" s="41"/>
      <c r="H250" s="41"/>
      <c r="I250" s="41"/>
      <c r="J250" s="41"/>
      <c r="K250" s="41"/>
      <c r="L250" s="41"/>
    </row>
    <row r="251" spans="1:12" x14ac:dyDescent="0.2">
      <c r="A251" s="1"/>
      <c r="B251" s="1"/>
      <c r="C251" s="1"/>
      <c r="D251" s="1"/>
      <c r="E251" s="41"/>
      <c r="F251" s="41"/>
      <c r="G251" s="41"/>
      <c r="H251" s="41"/>
      <c r="I251" s="41"/>
      <c r="J251" s="41"/>
      <c r="K251" s="41"/>
      <c r="L251" s="41"/>
    </row>
    <row r="252" spans="1:12" x14ac:dyDescent="0.2">
      <c r="A252" s="1"/>
      <c r="B252" s="1"/>
      <c r="C252" s="1"/>
      <c r="D252" s="1"/>
      <c r="E252" s="41"/>
      <c r="F252" s="41"/>
      <c r="G252" s="41"/>
      <c r="H252" s="41"/>
      <c r="I252" s="41"/>
      <c r="J252" s="41"/>
      <c r="K252" s="41"/>
      <c r="L252" s="41"/>
    </row>
    <row r="253" spans="1:12" x14ac:dyDescent="0.2">
      <c r="A253" s="1"/>
      <c r="B253" s="1"/>
      <c r="C253" s="1"/>
      <c r="D253" s="1"/>
      <c r="E253" s="41"/>
      <c r="F253" s="41"/>
      <c r="G253" s="41"/>
      <c r="H253" s="41"/>
      <c r="I253" s="41"/>
      <c r="J253" s="41"/>
      <c r="K253" s="41"/>
      <c r="L253" s="41"/>
    </row>
  </sheetData>
  <mergeCells count="6">
    <mergeCell ref="A32:D32"/>
    <mergeCell ref="A1:D1"/>
    <mergeCell ref="B3:D3"/>
    <mergeCell ref="B5:D5"/>
    <mergeCell ref="A20:D20"/>
    <mergeCell ref="A29:D29"/>
  </mergeCells>
  <printOptions horizontalCentered="1" verticalCentered="1"/>
  <pageMargins left="0.51181102362204722" right="0.51181102362204722" top="0.98425196850393704" bottom="0.78740157480314965" header="0.31496062992125984" footer="0.31496062992125984"/>
  <pageSetup paperSize="9" orientation="portrait" r:id="rId1"/>
  <headerFooter>
    <oddHeader>&amp;L&amp;G&amp;R
&amp;G</oddHeader>
    <oddFooter>&amp;C&amp;K03+000
Rua Nilton Baldo, 744 – Bairro Jardim Paquetá - CEP 31.330-660 – Belo Horizonte / Minas Gerais.
Endereço Eletrônico: ottawaeng@terra.com.br – Telefax (31) 3418-2175 – CNPJ: 04.472.311/0001-04</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3"/>
  <sheetViews>
    <sheetView view="pageBreakPreview" zoomScaleNormal="100" zoomScaleSheetLayoutView="100" workbookViewId="0">
      <selection activeCell="C36" sqref="C36"/>
    </sheetView>
  </sheetViews>
  <sheetFormatPr defaultRowHeight="14.25" x14ac:dyDescent="0.2"/>
  <cols>
    <col min="1" max="1" width="12.85546875" style="3" customWidth="1"/>
    <col min="2" max="2" width="43.7109375" style="3" customWidth="1"/>
    <col min="3" max="3" width="15.140625" style="3" customWidth="1"/>
    <col min="4" max="4" width="22.28515625" style="37" customWidth="1"/>
    <col min="5" max="5" width="21" style="1" customWidth="1"/>
    <col min="6" max="6" width="5.85546875" style="1" customWidth="1"/>
    <col min="7" max="7" width="16.28515625" style="1" customWidth="1"/>
    <col min="8" max="256" width="9.140625" style="1"/>
    <col min="257" max="257" width="12.85546875" style="1" customWidth="1"/>
    <col min="258" max="258" width="43.7109375" style="1" customWidth="1"/>
    <col min="259" max="259" width="15.140625" style="1" customWidth="1"/>
    <col min="260" max="260" width="20.42578125" style="1" customWidth="1"/>
    <col min="261" max="261" width="21" style="1" customWidth="1"/>
    <col min="262" max="262" width="5.85546875" style="1" customWidth="1"/>
    <col min="263" max="263" width="16.28515625" style="1" customWidth="1"/>
    <col min="264" max="512" width="9.140625" style="1"/>
    <col min="513" max="513" width="12.85546875" style="1" customWidth="1"/>
    <col min="514" max="514" width="43.7109375" style="1" customWidth="1"/>
    <col min="515" max="515" width="15.140625" style="1" customWidth="1"/>
    <col min="516" max="516" width="20.42578125" style="1" customWidth="1"/>
    <col min="517" max="517" width="21" style="1" customWidth="1"/>
    <col min="518" max="518" width="5.85546875" style="1" customWidth="1"/>
    <col min="519" max="519" width="16.28515625" style="1" customWidth="1"/>
    <col min="520" max="768" width="9.140625" style="1"/>
    <col min="769" max="769" width="12.85546875" style="1" customWidth="1"/>
    <col min="770" max="770" width="43.7109375" style="1" customWidth="1"/>
    <col min="771" max="771" width="15.140625" style="1" customWidth="1"/>
    <col min="772" max="772" width="20.42578125" style="1" customWidth="1"/>
    <col min="773" max="773" width="21" style="1" customWidth="1"/>
    <col min="774" max="774" width="5.85546875" style="1" customWidth="1"/>
    <col min="775" max="775" width="16.28515625" style="1" customWidth="1"/>
    <col min="776" max="1024" width="9.140625" style="1"/>
    <col min="1025" max="1025" width="12.85546875" style="1" customWidth="1"/>
    <col min="1026" max="1026" width="43.7109375" style="1" customWidth="1"/>
    <col min="1027" max="1027" width="15.140625" style="1" customWidth="1"/>
    <col min="1028" max="1028" width="20.42578125" style="1" customWidth="1"/>
    <col min="1029" max="1029" width="21" style="1" customWidth="1"/>
    <col min="1030" max="1030" width="5.85546875" style="1" customWidth="1"/>
    <col min="1031" max="1031" width="16.28515625" style="1" customWidth="1"/>
    <col min="1032" max="1280" width="9.140625" style="1"/>
    <col min="1281" max="1281" width="12.85546875" style="1" customWidth="1"/>
    <col min="1282" max="1282" width="43.7109375" style="1" customWidth="1"/>
    <col min="1283" max="1283" width="15.140625" style="1" customWidth="1"/>
    <col min="1284" max="1284" width="20.42578125" style="1" customWidth="1"/>
    <col min="1285" max="1285" width="21" style="1" customWidth="1"/>
    <col min="1286" max="1286" width="5.85546875" style="1" customWidth="1"/>
    <col min="1287" max="1287" width="16.28515625" style="1" customWidth="1"/>
    <col min="1288" max="1536" width="9.140625" style="1"/>
    <col min="1537" max="1537" width="12.85546875" style="1" customWidth="1"/>
    <col min="1538" max="1538" width="43.7109375" style="1" customWidth="1"/>
    <col min="1539" max="1539" width="15.140625" style="1" customWidth="1"/>
    <col min="1540" max="1540" width="20.42578125" style="1" customWidth="1"/>
    <col min="1541" max="1541" width="21" style="1" customWidth="1"/>
    <col min="1542" max="1542" width="5.85546875" style="1" customWidth="1"/>
    <col min="1543" max="1543" width="16.28515625" style="1" customWidth="1"/>
    <col min="1544" max="1792" width="9.140625" style="1"/>
    <col min="1793" max="1793" width="12.85546875" style="1" customWidth="1"/>
    <col min="1794" max="1794" width="43.7109375" style="1" customWidth="1"/>
    <col min="1795" max="1795" width="15.140625" style="1" customWidth="1"/>
    <col min="1796" max="1796" width="20.42578125" style="1" customWidth="1"/>
    <col min="1797" max="1797" width="21" style="1" customWidth="1"/>
    <col min="1798" max="1798" width="5.85546875" style="1" customWidth="1"/>
    <col min="1799" max="1799" width="16.28515625" style="1" customWidth="1"/>
    <col min="1800" max="2048" width="9.140625" style="1"/>
    <col min="2049" max="2049" width="12.85546875" style="1" customWidth="1"/>
    <col min="2050" max="2050" width="43.7109375" style="1" customWidth="1"/>
    <col min="2051" max="2051" width="15.140625" style="1" customWidth="1"/>
    <col min="2052" max="2052" width="20.42578125" style="1" customWidth="1"/>
    <col min="2053" max="2053" width="21" style="1" customWidth="1"/>
    <col min="2054" max="2054" width="5.85546875" style="1" customWidth="1"/>
    <col min="2055" max="2055" width="16.28515625" style="1" customWidth="1"/>
    <col min="2056" max="2304" width="9.140625" style="1"/>
    <col min="2305" max="2305" width="12.85546875" style="1" customWidth="1"/>
    <col min="2306" max="2306" width="43.7109375" style="1" customWidth="1"/>
    <col min="2307" max="2307" width="15.140625" style="1" customWidth="1"/>
    <col min="2308" max="2308" width="20.42578125" style="1" customWidth="1"/>
    <col min="2309" max="2309" width="21" style="1" customWidth="1"/>
    <col min="2310" max="2310" width="5.85546875" style="1" customWidth="1"/>
    <col min="2311" max="2311" width="16.28515625" style="1" customWidth="1"/>
    <col min="2312" max="2560" width="9.140625" style="1"/>
    <col min="2561" max="2561" width="12.85546875" style="1" customWidth="1"/>
    <col min="2562" max="2562" width="43.7109375" style="1" customWidth="1"/>
    <col min="2563" max="2563" width="15.140625" style="1" customWidth="1"/>
    <col min="2564" max="2564" width="20.42578125" style="1" customWidth="1"/>
    <col min="2565" max="2565" width="21" style="1" customWidth="1"/>
    <col min="2566" max="2566" width="5.85546875" style="1" customWidth="1"/>
    <col min="2567" max="2567" width="16.28515625" style="1" customWidth="1"/>
    <col min="2568" max="2816" width="9.140625" style="1"/>
    <col min="2817" max="2817" width="12.85546875" style="1" customWidth="1"/>
    <col min="2818" max="2818" width="43.7109375" style="1" customWidth="1"/>
    <col min="2819" max="2819" width="15.140625" style="1" customWidth="1"/>
    <col min="2820" max="2820" width="20.42578125" style="1" customWidth="1"/>
    <col min="2821" max="2821" width="21" style="1" customWidth="1"/>
    <col min="2822" max="2822" width="5.85546875" style="1" customWidth="1"/>
    <col min="2823" max="2823" width="16.28515625" style="1" customWidth="1"/>
    <col min="2824" max="3072" width="9.140625" style="1"/>
    <col min="3073" max="3073" width="12.85546875" style="1" customWidth="1"/>
    <col min="3074" max="3074" width="43.7109375" style="1" customWidth="1"/>
    <col min="3075" max="3075" width="15.140625" style="1" customWidth="1"/>
    <col min="3076" max="3076" width="20.42578125" style="1" customWidth="1"/>
    <col min="3077" max="3077" width="21" style="1" customWidth="1"/>
    <col min="3078" max="3078" width="5.85546875" style="1" customWidth="1"/>
    <col min="3079" max="3079" width="16.28515625" style="1" customWidth="1"/>
    <col min="3080" max="3328" width="9.140625" style="1"/>
    <col min="3329" max="3329" width="12.85546875" style="1" customWidth="1"/>
    <col min="3330" max="3330" width="43.7109375" style="1" customWidth="1"/>
    <col min="3331" max="3331" width="15.140625" style="1" customWidth="1"/>
    <col min="3332" max="3332" width="20.42578125" style="1" customWidth="1"/>
    <col min="3333" max="3333" width="21" style="1" customWidth="1"/>
    <col min="3334" max="3334" width="5.85546875" style="1" customWidth="1"/>
    <col min="3335" max="3335" width="16.28515625" style="1" customWidth="1"/>
    <col min="3336" max="3584" width="9.140625" style="1"/>
    <col min="3585" max="3585" width="12.85546875" style="1" customWidth="1"/>
    <col min="3586" max="3586" width="43.7109375" style="1" customWidth="1"/>
    <col min="3587" max="3587" width="15.140625" style="1" customWidth="1"/>
    <col min="3588" max="3588" width="20.42578125" style="1" customWidth="1"/>
    <col min="3589" max="3589" width="21" style="1" customWidth="1"/>
    <col min="3590" max="3590" width="5.85546875" style="1" customWidth="1"/>
    <col min="3591" max="3591" width="16.28515625" style="1" customWidth="1"/>
    <col min="3592" max="3840" width="9.140625" style="1"/>
    <col min="3841" max="3841" width="12.85546875" style="1" customWidth="1"/>
    <col min="3842" max="3842" width="43.7109375" style="1" customWidth="1"/>
    <col min="3843" max="3843" width="15.140625" style="1" customWidth="1"/>
    <col min="3844" max="3844" width="20.42578125" style="1" customWidth="1"/>
    <col min="3845" max="3845" width="21" style="1" customWidth="1"/>
    <col min="3846" max="3846" width="5.85546875" style="1" customWidth="1"/>
    <col min="3847" max="3847" width="16.28515625" style="1" customWidth="1"/>
    <col min="3848" max="4096" width="9.140625" style="1"/>
    <col min="4097" max="4097" width="12.85546875" style="1" customWidth="1"/>
    <col min="4098" max="4098" width="43.7109375" style="1" customWidth="1"/>
    <col min="4099" max="4099" width="15.140625" style="1" customWidth="1"/>
    <col min="4100" max="4100" width="20.42578125" style="1" customWidth="1"/>
    <col min="4101" max="4101" width="21" style="1" customWidth="1"/>
    <col min="4102" max="4102" width="5.85546875" style="1" customWidth="1"/>
    <col min="4103" max="4103" width="16.28515625" style="1" customWidth="1"/>
    <col min="4104" max="4352" width="9.140625" style="1"/>
    <col min="4353" max="4353" width="12.85546875" style="1" customWidth="1"/>
    <col min="4354" max="4354" width="43.7109375" style="1" customWidth="1"/>
    <col min="4355" max="4355" width="15.140625" style="1" customWidth="1"/>
    <col min="4356" max="4356" width="20.42578125" style="1" customWidth="1"/>
    <col min="4357" max="4357" width="21" style="1" customWidth="1"/>
    <col min="4358" max="4358" width="5.85546875" style="1" customWidth="1"/>
    <col min="4359" max="4359" width="16.28515625" style="1" customWidth="1"/>
    <col min="4360" max="4608" width="9.140625" style="1"/>
    <col min="4609" max="4609" width="12.85546875" style="1" customWidth="1"/>
    <col min="4610" max="4610" width="43.7109375" style="1" customWidth="1"/>
    <col min="4611" max="4611" width="15.140625" style="1" customWidth="1"/>
    <col min="4612" max="4612" width="20.42578125" style="1" customWidth="1"/>
    <col min="4613" max="4613" width="21" style="1" customWidth="1"/>
    <col min="4614" max="4614" width="5.85546875" style="1" customWidth="1"/>
    <col min="4615" max="4615" width="16.28515625" style="1" customWidth="1"/>
    <col min="4616" max="4864" width="9.140625" style="1"/>
    <col min="4865" max="4865" width="12.85546875" style="1" customWidth="1"/>
    <col min="4866" max="4866" width="43.7109375" style="1" customWidth="1"/>
    <col min="4867" max="4867" width="15.140625" style="1" customWidth="1"/>
    <col min="4868" max="4868" width="20.42578125" style="1" customWidth="1"/>
    <col min="4869" max="4869" width="21" style="1" customWidth="1"/>
    <col min="4870" max="4870" width="5.85546875" style="1" customWidth="1"/>
    <col min="4871" max="4871" width="16.28515625" style="1" customWidth="1"/>
    <col min="4872" max="5120" width="9.140625" style="1"/>
    <col min="5121" max="5121" width="12.85546875" style="1" customWidth="1"/>
    <col min="5122" max="5122" width="43.7109375" style="1" customWidth="1"/>
    <col min="5123" max="5123" width="15.140625" style="1" customWidth="1"/>
    <col min="5124" max="5124" width="20.42578125" style="1" customWidth="1"/>
    <col min="5125" max="5125" width="21" style="1" customWidth="1"/>
    <col min="5126" max="5126" width="5.85546875" style="1" customWidth="1"/>
    <col min="5127" max="5127" width="16.28515625" style="1" customWidth="1"/>
    <col min="5128" max="5376" width="9.140625" style="1"/>
    <col min="5377" max="5377" width="12.85546875" style="1" customWidth="1"/>
    <col min="5378" max="5378" width="43.7109375" style="1" customWidth="1"/>
    <col min="5379" max="5379" width="15.140625" style="1" customWidth="1"/>
    <col min="5380" max="5380" width="20.42578125" style="1" customWidth="1"/>
    <col min="5381" max="5381" width="21" style="1" customWidth="1"/>
    <col min="5382" max="5382" width="5.85546875" style="1" customWidth="1"/>
    <col min="5383" max="5383" width="16.28515625" style="1" customWidth="1"/>
    <col min="5384" max="5632" width="9.140625" style="1"/>
    <col min="5633" max="5633" width="12.85546875" style="1" customWidth="1"/>
    <col min="5634" max="5634" width="43.7109375" style="1" customWidth="1"/>
    <col min="5635" max="5635" width="15.140625" style="1" customWidth="1"/>
    <col min="5636" max="5636" width="20.42578125" style="1" customWidth="1"/>
    <col min="5637" max="5637" width="21" style="1" customWidth="1"/>
    <col min="5638" max="5638" width="5.85546875" style="1" customWidth="1"/>
    <col min="5639" max="5639" width="16.28515625" style="1" customWidth="1"/>
    <col min="5640" max="5888" width="9.140625" style="1"/>
    <col min="5889" max="5889" width="12.85546875" style="1" customWidth="1"/>
    <col min="5890" max="5890" width="43.7109375" style="1" customWidth="1"/>
    <col min="5891" max="5891" width="15.140625" style="1" customWidth="1"/>
    <col min="5892" max="5892" width="20.42578125" style="1" customWidth="1"/>
    <col min="5893" max="5893" width="21" style="1" customWidth="1"/>
    <col min="5894" max="5894" width="5.85546875" style="1" customWidth="1"/>
    <col min="5895" max="5895" width="16.28515625" style="1" customWidth="1"/>
    <col min="5896" max="6144" width="9.140625" style="1"/>
    <col min="6145" max="6145" width="12.85546875" style="1" customWidth="1"/>
    <col min="6146" max="6146" width="43.7109375" style="1" customWidth="1"/>
    <col min="6147" max="6147" width="15.140625" style="1" customWidth="1"/>
    <col min="6148" max="6148" width="20.42578125" style="1" customWidth="1"/>
    <col min="6149" max="6149" width="21" style="1" customWidth="1"/>
    <col min="6150" max="6150" width="5.85546875" style="1" customWidth="1"/>
    <col min="6151" max="6151" width="16.28515625" style="1" customWidth="1"/>
    <col min="6152" max="6400" width="9.140625" style="1"/>
    <col min="6401" max="6401" width="12.85546875" style="1" customWidth="1"/>
    <col min="6402" max="6402" width="43.7109375" style="1" customWidth="1"/>
    <col min="6403" max="6403" width="15.140625" style="1" customWidth="1"/>
    <col min="6404" max="6404" width="20.42578125" style="1" customWidth="1"/>
    <col min="6405" max="6405" width="21" style="1" customWidth="1"/>
    <col min="6406" max="6406" width="5.85546875" style="1" customWidth="1"/>
    <col min="6407" max="6407" width="16.28515625" style="1" customWidth="1"/>
    <col min="6408" max="6656" width="9.140625" style="1"/>
    <col min="6657" max="6657" width="12.85546875" style="1" customWidth="1"/>
    <col min="6658" max="6658" width="43.7109375" style="1" customWidth="1"/>
    <col min="6659" max="6659" width="15.140625" style="1" customWidth="1"/>
    <col min="6660" max="6660" width="20.42578125" style="1" customWidth="1"/>
    <col min="6661" max="6661" width="21" style="1" customWidth="1"/>
    <col min="6662" max="6662" width="5.85546875" style="1" customWidth="1"/>
    <col min="6663" max="6663" width="16.28515625" style="1" customWidth="1"/>
    <col min="6664" max="6912" width="9.140625" style="1"/>
    <col min="6913" max="6913" width="12.85546875" style="1" customWidth="1"/>
    <col min="6914" max="6914" width="43.7109375" style="1" customWidth="1"/>
    <col min="6915" max="6915" width="15.140625" style="1" customWidth="1"/>
    <col min="6916" max="6916" width="20.42578125" style="1" customWidth="1"/>
    <col min="6917" max="6917" width="21" style="1" customWidth="1"/>
    <col min="6918" max="6918" width="5.85546875" style="1" customWidth="1"/>
    <col min="6919" max="6919" width="16.28515625" style="1" customWidth="1"/>
    <col min="6920" max="7168" width="9.140625" style="1"/>
    <col min="7169" max="7169" width="12.85546875" style="1" customWidth="1"/>
    <col min="7170" max="7170" width="43.7109375" style="1" customWidth="1"/>
    <col min="7171" max="7171" width="15.140625" style="1" customWidth="1"/>
    <col min="7172" max="7172" width="20.42578125" style="1" customWidth="1"/>
    <col min="7173" max="7173" width="21" style="1" customWidth="1"/>
    <col min="7174" max="7174" width="5.85546875" style="1" customWidth="1"/>
    <col min="7175" max="7175" width="16.28515625" style="1" customWidth="1"/>
    <col min="7176" max="7424" width="9.140625" style="1"/>
    <col min="7425" max="7425" width="12.85546875" style="1" customWidth="1"/>
    <col min="7426" max="7426" width="43.7109375" style="1" customWidth="1"/>
    <col min="7427" max="7427" width="15.140625" style="1" customWidth="1"/>
    <col min="7428" max="7428" width="20.42578125" style="1" customWidth="1"/>
    <col min="7429" max="7429" width="21" style="1" customWidth="1"/>
    <col min="7430" max="7430" width="5.85546875" style="1" customWidth="1"/>
    <col min="7431" max="7431" width="16.28515625" style="1" customWidth="1"/>
    <col min="7432" max="7680" width="9.140625" style="1"/>
    <col min="7681" max="7681" width="12.85546875" style="1" customWidth="1"/>
    <col min="7682" max="7682" width="43.7109375" style="1" customWidth="1"/>
    <col min="7683" max="7683" width="15.140625" style="1" customWidth="1"/>
    <col min="7684" max="7684" width="20.42578125" style="1" customWidth="1"/>
    <col min="7685" max="7685" width="21" style="1" customWidth="1"/>
    <col min="7686" max="7686" width="5.85546875" style="1" customWidth="1"/>
    <col min="7687" max="7687" width="16.28515625" style="1" customWidth="1"/>
    <col min="7688" max="7936" width="9.140625" style="1"/>
    <col min="7937" max="7937" width="12.85546875" style="1" customWidth="1"/>
    <col min="7938" max="7938" width="43.7109375" style="1" customWidth="1"/>
    <col min="7939" max="7939" width="15.140625" style="1" customWidth="1"/>
    <col min="7940" max="7940" width="20.42578125" style="1" customWidth="1"/>
    <col min="7941" max="7941" width="21" style="1" customWidth="1"/>
    <col min="7942" max="7942" width="5.85546875" style="1" customWidth="1"/>
    <col min="7943" max="7943" width="16.28515625" style="1" customWidth="1"/>
    <col min="7944" max="8192" width="9.140625" style="1"/>
    <col min="8193" max="8193" width="12.85546875" style="1" customWidth="1"/>
    <col min="8194" max="8194" width="43.7109375" style="1" customWidth="1"/>
    <col min="8195" max="8195" width="15.140625" style="1" customWidth="1"/>
    <col min="8196" max="8196" width="20.42578125" style="1" customWidth="1"/>
    <col min="8197" max="8197" width="21" style="1" customWidth="1"/>
    <col min="8198" max="8198" width="5.85546875" style="1" customWidth="1"/>
    <col min="8199" max="8199" width="16.28515625" style="1" customWidth="1"/>
    <col min="8200" max="8448" width="9.140625" style="1"/>
    <col min="8449" max="8449" width="12.85546875" style="1" customWidth="1"/>
    <col min="8450" max="8450" width="43.7109375" style="1" customWidth="1"/>
    <col min="8451" max="8451" width="15.140625" style="1" customWidth="1"/>
    <col min="8452" max="8452" width="20.42578125" style="1" customWidth="1"/>
    <col min="8453" max="8453" width="21" style="1" customWidth="1"/>
    <col min="8454" max="8454" width="5.85546875" style="1" customWidth="1"/>
    <col min="8455" max="8455" width="16.28515625" style="1" customWidth="1"/>
    <col min="8456" max="8704" width="9.140625" style="1"/>
    <col min="8705" max="8705" width="12.85546875" style="1" customWidth="1"/>
    <col min="8706" max="8706" width="43.7109375" style="1" customWidth="1"/>
    <col min="8707" max="8707" width="15.140625" style="1" customWidth="1"/>
    <col min="8708" max="8708" width="20.42578125" style="1" customWidth="1"/>
    <col min="8709" max="8709" width="21" style="1" customWidth="1"/>
    <col min="8710" max="8710" width="5.85546875" style="1" customWidth="1"/>
    <col min="8711" max="8711" width="16.28515625" style="1" customWidth="1"/>
    <col min="8712" max="8960" width="9.140625" style="1"/>
    <col min="8961" max="8961" width="12.85546875" style="1" customWidth="1"/>
    <col min="8962" max="8962" width="43.7109375" style="1" customWidth="1"/>
    <col min="8963" max="8963" width="15.140625" style="1" customWidth="1"/>
    <col min="8964" max="8964" width="20.42578125" style="1" customWidth="1"/>
    <col min="8965" max="8965" width="21" style="1" customWidth="1"/>
    <col min="8966" max="8966" width="5.85546875" style="1" customWidth="1"/>
    <col min="8967" max="8967" width="16.28515625" style="1" customWidth="1"/>
    <col min="8968" max="9216" width="9.140625" style="1"/>
    <col min="9217" max="9217" width="12.85546875" style="1" customWidth="1"/>
    <col min="9218" max="9218" width="43.7109375" style="1" customWidth="1"/>
    <col min="9219" max="9219" width="15.140625" style="1" customWidth="1"/>
    <col min="9220" max="9220" width="20.42578125" style="1" customWidth="1"/>
    <col min="9221" max="9221" width="21" style="1" customWidth="1"/>
    <col min="9222" max="9222" width="5.85546875" style="1" customWidth="1"/>
    <col min="9223" max="9223" width="16.28515625" style="1" customWidth="1"/>
    <col min="9224" max="9472" width="9.140625" style="1"/>
    <col min="9473" max="9473" width="12.85546875" style="1" customWidth="1"/>
    <col min="9474" max="9474" width="43.7109375" style="1" customWidth="1"/>
    <col min="9475" max="9475" width="15.140625" style="1" customWidth="1"/>
    <col min="9476" max="9476" width="20.42578125" style="1" customWidth="1"/>
    <col min="9477" max="9477" width="21" style="1" customWidth="1"/>
    <col min="9478" max="9478" width="5.85546875" style="1" customWidth="1"/>
    <col min="9479" max="9479" width="16.28515625" style="1" customWidth="1"/>
    <col min="9480" max="9728" width="9.140625" style="1"/>
    <col min="9729" max="9729" width="12.85546875" style="1" customWidth="1"/>
    <col min="9730" max="9730" width="43.7109375" style="1" customWidth="1"/>
    <col min="9731" max="9731" width="15.140625" style="1" customWidth="1"/>
    <col min="9732" max="9732" width="20.42578125" style="1" customWidth="1"/>
    <col min="9733" max="9733" width="21" style="1" customWidth="1"/>
    <col min="9734" max="9734" width="5.85546875" style="1" customWidth="1"/>
    <col min="9735" max="9735" width="16.28515625" style="1" customWidth="1"/>
    <col min="9736" max="9984" width="9.140625" style="1"/>
    <col min="9985" max="9985" width="12.85546875" style="1" customWidth="1"/>
    <col min="9986" max="9986" width="43.7109375" style="1" customWidth="1"/>
    <col min="9987" max="9987" width="15.140625" style="1" customWidth="1"/>
    <col min="9988" max="9988" width="20.42578125" style="1" customWidth="1"/>
    <col min="9989" max="9989" width="21" style="1" customWidth="1"/>
    <col min="9990" max="9990" width="5.85546875" style="1" customWidth="1"/>
    <col min="9991" max="9991" width="16.28515625" style="1" customWidth="1"/>
    <col min="9992" max="10240" width="9.140625" style="1"/>
    <col min="10241" max="10241" width="12.85546875" style="1" customWidth="1"/>
    <col min="10242" max="10242" width="43.7109375" style="1" customWidth="1"/>
    <col min="10243" max="10243" width="15.140625" style="1" customWidth="1"/>
    <col min="10244" max="10244" width="20.42578125" style="1" customWidth="1"/>
    <col min="10245" max="10245" width="21" style="1" customWidth="1"/>
    <col min="10246" max="10246" width="5.85546875" style="1" customWidth="1"/>
    <col min="10247" max="10247" width="16.28515625" style="1" customWidth="1"/>
    <col min="10248" max="10496" width="9.140625" style="1"/>
    <col min="10497" max="10497" width="12.85546875" style="1" customWidth="1"/>
    <col min="10498" max="10498" width="43.7109375" style="1" customWidth="1"/>
    <col min="10499" max="10499" width="15.140625" style="1" customWidth="1"/>
    <col min="10500" max="10500" width="20.42578125" style="1" customWidth="1"/>
    <col min="10501" max="10501" width="21" style="1" customWidth="1"/>
    <col min="10502" max="10502" width="5.85546875" style="1" customWidth="1"/>
    <col min="10503" max="10503" width="16.28515625" style="1" customWidth="1"/>
    <col min="10504" max="10752" width="9.140625" style="1"/>
    <col min="10753" max="10753" width="12.85546875" style="1" customWidth="1"/>
    <col min="10754" max="10754" width="43.7109375" style="1" customWidth="1"/>
    <col min="10755" max="10755" width="15.140625" style="1" customWidth="1"/>
    <col min="10756" max="10756" width="20.42578125" style="1" customWidth="1"/>
    <col min="10757" max="10757" width="21" style="1" customWidth="1"/>
    <col min="10758" max="10758" width="5.85546875" style="1" customWidth="1"/>
    <col min="10759" max="10759" width="16.28515625" style="1" customWidth="1"/>
    <col min="10760" max="11008" width="9.140625" style="1"/>
    <col min="11009" max="11009" width="12.85546875" style="1" customWidth="1"/>
    <col min="11010" max="11010" width="43.7109375" style="1" customWidth="1"/>
    <col min="11011" max="11011" width="15.140625" style="1" customWidth="1"/>
    <col min="11012" max="11012" width="20.42578125" style="1" customWidth="1"/>
    <col min="11013" max="11013" width="21" style="1" customWidth="1"/>
    <col min="11014" max="11014" width="5.85546875" style="1" customWidth="1"/>
    <col min="11015" max="11015" width="16.28515625" style="1" customWidth="1"/>
    <col min="11016" max="11264" width="9.140625" style="1"/>
    <col min="11265" max="11265" width="12.85546875" style="1" customWidth="1"/>
    <col min="11266" max="11266" width="43.7109375" style="1" customWidth="1"/>
    <col min="11267" max="11267" width="15.140625" style="1" customWidth="1"/>
    <col min="11268" max="11268" width="20.42578125" style="1" customWidth="1"/>
    <col min="11269" max="11269" width="21" style="1" customWidth="1"/>
    <col min="11270" max="11270" width="5.85546875" style="1" customWidth="1"/>
    <col min="11271" max="11271" width="16.28515625" style="1" customWidth="1"/>
    <col min="11272" max="11520" width="9.140625" style="1"/>
    <col min="11521" max="11521" width="12.85546875" style="1" customWidth="1"/>
    <col min="11522" max="11522" width="43.7109375" style="1" customWidth="1"/>
    <col min="11523" max="11523" width="15.140625" style="1" customWidth="1"/>
    <col min="11524" max="11524" width="20.42578125" style="1" customWidth="1"/>
    <col min="11525" max="11525" width="21" style="1" customWidth="1"/>
    <col min="11526" max="11526" width="5.85546875" style="1" customWidth="1"/>
    <col min="11527" max="11527" width="16.28515625" style="1" customWidth="1"/>
    <col min="11528" max="11776" width="9.140625" style="1"/>
    <col min="11777" max="11777" width="12.85546875" style="1" customWidth="1"/>
    <col min="11778" max="11778" width="43.7109375" style="1" customWidth="1"/>
    <col min="11779" max="11779" width="15.140625" style="1" customWidth="1"/>
    <col min="11780" max="11780" width="20.42578125" style="1" customWidth="1"/>
    <col min="11781" max="11781" width="21" style="1" customWidth="1"/>
    <col min="11782" max="11782" width="5.85546875" style="1" customWidth="1"/>
    <col min="11783" max="11783" width="16.28515625" style="1" customWidth="1"/>
    <col min="11784" max="12032" width="9.140625" style="1"/>
    <col min="12033" max="12033" width="12.85546875" style="1" customWidth="1"/>
    <col min="12034" max="12034" width="43.7109375" style="1" customWidth="1"/>
    <col min="12035" max="12035" width="15.140625" style="1" customWidth="1"/>
    <col min="12036" max="12036" width="20.42578125" style="1" customWidth="1"/>
    <col min="12037" max="12037" width="21" style="1" customWidth="1"/>
    <col min="12038" max="12038" width="5.85546875" style="1" customWidth="1"/>
    <col min="12039" max="12039" width="16.28515625" style="1" customWidth="1"/>
    <col min="12040" max="12288" width="9.140625" style="1"/>
    <col min="12289" max="12289" width="12.85546875" style="1" customWidth="1"/>
    <col min="12290" max="12290" width="43.7109375" style="1" customWidth="1"/>
    <col min="12291" max="12291" width="15.140625" style="1" customWidth="1"/>
    <col min="12292" max="12292" width="20.42578125" style="1" customWidth="1"/>
    <col min="12293" max="12293" width="21" style="1" customWidth="1"/>
    <col min="12294" max="12294" width="5.85546875" style="1" customWidth="1"/>
    <col min="12295" max="12295" width="16.28515625" style="1" customWidth="1"/>
    <col min="12296" max="12544" width="9.140625" style="1"/>
    <col min="12545" max="12545" width="12.85546875" style="1" customWidth="1"/>
    <col min="12546" max="12546" width="43.7109375" style="1" customWidth="1"/>
    <col min="12547" max="12547" width="15.140625" style="1" customWidth="1"/>
    <col min="12548" max="12548" width="20.42578125" style="1" customWidth="1"/>
    <col min="12549" max="12549" width="21" style="1" customWidth="1"/>
    <col min="12550" max="12550" width="5.85546875" style="1" customWidth="1"/>
    <col min="12551" max="12551" width="16.28515625" style="1" customWidth="1"/>
    <col min="12552" max="12800" width="9.140625" style="1"/>
    <col min="12801" max="12801" width="12.85546875" style="1" customWidth="1"/>
    <col min="12802" max="12802" width="43.7109375" style="1" customWidth="1"/>
    <col min="12803" max="12803" width="15.140625" style="1" customWidth="1"/>
    <col min="12804" max="12804" width="20.42578125" style="1" customWidth="1"/>
    <col min="12805" max="12805" width="21" style="1" customWidth="1"/>
    <col min="12806" max="12806" width="5.85546875" style="1" customWidth="1"/>
    <col min="12807" max="12807" width="16.28515625" style="1" customWidth="1"/>
    <col min="12808" max="13056" width="9.140625" style="1"/>
    <col min="13057" max="13057" width="12.85546875" style="1" customWidth="1"/>
    <col min="13058" max="13058" width="43.7109375" style="1" customWidth="1"/>
    <col min="13059" max="13059" width="15.140625" style="1" customWidth="1"/>
    <col min="13060" max="13060" width="20.42578125" style="1" customWidth="1"/>
    <col min="13061" max="13061" width="21" style="1" customWidth="1"/>
    <col min="13062" max="13062" width="5.85546875" style="1" customWidth="1"/>
    <col min="13063" max="13063" width="16.28515625" style="1" customWidth="1"/>
    <col min="13064" max="13312" width="9.140625" style="1"/>
    <col min="13313" max="13313" width="12.85546875" style="1" customWidth="1"/>
    <col min="13314" max="13314" width="43.7109375" style="1" customWidth="1"/>
    <col min="13315" max="13315" width="15.140625" style="1" customWidth="1"/>
    <col min="13316" max="13316" width="20.42578125" style="1" customWidth="1"/>
    <col min="13317" max="13317" width="21" style="1" customWidth="1"/>
    <col min="13318" max="13318" width="5.85546875" style="1" customWidth="1"/>
    <col min="13319" max="13319" width="16.28515625" style="1" customWidth="1"/>
    <col min="13320" max="13568" width="9.140625" style="1"/>
    <col min="13569" max="13569" width="12.85546875" style="1" customWidth="1"/>
    <col min="13570" max="13570" width="43.7109375" style="1" customWidth="1"/>
    <col min="13571" max="13571" width="15.140625" style="1" customWidth="1"/>
    <col min="13572" max="13572" width="20.42578125" style="1" customWidth="1"/>
    <col min="13573" max="13573" width="21" style="1" customWidth="1"/>
    <col min="13574" max="13574" width="5.85546875" style="1" customWidth="1"/>
    <col min="13575" max="13575" width="16.28515625" style="1" customWidth="1"/>
    <col min="13576" max="13824" width="9.140625" style="1"/>
    <col min="13825" max="13825" width="12.85546875" style="1" customWidth="1"/>
    <col min="13826" max="13826" width="43.7109375" style="1" customWidth="1"/>
    <col min="13827" max="13827" width="15.140625" style="1" customWidth="1"/>
    <col min="13828" max="13828" width="20.42578125" style="1" customWidth="1"/>
    <col min="13829" max="13829" width="21" style="1" customWidth="1"/>
    <col min="13830" max="13830" width="5.85546875" style="1" customWidth="1"/>
    <col min="13831" max="13831" width="16.28515625" style="1" customWidth="1"/>
    <col min="13832" max="14080" width="9.140625" style="1"/>
    <col min="14081" max="14081" width="12.85546875" style="1" customWidth="1"/>
    <col min="14082" max="14082" width="43.7109375" style="1" customWidth="1"/>
    <col min="14083" max="14083" width="15.140625" style="1" customWidth="1"/>
    <col min="14084" max="14084" width="20.42578125" style="1" customWidth="1"/>
    <col min="14085" max="14085" width="21" style="1" customWidth="1"/>
    <col min="14086" max="14086" width="5.85546875" style="1" customWidth="1"/>
    <col min="14087" max="14087" width="16.28515625" style="1" customWidth="1"/>
    <col min="14088" max="14336" width="9.140625" style="1"/>
    <col min="14337" max="14337" width="12.85546875" style="1" customWidth="1"/>
    <col min="14338" max="14338" width="43.7109375" style="1" customWidth="1"/>
    <col min="14339" max="14339" width="15.140625" style="1" customWidth="1"/>
    <col min="14340" max="14340" width="20.42578125" style="1" customWidth="1"/>
    <col min="14341" max="14341" width="21" style="1" customWidth="1"/>
    <col min="14342" max="14342" width="5.85546875" style="1" customWidth="1"/>
    <col min="14343" max="14343" width="16.28515625" style="1" customWidth="1"/>
    <col min="14344" max="14592" width="9.140625" style="1"/>
    <col min="14593" max="14593" width="12.85546875" style="1" customWidth="1"/>
    <col min="14594" max="14594" width="43.7109375" style="1" customWidth="1"/>
    <col min="14595" max="14595" width="15.140625" style="1" customWidth="1"/>
    <col min="14596" max="14596" width="20.42578125" style="1" customWidth="1"/>
    <col min="14597" max="14597" width="21" style="1" customWidth="1"/>
    <col min="14598" max="14598" width="5.85546875" style="1" customWidth="1"/>
    <col min="14599" max="14599" width="16.28515625" style="1" customWidth="1"/>
    <col min="14600" max="14848" width="9.140625" style="1"/>
    <col min="14849" max="14849" width="12.85546875" style="1" customWidth="1"/>
    <col min="14850" max="14850" width="43.7109375" style="1" customWidth="1"/>
    <col min="14851" max="14851" width="15.140625" style="1" customWidth="1"/>
    <col min="14852" max="14852" width="20.42578125" style="1" customWidth="1"/>
    <col min="14853" max="14853" width="21" style="1" customWidth="1"/>
    <col min="14854" max="14854" width="5.85546875" style="1" customWidth="1"/>
    <col min="14855" max="14855" width="16.28515625" style="1" customWidth="1"/>
    <col min="14856" max="15104" width="9.140625" style="1"/>
    <col min="15105" max="15105" width="12.85546875" style="1" customWidth="1"/>
    <col min="15106" max="15106" width="43.7109375" style="1" customWidth="1"/>
    <col min="15107" max="15107" width="15.140625" style="1" customWidth="1"/>
    <col min="15108" max="15108" width="20.42578125" style="1" customWidth="1"/>
    <col min="15109" max="15109" width="21" style="1" customWidth="1"/>
    <col min="15110" max="15110" width="5.85546875" style="1" customWidth="1"/>
    <col min="15111" max="15111" width="16.28515625" style="1" customWidth="1"/>
    <col min="15112" max="15360" width="9.140625" style="1"/>
    <col min="15361" max="15361" width="12.85546875" style="1" customWidth="1"/>
    <col min="15362" max="15362" width="43.7109375" style="1" customWidth="1"/>
    <col min="15363" max="15363" width="15.140625" style="1" customWidth="1"/>
    <col min="15364" max="15364" width="20.42578125" style="1" customWidth="1"/>
    <col min="15365" max="15365" width="21" style="1" customWidth="1"/>
    <col min="15366" max="15366" width="5.85546875" style="1" customWidth="1"/>
    <col min="15367" max="15367" width="16.28515625" style="1" customWidth="1"/>
    <col min="15368" max="15616" width="9.140625" style="1"/>
    <col min="15617" max="15617" width="12.85546875" style="1" customWidth="1"/>
    <col min="15618" max="15618" width="43.7109375" style="1" customWidth="1"/>
    <col min="15619" max="15619" width="15.140625" style="1" customWidth="1"/>
    <col min="15620" max="15620" width="20.42578125" style="1" customWidth="1"/>
    <col min="15621" max="15621" width="21" style="1" customWidth="1"/>
    <col min="15622" max="15622" width="5.85546875" style="1" customWidth="1"/>
    <col min="15623" max="15623" width="16.28515625" style="1" customWidth="1"/>
    <col min="15624" max="15872" width="9.140625" style="1"/>
    <col min="15873" max="15873" width="12.85546875" style="1" customWidth="1"/>
    <col min="15874" max="15874" width="43.7109375" style="1" customWidth="1"/>
    <col min="15875" max="15875" width="15.140625" style="1" customWidth="1"/>
    <col min="15876" max="15876" width="20.42578125" style="1" customWidth="1"/>
    <col min="15877" max="15877" width="21" style="1" customWidth="1"/>
    <col min="15878" max="15878" width="5.85546875" style="1" customWidth="1"/>
    <col min="15879" max="15879" width="16.28515625" style="1" customWidth="1"/>
    <col min="15880" max="16128" width="9.140625" style="1"/>
    <col min="16129" max="16129" width="12.85546875" style="1" customWidth="1"/>
    <col min="16130" max="16130" width="43.7109375" style="1" customWidth="1"/>
    <col min="16131" max="16131" width="15.140625" style="1" customWidth="1"/>
    <col min="16132" max="16132" width="20.42578125" style="1" customWidth="1"/>
    <col min="16133" max="16133" width="21" style="1" customWidth="1"/>
    <col min="16134" max="16134" width="5.85546875" style="1" customWidth="1"/>
    <col min="16135" max="16135" width="16.28515625" style="1" customWidth="1"/>
    <col min="16136" max="16384" width="9.140625" style="1"/>
  </cols>
  <sheetData>
    <row r="1" spans="1:12" ht="32.25" customHeight="1" thickBot="1" x14ac:dyDescent="0.25">
      <c r="A1" s="658" t="s">
        <v>311</v>
      </c>
      <c r="B1" s="659"/>
      <c r="C1" s="659"/>
      <c r="D1" s="660"/>
      <c r="E1" s="29"/>
      <c r="F1" s="29"/>
      <c r="G1" s="29"/>
      <c r="H1" s="29"/>
      <c r="I1" s="29"/>
      <c r="J1" s="29"/>
      <c r="K1" s="29"/>
      <c r="L1" s="29"/>
    </row>
    <row r="2" spans="1:12" ht="4.5" customHeight="1" thickBot="1" x14ac:dyDescent="0.25">
      <c r="A2" s="48"/>
      <c r="B2" s="49"/>
      <c r="C2" s="49"/>
      <c r="D2" s="50"/>
      <c r="E2" s="29"/>
      <c r="F2" s="29"/>
      <c r="G2" s="29"/>
      <c r="H2" s="29"/>
      <c r="I2" s="29"/>
      <c r="J2" s="29"/>
      <c r="K2" s="29"/>
      <c r="L2" s="29"/>
    </row>
    <row r="3" spans="1:12" ht="20.100000000000001" customHeight="1" thickBot="1" x14ac:dyDescent="0.25">
      <c r="A3" s="118" t="s">
        <v>39</v>
      </c>
      <c r="B3" s="661" t="s">
        <v>689</v>
      </c>
      <c r="C3" s="661"/>
      <c r="D3" s="662"/>
      <c r="E3" s="29"/>
      <c r="F3" s="29"/>
      <c r="G3" s="29"/>
      <c r="H3" s="29"/>
      <c r="I3" s="29"/>
      <c r="J3" s="29"/>
      <c r="K3" s="29"/>
      <c r="L3" s="29"/>
    </row>
    <row r="4" spans="1:12" ht="4.5" customHeight="1" thickBot="1" x14ac:dyDescent="0.25">
      <c r="A4" s="51"/>
      <c r="B4" s="47"/>
      <c r="C4" s="47"/>
      <c r="D4" s="52"/>
      <c r="E4" s="29"/>
      <c r="F4" s="29"/>
      <c r="G4" s="29"/>
      <c r="H4" s="29"/>
      <c r="I4" s="29"/>
      <c r="J4" s="29"/>
      <c r="K4" s="29"/>
      <c r="L4" s="29"/>
    </row>
    <row r="5" spans="1:12" ht="20.100000000000001" customHeight="1" thickBot="1" x14ac:dyDescent="0.25">
      <c r="A5" s="119" t="s">
        <v>198</v>
      </c>
      <c r="B5" s="663" t="s">
        <v>692</v>
      </c>
      <c r="C5" s="664"/>
      <c r="D5" s="665"/>
      <c r="E5" s="29"/>
      <c r="F5" s="29"/>
      <c r="G5" s="29"/>
      <c r="H5" s="29"/>
      <c r="I5" s="29"/>
      <c r="J5" s="29"/>
      <c r="K5" s="29"/>
      <c r="L5" s="29"/>
    </row>
    <row r="6" spans="1:12" ht="4.5" customHeight="1" thickBot="1" x14ac:dyDescent="0.25">
      <c r="A6" s="51"/>
      <c r="B6" s="47"/>
      <c r="C6" s="49"/>
      <c r="D6" s="50"/>
      <c r="E6" s="29"/>
      <c r="F6" s="29"/>
      <c r="G6" s="29"/>
      <c r="H6" s="29"/>
      <c r="I6" s="29"/>
      <c r="J6" s="29"/>
      <c r="K6" s="29"/>
      <c r="L6" s="29"/>
    </row>
    <row r="7" spans="1:12" ht="20.100000000000001" customHeight="1" thickBot="1" x14ac:dyDescent="0.25">
      <c r="A7" s="53" t="s">
        <v>40</v>
      </c>
      <c r="B7" s="54" t="s">
        <v>694</v>
      </c>
      <c r="C7" s="94" t="s">
        <v>312</v>
      </c>
      <c r="D7" s="95" t="s">
        <v>1934</v>
      </c>
      <c r="E7" s="55"/>
      <c r="F7" s="29"/>
      <c r="G7" s="29"/>
      <c r="H7" s="29"/>
      <c r="I7" s="29"/>
      <c r="J7" s="29"/>
      <c r="K7" s="29"/>
      <c r="L7" s="29"/>
    </row>
    <row r="8" spans="1:12" ht="4.5" customHeight="1" thickBot="1" x14ac:dyDescent="0.25">
      <c r="A8" s="48"/>
      <c r="B8" s="49"/>
      <c r="C8" s="49"/>
      <c r="D8" s="50"/>
      <c r="E8" s="29"/>
      <c r="F8" s="29"/>
      <c r="G8" s="29"/>
      <c r="H8" s="29"/>
      <c r="I8" s="29"/>
      <c r="J8" s="29"/>
      <c r="K8" s="29"/>
      <c r="L8" s="29"/>
    </row>
    <row r="9" spans="1:12" s="7" customFormat="1" ht="20.100000000000001" customHeight="1" thickBot="1" x14ac:dyDescent="0.3">
      <c r="A9" s="123" t="s">
        <v>200</v>
      </c>
      <c r="B9" s="124" t="s">
        <v>286</v>
      </c>
      <c r="C9" s="124" t="s">
        <v>287</v>
      </c>
      <c r="D9" s="125" t="s">
        <v>288</v>
      </c>
      <c r="E9" s="56"/>
      <c r="F9" s="6"/>
      <c r="G9" s="6"/>
      <c r="H9" s="6"/>
      <c r="I9" s="6"/>
      <c r="J9" s="6"/>
      <c r="K9" s="6"/>
      <c r="L9" s="6"/>
    </row>
    <row r="10" spans="1:12" s="7" customFormat="1" ht="4.5" customHeight="1" thickBot="1" x14ac:dyDescent="0.25">
      <c r="A10" s="57"/>
      <c r="B10" s="58"/>
      <c r="C10" s="58"/>
      <c r="D10" s="59"/>
      <c r="E10" s="56"/>
      <c r="F10" s="6"/>
      <c r="G10" s="6"/>
      <c r="H10" s="6"/>
      <c r="I10" s="6"/>
      <c r="J10" s="6"/>
      <c r="K10" s="6"/>
      <c r="L10" s="6"/>
    </row>
    <row r="11" spans="1:12" s="7" customFormat="1" ht="20.100000000000001" customHeight="1" x14ac:dyDescent="0.2">
      <c r="A11" s="60"/>
      <c r="B11" s="61"/>
      <c r="C11" s="61"/>
      <c r="D11" s="62"/>
      <c r="E11" s="63"/>
      <c r="F11" s="6"/>
      <c r="G11" s="6"/>
      <c r="H11" s="6"/>
      <c r="I11" s="6"/>
      <c r="J11" s="6"/>
      <c r="K11" s="6"/>
      <c r="L11" s="6"/>
    </row>
    <row r="12" spans="1:12" s="7" customFormat="1" ht="20.100000000000001" customHeight="1" x14ac:dyDescent="0.25">
      <c r="A12" s="64" t="s">
        <v>289</v>
      </c>
      <c r="B12" s="65" t="s">
        <v>313</v>
      </c>
      <c r="C12" s="66"/>
      <c r="D12" s="67">
        <f>D22-D14</f>
        <v>1690797.2813309154</v>
      </c>
      <c r="E12" s="68"/>
      <c r="F12" s="6"/>
      <c r="G12" s="6"/>
      <c r="H12" s="6"/>
      <c r="I12" s="6"/>
      <c r="J12" s="6"/>
      <c r="K12" s="6"/>
      <c r="L12" s="6"/>
    </row>
    <row r="13" spans="1:12" s="7" customFormat="1" ht="20.100000000000001" customHeight="1" x14ac:dyDescent="0.2">
      <c r="A13" s="69"/>
      <c r="B13" s="70"/>
      <c r="C13" s="71"/>
      <c r="D13" s="72"/>
      <c r="E13"/>
      <c r="F13" s="6"/>
      <c r="G13" s="6"/>
      <c r="H13" s="6"/>
      <c r="I13" s="6"/>
      <c r="J13" s="6"/>
      <c r="K13" s="6"/>
      <c r="L13" s="6"/>
    </row>
    <row r="14" spans="1:12" s="7" customFormat="1" ht="20.100000000000001" customHeight="1" x14ac:dyDescent="0.25">
      <c r="A14" s="64" t="s">
        <v>291</v>
      </c>
      <c r="B14" s="65" t="s">
        <v>292</v>
      </c>
      <c r="C14" s="73">
        <f>SUM(C15:C19)</f>
        <v>4.8099999999999997E-2</v>
      </c>
      <c r="D14" s="74">
        <f>SUM(D15:D19)</f>
        <v>85436.862309083997</v>
      </c>
      <c r="E14" s="75"/>
      <c r="F14" s="6"/>
      <c r="G14" s="6"/>
      <c r="H14" s="6"/>
      <c r="I14" s="6"/>
      <c r="J14" s="6"/>
      <c r="K14" s="6"/>
      <c r="L14" s="6"/>
    </row>
    <row r="15" spans="1:12" s="7" customFormat="1" ht="20.100000000000001" customHeight="1" x14ac:dyDescent="0.2">
      <c r="A15" s="69" t="s">
        <v>72</v>
      </c>
      <c r="B15" s="70" t="s">
        <v>293</v>
      </c>
      <c r="C15" s="76">
        <v>3.0700000000000002E-2</v>
      </c>
      <c r="D15" s="77">
        <f>C15*D$22</f>
        <v>54530.388209747987</v>
      </c>
      <c r="E15" s="78"/>
      <c r="F15" s="6"/>
      <c r="G15" s="6"/>
      <c r="H15" s="6"/>
      <c r="I15" s="6"/>
      <c r="J15" s="6"/>
      <c r="K15" s="6"/>
      <c r="L15" s="6"/>
    </row>
    <row r="16" spans="1:12" s="7" customFormat="1" ht="20.100000000000001" customHeight="1" x14ac:dyDescent="0.2">
      <c r="A16" s="69" t="s">
        <v>171</v>
      </c>
      <c r="B16" s="70" t="s">
        <v>447</v>
      </c>
      <c r="C16" s="76">
        <v>1.6999999999999999E-3</v>
      </c>
      <c r="D16" s="77">
        <f t="shared" ref="D16:D19" si="0">C16*D$22</f>
        <v>3019.5980441879988</v>
      </c>
      <c r="E16" s="78"/>
      <c r="F16" s="6"/>
      <c r="G16" s="232"/>
      <c r="H16" s="6"/>
      <c r="I16" s="6"/>
      <c r="J16" s="6"/>
      <c r="K16" s="6"/>
      <c r="L16" s="6"/>
    </row>
    <row r="17" spans="1:12" s="7" customFormat="1" ht="20.100000000000001" customHeight="1" x14ac:dyDescent="0.2">
      <c r="A17" s="69" t="s">
        <v>167</v>
      </c>
      <c r="B17" s="70" t="s">
        <v>294</v>
      </c>
      <c r="C17" s="76">
        <v>5.5999999999999999E-3</v>
      </c>
      <c r="D17" s="77">
        <f t="shared" si="0"/>
        <v>9946.9112043839959</v>
      </c>
      <c r="E17" s="78"/>
      <c r="F17" s="6"/>
      <c r="G17" s="232"/>
      <c r="H17" s="6"/>
      <c r="I17" s="6"/>
      <c r="J17" s="6"/>
      <c r="K17" s="6"/>
      <c r="L17" s="6"/>
    </row>
    <row r="18" spans="1:12" s="7" customFormat="1" ht="20.100000000000001" customHeight="1" x14ac:dyDescent="0.2">
      <c r="A18" s="69" t="s">
        <v>168</v>
      </c>
      <c r="B18" s="70" t="s">
        <v>446</v>
      </c>
      <c r="C18" s="76">
        <v>1.6000000000000001E-3</v>
      </c>
      <c r="D18" s="77">
        <f t="shared" si="0"/>
        <v>2841.9746298239993</v>
      </c>
      <c r="E18" s="78"/>
      <c r="F18" s="6"/>
      <c r="G18" s="232"/>
      <c r="H18" s="6"/>
      <c r="I18" s="6"/>
      <c r="J18" s="6"/>
      <c r="K18" s="6"/>
      <c r="L18" s="6"/>
    </row>
    <row r="19" spans="1:12" s="7" customFormat="1" ht="20.100000000000001" customHeight="1" x14ac:dyDescent="0.2">
      <c r="A19" s="69" t="s">
        <v>169</v>
      </c>
      <c r="B19" s="70" t="s">
        <v>295</v>
      </c>
      <c r="C19" s="76">
        <v>8.5000000000000006E-3</v>
      </c>
      <c r="D19" s="77">
        <f t="shared" si="0"/>
        <v>15097.990220939997</v>
      </c>
      <c r="E19" s="78"/>
      <c r="F19" s="6"/>
      <c r="G19" s="232"/>
      <c r="H19" s="6"/>
      <c r="I19" s="6"/>
      <c r="J19" s="6"/>
      <c r="K19" s="6"/>
      <c r="L19" s="6"/>
    </row>
    <row r="20" spans="1:12" s="7" customFormat="1" ht="20.100000000000001" customHeight="1" x14ac:dyDescent="0.2">
      <c r="A20" s="655" t="s">
        <v>448</v>
      </c>
      <c r="B20" s="656"/>
      <c r="C20" s="656"/>
      <c r="D20" s="657"/>
      <c r="E20"/>
      <c r="F20" s="6"/>
      <c r="G20" s="232"/>
      <c r="H20" s="6"/>
      <c r="I20" s="6"/>
      <c r="J20" s="6"/>
      <c r="K20" s="6"/>
      <c r="L20" s="6"/>
    </row>
    <row r="21" spans="1:12" s="7" customFormat="1" ht="20.100000000000001" customHeight="1" x14ac:dyDescent="0.2">
      <c r="A21" s="82"/>
      <c r="B21" s="83"/>
      <c r="C21" s="83"/>
      <c r="D21" s="84"/>
      <c r="E21"/>
      <c r="F21" s="6"/>
      <c r="G21" s="232"/>
      <c r="H21" s="6"/>
      <c r="I21" s="6"/>
      <c r="J21" s="6"/>
      <c r="K21" s="6"/>
      <c r="L21" s="6"/>
    </row>
    <row r="22" spans="1:12" s="7" customFormat="1" ht="20.100000000000001" customHeight="1" x14ac:dyDescent="0.25">
      <c r="A22" s="64" t="s">
        <v>296</v>
      </c>
      <c r="B22" s="65" t="s">
        <v>297</v>
      </c>
      <c r="C22" s="66"/>
      <c r="D22" s="74">
        <f>D33-D30-D24</f>
        <v>1776234.1436399994</v>
      </c>
      <c r="E22" s="75"/>
      <c r="F22" s="6"/>
      <c r="G22" s="6"/>
      <c r="H22" s="6"/>
      <c r="I22" s="6"/>
      <c r="J22" s="6"/>
      <c r="K22" s="6"/>
      <c r="L22" s="6"/>
    </row>
    <row r="23" spans="1:12" s="7" customFormat="1" ht="20.100000000000001" customHeight="1" x14ac:dyDescent="0.2">
      <c r="A23" s="69"/>
      <c r="B23" s="70"/>
      <c r="C23" s="71"/>
      <c r="D23" s="72"/>
      <c r="E23"/>
      <c r="F23" s="6"/>
      <c r="G23" s="6"/>
      <c r="H23" s="6"/>
      <c r="I23" s="6"/>
      <c r="J23" s="6"/>
      <c r="K23" s="6"/>
      <c r="L23" s="6"/>
    </row>
    <row r="24" spans="1:12" s="7" customFormat="1" ht="20.100000000000001" customHeight="1" x14ac:dyDescent="0.25">
      <c r="A24" s="64" t="s">
        <v>298</v>
      </c>
      <c r="B24" s="65" t="s">
        <v>299</v>
      </c>
      <c r="C24" s="73">
        <f>SUM(C25:C27)</f>
        <v>5.6499999999999995E-2</v>
      </c>
      <c r="D24" s="74">
        <f>ROUND(SUM(D25:D27),2)</f>
        <v>112095.02</v>
      </c>
      <c r="E24" s="75"/>
      <c r="F24" s="6"/>
      <c r="G24" s="6"/>
      <c r="H24" s="6"/>
      <c r="I24" s="6"/>
      <c r="J24" s="6"/>
      <c r="K24" s="6"/>
      <c r="L24" s="6"/>
    </row>
    <row r="25" spans="1:12" s="7" customFormat="1" ht="20.100000000000001" customHeight="1" x14ac:dyDescent="0.2">
      <c r="A25" s="69" t="s">
        <v>76</v>
      </c>
      <c r="B25" s="70" t="s">
        <v>300</v>
      </c>
      <c r="C25" s="76">
        <v>0.03</v>
      </c>
      <c r="D25" s="77">
        <f>C25*D$33</f>
        <v>59519.47859999998</v>
      </c>
      <c r="E25" s="75"/>
      <c r="F25" s="6"/>
      <c r="G25" s="6"/>
      <c r="H25" s="6"/>
      <c r="I25" s="6"/>
      <c r="J25" s="6"/>
      <c r="K25" s="6"/>
      <c r="L25" s="6"/>
    </row>
    <row r="26" spans="1:12" s="7" customFormat="1" ht="20.100000000000001" customHeight="1" x14ac:dyDescent="0.2">
      <c r="A26" s="69" t="s">
        <v>100</v>
      </c>
      <c r="B26" s="70" t="s">
        <v>301</v>
      </c>
      <c r="C26" s="76">
        <v>6.4999999999999997E-3</v>
      </c>
      <c r="D26" s="77">
        <f>C26*D$33</f>
        <v>12895.887029999996</v>
      </c>
      <c r="E26" s="75"/>
      <c r="F26" s="6"/>
      <c r="G26" s="6"/>
      <c r="H26" s="6"/>
      <c r="I26" s="6"/>
      <c r="J26" s="6"/>
      <c r="K26" s="6"/>
      <c r="L26" s="6"/>
    </row>
    <row r="27" spans="1:12" s="7" customFormat="1" ht="20.100000000000001" customHeight="1" x14ac:dyDescent="0.2">
      <c r="A27" s="69" t="s">
        <v>253</v>
      </c>
      <c r="B27" s="70" t="s">
        <v>383</v>
      </c>
      <c r="C27" s="76">
        <v>0.02</v>
      </c>
      <c r="D27" s="77">
        <f>C27*D$33</f>
        <v>39679.652399999992</v>
      </c>
      <c r="E27" s="75"/>
      <c r="F27" s="6"/>
      <c r="G27" s="6"/>
      <c r="H27" s="6"/>
      <c r="I27" s="6"/>
      <c r="J27" s="6"/>
      <c r="K27" s="6"/>
      <c r="L27" s="6"/>
    </row>
    <row r="28" spans="1:12" s="7" customFormat="1" ht="20.100000000000001" customHeight="1" x14ac:dyDescent="0.2">
      <c r="A28" s="655" t="s">
        <v>303</v>
      </c>
      <c r="B28" s="656"/>
      <c r="C28" s="656"/>
      <c r="D28" s="657"/>
      <c r="E28" s="75"/>
      <c r="F28" s="6"/>
      <c r="G28" s="6"/>
      <c r="H28" s="6"/>
      <c r="I28" s="6"/>
      <c r="J28" s="6"/>
      <c r="K28" s="6"/>
      <c r="L28" s="6"/>
    </row>
    <row r="29" spans="1:12" s="7" customFormat="1" ht="20.100000000000001" customHeight="1" x14ac:dyDescent="0.2">
      <c r="A29" s="82"/>
      <c r="B29" s="83"/>
      <c r="C29" s="83"/>
      <c r="D29" s="84"/>
      <c r="E29" s="75"/>
      <c r="F29" s="6"/>
      <c r="G29" s="6"/>
      <c r="H29" s="6"/>
      <c r="I29" s="6"/>
      <c r="J29" s="6"/>
      <c r="K29" s="6"/>
      <c r="L29" s="6"/>
    </row>
    <row r="30" spans="1:12" s="7" customFormat="1" ht="20.100000000000001" customHeight="1" x14ac:dyDescent="0.25">
      <c r="A30" s="64" t="s">
        <v>304</v>
      </c>
      <c r="B30" s="65" t="s">
        <v>314</v>
      </c>
      <c r="C30" s="73">
        <v>5.11E-2</v>
      </c>
      <c r="D30" s="74">
        <f>C30*(D$33-D24)</f>
        <v>95653.456359999967</v>
      </c>
      <c r="E30" s="75"/>
      <c r="F30" s="6"/>
      <c r="G30" s="6"/>
      <c r="H30" s="6"/>
      <c r="I30" s="6"/>
      <c r="J30" s="6"/>
      <c r="K30" s="6"/>
      <c r="L30" s="6"/>
    </row>
    <row r="31" spans="1:12" s="7" customFormat="1" ht="20.100000000000001" customHeight="1" x14ac:dyDescent="0.2">
      <c r="A31" s="655" t="s">
        <v>449</v>
      </c>
      <c r="B31" s="656"/>
      <c r="C31" s="656"/>
      <c r="D31" s="657"/>
      <c r="E31"/>
      <c r="F31" s="6"/>
      <c r="G31" s="6"/>
      <c r="H31" s="6"/>
      <c r="I31" s="6"/>
      <c r="J31" s="6"/>
      <c r="K31" s="6"/>
      <c r="L31" s="6"/>
    </row>
    <row r="32" spans="1:12" s="7" customFormat="1" ht="20.100000000000001" customHeight="1" x14ac:dyDescent="0.2">
      <c r="A32" s="82"/>
      <c r="B32" s="83"/>
      <c r="C32" s="83"/>
      <c r="D32" s="84"/>
      <c r="E32"/>
      <c r="F32" s="6"/>
      <c r="G32" s="6"/>
      <c r="H32" s="6"/>
      <c r="I32" s="6"/>
      <c r="J32" s="6"/>
      <c r="K32" s="6"/>
      <c r="L32" s="6"/>
    </row>
    <row r="33" spans="1:12" s="7" customFormat="1" ht="20.100000000000001" customHeight="1" x14ac:dyDescent="0.25">
      <c r="A33" s="64" t="s">
        <v>306</v>
      </c>
      <c r="B33" s="65" t="s">
        <v>315</v>
      </c>
      <c r="C33" s="71"/>
      <c r="D33" s="74">
        <f>ORÇAMENTO!I657</f>
        <v>1983982.6199999994</v>
      </c>
      <c r="E33" s="75"/>
      <c r="F33" s="6"/>
      <c r="G33" s="93"/>
      <c r="H33" s="6"/>
      <c r="I33" s="6"/>
      <c r="J33" s="6"/>
      <c r="K33" s="6"/>
      <c r="L33" s="6"/>
    </row>
    <row r="34" spans="1:12" s="7" customFormat="1" ht="20.100000000000001" customHeight="1" x14ac:dyDescent="0.2">
      <c r="A34" s="69"/>
      <c r="B34" s="70"/>
      <c r="C34" s="71"/>
      <c r="D34" s="72"/>
      <c r="E34"/>
      <c r="F34" s="6"/>
      <c r="G34" s="6"/>
      <c r="H34" s="6"/>
      <c r="I34" s="6"/>
      <c r="J34" s="6"/>
      <c r="K34" s="6"/>
      <c r="L34" s="6"/>
    </row>
    <row r="35" spans="1:12" s="7" customFormat="1" ht="20.100000000000001" customHeight="1" x14ac:dyDescent="0.25">
      <c r="A35" s="64" t="s">
        <v>308</v>
      </c>
      <c r="B35" s="65" t="s">
        <v>309</v>
      </c>
      <c r="C35" s="73">
        <f>(1+C15+C16+C17+C18)*(1+C19)*(1+C30)/(1-C24)-1</f>
        <v>0.16800393244303136</v>
      </c>
      <c r="D35" s="72"/>
      <c r="E35"/>
      <c r="F35" s="6"/>
      <c r="G35" s="6">
        <v>16.8</v>
      </c>
      <c r="H35" s="6"/>
      <c r="I35" s="6"/>
      <c r="J35" s="6"/>
      <c r="K35" s="6"/>
      <c r="L35" s="6"/>
    </row>
    <row r="36" spans="1:12" s="7" customFormat="1" ht="20.100000000000001" customHeight="1" x14ac:dyDescent="0.2">
      <c r="A36" s="85"/>
      <c r="B36" s="86"/>
      <c r="C36" s="86"/>
      <c r="D36" s="87"/>
      <c r="E36"/>
      <c r="F36" s="6"/>
      <c r="G36" s="6"/>
      <c r="H36" s="6"/>
      <c r="I36" s="6"/>
      <c r="J36" s="6"/>
      <c r="K36" s="6"/>
      <c r="L36" s="6"/>
    </row>
    <row r="37" spans="1:12" s="7" customFormat="1" ht="20.100000000000001" customHeight="1" x14ac:dyDescent="0.25">
      <c r="A37" s="88" t="s">
        <v>381</v>
      </c>
      <c r="B37" s="86"/>
      <c r="C37" s="86"/>
      <c r="D37" s="87"/>
      <c r="E37"/>
      <c r="F37" s="6"/>
      <c r="G37" s="6"/>
      <c r="H37" s="6"/>
      <c r="I37" s="6"/>
      <c r="J37" s="6"/>
      <c r="K37" s="6"/>
      <c r="L37" s="6"/>
    </row>
    <row r="38" spans="1:12" s="7" customFormat="1" ht="20.100000000000001" customHeight="1" x14ac:dyDescent="0.25">
      <c r="A38" s="88" t="s">
        <v>310</v>
      </c>
      <c r="B38" s="86"/>
      <c r="C38" s="86"/>
      <c r="D38" s="87"/>
      <c r="E38"/>
      <c r="F38" s="6"/>
      <c r="G38" s="6"/>
      <c r="H38" s="6"/>
      <c r="I38" s="6"/>
      <c r="J38" s="6"/>
      <c r="K38" s="6"/>
      <c r="L38" s="6"/>
    </row>
    <row r="39" spans="1:12" s="7" customFormat="1" ht="20.100000000000001" customHeight="1" thickBot="1" x14ac:dyDescent="0.25">
      <c r="A39" s="89"/>
      <c r="B39" s="90"/>
      <c r="C39" s="91"/>
      <c r="D39" s="92"/>
      <c r="E39" s="6"/>
      <c r="F39" s="6"/>
      <c r="G39" s="6"/>
      <c r="H39" s="6"/>
      <c r="I39" s="6"/>
      <c r="J39" s="6"/>
      <c r="K39" s="6"/>
      <c r="L39" s="6"/>
    </row>
    <row r="40" spans="1:12" s="7" customFormat="1" x14ac:dyDescent="0.2">
      <c r="E40" s="6"/>
      <c r="F40" s="8"/>
      <c r="G40" s="6"/>
      <c r="H40" s="6"/>
      <c r="I40" s="6"/>
      <c r="J40" s="6"/>
      <c r="K40" s="6"/>
      <c r="L40" s="6"/>
    </row>
    <row r="41" spans="1:12" ht="15.95" customHeight="1" x14ac:dyDescent="0.2">
      <c r="E41" s="41"/>
      <c r="F41" s="41"/>
      <c r="G41" s="41"/>
      <c r="H41" s="41"/>
      <c r="I41" s="41"/>
      <c r="J41" s="41"/>
      <c r="K41" s="41"/>
      <c r="L41" s="41"/>
    </row>
    <row r="42" spans="1:12" ht="15.95" customHeight="1" x14ac:dyDescent="0.2">
      <c r="E42" s="41"/>
      <c r="F42" s="41"/>
      <c r="G42" s="41"/>
      <c r="H42" s="41"/>
      <c r="I42" s="41"/>
      <c r="J42" s="41"/>
      <c r="K42" s="41"/>
      <c r="L42" s="41"/>
    </row>
    <row r="43" spans="1:12" ht="15.95" customHeight="1" x14ac:dyDescent="0.2">
      <c r="E43" s="41"/>
      <c r="F43" s="41"/>
      <c r="G43" s="41"/>
      <c r="H43" s="41"/>
      <c r="I43" s="41"/>
      <c r="J43" s="41"/>
      <c r="K43" s="41"/>
      <c r="L43" s="41"/>
    </row>
    <row r="44" spans="1:12" ht="15.95" customHeight="1" x14ac:dyDescent="0.2">
      <c r="E44" s="41"/>
      <c r="F44" s="41"/>
      <c r="G44" s="41"/>
      <c r="H44" s="41"/>
      <c r="I44" s="41"/>
      <c r="J44" s="41"/>
      <c r="K44" s="41"/>
      <c r="L44" s="41"/>
    </row>
    <row r="45" spans="1:12" ht="15.95" customHeight="1" x14ac:dyDescent="0.2">
      <c r="E45" s="41"/>
      <c r="F45" s="41"/>
      <c r="G45" s="41"/>
      <c r="H45" s="41"/>
      <c r="I45" s="41"/>
      <c r="J45" s="41"/>
      <c r="K45" s="41"/>
      <c r="L45" s="41"/>
    </row>
    <row r="46" spans="1:12" ht="15.95" customHeight="1" x14ac:dyDescent="0.2">
      <c r="E46" s="41"/>
      <c r="F46" s="41"/>
      <c r="G46" s="41"/>
      <c r="H46" s="41"/>
      <c r="I46" s="41"/>
      <c r="J46" s="41"/>
      <c r="K46" s="41"/>
      <c r="L46" s="41"/>
    </row>
    <row r="47" spans="1:12" ht="15.95" customHeight="1" x14ac:dyDescent="0.2">
      <c r="E47" s="41"/>
      <c r="F47" s="41"/>
      <c r="G47" s="41"/>
      <c r="H47" s="41"/>
      <c r="I47" s="41"/>
      <c r="J47" s="41"/>
      <c r="K47" s="41"/>
      <c r="L47" s="41"/>
    </row>
    <row r="48" spans="1:12" ht="15.95" customHeight="1" x14ac:dyDescent="0.2">
      <c r="A48" s="1"/>
      <c r="B48" s="1"/>
      <c r="C48" s="1"/>
      <c r="D48" s="1"/>
      <c r="E48" s="41"/>
      <c r="F48" s="41"/>
      <c r="G48" s="41"/>
      <c r="H48" s="41"/>
      <c r="I48" s="41"/>
      <c r="J48" s="41"/>
      <c r="K48" s="41"/>
      <c r="L48" s="41"/>
    </row>
    <row r="49" spans="1:12" ht="15.95" customHeight="1" x14ac:dyDescent="0.2">
      <c r="A49" s="1"/>
      <c r="B49" s="1"/>
      <c r="C49" s="1"/>
      <c r="D49" s="1"/>
      <c r="E49" s="41"/>
      <c r="F49" s="41"/>
      <c r="G49" s="41"/>
      <c r="H49" s="41"/>
      <c r="I49" s="41"/>
      <c r="J49" s="41"/>
      <c r="K49" s="41"/>
      <c r="L49" s="41"/>
    </row>
    <row r="50" spans="1:12" ht="15.95" customHeight="1" x14ac:dyDescent="0.2">
      <c r="A50" s="1"/>
      <c r="B50" s="1"/>
      <c r="C50" s="1"/>
      <c r="D50" s="1"/>
      <c r="E50" s="41"/>
      <c r="F50" s="41"/>
      <c r="G50" s="41"/>
      <c r="H50" s="41"/>
      <c r="I50" s="41"/>
      <c r="J50" s="41"/>
      <c r="K50" s="41"/>
      <c r="L50" s="41"/>
    </row>
    <row r="51" spans="1:12" ht="15.95" customHeight="1" x14ac:dyDescent="0.2">
      <c r="A51" s="1"/>
      <c r="B51" s="1"/>
      <c r="C51" s="1"/>
      <c r="D51" s="1"/>
      <c r="E51" s="41"/>
      <c r="F51" s="41"/>
      <c r="G51" s="41"/>
      <c r="H51" s="41"/>
      <c r="I51" s="41"/>
      <c r="J51" s="41"/>
      <c r="K51" s="41"/>
      <c r="L51" s="41"/>
    </row>
    <row r="52" spans="1:12" ht="15.95" customHeight="1" x14ac:dyDescent="0.2">
      <c r="A52" s="1"/>
      <c r="B52" s="1"/>
      <c r="C52" s="1"/>
      <c r="D52" s="1"/>
      <c r="E52" s="41"/>
      <c r="F52" s="41"/>
      <c r="G52" s="41"/>
      <c r="H52" s="41"/>
      <c r="I52" s="41"/>
      <c r="J52" s="41"/>
      <c r="K52" s="41"/>
      <c r="L52" s="41"/>
    </row>
    <row r="53" spans="1:12" ht="15.95" customHeight="1" x14ac:dyDescent="0.2">
      <c r="A53" s="1"/>
      <c r="B53" s="1"/>
      <c r="C53" s="1"/>
      <c r="D53" s="1"/>
      <c r="E53" s="41"/>
      <c r="F53" s="41"/>
      <c r="G53" s="41"/>
      <c r="H53" s="41"/>
      <c r="I53" s="41"/>
      <c r="J53" s="41"/>
      <c r="K53" s="41"/>
      <c r="L53" s="41"/>
    </row>
    <row r="54" spans="1:12" ht="15.95" customHeight="1" x14ac:dyDescent="0.2">
      <c r="A54" s="1"/>
      <c r="B54" s="1"/>
      <c r="C54" s="1"/>
      <c r="D54" s="1"/>
      <c r="E54" s="41"/>
      <c r="F54" s="41"/>
      <c r="G54" s="41"/>
      <c r="H54" s="41"/>
      <c r="I54" s="41"/>
      <c r="J54" s="41"/>
      <c r="K54" s="41"/>
      <c r="L54" s="41"/>
    </row>
    <row r="55" spans="1:12" ht="15.95" customHeight="1" x14ac:dyDescent="0.2">
      <c r="A55" s="1"/>
      <c r="B55" s="1"/>
      <c r="C55" s="1"/>
      <c r="D55" s="1"/>
      <c r="E55" s="41"/>
      <c r="F55" s="41"/>
      <c r="G55" s="41"/>
      <c r="H55" s="41"/>
      <c r="I55" s="41"/>
      <c r="J55" s="41"/>
      <c r="K55" s="41"/>
      <c r="L55" s="41"/>
    </row>
    <row r="56" spans="1:12" ht="15.95" customHeight="1" x14ac:dyDescent="0.2">
      <c r="A56" s="1"/>
      <c r="B56" s="1"/>
      <c r="C56" s="1"/>
      <c r="D56" s="1"/>
      <c r="E56" s="41"/>
      <c r="F56" s="41"/>
      <c r="G56" s="41"/>
      <c r="H56" s="41"/>
      <c r="I56" s="41"/>
      <c r="J56" s="41"/>
      <c r="K56" s="41"/>
      <c r="L56" s="41"/>
    </row>
    <row r="57" spans="1:12" ht="15.95" customHeight="1" x14ac:dyDescent="0.2">
      <c r="A57" s="1"/>
      <c r="B57" s="1"/>
      <c r="C57" s="1"/>
      <c r="D57" s="1"/>
      <c r="E57" s="41"/>
      <c r="F57" s="41"/>
      <c r="G57" s="41"/>
      <c r="H57" s="41"/>
      <c r="I57" s="41"/>
      <c r="J57" s="41"/>
      <c r="K57" s="41"/>
      <c r="L57" s="41"/>
    </row>
    <row r="58" spans="1:12" ht="15.95" customHeight="1" x14ac:dyDescent="0.2">
      <c r="A58" s="1"/>
      <c r="B58" s="1"/>
      <c r="C58" s="1"/>
      <c r="D58" s="1"/>
      <c r="E58" s="41"/>
      <c r="F58" s="41"/>
      <c r="G58" s="41"/>
      <c r="H58" s="41"/>
      <c r="I58" s="41"/>
      <c r="J58" s="41"/>
      <c r="K58" s="41"/>
      <c r="L58" s="41"/>
    </row>
    <row r="59" spans="1:12" ht="15.95" customHeight="1" x14ac:dyDescent="0.2">
      <c r="A59" s="1"/>
      <c r="B59" s="1"/>
      <c r="C59" s="1"/>
      <c r="D59" s="1"/>
      <c r="E59" s="41"/>
      <c r="F59" s="41"/>
      <c r="G59" s="41"/>
      <c r="H59" s="41"/>
      <c r="I59" s="41"/>
      <c r="J59" s="41"/>
      <c r="K59" s="41"/>
      <c r="L59" s="41"/>
    </row>
    <row r="60" spans="1:12" ht="15.95" customHeight="1" x14ac:dyDescent="0.2">
      <c r="A60" s="1"/>
      <c r="B60" s="1"/>
      <c r="C60" s="1"/>
      <c r="D60" s="1"/>
      <c r="E60" s="41"/>
      <c r="F60" s="41"/>
      <c r="G60" s="41"/>
      <c r="H60" s="41"/>
      <c r="I60" s="41"/>
      <c r="J60" s="41"/>
      <c r="K60" s="41"/>
      <c r="L60" s="41"/>
    </row>
    <row r="61" spans="1:12" ht="15.95" customHeight="1" x14ac:dyDescent="0.2">
      <c r="A61" s="1"/>
      <c r="B61" s="1"/>
      <c r="C61" s="1"/>
      <c r="D61" s="1"/>
      <c r="E61" s="41"/>
      <c r="F61" s="41"/>
      <c r="G61" s="41"/>
      <c r="H61" s="41"/>
      <c r="I61" s="41"/>
      <c r="J61" s="41"/>
      <c r="K61" s="41"/>
      <c r="L61" s="41"/>
    </row>
    <row r="62" spans="1:12" ht="15.95" customHeight="1" x14ac:dyDescent="0.2">
      <c r="A62" s="1"/>
      <c r="B62" s="1"/>
      <c r="C62" s="1"/>
      <c r="D62" s="1"/>
      <c r="E62" s="41"/>
      <c r="F62" s="41"/>
      <c r="G62" s="41"/>
      <c r="H62" s="41"/>
      <c r="I62" s="41"/>
      <c r="J62" s="41"/>
      <c r="K62" s="41"/>
      <c r="L62" s="41"/>
    </row>
    <row r="63" spans="1:12" ht="15.95" customHeight="1" x14ac:dyDescent="0.2">
      <c r="A63" s="1"/>
      <c r="B63" s="1"/>
      <c r="C63" s="1"/>
      <c r="D63" s="1"/>
      <c r="E63" s="41"/>
      <c r="F63" s="41"/>
      <c r="G63" s="41"/>
      <c r="H63" s="41"/>
      <c r="I63" s="41"/>
      <c r="J63" s="41"/>
      <c r="K63" s="41"/>
      <c r="L63" s="41"/>
    </row>
    <row r="64" spans="1:12" ht="15.95" customHeight="1" x14ac:dyDescent="0.2">
      <c r="A64" s="1"/>
      <c r="B64" s="1"/>
      <c r="C64" s="1"/>
      <c r="D64" s="1"/>
      <c r="E64" s="41"/>
      <c r="F64" s="41"/>
      <c r="G64" s="41"/>
      <c r="H64" s="41"/>
      <c r="I64" s="41"/>
      <c r="J64" s="41"/>
      <c r="K64" s="41"/>
      <c r="L64" s="41"/>
    </row>
    <row r="65" spans="1:12" ht="15.95" customHeight="1" x14ac:dyDescent="0.2">
      <c r="A65" s="1"/>
      <c r="B65" s="1"/>
      <c r="C65" s="1"/>
      <c r="D65" s="1"/>
      <c r="E65" s="41"/>
      <c r="F65" s="41"/>
      <c r="G65" s="41"/>
      <c r="H65" s="41"/>
      <c r="I65" s="41"/>
      <c r="J65" s="41"/>
      <c r="K65" s="41"/>
      <c r="L65" s="41"/>
    </row>
    <row r="66" spans="1:12" ht="15.95" customHeight="1" x14ac:dyDescent="0.2">
      <c r="A66" s="1"/>
      <c r="B66" s="1"/>
      <c r="C66" s="1"/>
      <c r="D66" s="1"/>
      <c r="E66" s="41"/>
      <c r="F66" s="41"/>
      <c r="G66" s="41"/>
      <c r="H66" s="41"/>
      <c r="I66" s="41"/>
      <c r="J66" s="41"/>
      <c r="K66" s="41"/>
      <c r="L66" s="41"/>
    </row>
    <row r="67" spans="1:12" ht="15.95" customHeight="1" x14ac:dyDescent="0.2">
      <c r="A67" s="1"/>
      <c r="B67" s="1"/>
      <c r="C67" s="1"/>
      <c r="D67" s="1"/>
      <c r="E67" s="41"/>
      <c r="F67" s="41"/>
      <c r="G67" s="41"/>
      <c r="H67" s="41"/>
      <c r="I67" s="41"/>
      <c r="J67" s="41"/>
      <c r="K67" s="41"/>
      <c r="L67" s="41"/>
    </row>
    <row r="68" spans="1:12" ht="15.95" customHeight="1" x14ac:dyDescent="0.2">
      <c r="A68" s="1"/>
      <c r="B68" s="1"/>
      <c r="C68" s="1"/>
      <c r="D68" s="1"/>
      <c r="E68" s="41"/>
      <c r="F68" s="41"/>
      <c r="G68" s="41"/>
      <c r="H68" s="41"/>
      <c r="I68" s="41"/>
      <c r="J68" s="41"/>
      <c r="K68" s="41"/>
      <c r="L68" s="41"/>
    </row>
    <row r="69" spans="1:12" ht="15.95" customHeight="1" x14ac:dyDescent="0.2">
      <c r="A69" s="1"/>
      <c r="B69" s="1"/>
      <c r="C69" s="1"/>
      <c r="D69" s="1"/>
      <c r="E69" s="41"/>
      <c r="F69" s="41"/>
      <c r="G69" s="41"/>
      <c r="H69" s="41"/>
      <c r="I69" s="41"/>
      <c r="J69" s="41"/>
      <c r="K69" s="41"/>
      <c r="L69" s="41"/>
    </row>
    <row r="70" spans="1:12" ht="15.95" customHeight="1" x14ac:dyDescent="0.2">
      <c r="A70" s="1"/>
      <c r="B70" s="1"/>
      <c r="C70" s="1"/>
      <c r="D70" s="1"/>
      <c r="E70" s="41"/>
      <c r="F70" s="41"/>
      <c r="G70" s="41"/>
      <c r="H70" s="41"/>
      <c r="I70" s="41"/>
      <c r="J70" s="41"/>
      <c r="K70" s="41"/>
      <c r="L70" s="41"/>
    </row>
    <row r="71" spans="1:12" ht="15.95" customHeight="1" x14ac:dyDescent="0.2">
      <c r="A71" s="1"/>
      <c r="B71" s="1"/>
      <c r="C71" s="1"/>
      <c r="D71" s="1"/>
      <c r="E71" s="41"/>
      <c r="F71" s="41"/>
      <c r="G71" s="41"/>
      <c r="H71" s="41"/>
      <c r="I71" s="41"/>
      <c r="J71" s="41"/>
      <c r="K71" s="41"/>
      <c r="L71" s="41"/>
    </row>
    <row r="72" spans="1:12" ht="15.95" customHeight="1" x14ac:dyDescent="0.2">
      <c r="A72" s="1"/>
      <c r="B72" s="1"/>
      <c r="C72" s="1"/>
      <c r="D72" s="1"/>
      <c r="E72" s="41"/>
      <c r="F72" s="41"/>
      <c r="G72" s="41"/>
      <c r="H72" s="41"/>
      <c r="I72" s="41"/>
      <c r="J72" s="41"/>
      <c r="K72" s="41"/>
      <c r="L72" s="41"/>
    </row>
    <row r="73" spans="1:12" ht="15.95" customHeight="1" x14ac:dyDescent="0.2">
      <c r="A73" s="1"/>
      <c r="B73" s="1"/>
      <c r="C73" s="1"/>
      <c r="D73" s="1"/>
      <c r="E73" s="41"/>
      <c r="F73" s="41"/>
      <c r="G73" s="41"/>
      <c r="H73" s="41"/>
      <c r="I73" s="41"/>
      <c r="J73" s="41"/>
      <c r="K73" s="41"/>
      <c r="L73" s="41"/>
    </row>
    <row r="74" spans="1:12" ht="15.95" customHeight="1" x14ac:dyDescent="0.2">
      <c r="A74" s="1"/>
      <c r="B74" s="1"/>
      <c r="C74" s="1"/>
      <c r="D74" s="1"/>
      <c r="E74" s="41"/>
      <c r="F74" s="41"/>
      <c r="G74" s="41"/>
      <c r="H74" s="41"/>
      <c r="I74" s="41"/>
      <c r="J74" s="41"/>
      <c r="K74" s="41"/>
      <c r="L74" s="41"/>
    </row>
    <row r="75" spans="1:12" ht="15.95" customHeight="1" x14ac:dyDescent="0.2">
      <c r="A75" s="1"/>
      <c r="B75" s="1"/>
      <c r="C75" s="1"/>
      <c r="D75" s="1"/>
      <c r="E75" s="41"/>
      <c r="F75" s="41"/>
      <c r="G75" s="41"/>
      <c r="H75" s="41"/>
      <c r="I75" s="41"/>
      <c r="J75" s="41"/>
      <c r="K75" s="41"/>
      <c r="L75" s="41"/>
    </row>
    <row r="76" spans="1:12" ht="15.95" customHeight="1" x14ac:dyDescent="0.2">
      <c r="A76" s="1"/>
      <c r="B76" s="1"/>
      <c r="C76" s="1"/>
      <c r="D76" s="1"/>
      <c r="E76" s="41"/>
      <c r="F76" s="41"/>
      <c r="G76" s="41"/>
      <c r="H76" s="41"/>
      <c r="I76" s="41"/>
      <c r="J76" s="41"/>
      <c r="K76" s="41"/>
      <c r="L76" s="41"/>
    </row>
    <row r="77" spans="1:12" ht="15.95" customHeight="1" x14ac:dyDescent="0.2">
      <c r="A77" s="1"/>
      <c r="B77" s="1"/>
      <c r="C77" s="1"/>
      <c r="D77" s="1"/>
      <c r="E77" s="41"/>
      <c r="F77" s="41"/>
      <c r="G77" s="41"/>
      <c r="H77" s="41"/>
      <c r="I77" s="41"/>
      <c r="J77" s="41"/>
      <c r="K77" s="41"/>
      <c r="L77" s="41"/>
    </row>
    <row r="78" spans="1:12" ht="15.95" customHeight="1" x14ac:dyDescent="0.2">
      <c r="A78" s="1"/>
      <c r="B78" s="1"/>
      <c r="C78" s="1"/>
      <c r="D78" s="1"/>
      <c r="E78" s="41"/>
      <c r="F78" s="41"/>
      <c r="G78" s="41"/>
      <c r="H78" s="41"/>
      <c r="I78" s="41"/>
      <c r="J78" s="41"/>
      <c r="K78" s="41"/>
      <c r="L78" s="41"/>
    </row>
    <row r="79" spans="1:12" ht="15.95" customHeight="1" x14ac:dyDescent="0.2">
      <c r="A79" s="1"/>
      <c r="B79" s="1"/>
      <c r="C79" s="1"/>
      <c r="D79" s="1"/>
      <c r="E79" s="41"/>
      <c r="F79" s="41"/>
      <c r="G79" s="41"/>
      <c r="H79" s="41"/>
      <c r="I79" s="41"/>
      <c r="J79" s="41"/>
      <c r="K79" s="41"/>
      <c r="L79" s="41"/>
    </row>
    <row r="80" spans="1:12" ht="15.95" customHeight="1" x14ac:dyDescent="0.2">
      <c r="A80" s="1"/>
      <c r="B80" s="1"/>
      <c r="C80" s="1"/>
      <c r="D80" s="1"/>
      <c r="E80" s="41"/>
      <c r="F80" s="41"/>
      <c r="G80" s="41"/>
      <c r="H80" s="41"/>
      <c r="I80" s="41"/>
      <c r="J80" s="41"/>
      <c r="K80" s="41"/>
      <c r="L80" s="41"/>
    </row>
    <row r="81" spans="1:12" ht="15.95" customHeight="1" x14ac:dyDescent="0.2">
      <c r="A81" s="1"/>
      <c r="B81" s="1"/>
      <c r="C81" s="1"/>
      <c r="D81" s="1"/>
      <c r="E81" s="41"/>
      <c r="F81" s="41"/>
      <c r="G81" s="41"/>
      <c r="H81" s="41"/>
      <c r="I81" s="41"/>
      <c r="J81" s="41"/>
      <c r="K81" s="41"/>
      <c r="L81" s="41"/>
    </row>
    <row r="82" spans="1:12" ht="15.95" customHeight="1" x14ac:dyDescent="0.2">
      <c r="A82" s="1"/>
      <c r="B82" s="1"/>
      <c r="C82" s="1"/>
      <c r="D82" s="1"/>
      <c r="E82" s="41"/>
      <c r="F82" s="41"/>
      <c r="G82" s="41"/>
      <c r="H82" s="41"/>
      <c r="I82" s="41"/>
      <c r="J82" s="41"/>
      <c r="K82" s="41"/>
      <c r="L82" s="41"/>
    </row>
    <row r="83" spans="1:12" ht="15.95" customHeight="1" x14ac:dyDescent="0.2">
      <c r="A83" s="1"/>
      <c r="B83" s="1"/>
      <c r="C83" s="1"/>
      <c r="D83" s="1"/>
      <c r="E83" s="41"/>
      <c r="F83" s="41"/>
      <c r="G83" s="41"/>
      <c r="H83" s="41"/>
      <c r="I83" s="41"/>
      <c r="J83" s="41"/>
      <c r="K83" s="41"/>
      <c r="L83" s="41"/>
    </row>
    <row r="84" spans="1:12" ht="15.95" customHeight="1" x14ac:dyDescent="0.2">
      <c r="A84" s="1"/>
      <c r="B84" s="1"/>
      <c r="C84" s="1"/>
      <c r="D84" s="1"/>
      <c r="E84" s="41"/>
      <c r="F84" s="41"/>
      <c r="G84" s="41"/>
      <c r="H84" s="41"/>
      <c r="I84" s="41"/>
      <c r="J84" s="41"/>
      <c r="K84" s="41"/>
      <c r="L84" s="41"/>
    </row>
    <row r="85" spans="1:12" ht="15.95" customHeight="1" x14ac:dyDescent="0.2">
      <c r="A85" s="1"/>
      <c r="B85" s="1"/>
      <c r="C85" s="1"/>
      <c r="D85" s="1"/>
      <c r="E85" s="41"/>
      <c r="F85" s="41"/>
      <c r="G85" s="41"/>
      <c r="H85" s="41"/>
      <c r="I85" s="41"/>
      <c r="J85" s="41"/>
      <c r="K85" s="41"/>
      <c r="L85" s="41"/>
    </row>
    <row r="86" spans="1:12" ht="15.95" customHeight="1" x14ac:dyDescent="0.2">
      <c r="A86" s="1"/>
      <c r="B86" s="1"/>
      <c r="C86" s="1"/>
      <c r="D86" s="1"/>
      <c r="E86" s="41"/>
      <c r="F86" s="41"/>
      <c r="G86" s="41"/>
      <c r="H86" s="41"/>
      <c r="I86" s="41"/>
      <c r="J86" s="41"/>
      <c r="K86" s="41"/>
      <c r="L86" s="41"/>
    </row>
    <row r="87" spans="1:12" ht="15.95" customHeight="1" x14ac:dyDescent="0.2">
      <c r="A87" s="1"/>
      <c r="B87" s="1"/>
      <c r="C87" s="1"/>
      <c r="D87" s="1"/>
      <c r="E87" s="41"/>
      <c r="F87" s="41"/>
      <c r="G87" s="41"/>
      <c r="H87" s="41"/>
      <c r="I87" s="41"/>
      <c r="J87" s="41"/>
      <c r="K87" s="41"/>
      <c r="L87" s="41"/>
    </row>
    <row r="88" spans="1:12" ht="15.95" customHeight="1" x14ac:dyDescent="0.2">
      <c r="A88" s="1"/>
      <c r="B88" s="1"/>
      <c r="C88" s="1"/>
      <c r="D88" s="1"/>
      <c r="E88" s="41"/>
      <c r="F88" s="41"/>
      <c r="G88" s="41"/>
      <c r="H88" s="41"/>
      <c r="I88" s="41"/>
      <c r="J88" s="41"/>
      <c r="K88" s="41"/>
      <c r="L88" s="41"/>
    </row>
    <row r="89" spans="1:12" ht="15.95" customHeight="1" x14ac:dyDescent="0.2">
      <c r="A89" s="1"/>
      <c r="B89" s="1"/>
      <c r="C89" s="1"/>
      <c r="D89" s="1"/>
      <c r="E89" s="41"/>
      <c r="F89" s="41"/>
      <c r="G89" s="41"/>
      <c r="H89" s="41"/>
      <c r="I89" s="41"/>
      <c r="J89" s="41"/>
      <c r="K89" s="41"/>
      <c r="L89" s="41"/>
    </row>
    <row r="90" spans="1:12" ht="15.95" customHeight="1" x14ac:dyDescent="0.2">
      <c r="A90" s="1"/>
      <c r="B90" s="1"/>
      <c r="C90" s="1"/>
      <c r="D90" s="1"/>
      <c r="E90" s="41"/>
      <c r="F90" s="41"/>
      <c r="G90" s="41"/>
      <c r="H90" s="41"/>
      <c r="I90" s="41"/>
      <c r="J90" s="41"/>
      <c r="K90" s="41"/>
      <c r="L90" s="41"/>
    </row>
    <row r="91" spans="1:12" ht="15.95" customHeight="1" x14ac:dyDescent="0.2">
      <c r="A91" s="1"/>
      <c r="B91" s="1"/>
      <c r="C91" s="1"/>
      <c r="D91" s="1"/>
      <c r="E91" s="41"/>
      <c r="F91" s="41"/>
      <c r="G91" s="41"/>
      <c r="H91" s="41"/>
      <c r="I91" s="41"/>
      <c r="J91" s="41"/>
      <c r="K91" s="41"/>
      <c r="L91" s="41"/>
    </row>
    <row r="92" spans="1:12" ht="15.95" customHeight="1" x14ac:dyDescent="0.2">
      <c r="A92" s="1"/>
      <c r="B92" s="1"/>
      <c r="C92" s="1"/>
      <c r="D92" s="1"/>
      <c r="E92" s="41"/>
      <c r="F92" s="41"/>
      <c r="G92" s="41"/>
      <c r="H92" s="41"/>
      <c r="I92" s="41"/>
      <c r="J92" s="41"/>
      <c r="K92" s="41"/>
      <c r="L92" s="41"/>
    </row>
    <row r="93" spans="1:12" ht="15.95" customHeight="1" x14ac:dyDescent="0.2">
      <c r="A93" s="1"/>
      <c r="B93" s="1"/>
      <c r="C93" s="1"/>
      <c r="D93" s="1"/>
      <c r="E93" s="41"/>
      <c r="F93" s="41"/>
      <c r="G93" s="41"/>
      <c r="H93" s="41"/>
      <c r="I93" s="41"/>
      <c r="J93" s="41"/>
      <c r="K93" s="41"/>
      <c r="L93" s="41"/>
    </row>
    <row r="94" spans="1:12" ht="15.95" customHeight="1" x14ac:dyDescent="0.2">
      <c r="A94" s="1"/>
      <c r="B94" s="1"/>
      <c r="C94" s="1"/>
      <c r="D94" s="1"/>
      <c r="E94" s="41"/>
      <c r="F94" s="41"/>
      <c r="G94" s="41"/>
      <c r="H94" s="41"/>
      <c r="I94" s="41"/>
      <c r="J94" s="41"/>
      <c r="K94" s="41"/>
      <c r="L94" s="41"/>
    </row>
    <row r="95" spans="1:12" ht="15.95" customHeight="1" x14ac:dyDescent="0.2">
      <c r="A95" s="1"/>
      <c r="B95" s="1"/>
      <c r="C95" s="1"/>
      <c r="D95" s="1"/>
      <c r="E95" s="41"/>
      <c r="F95" s="41"/>
      <c r="G95" s="41"/>
      <c r="H95" s="41"/>
      <c r="I95" s="41"/>
      <c r="J95" s="41"/>
      <c r="K95" s="41"/>
      <c r="L95" s="41"/>
    </row>
    <row r="96" spans="1:12" ht="15.95" customHeight="1" x14ac:dyDescent="0.2">
      <c r="A96" s="1"/>
      <c r="B96" s="1"/>
      <c r="C96" s="1"/>
      <c r="D96" s="1"/>
      <c r="E96" s="41"/>
      <c r="F96" s="41"/>
      <c r="G96" s="41"/>
      <c r="H96" s="41"/>
      <c r="I96" s="41"/>
      <c r="J96" s="41"/>
      <c r="K96" s="41"/>
      <c r="L96" s="41"/>
    </row>
    <row r="97" spans="1:12" ht="15.95" customHeight="1" x14ac:dyDescent="0.2">
      <c r="A97" s="1"/>
      <c r="B97" s="1"/>
      <c r="C97" s="1"/>
      <c r="D97" s="1"/>
      <c r="E97" s="41"/>
      <c r="F97" s="41"/>
      <c r="G97" s="41"/>
      <c r="H97" s="41"/>
      <c r="I97" s="41"/>
      <c r="J97" s="41"/>
      <c r="K97" s="41"/>
      <c r="L97" s="41"/>
    </row>
    <row r="98" spans="1:12" ht="15.95" customHeight="1" x14ac:dyDescent="0.2">
      <c r="A98" s="1"/>
      <c r="B98" s="1"/>
      <c r="C98" s="1"/>
      <c r="D98" s="1"/>
      <c r="E98" s="41"/>
      <c r="F98" s="41"/>
      <c r="G98" s="41"/>
      <c r="H98" s="41"/>
      <c r="I98" s="41"/>
      <c r="J98" s="41"/>
      <c r="K98" s="41"/>
      <c r="L98" s="41"/>
    </row>
    <row r="99" spans="1:12" ht="15.95" customHeight="1" x14ac:dyDescent="0.2">
      <c r="A99" s="1"/>
      <c r="B99" s="1"/>
      <c r="C99" s="1"/>
      <c r="D99" s="1"/>
      <c r="E99" s="41"/>
      <c r="F99" s="41"/>
      <c r="G99" s="41"/>
      <c r="H99" s="41"/>
      <c r="I99" s="41"/>
      <c r="J99" s="41"/>
      <c r="K99" s="41"/>
      <c r="L99" s="41"/>
    </row>
    <row r="100" spans="1:12" ht="15.95" customHeight="1" x14ac:dyDescent="0.2">
      <c r="A100" s="1"/>
      <c r="B100" s="1"/>
      <c r="C100" s="1"/>
      <c r="D100" s="1"/>
      <c r="E100" s="41"/>
      <c r="F100" s="41"/>
      <c r="G100" s="41"/>
      <c r="H100" s="41"/>
      <c r="I100" s="41"/>
      <c r="J100" s="41"/>
      <c r="K100" s="41"/>
      <c r="L100" s="41"/>
    </row>
    <row r="101" spans="1:12" ht="15.95" customHeight="1" x14ac:dyDescent="0.2">
      <c r="A101" s="1"/>
      <c r="B101" s="1"/>
      <c r="C101" s="1"/>
      <c r="D101" s="1"/>
      <c r="E101" s="41"/>
      <c r="F101" s="41"/>
      <c r="G101" s="41"/>
      <c r="H101" s="41"/>
      <c r="I101" s="41"/>
      <c r="J101" s="41"/>
      <c r="K101" s="41"/>
      <c r="L101" s="41"/>
    </row>
    <row r="102" spans="1:12" ht="15.95" customHeight="1" x14ac:dyDescent="0.2">
      <c r="A102" s="1"/>
      <c r="B102" s="1"/>
      <c r="C102" s="1"/>
      <c r="D102" s="1"/>
      <c r="E102" s="41"/>
      <c r="F102" s="41"/>
      <c r="G102" s="41"/>
      <c r="H102" s="41"/>
      <c r="I102" s="41"/>
      <c r="J102" s="41"/>
      <c r="K102" s="41"/>
      <c r="L102" s="41"/>
    </row>
    <row r="103" spans="1:12" ht="15.95" customHeight="1" x14ac:dyDescent="0.2">
      <c r="A103" s="1"/>
      <c r="B103" s="1"/>
      <c r="C103" s="1"/>
      <c r="D103" s="1"/>
      <c r="E103" s="41"/>
      <c r="F103" s="41"/>
      <c r="G103" s="41"/>
      <c r="H103" s="41"/>
      <c r="I103" s="41"/>
      <c r="J103" s="41"/>
      <c r="K103" s="41"/>
      <c r="L103" s="41"/>
    </row>
    <row r="104" spans="1:12" ht="15.95" customHeight="1" x14ac:dyDescent="0.2">
      <c r="A104" s="1"/>
      <c r="B104" s="1"/>
      <c r="C104" s="1"/>
      <c r="D104" s="1"/>
      <c r="E104" s="41"/>
      <c r="F104" s="41"/>
      <c r="G104" s="41"/>
      <c r="H104" s="41"/>
      <c r="I104" s="41"/>
      <c r="J104" s="41"/>
      <c r="K104" s="41"/>
      <c r="L104" s="41"/>
    </row>
    <row r="105" spans="1:12" ht="15.95" customHeight="1" x14ac:dyDescent="0.2">
      <c r="A105" s="1"/>
      <c r="B105" s="1"/>
      <c r="C105" s="1"/>
      <c r="D105" s="1"/>
      <c r="E105" s="41"/>
      <c r="F105" s="41"/>
      <c r="G105" s="41"/>
      <c r="H105" s="41"/>
      <c r="I105" s="41"/>
      <c r="J105" s="41"/>
      <c r="K105" s="41"/>
      <c r="L105" s="41"/>
    </row>
    <row r="106" spans="1:12" ht="15.95" customHeight="1" x14ac:dyDescent="0.2">
      <c r="A106" s="1"/>
      <c r="B106" s="1"/>
      <c r="C106" s="1"/>
      <c r="D106" s="1"/>
      <c r="E106" s="41"/>
      <c r="F106" s="41"/>
      <c r="G106" s="41"/>
      <c r="H106" s="41"/>
      <c r="I106" s="41"/>
      <c r="J106" s="41"/>
      <c r="K106" s="41"/>
      <c r="L106" s="41"/>
    </row>
    <row r="107" spans="1:12" ht="15.95" customHeight="1" x14ac:dyDescent="0.2">
      <c r="A107" s="1"/>
      <c r="B107" s="1"/>
      <c r="C107" s="1"/>
      <c r="D107" s="1"/>
      <c r="E107" s="41"/>
      <c r="F107" s="41"/>
      <c r="G107" s="41"/>
      <c r="H107" s="41"/>
      <c r="I107" s="41"/>
      <c r="J107" s="41"/>
      <c r="K107" s="41"/>
      <c r="L107" s="41"/>
    </row>
    <row r="108" spans="1:12" ht="15.95" customHeight="1" x14ac:dyDescent="0.2">
      <c r="A108" s="1"/>
      <c r="B108" s="1"/>
      <c r="C108" s="1"/>
      <c r="D108" s="1"/>
      <c r="E108" s="41"/>
      <c r="F108" s="41"/>
      <c r="G108" s="41"/>
      <c r="H108" s="41"/>
      <c r="I108" s="41"/>
      <c r="J108" s="41"/>
      <c r="K108" s="41"/>
      <c r="L108" s="41"/>
    </row>
    <row r="109" spans="1:12" ht="15.95" customHeight="1" x14ac:dyDescent="0.2">
      <c r="A109" s="1"/>
      <c r="B109" s="1"/>
      <c r="C109" s="1"/>
      <c r="D109" s="1"/>
      <c r="E109" s="41"/>
      <c r="F109" s="41"/>
      <c r="G109" s="41"/>
      <c r="H109" s="41"/>
      <c r="I109" s="41"/>
      <c r="J109" s="41"/>
      <c r="K109" s="41"/>
      <c r="L109" s="41"/>
    </row>
    <row r="110" spans="1:12" ht="15.95" customHeight="1" x14ac:dyDescent="0.2">
      <c r="A110" s="1"/>
      <c r="B110" s="1"/>
      <c r="C110" s="1"/>
      <c r="D110" s="1"/>
      <c r="E110" s="41"/>
      <c r="F110" s="41"/>
      <c r="G110" s="41"/>
      <c r="H110" s="41"/>
      <c r="I110" s="41"/>
      <c r="J110" s="41"/>
      <c r="K110" s="41"/>
      <c r="L110" s="41"/>
    </row>
    <row r="111" spans="1:12" x14ac:dyDescent="0.2">
      <c r="A111" s="1"/>
      <c r="B111" s="1"/>
      <c r="C111" s="1"/>
      <c r="D111" s="1"/>
      <c r="E111" s="41"/>
      <c r="F111" s="41"/>
      <c r="G111" s="41"/>
      <c r="H111" s="41"/>
      <c r="I111" s="41"/>
      <c r="J111" s="41"/>
      <c r="K111" s="41"/>
      <c r="L111" s="41"/>
    </row>
    <row r="112" spans="1:12" x14ac:dyDescent="0.2">
      <c r="A112" s="1"/>
      <c r="B112" s="1"/>
      <c r="C112" s="1"/>
      <c r="D112" s="1"/>
      <c r="E112" s="41"/>
      <c r="F112" s="41"/>
      <c r="G112" s="41"/>
      <c r="H112" s="41"/>
      <c r="I112" s="41"/>
      <c r="J112" s="41"/>
      <c r="K112" s="41"/>
      <c r="L112" s="41"/>
    </row>
    <row r="113" spans="1:12" x14ac:dyDescent="0.2">
      <c r="A113" s="1"/>
      <c r="B113" s="1"/>
      <c r="C113" s="1"/>
      <c r="D113" s="1"/>
      <c r="E113" s="41"/>
      <c r="F113" s="41"/>
      <c r="G113" s="41"/>
      <c r="H113" s="41"/>
      <c r="I113" s="41"/>
      <c r="J113" s="41"/>
      <c r="K113" s="41"/>
      <c r="L113" s="41"/>
    </row>
    <row r="114" spans="1:12" x14ac:dyDescent="0.2">
      <c r="A114" s="1"/>
      <c r="B114" s="1"/>
      <c r="C114" s="1"/>
      <c r="D114" s="1"/>
      <c r="E114" s="41"/>
      <c r="F114" s="41"/>
      <c r="G114" s="41"/>
      <c r="H114" s="41"/>
      <c r="I114" s="41"/>
      <c r="J114" s="41"/>
      <c r="K114" s="41"/>
      <c r="L114" s="41"/>
    </row>
    <row r="115" spans="1:12" x14ac:dyDescent="0.2">
      <c r="A115" s="1"/>
      <c r="B115" s="1"/>
      <c r="C115" s="1"/>
      <c r="D115" s="1"/>
      <c r="E115" s="41"/>
      <c r="F115" s="41"/>
      <c r="G115" s="41"/>
      <c r="H115" s="41"/>
      <c r="I115" s="41"/>
      <c r="J115" s="41"/>
      <c r="K115" s="41"/>
      <c r="L115" s="41"/>
    </row>
    <row r="116" spans="1:12" x14ac:dyDescent="0.2">
      <c r="A116" s="1"/>
      <c r="B116" s="1"/>
      <c r="C116" s="1"/>
      <c r="D116" s="1"/>
      <c r="E116" s="41"/>
      <c r="F116" s="41"/>
      <c r="G116" s="41"/>
      <c r="H116" s="41"/>
      <c r="I116" s="41"/>
      <c r="J116" s="41"/>
      <c r="K116" s="41"/>
      <c r="L116" s="41"/>
    </row>
    <row r="117" spans="1:12" x14ac:dyDescent="0.2">
      <c r="A117" s="1"/>
      <c r="B117" s="1"/>
      <c r="C117" s="1"/>
      <c r="D117" s="1"/>
      <c r="E117" s="41"/>
      <c r="F117" s="41"/>
      <c r="G117" s="41"/>
      <c r="H117" s="41"/>
      <c r="I117" s="41"/>
      <c r="J117" s="41"/>
      <c r="K117" s="41"/>
      <c r="L117" s="41"/>
    </row>
    <row r="118" spans="1:12" x14ac:dyDescent="0.2">
      <c r="A118" s="1"/>
      <c r="B118" s="1"/>
      <c r="C118" s="1"/>
      <c r="D118" s="1"/>
      <c r="E118" s="41"/>
      <c r="F118" s="41"/>
      <c r="G118" s="41"/>
      <c r="H118" s="41"/>
      <c r="I118" s="41"/>
      <c r="J118" s="41"/>
      <c r="K118" s="41"/>
      <c r="L118" s="41"/>
    </row>
    <row r="119" spans="1:12" x14ac:dyDescent="0.2">
      <c r="A119" s="1"/>
      <c r="B119" s="1"/>
      <c r="C119" s="1"/>
      <c r="D119" s="1"/>
      <c r="E119" s="41"/>
      <c r="F119" s="41"/>
      <c r="G119" s="41"/>
      <c r="H119" s="41"/>
      <c r="I119" s="41"/>
      <c r="J119" s="41"/>
      <c r="K119" s="41"/>
      <c r="L119" s="41"/>
    </row>
    <row r="120" spans="1:12" x14ac:dyDescent="0.2">
      <c r="A120" s="1"/>
      <c r="B120" s="1"/>
      <c r="C120" s="1"/>
      <c r="D120" s="1"/>
      <c r="E120" s="41"/>
      <c r="F120" s="41"/>
      <c r="G120" s="41"/>
      <c r="H120" s="41"/>
      <c r="I120" s="41"/>
      <c r="J120" s="41"/>
      <c r="K120" s="41"/>
      <c r="L120" s="41"/>
    </row>
    <row r="121" spans="1:12" x14ac:dyDescent="0.2">
      <c r="A121" s="1"/>
      <c r="B121" s="1"/>
      <c r="C121" s="1"/>
      <c r="D121" s="1"/>
      <c r="E121" s="41"/>
      <c r="F121" s="41"/>
      <c r="G121" s="41"/>
      <c r="H121" s="41"/>
      <c r="I121" s="41"/>
      <c r="J121" s="41"/>
      <c r="K121" s="41"/>
      <c r="L121" s="41"/>
    </row>
    <row r="122" spans="1:12" x14ac:dyDescent="0.2">
      <c r="A122" s="1"/>
      <c r="B122" s="1"/>
      <c r="C122" s="1"/>
      <c r="D122" s="1"/>
      <c r="E122" s="41"/>
      <c r="F122" s="41"/>
      <c r="G122" s="41"/>
      <c r="H122" s="41"/>
      <c r="I122" s="41"/>
      <c r="J122" s="41"/>
      <c r="K122" s="41"/>
      <c r="L122" s="41"/>
    </row>
    <row r="123" spans="1:12" x14ac:dyDescent="0.2">
      <c r="A123" s="1"/>
      <c r="B123" s="1"/>
      <c r="C123" s="1"/>
      <c r="D123" s="1"/>
      <c r="E123" s="41"/>
      <c r="F123" s="41"/>
      <c r="G123" s="41"/>
      <c r="H123" s="41"/>
      <c r="I123" s="41"/>
      <c r="J123" s="41"/>
      <c r="K123" s="41"/>
      <c r="L123" s="41"/>
    </row>
    <row r="124" spans="1:12" x14ac:dyDescent="0.2">
      <c r="A124" s="1"/>
      <c r="B124" s="1"/>
      <c r="C124" s="1"/>
      <c r="D124" s="1"/>
      <c r="E124" s="41"/>
      <c r="F124" s="41"/>
      <c r="G124" s="41"/>
      <c r="H124" s="41"/>
      <c r="I124" s="41"/>
      <c r="J124" s="41"/>
      <c r="K124" s="41"/>
      <c r="L124" s="41"/>
    </row>
    <row r="125" spans="1:12" x14ac:dyDescent="0.2">
      <c r="A125" s="1"/>
      <c r="B125" s="1"/>
      <c r="C125" s="1"/>
      <c r="D125" s="1"/>
      <c r="E125" s="41"/>
      <c r="F125" s="41"/>
      <c r="G125" s="41"/>
      <c r="H125" s="41"/>
      <c r="I125" s="41"/>
      <c r="J125" s="41"/>
      <c r="K125" s="41"/>
      <c r="L125" s="41"/>
    </row>
    <row r="126" spans="1:12" x14ac:dyDescent="0.2">
      <c r="A126" s="1"/>
      <c r="B126" s="1"/>
      <c r="C126" s="1"/>
      <c r="D126" s="1"/>
      <c r="E126" s="41"/>
      <c r="F126" s="41"/>
      <c r="G126" s="41"/>
      <c r="H126" s="41"/>
      <c r="I126" s="41"/>
      <c r="J126" s="41"/>
      <c r="K126" s="41"/>
      <c r="L126" s="41"/>
    </row>
    <row r="127" spans="1:12" x14ac:dyDescent="0.2">
      <c r="A127" s="1"/>
      <c r="B127" s="1"/>
      <c r="C127" s="1"/>
      <c r="D127" s="1"/>
      <c r="E127" s="41"/>
      <c r="F127" s="41"/>
      <c r="G127" s="41"/>
      <c r="H127" s="41"/>
      <c r="I127" s="41"/>
      <c r="J127" s="41"/>
      <c r="K127" s="41"/>
      <c r="L127" s="41"/>
    </row>
    <row r="128" spans="1:12" x14ac:dyDescent="0.2">
      <c r="A128" s="1"/>
      <c r="B128" s="1"/>
      <c r="C128" s="1"/>
      <c r="D128" s="1"/>
      <c r="E128" s="41"/>
      <c r="F128" s="41"/>
      <c r="G128" s="41"/>
      <c r="H128" s="41"/>
      <c r="I128" s="41"/>
      <c r="J128" s="41"/>
      <c r="K128" s="41"/>
      <c r="L128" s="41"/>
    </row>
    <row r="129" spans="1:12" x14ac:dyDescent="0.2">
      <c r="A129" s="1"/>
      <c r="B129" s="1"/>
      <c r="C129" s="1"/>
      <c r="D129" s="1"/>
      <c r="E129" s="41"/>
      <c r="F129" s="41"/>
      <c r="G129" s="41"/>
      <c r="H129" s="41"/>
      <c r="I129" s="41"/>
      <c r="J129" s="41"/>
      <c r="K129" s="41"/>
      <c r="L129" s="41"/>
    </row>
    <row r="130" spans="1:12" x14ac:dyDescent="0.2">
      <c r="A130" s="1"/>
      <c r="B130" s="1"/>
      <c r="C130" s="1"/>
      <c r="D130" s="1"/>
      <c r="E130" s="41"/>
      <c r="F130" s="41"/>
      <c r="G130" s="41"/>
      <c r="H130" s="41"/>
      <c r="I130" s="41"/>
      <c r="J130" s="41"/>
      <c r="K130" s="41"/>
      <c r="L130" s="41"/>
    </row>
    <row r="131" spans="1:12" x14ac:dyDescent="0.2">
      <c r="A131" s="1"/>
      <c r="B131" s="1"/>
      <c r="C131" s="1"/>
      <c r="D131" s="1"/>
      <c r="E131" s="41"/>
      <c r="F131" s="41"/>
      <c r="G131" s="41"/>
      <c r="H131" s="41"/>
      <c r="I131" s="41"/>
      <c r="J131" s="41"/>
      <c r="K131" s="41"/>
      <c r="L131" s="41"/>
    </row>
    <row r="132" spans="1:12" x14ac:dyDescent="0.2">
      <c r="A132" s="1"/>
      <c r="B132" s="1"/>
      <c r="C132" s="1"/>
      <c r="D132" s="1"/>
      <c r="E132" s="41"/>
      <c r="F132" s="41"/>
      <c r="G132" s="41"/>
      <c r="H132" s="41"/>
      <c r="I132" s="41"/>
      <c r="J132" s="41"/>
      <c r="K132" s="41"/>
      <c r="L132" s="41"/>
    </row>
    <row r="133" spans="1:12" x14ac:dyDescent="0.2">
      <c r="A133" s="1"/>
      <c r="B133" s="1"/>
      <c r="C133" s="1"/>
      <c r="D133" s="1"/>
      <c r="E133" s="41"/>
      <c r="F133" s="41"/>
      <c r="G133" s="41"/>
      <c r="H133" s="41"/>
      <c r="I133" s="41"/>
      <c r="J133" s="41"/>
      <c r="K133" s="41"/>
      <c r="L133" s="41"/>
    </row>
    <row r="134" spans="1:12" x14ac:dyDescent="0.2">
      <c r="A134" s="1"/>
      <c r="B134" s="1"/>
      <c r="C134" s="1"/>
      <c r="D134" s="1"/>
      <c r="E134" s="41"/>
      <c r="F134" s="41"/>
      <c r="G134" s="41"/>
      <c r="H134" s="41"/>
      <c r="I134" s="41"/>
      <c r="J134" s="41"/>
      <c r="K134" s="41"/>
      <c r="L134" s="41"/>
    </row>
    <row r="135" spans="1:12" x14ac:dyDescent="0.2">
      <c r="A135" s="1"/>
      <c r="B135" s="1"/>
      <c r="C135" s="1"/>
      <c r="D135" s="1"/>
      <c r="E135" s="41"/>
      <c r="F135" s="41"/>
      <c r="G135" s="41"/>
      <c r="H135" s="41"/>
      <c r="I135" s="41"/>
      <c r="J135" s="41"/>
      <c r="K135" s="41"/>
      <c r="L135" s="41"/>
    </row>
    <row r="136" spans="1:12" x14ac:dyDescent="0.2">
      <c r="A136" s="1"/>
      <c r="B136" s="1"/>
      <c r="C136" s="1"/>
      <c r="D136" s="1"/>
      <c r="E136" s="41"/>
      <c r="F136" s="41"/>
      <c r="G136" s="41"/>
      <c r="H136" s="41"/>
      <c r="I136" s="41"/>
      <c r="J136" s="41"/>
      <c r="K136" s="41"/>
      <c r="L136" s="41"/>
    </row>
    <row r="137" spans="1:12" x14ac:dyDescent="0.2">
      <c r="A137" s="1"/>
      <c r="B137" s="1"/>
      <c r="C137" s="1"/>
      <c r="D137" s="1"/>
      <c r="E137" s="41"/>
      <c r="F137" s="41"/>
      <c r="G137" s="41"/>
      <c r="H137" s="41"/>
      <c r="I137" s="41"/>
      <c r="J137" s="41"/>
      <c r="K137" s="41"/>
      <c r="L137" s="41"/>
    </row>
    <row r="138" spans="1:12" x14ac:dyDescent="0.2">
      <c r="A138" s="1"/>
      <c r="B138" s="1"/>
      <c r="C138" s="1"/>
      <c r="D138" s="1"/>
      <c r="E138" s="41"/>
      <c r="F138" s="41"/>
      <c r="G138" s="41"/>
      <c r="H138" s="41"/>
      <c r="I138" s="41"/>
      <c r="J138" s="41"/>
      <c r="K138" s="41"/>
      <c r="L138" s="41"/>
    </row>
    <row r="139" spans="1:12" x14ac:dyDescent="0.2">
      <c r="A139" s="1"/>
      <c r="B139" s="1"/>
      <c r="C139" s="1"/>
      <c r="D139" s="1"/>
      <c r="E139" s="41"/>
      <c r="F139" s="41"/>
      <c r="G139" s="41"/>
      <c r="H139" s="41"/>
      <c r="I139" s="41"/>
      <c r="J139" s="41"/>
      <c r="K139" s="41"/>
      <c r="L139" s="41"/>
    </row>
    <row r="140" spans="1:12" x14ac:dyDescent="0.2">
      <c r="A140" s="1"/>
      <c r="B140" s="1"/>
      <c r="C140" s="1"/>
      <c r="D140" s="1"/>
      <c r="E140" s="41"/>
      <c r="F140" s="41"/>
      <c r="G140" s="41"/>
      <c r="H140" s="41"/>
      <c r="I140" s="41"/>
      <c r="J140" s="41"/>
      <c r="K140" s="41"/>
      <c r="L140" s="41"/>
    </row>
    <row r="141" spans="1:12" x14ac:dyDescent="0.2">
      <c r="A141" s="1"/>
      <c r="B141" s="1"/>
      <c r="C141" s="1"/>
      <c r="D141" s="1"/>
      <c r="E141" s="41"/>
      <c r="F141" s="41"/>
      <c r="G141" s="41"/>
      <c r="H141" s="41"/>
      <c r="I141" s="41"/>
      <c r="J141" s="41"/>
      <c r="K141" s="41"/>
      <c r="L141" s="41"/>
    </row>
    <row r="142" spans="1:12" x14ac:dyDescent="0.2">
      <c r="A142" s="1"/>
      <c r="B142" s="1"/>
      <c r="C142" s="1"/>
      <c r="D142" s="1"/>
      <c r="E142" s="41"/>
      <c r="F142" s="41"/>
      <c r="G142" s="41"/>
      <c r="H142" s="41"/>
      <c r="I142" s="41"/>
      <c r="J142" s="41"/>
      <c r="K142" s="41"/>
      <c r="L142" s="41"/>
    </row>
    <row r="143" spans="1:12" x14ac:dyDescent="0.2">
      <c r="A143" s="1"/>
      <c r="B143" s="1"/>
      <c r="C143" s="1"/>
      <c r="D143" s="1"/>
      <c r="E143" s="41"/>
      <c r="F143" s="41"/>
      <c r="G143" s="41"/>
      <c r="H143" s="41"/>
      <c r="I143" s="41"/>
      <c r="J143" s="41"/>
      <c r="K143" s="41"/>
      <c r="L143" s="41"/>
    </row>
    <row r="144" spans="1:12" x14ac:dyDescent="0.2">
      <c r="A144" s="1"/>
      <c r="B144" s="1"/>
      <c r="C144" s="1"/>
      <c r="D144" s="1"/>
      <c r="E144" s="41"/>
      <c r="F144" s="41"/>
      <c r="G144" s="41"/>
      <c r="H144" s="41"/>
      <c r="I144" s="41"/>
      <c r="J144" s="41"/>
      <c r="K144" s="41"/>
      <c r="L144" s="41"/>
    </row>
    <row r="145" spans="1:12" x14ac:dyDescent="0.2">
      <c r="A145" s="1"/>
      <c r="B145" s="1"/>
      <c r="C145" s="1"/>
      <c r="D145" s="1"/>
      <c r="E145" s="41"/>
      <c r="F145" s="41"/>
      <c r="G145" s="41"/>
      <c r="H145" s="41"/>
      <c r="I145" s="41"/>
      <c r="J145" s="41"/>
      <c r="K145" s="41"/>
      <c r="L145" s="41"/>
    </row>
    <row r="146" spans="1:12" x14ac:dyDescent="0.2">
      <c r="A146" s="1"/>
      <c r="B146" s="1"/>
      <c r="C146" s="1"/>
      <c r="D146" s="1"/>
      <c r="E146" s="41"/>
      <c r="F146" s="41"/>
      <c r="G146" s="41"/>
      <c r="H146" s="41"/>
      <c r="I146" s="41"/>
      <c r="J146" s="41"/>
      <c r="K146" s="41"/>
      <c r="L146" s="41"/>
    </row>
    <row r="147" spans="1:12" x14ac:dyDescent="0.2">
      <c r="A147" s="1"/>
      <c r="B147" s="1"/>
      <c r="C147" s="1"/>
      <c r="D147" s="1"/>
      <c r="E147" s="41"/>
      <c r="F147" s="41"/>
      <c r="G147" s="41"/>
      <c r="H147" s="41"/>
      <c r="I147" s="41"/>
      <c r="J147" s="41"/>
      <c r="K147" s="41"/>
      <c r="L147" s="41"/>
    </row>
    <row r="148" spans="1:12" x14ac:dyDescent="0.2">
      <c r="A148" s="1"/>
      <c r="B148" s="1"/>
      <c r="C148" s="1"/>
      <c r="D148" s="1"/>
      <c r="E148" s="41"/>
      <c r="F148" s="41"/>
      <c r="G148" s="41"/>
      <c r="H148" s="41"/>
      <c r="I148" s="41"/>
      <c r="J148" s="41"/>
      <c r="K148" s="41"/>
      <c r="L148" s="41"/>
    </row>
    <row r="149" spans="1:12" x14ac:dyDescent="0.2">
      <c r="A149" s="1"/>
      <c r="B149" s="1"/>
      <c r="C149" s="1"/>
      <c r="D149" s="1"/>
      <c r="E149" s="41"/>
      <c r="F149" s="41"/>
      <c r="G149" s="41"/>
      <c r="H149" s="41"/>
      <c r="I149" s="41"/>
      <c r="J149" s="41"/>
      <c r="K149" s="41"/>
      <c r="L149" s="41"/>
    </row>
    <row r="150" spans="1:12" x14ac:dyDescent="0.2">
      <c r="A150" s="1"/>
      <c r="B150" s="1"/>
      <c r="C150" s="1"/>
      <c r="D150" s="1"/>
      <c r="E150" s="41"/>
      <c r="F150" s="41"/>
      <c r="G150" s="41"/>
      <c r="H150" s="41"/>
      <c r="I150" s="41"/>
      <c r="J150" s="41"/>
      <c r="K150" s="41"/>
      <c r="L150" s="41"/>
    </row>
    <row r="151" spans="1:12" x14ac:dyDescent="0.2">
      <c r="A151" s="1"/>
      <c r="B151" s="1"/>
      <c r="C151" s="1"/>
      <c r="D151" s="1"/>
      <c r="E151" s="41"/>
      <c r="F151" s="41"/>
      <c r="G151" s="41"/>
      <c r="H151" s="41"/>
      <c r="I151" s="41"/>
      <c r="J151" s="41"/>
      <c r="K151" s="41"/>
      <c r="L151" s="41"/>
    </row>
    <row r="152" spans="1:12" x14ac:dyDescent="0.2">
      <c r="A152" s="1"/>
      <c r="B152" s="1"/>
      <c r="C152" s="1"/>
      <c r="D152" s="1"/>
      <c r="E152" s="41"/>
      <c r="F152" s="41"/>
      <c r="G152" s="41"/>
      <c r="H152" s="41"/>
      <c r="I152" s="41"/>
      <c r="J152" s="41"/>
      <c r="K152" s="41"/>
      <c r="L152" s="41"/>
    </row>
    <row r="153" spans="1:12" x14ac:dyDescent="0.2">
      <c r="A153" s="1"/>
      <c r="B153" s="1"/>
      <c r="C153" s="1"/>
      <c r="D153" s="1"/>
      <c r="E153" s="41"/>
      <c r="F153" s="41"/>
      <c r="G153" s="41"/>
      <c r="H153" s="41"/>
      <c r="I153" s="41"/>
      <c r="J153" s="41"/>
      <c r="K153" s="41"/>
      <c r="L153" s="41"/>
    </row>
    <row r="154" spans="1:12" x14ac:dyDescent="0.2">
      <c r="A154" s="1"/>
      <c r="B154" s="1"/>
      <c r="C154" s="1"/>
      <c r="D154" s="1"/>
      <c r="E154" s="41"/>
      <c r="F154" s="41"/>
      <c r="G154" s="41"/>
      <c r="H154" s="41"/>
      <c r="I154" s="41"/>
      <c r="J154" s="41"/>
      <c r="K154" s="41"/>
      <c r="L154" s="41"/>
    </row>
    <row r="155" spans="1:12" x14ac:dyDescent="0.2">
      <c r="A155" s="1"/>
      <c r="B155" s="1"/>
      <c r="C155" s="1"/>
      <c r="D155" s="1"/>
      <c r="E155" s="41"/>
      <c r="F155" s="41"/>
      <c r="G155" s="41"/>
      <c r="H155" s="41"/>
      <c r="I155" s="41"/>
      <c r="J155" s="41"/>
      <c r="K155" s="41"/>
      <c r="L155" s="41"/>
    </row>
    <row r="156" spans="1:12" x14ac:dyDescent="0.2">
      <c r="A156" s="1"/>
      <c r="B156" s="1"/>
      <c r="C156" s="1"/>
      <c r="D156" s="1"/>
      <c r="E156" s="41"/>
      <c r="F156" s="41"/>
      <c r="G156" s="41"/>
      <c r="H156" s="41"/>
      <c r="I156" s="41"/>
      <c r="J156" s="41"/>
      <c r="K156" s="41"/>
      <c r="L156" s="41"/>
    </row>
    <row r="157" spans="1:12" x14ac:dyDescent="0.2">
      <c r="A157" s="1"/>
      <c r="B157" s="1"/>
      <c r="C157" s="1"/>
      <c r="D157" s="1"/>
      <c r="E157" s="41"/>
      <c r="F157" s="41"/>
      <c r="G157" s="41"/>
      <c r="H157" s="41"/>
      <c r="I157" s="41"/>
      <c r="J157" s="41"/>
      <c r="K157" s="41"/>
      <c r="L157" s="41"/>
    </row>
    <row r="158" spans="1:12" x14ac:dyDescent="0.2">
      <c r="A158" s="1"/>
      <c r="B158" s="1"/>
      <c r="C158" s="1"/>
      <c r="D158" s="1"/>
      <c r="E158" s="41"/>
      <c r="F158" s="41"/>
      <c r="G158" s="41"/>
      <c r="H158" s="41"/>
      <c r="I158" s="41"/>
      <c r="J158" s="41"/>
      <c r="K158" s="41"/>
      <c r="L158" s="41"/>
    </row>
    <row r="159" spans="1:12" x14ac:dyDescent="0.2">
      <c r="A159" s="1"/>
      <c r="B159" s="1"/>
      <c r="C159" s="1"/>
      <c r="D159" s="1"/>
      <c r="E159" s="41"/>
      <c r="F159" s="41"/>
      <c r="G159" s="41"/>
      <c r="H159" s="41"/>
      <c r="I159" s="41"/>
      <c r="J159" s="41"/>
      <c r="K159" s="41"/>
      <c r="L159" s="41"/>
    </row>
    <row r="160" spans="1:12" x14ac:dyDescent="0.2">
      <c r="A160" s="1"/>
      <c r="B160" s="1"/>
      <c r="C160" s="1"/>
      <c r="D160" s="1"/>
      <c r="E160" s="41"/>
      <c r="F160" s="41"/>
      <c r="G160" s="41"/>
      <c r="H160" s="41"/>
      <c r="I160" s="41"/>
      <c r="J160" s="41"/>
      <c r="K160" s="41"/>
      <c r="L160" s="41"/>
    </row>
    <row r="161" spans="1:12" x14ac:dyDescent="0.2">
      <c r="A161" s="1"/>
      <c r="B161" s="1"/>
      <c r="C161" s="1"/>
      <c r="D161" s="1"/>
      <c r="E161" s="41"/>
      <c r="F161" s="41"/>
      <c r="G161" s="41"/>
      <c r="H161" s="41"/>
      <c r="I161" s="41"/>
      <c r="J161" s="41"/>
      <c r="K161" s="41"/>
      <c r="L161" s="41"/>
    </row>
    <row r="162" spans="1:12" x14ac:dyDescent="0.2">
      <c r="A162" s="1"/>
      <c r="B162" s="1"/>
      <c r="C162" s="1"/>
      <c r="D162" s="1"/>
      <c r="E162" s="41"/>
      <c r="F162" s="41"/>
      <c r="G162" s="41"/>
      <c r="H162" s="41"/>
      <c r="I162" s="41"/>
      <c r="J162" s="41"/>
      <c r="K162" s="41"/>
      <c r="L162" s="41"/>
    </row>
    <row r="163" spans="1:12" x14ac:dyDescent="0.2">
      <c r="A163" s="1"/>
      <c r="B163" s="1"/>
      <c r="C163" s="1"/>
      <c r="D163" s="1"/>
      <c r="E163" s="41"/>
      <c r="F163" s="41"/>
      <c r="G163" s="41"/>
      <c r="H163" s="41"/>
      <c r="I163" s="41"/>
      <c r="J163" s="41"/>
      <c r="K163" s="41"/>
      <c r="L163" s="41"/>
    </row>
    <row r="164" spans="1:12" x14ac:dyDescent="0.2">
      <c r="A164" s="1"/>
      <c r="B164" s="1"/>
      <c r="C164" s="1"/>
      <c r="D164" s="1"/>
      <c r="E164" s="41"/>
      <c r="F164" s="41"/>
      <c r="G164" s="41"/>
      <c r="H164" s="41"/>
      <c r="I164" s="41"/>
      <c r="J164" s="41"/>
      <c r="K164" s="41"/>
      <c r="L164" s="41"/>
    </row>
    <row r="165" spans="1:12" x14ac:dyDescent="0.2">
      <c r="A165" s="1"/>
      <c r="B165" s="1"/>
      <c r="C165" s="1"/>
      <c r="D165" s="1"/>
      <c r="E165" s="41"/>
      <c r="F165" s="41"/>
      <c r="G165" s="41"/>
      <c r="H165" s="41"/>
      <c r="I165" s="41"/>
      <c r="J165" s="41"/>
      <c r="K165" s="41"/>
      <c r="L165" s="41"/>
    </row>
    <row r="166" spans="1:12" x14ac:dyDescent="0.2">
      <c r="A166" s="1"/>
      <c r="B166" s="1"/>
      <c r="C166" s="1"/>
      <c r="D166" s="1"/>
      <c r="E166" s="41"/>
      <c r="F166" s="41"/>
      <c r="G166" s="41"/>
      <c r="H166" s="41"/>
      <c r="I166" s="41"/>
      <c r="J166" s="41"/>
      <c r="K166" s="41"/>
      <c r="L166" s="41"/>
    </row>
    <row r="167" spans="1:12" x14ac:dyDescent="0.2">
      <c r="A167" s="1"/>
      <c r="B167" s="1"/>
      <c r="C167" s="1"/>
      <c r="D167" s="1"/>
      <c r="E167" s="41"/>
      <c r="F167" s="41"/>
      <c r="G167" s="41"/>
      <c r="H167" s="41"/>
      <c r="I167" s="41"/>
      <c r="J167" s="41"/>
      <c r="K167" s="41"/>
      <c r="L167" s="41"/>
    </row>
    <row r="168" spans="1:12" x14ac:dyDescent="0.2">
      <c r="A168" s="1"/>
      <c r="B168" s="1"/>
      <c r="C168" s="1"/>
      <c r="D168" s="1"/>
      <c r="E168" s="41"/>
      <c r="F168" s="41"/>
      <c r="G168" s="41"/>
      <c r="H168" s="41"/>
      <c r="I168" s="41"/>
      <c r="J168" s="41"/>
      <c r="K168" s="41"/>
      <c r="L168" s="41"/>
    </row>
    <row r="169" spans="1:12" x14ac:dyDescent="0.2">
      <c r="A169" s="1"/>
      <c r="B169" s="1"/>
      <c r="C169" s="1"/>
      <c r="D169" s="1"/>
      <c r="E169" s="41"/>
      <c r="F169" s="41"/>
      <c r="G169" s="41"/>
      <c r="H169" s="41"/>
      <c r="I169" s="41"/>
      <c r="J169" s="41"/>
      <c r="K169" s="41"/>
      <c r="L169" s="41"/>
    </row>
    <row r="170" spans="1:12" x14ac:dyDescent="0.2">
      <c r="A170" s="1"/>
      <c r="B170" s="1"/>
      <c r="C170" s="1"/>
      <c r="D170" s="1"/>
      <c r="E170" s="41"/>
      <c r="F170" s="41"/>
      <c r="G170" s="41"/>
      <c r="H170" s="41"/>
      <c r="I170" s="41"/>
      <c r="J170" s="41"/>
      <c r="K170" s="41"/>
      <c r="L170" s="41"/>
    </row>
    <row r="171" spans="1:12" x14ac:dyDescent="0.2">
      <c r="A171" s="1"/>
      <c r="B171" s="1"/>
      <c r="C171" s="1"/>
      <c r="D171" s="1"/>
      <c r="E171" s="41"/>
      <c r="F171" s="41"/>
      <c r="G171" s="41"/>
      <c r="H171" s="41"/>
      <c r="I171" s="41"/>
      <c r="J171" s="41"/>
      <c r="K171" s="41"/>
      <c r="L171" s="41"/>
    </row>
    <row r="172" spans="1:12" x14ac:dyDescent="0.2">
      <c r="A172" s="1"/>
      <c r="B172" s="1"/>
      <c r="C172" s="1"/>
      <c r="D172" s="1"/>
      <c r="E172" s="41"/>
      <c r="F172" s="41"/>
      <c r="G172" s="41"/>
      <c r="H172" s="41"/>
      <c r="I172" s="41"/>
      <c r="J172" s="41"/>
      <c r="K172" s="41"/>
      <c r="L172" s="41"/>
    </row>
    <row r="173" spans="1:12" x14ac:dyDescent="0.2">
      <c r="A173" s="1"/>
      <c r="B173" s="1"/>
      <c r="C173" s="1"/>
      <c r="D173" s="1"/>
      <c r="E173" s="41"/>
      <c r="F173" s="41"/>
      <c r="G173" s="41"/>
      <c r="H173" s="41"/>
      <c r="I173" s="41"/>
      <c r="J173" s="41"/>
      <c r="K173" s="41"/>
      <c r="L173" s="41"/>
    </row>
    <row r="174" spans="1:12" x14ac:dyDescent="0.2">
      <c r="A174" s="1"/>
      <c r="B174" s="1"/>
      <c r="C174" s="1"/>
      <c r="D174" s="1"/>
      <c r="E174" s="41"/>
      <c r="F174" s="41"/>
      <c r="G174" s="41"/>
      <c r="H174" s="41"/>
      <c r="I174" s="41"/>
      <c r="J174" s="41"/>
      <c r="K174" s="41"/>
      <c r="L174" s="41"/>
    </row>
    <row r="175" spans="1:12" x14ac:dyDescent="0.2">
      <c r="A175" s="1"/>
      <c r="B175" s="1"/>
      <c r="C175" s="1"/>
      <c r="D175" s="1"/>
      <c r="E175" s="41"/>
      <c r="F175" s="41"/>
      <c r="G175" s="41"/>
      <c r="H175" s="41"/>
      <c r="I175" s="41"/>
      <c r="J175" s="41"/>
      <c r="K175" s="41"/>
      <c r="L175" s="41"/>
    </row>
    <row r="176" spans="1:12" x14ac:dyDescent="0.2">
      <c r="A176" s="1"/>
      <c r="B176" s="1"/>
      <c r="C176" s="1"/>
      <c r="D176" s="1"/>
      <c r="E176" s="41"/>
      <c r="F176" s="41"/>
      <c r="G176" s="41"/>
      <c r="H176" s="41"/>
      <c r="I176" s="41"/>
      <c r="J176" s="41"/>
      <c r="K176" s="41"/>
      <c r="L176" s="41"/>
    </row>
    <row r="177" spans="1:12" x14ac:dyDescent="0.2">
      <c r="A177" s="1"/>
      <c r="B177" s="1"/>
      <c r="C177" s="1"/>
      <c r="D177" s="1"/>
      <c r="E177" s="41"/>
      <c r="F177" s="41"/>
      <c r="G177" s="41"/>
      <c r="H177" s="41"/>
      <c r="I177" s="41"/>
      <c r="J177" s="41"/>
      <c r="K177" s="41"/>
      <c r="L177" s="41"/>
    </row>
    <row r="178" spans="1:12" x14ac:dyDescent="0.2">
      <c r="A178" s="1"/>
      <c r="B178" s="1"/>
      <c r="C178" s="1"/>
      <c r="D178" s="1"/>
      <c r="E178" s="41"/>
      <c r="F178" s="41"/>
      <c r="G178" s="41"/>
      <c r="H178" s="41"/>
      <c r="I178" s="41"/>
      <c r="J178" s="41"/>
      <c r="K178" s="41"/>
      <c r="L178" s="41"/>
    </row>
    <row r="179" spans="1:12" x14ac:dyDescent="0.2">
      <c r="A179" s="1"/>
      <c r="B179" s="1"/>
      <c r="C179" s="1"/>
      <c r="D179" s="1"/>
      <c r="E179" s="41"/>
      <c r="F179" s="41"/>
      <c r="G179" s="41"/>
      <c r="H179" s="41"/>
      <c r="I179" s="41"/>
      <c r="J179" s="41"/>
      <c r="K179" s="41"/>
      <c r="L179" s="41"/>
    </row>
    <row r="180" spans="1:12" x14ac:dyDescent="0.2">
      <c r="A180" s="1"/>
      <c r="B180" s="1"/>
      <c r="C180" s="1"/>
      <c r="D180" s="1"/>
      <c r="E180" s="41"/>
      <c r="F180" s="41"/>
      <c r="G180" s="41"/>
      <c r="H180" s="41"/>
      <c r="I180" s="41"/>
      <c r="J180" s="41"/>
      <c r="K180" s="41"/>
      <c r="L180" s="41"/>
    </row>
    <row r="181" spans="1:12" x14ac:dyDescent="0.2">
      <c r="A181" s="1"/>
      <c r="B181" s="1"/>
      <c r="C181" s="1"/>
      <c r="D181" s="1"/>
      <c r="E181" s="41"/>
      <c r="F181" s="41"/>
      <c r="G181" s="41"/>
      <c r="H181" s="41"/>
      <c r="I181" s="41"/>
      <c r="J181" s="41"/>
      <c r="K181" s="41"/>
      <c r="L181" s="41"/>
    </row>
    <row r="182" spans="1:12" x14ac:dyDescent="0.2">
      <c r="A182" s="1"/>
      <c r="B182" s="1"/>
      <c r="C182" s="1"/>
      <c r="D182" s="1"/>
      <c r="E182" s="41"/>
      <c r="F182" s="41"/>
      <c r="G182" s="41"/>
      <c r="H182" s="41"/>
      <c r="I182" s="41"/>
      <c r="J182" s="41"/>
      <c r="K182" s="41"/>
      <c r="L182" s="41"/>
    </row>
    <row r="183" spans="1:12" x14ac:dyDescent="0.2">
      <c r="A183" s="1"/>
      <c r="B183" s="1"/>
      <c r="C183" s="1"/>
      <c r="D183" s="1"/>
      <c r="E183" s="41"/>
      <c r="F183" s="41"/>
      <c r="G183" s="41"/>
      <c r="H183" s="41"/>
      <c r="I183" s="41"/>
      <c r="J183" s="41"/>
      <c r="K183" s="41"/>
      <c r="L183" s="41"/>
    </row>
    <row r="184" spans="1:12" x14ac:dyDescent="0.2">
      <c r="A184" s="1"/>
      <c r="B184" s="1"/>
      <c r="C184" s="1"/>
      <c r="D184" s="1"/>
      <c r="E184" s="41"/>
      <c r="F184" s="41"/>
      <c r="G184" s="41"/>
      <c r="H184" s="41"/>
      <c r="I184" s="41"/>
      <c r="J184" s="41"/>
      <c r="K184" s="41"/>
      <c r="L184" s="41"/>
    </row>
    <row r="185" spans="1:12" x14ac:dyDescent="0.2">
      <c r="A185" s="1"/>
      <c r="B185" s="1"/>
      <c r="C185" s="1"/>
      <c r="D185" s="1"/>
      <c r="E185" s="41"/>
      <c r="F185" s="41"/>
      <c r="G185" s="41"/>
      <c r="H185" s="41"/>
      <c r="I185" s="41"/>
      <c r="J185" s="41"/>
      <c r="K185" s="41"/>
      <c r="L185" s="41"/>
    </row>
    <row r="186" spans="1:12" x14ac:dyDescent="0.2">
      <c r="A186" s="1"/>
      <c r="B186" s="1"/>
      <c r="C186" s="1"/>
      <c r="D186" s="1"/>
      <c r="E186" s="41"/>
      <c r="F186" s="41"/>
      <c r="G186" s="41"/>
      <c r="H186" s="41"/>
      <c r="I186" s="41"/>
      <c r="J186" s="41"/>
      <c r="K186" s="41"/>
      <c r="L186" s="41"/>
    </row>
    <row r="187" spans="1:12" x14ac:dyDescent="0.2">
      <c r="A187" s="1"/>
      <c r="B187" s="1"/>
      <c r="C187" s="1"/>
      <c r="D187" s="1"/>
      <c r="E187" s="41"/>
      <c r="F187" s="41"/>
      <c r="G187" s="41"/>
      <c r="H187" s="41"/>
      <c r="I187" s="41"/>
      <c r="J187" s="41"/>
      <c r="K187" s="41"/>
      <c r="L187" s="41"/>
    </row>
    <row r="188" spans="1:12" x14ac:dyDescent="0.2">
      <c r="A188" s="1"/>
      <c r="B188" s="1"/>
      <c r="C188" s="1"/>
      <c r="D188" s="1"/>
      <c r="E188" s="41"/>
      <c r="F188" s="41"/>
      <c r="G188" s="41"/>
      <c r="H188" s="41"/>
      <c r="I188" s="41"/>
      <c r="J188" s="41"/>
      <c r="K188" s="41"/>
      <c r="L188" s="41"/>
    </row>
    <row r="189" spans="1:12" x14ac:dyDescent="0.2">
      <c r="A189" s="1"/>
      <c r="B189" s="1"/>
      <c r="C189" s="1"/>
      <c r="D189" s="1"/>
      <c r="E189" s="41"/>
      <c r="F189" s="41"/>
      <c r="G189" s="41"/>
      <c r="H189" s="41"/>
      <c r="I189" s="41"/>
      <c r="J189" s="41"/>
      <c r="K189" s="41"/>
      <c r="L189" s="41"/>
    </row>
    <row r="190" spans="1:12" x14ac:dyDescent="0.2">
      <c r="A190" s="1"/>
      <c r="B190" s="1"/>
      <c r="C190" s="1"/>
      <c r="D190" s="1"/>
      <c r="E190" s="41"/>
      <c r="F190" s="41"/>
      <c r="G190" s="41"/>
      <c r="H190" s="41"/>
      <c r="I190" s="41"/>
      <c r="J190" s="41"/>
      <c r="K190" s="41"/>
      <c r="L190" s="41"/>
    </row>
    <row r="191" spans="1:12" x14ac:dyDescent="0.2">
      <c r="A191" s="1"/>
      <c r="B191" s="1"/>
      <c r="C191" s="1"/>
      <c r="D191" s="1"/>
      <c r="E191" s="41"/>
      <c r="F191" s="41"/>
      <c r="G191" s="41"/>
      <c r="H191" s="41"/>
      <c r="I191" s="41"/>
      <c r="J191" s="41"/>
      <c r="K191" s="41"/>
      <c r="L191" s="41"/>
    </row>
    <row r="192" spans="1:12" x14ac:dyDescent="0.2">
      <c r="A192" s="1"/>
      <c r="B192" s="1"/>
      <c r="C192" s="1"/>
      <c r="D192" s="1"/>
      <c r="E192" s="41"/>
      <c r="F192" s="41"/>
      <c r="G192" s="41"/>
      <c r="H192" s="41"/>
      <c r="I192" s="41"/>
      <c r="J192" s="41"/>
      <c r="K192" s="41"/>
      <c r="L192" s="41"/>
    </row>
    <row r="193" spans="1:12" x14ac:dyDescent="0.2">
      <c r="A193" s="1"/>
      <c r="B193" s="1"/>
      <c r="C193" s="1"/>
      <c r="D193" s="1"/>
      <c r="E193" s="41"/>
      <c r="F193" s="41"/>
      <c r="G193" s="41"/>
      <c r="H193" s="41"/>
      <c r="I193" s="41"/>
      <c r="J193" s="41"/>
      <c r="K193" s="41"/>
      <c r="L193" s="41"/>
    </row>
    <row r="194" spans="1:12" x14ac:dyDescent="0.2">
      <c r="A194" s="1"/>
      <c r="B194" s="1"/>
      <c r="C194" s="1"/>
      <c r="D194" s="1"/>
      <c r="E194" s="41"/>
      <c r="F194" s="41"/>
      <c r="G194" s="41"/>
      <c r="H194" s="41"/>
      <c r="I194" s="41"/>
      <c r="J194" s="41"/>
      <c r="K194" s="41"/>
      <c r="L194" s="41"/>
    </row>
    <row r="195" spans="1:12" x14ac:dyDescent="0.2">
      <c r="A195" s="1"/>
      <c r="B195" s="1"/>
      <c r="C195" s="1"/>
      <c r="D195" s="1"/>
      <c r="E195" s="41"/>
      <c r="F195" s="41"/>
      <c r="G195" s="41"/>
      <c r="H195" s="41"/>
      <c r="I195" s="41"/>
      <c r="J195" s="41"/>
      <c r="K195" s="41"/>
      <c r="L195" s="41"/>
    </row>
    <row r="196" spans="1:12" x14ac:dyDescent="0.2">
      <c r="A196" s="1"/>
      <c r="B196" s="1"/>
      <c r="C196" s="1"/>
      <c r="D196" s="1"/>
      <c r="E196" s="41"/>
      <c r="F196" s="41"/>
      <c r="G196" s="41"/>
      <c r="H196" s="41"/>
      <c r="I196" s="41"/>
      <c r="J196" s="41"/>
      <c r="K196" s="41"/>
      <c r="L196" s="41"/>
    </row>
    <row r="197" spans="1:12" x14ac:dyDescent="0.2">
      <c r="A197" s="1"/>
      <c r="B197" s="1"/>
      <c r="C197" s="1"/>
      <c r="D197" s="1"/>
      <c r="E197" s="41"/>
      <c r="F197" s="41"/>
      <c r="G197" s="41"/>
      <c r="H197" s="41"/>
      <c r="I197" s="41"/>
      <c r="J197" s="41"/>
      <c r="K197" s="41"/>
      <c r="L197" s="41"/>
    </row>
    <row r="198" spans="1:12" x14ac:dyDescent="0.2">
      <c r="A198" s="1"/>
      <c r="B198" s="1"/>
      <c r="C198" s="1"/>
      <c r="D198" s="1"/>
      <c r="E198" s="41"/>
      <c r="F198" s="41"/>
      <c r="G198" s="41"/>
      <c r="H198" s="41"/>
      <c r="I198" s="41"/>
      <c r="J198" s="41"/>
      <c r="K198" s="41"/>
      <c r="L198" s="41"/>
    </row>
    <row r="199" spans="1:12" x14ac:dyDescent="0.2">
      <c r="A199" s="1"/>
      <c r="B199" s="1"/>
      <c r="C199" s="1"/>
      <c r="D199" s="1"/>
      <c r="E199" s="41"/>
      <c r="F199" s="41"/>
      <c r="G199" s="41"/>
      <c r="H199" s="41"/>
      <c r="I199" s="41"/>
      <c r="J199" s="41"/>
      <c r="K199" s="41"/>
      <c r="L199" s="41"/>
    </row>
    <row r="200" spans="1:12" x14ac:dyDescent="0.2">
      <c r="A200" s="1"/>
      <c r="B200" s="1"/>
      <c r="C200" s="1"/>
      <c r="D200" s="1"/>
      <c r="E200" s="41"/>
      <c r="F200" s="41"/>
      <c r="G200" s="41"/>
      <c r="H200" s="41"/>
      <c r="I200" s="41"/>
      <c r="J200" s="41"/>
      <c r="K200" s="41"/>
      <c r="L200" s="41"/>
    </row>
    <row r="201" spans="1:12" x14ac:dyDescent="0.2">
      <c r="A201" s="1"/>
      <c r="B201" s="1"/>
      <c r="C201" s="1"/>
      <c r="D201" s="1"/>
      <c r="E201" s="41"/>
      <c r="F201" s="41"/>
      <c r="G201" s="41"/>
      <c r="H201" s="41"/>
      <c r="I201" s="41"/>
      <c r="J201" s="41"/>
      <c r="K201" s="41"/>
      <c r="L201" s="41"/>
    </row>
    <row r="202" spans="1:12" x14ac:dyDescent="0.2">
      <c r="A202" s="1"/>
      <c r="B202" s="1"/>
      <c r="C202" s="1"/>
      <c r="D202" s="1"/>
      <c r="E202" s="41"/>
      <c r="F202" s="41"/>
      <c r="G202" s="41"/>
      <c r="H202" s="41"/>
      <c r="I202" s="41"/>
      <c r="J202" s="41"/>
      <c r="K202" s="41"/>
      <c r="L202" s="41"/>
    </row>
    <row r="203" spans="1:12" x14ac:dyDescent="0.2">
      <c r="A203" s="1"/>
      <c r="B203" s="1"/>
      <c r="C203" s="1"/>
      <c r="D203" s="1"/>
      <c r="E203" s="41"/>
      <c r="F203" s="41"/>
      <c r="G203" s="41"/>
      <c r="H203" s="41"/>
      <c r="I203" s="41"/>
      <c r="J203" s="41"/>
      <c r="K203" s="41"/>
      <c r="L203" s="41"/>
    </row>
    <row r="204" spans="1:12" x14ac:dyDescent="0.2">
      <c r="A204" s="1"/>
      <c r="B204" s="1"/>
      <c r="C204" s="1"/>
      <c r="D204" s="1"/>
      <c r="E204" s="41"/>
      <c r="F204" s="41"/>
      <c r="G204" s="41"/>
      <c r="H204" s="41"/>
      <c r="I204" s="41"/>
      <c r="J204" s="41"/>
      <c r="K204" s="41"/>
      <c r="L204" s="41"/>
    </row>
    <row r="205" spans="1:12" x14ac:dyDescent="0.2">
      <c r="A205" s="1"/>
      <c r="B205" s="1"/>
      <c r="C205" s="1"/>
      <c r="D205" s="1"/>
      <c r="E205" s="41"/>
      <c r="F205" s="41"/>
      <c r="G205" s="41"/>
      <c r="H205" s="41"/>
      <c r="I205" s="41"/>
      <c r="J205" s="41"/>
      <c r="K205" s="41"/>
      <c r="L205" s="41"/>
    </row>
    <row r="206" spans="1:12" x14ac:dyDescent="0.2">
      <c r="A206" s="1"/>
      <c r="B206" s="1"/>
      <c r="C206" s="1"/>
      <c r="D206" s="1"/>
      <c r="E206" s="41"/>
      <c r="F206" s="41"/>
      <c r="G206" s="41"/>
      <c r="H206" s="41"/>
      <c r="I206" s="41"/>
      <c r="J206" s="41"/>
      <c r="K206" s="41"/>
      <c r="L206" s="41"/>
    </row>
    <row r="207" spans="1:12" x14ac:dyDescent="0.2">
      <c r="A207" s="1"/>
      <c r="B207" s="1"/>
      <c r="C207" s="1"/>
      <c r="D207" s="1"/>
      <c r="E207" s="41"/>
      <c r="F207" s="41"/>
      <c r="G207" s="41"/>
      <c r="H207" s="41"/>
      <c r="I207" s="41"/>
      <c r="J207" s="41"/>
      <c r="K207" s="41"/>
      <c r="L207" s="41"/>
    </row>
    <row r="208" spans="1:12" x14ac:dyDescent="0.2">
      <c r="A208" s="1"/>
      <c r="B208" s="1"/>
      <c r="C208" s="1"/>
      <c r="D208" s="1"/>
      <c r="E208" s="41"/>
      <c r="F208" s="41"/>
      <c r="G208" s="41"/>
      <c r="H208" s="41"/>
      <c r="I208" s="41"/>
      <c r="J208" s="41"/>
      <c r="K208" s="41"/>
      <c r="L208" s="41"/>
    </row>
    <row r="209" spans="1:12" x14ac:dyDescent="0.2">
      <c r="A209" s="1"/>
      <c r="B209" s="1"/>
      <c r="C209" s="1"/>
      <c r="D209" s="1"/>
      <c r="E209" s="41"/>
      <c r="F209" s="41"/>
      <c r="G209" s="41"/>
      <c r="H209" s="41"/>
      <c r="I209" s="41"/>
      <c r="J209" s="41"/>
      <c r="K209" s="41"/>
      <c r="L209" s="41"/>
    </row>
    <row r="210" spans="1:12" x14ac:dyDescent="0.2">
      <c r="A210" s="1"/>
      <c r="B210" s="1"/>
      <c r="C210" s="1"/>
      <c r="D210" s="1"/>
      <c r="E210" s="41"/>
      <c r="F210" s="41"/>
      <c r="G210" s="41"/>
      <c r="H210" s="41"/>
      <c r="I210" s="41"/>
      <c r="J210" s="41"/>
      <c r="K210" s="41"/>
      <c r="L210" s="41"/>
    </row>
    <row r="211" spans="1:12" x14ac:dyDescent="0.2">
      <c r="A211" s="1"/>
      <c r="B211" s="1"/>
      <c r="C211" s="1"/>
      <c r="D211" s="1"/>
      <c r="E211" s="41"/>
      <c r="F211" s="41"/>
      <c r="G211" s="41"/>
      <c r="H211" s="41"/>
      <c r="I211" s="41"/>
      <c r="J211" s="41"/>
      <c r="K211" s="41"/>
      <c r="L211" s="41"/>
    </row>
    <row r="212" spans="1:12" x14ac:dyDescent="0.2">
      <c r="A212" s="1"/>
      <c r="B212" s="1"/>
      <c r="C212" s="1"/>
      <c r="D212" s="1"/>
      <c r="E212" s="41"/>
      <c r="F212" s="41"/>
      <c r="G212" s="41"/>
      <c r="H212" s="41"/>
      <c r="I212" s="41"/>
      <c r="J212" s="41"/>
      <c r="K212" s="41"/>
      <c r="L212" s="41"/>
    </row>
    <row r="213" spans="1:12" x14ac:dyDescent="0.2">
      <c r="A213" s="1"/>
      <c r="B213" s="1"/>
      <c r="C213" s="1"/>
      <c r="D213" s="1"/>
      <c r="E213" s="41"/>
      <c r="F213" s="41"/>
      <c r="G213" s="41"/>
      <c r="H213" s="41"/>
      <c r="I213" s="41"/>
      <c r="J213" s="41"/>
      <c r="K213" s="41"/>
      <c r="L213" s="41"/>
    </row>
    <row r="214" spans="1:12" x14ac:dyDescent="0.2">
      <c r="A214" s="1"/>
      <c r="B214" s="1"/>
      <c r="C214" s="1"/>
      <c r="D214" s="1"/>
      <c r="E214" s="41"/>
      <c r="F214" s="41"/>
      <c r="G214" s="41"/>
      <c r="H214" s="41"/>
      <c r="I214" s="41"/>
      <c r="J214" s="41"/>
      <c r="K214" s="41"/>
      <c r="L214" s="41"/>
    </row>
    <row r="215" spans="1:12" x14ac:dyDescent="0.2">
      <c r="A215" s="1"/>
      <c r="B215" s="1"/>
      <c r="C215" s="1"/>
      <c r="D215" s="1"/>
      <c r="E215" s="41"/>
      <c r="F215" s="41"/>
      <c r="G215" s="41"/>
      <c r="H215" s="41"/>
      <c r="I215" s="41"/>
      <c r="J215" s="41"/>
      <c r="K215" s="41"/>
      <c r="L215" s="41"/>
    </row>
    <row r="216" spans="1:12" x14ac:dyDescent="0.2">
      <c r="A216" s="1"/>
      <c r="B216" s="1"/>
      <c r="C216" s="1"/>
      <c r="D216" s="1"/>
      <c r="E216" s="41"/>
      <c r="F216" s="41"/>
      <c r="G216" s="41"/>
      <c r="H216" s="41"/>
      <c r="I216" s="41"/>
      <c r="J216" s="41"/>
      <c r="K216" s="41"/>
      <c r="L216" s="41"/>
    </row>
    <row r="217" spans="1:12" x14ac:dyDescent="0.2">
      <c r="A217" s="1"/>
      <c r="B217" s="1"/>
      <c r="C217" s="1"/>
      <c r="D217" s="1"/>
      <c r="E217" s="41"/>
      <c r="F217" s="41"/>
      <c r="G217" s="41"/>
      <c r="H217" s="41"/>
      <c r="I217" s="41"/>
      <c r="J217" s="41"/>
      <c r="K217" s="41"/>
      <c r="L217" s="41"/>
    </row>
    <row r="218" spans="1:12" x14ac:dyDescent="0.2">
      <c r="A218" s="1"/>
      <c r="B218" s="1"/>
      <c r="C218" s="1"/>
      <c r="D218" s="1"/>
      <c r="E218" s="41"/>
      <c r="F218" s="41"/>
      <c r="G218" s="41"/>
      <c r="H218" s="41"/>
      <c r="I218" s="41"/>
      <c r="J218" s="41"/>
      <c r="K218" s="41"/>
      <c r="L218" s="41"/>
    </row>
    <row r="219" spans="1:12" x14ac:dyDescent="0.2">
      <c r="A219" s="1"/>
      <c r="B219" s="1"/>
      <c r="C219" s="1"/>
      <c r="D219" s="1"/>
      <c r="E219" s="41"/>
      <c r="F219" s="41"/>
      <c r="G219" s="41"/>
      <c r="H219" s="41"/>
      <c r="I219" s="41"/>
      <c r="J219" s="41"/>
      <c r="K219" s="41"/>
      <c r="L219" s="41"/>
    </row>
    <row r="220" spans="1:12" x14ac:dyDescent="0.2">
      <c r="A220" s="1"/>
      <c r="B220" s="1"/>
      <c r="C220" s="1"/>
      <c r="D220" s="1"/>
      <c r="E220" s="41"/>
      <c r="F220" s="41"/>
      <c r="G220" s="41"/>
      <c r="H220" s="41"/>
      <c r="I220" s="41"/>
      <c r="J220" s="41"/>
      <c r="K220" s="41"/>
      <c r="L220" s="41"/>
    </row>
    <row r="221" spans="1:12" x14ac:dyDescent="0.2">
      <c r="A221" s="1"/>
      <c r="B221" s="1"/>
      <c r="C221" s="1"/>
      <c r="D221" s="1"/>
      <c r="E221" s="41"/>
      <c r="F221" s="41"/>
      <c r="G221" s="41"/>
      <c r="H221" s="41"/>
      <c r="I221" s="41"/>
      <c r="J221" s="41"/>
      <c r="K221" s="41"/>
      <c r="L221" s="41"/>
    </row>
    <row r="222" spans="1:12" x14ac:dyDescent="0.2">
      <c r="A222" s="1"/>
      <c r="B222" s="1"/>
      <c r="C222" s="1"/>
      <c r="D222" s="1"/>
      <c r="E222" s="41"/>
      <c r="F222" s="41"/>
      <c r="G222" s="41"/>
      <c r="H222" s="41"/>
      <c r="I222" s="41"/>
      <c r="J222" s="41"/>
      <c r="K222" s="41"/>
      <c r="L222" s="41"/>
    </row>
    <row r="223" spans="1:12" x14ac:dyDescent="0.2">
      <c r="A223" s="1"/>
      <c r="B223" s="1"/>
      <c r="C223" s="1"/>
      <c r="D223" s="1"/>
      <c r="E223" s="41"/>
      <c r="F223" s="41"/>
      <c r="G223" s="41"/>
      <c r="H223" s="41"/>
      <c r="I223" s="41"/>
      <c r="J223" s="41"/>
      <c r="K223" s="41"/>
      <c r="L223" s="41"/>
    </row>
    <row r="224" spans="1:12" x14ac:dyDescent="0.2">
      <c r="A224" s="1"/>
      <c r="B224" s="1"/>
      <c r="C224" s="1"/>
      <c r="D224" s="1"/>
      <c r="E224" s="41"/>
      <c r="F224" s="41"/>
      <c r="G224" s="41"/>
      <c r="H224" s="41"/>
      <c r="I224" s="41"/>
      <c r="J224" s="41"/>
      <c r="K224" s="41"/>
      <c r="L224" s="41"/>
    </row>
    <row r="225" spans="1:12" x14ac:dyDescent="0.2">
      <c r="A225" s="1"/>
      <c r="B225" s="1"/>
      <c r="C225" s="1"/>
      <c r="D225" s="1"/>
      <c r="E225" s="41"/>
      <c r="F225" s="41"/>
      <c r="G225" s="41"/>
      <c r="H225" s="41"/>
      <c r="I225" s="41"/>
      <c r="J225" s="41"/>
      <c r="K225" s="41"/>
      <c r="L225" s="41"/>
    </row>
    <row r="226" spans="1:12" x14ac:dyDescent="0.2">
      <c r="A226" s="1"/>
      <c r="B226" s="1"/>
      <c r="C226" s="1"/>
      <c r="D226" s="1"/>
      <c r="E226" s="41"/>
      <c r="F226" s="41"/>
      <c r="G226" s="41"/>
      <c r="H226" s="41"/>
      <c r="I226" s="41"/>
      <c r="J226" s="41"/>
      <c r="K226" s="41"/>
      <c r="L226" s="41"/>
    </row>
    <row r="227" spans="1:12" x14ac:dyDescent="0.2">
      <c r="A227" s="1"/>
      <c r="B227" s="1"/>
      <c r="C227" s="1"/>
      <c r="D227" s="1"/>
      <c r="E227" s="41"/>
      <c r="F227" s="41"/>
      <c r="G227" s="41"/>
      <c r="H227" s="41"/>
      <c r="I227" s="41"/>
      <c r="J227" s="41"/>
      <c r="K227" s="41"/>
      <c r="L227" s="41"/>
    </row>
    <row r="228" spans="1:12" x14ac:dyDescent="0.2">
      <c r="A228" s="1"/>
      <c r="B228" s="1"/>
      <c r="C228" s="1"/>
      <c r="D228" s="1"/>
      <c r="E228" s="41"/>
      <c r="F228" s="41"/>
      <c r="G228" s="41"/>
      <c r="H228" s="41"/>
      <c r="I228" s="41"/>
      <c r="J228" s="41"/>
      <c r="K228" s="41"/>
      <c r="L228" s="41"/>
    </row>
    <row r="229" spans="1:12" x14ac:dyDescent="0.2">
      <c r="A229" s="1"/>
      <c r="B229" s="1"/>
      <c r="C229" s="1"/>
      <c r="D229" s="1"/>
      <c r="E229" s="41"/>
      <c r="F229" s="41"/>
      <c r="G229" s="41"/>
      <c r="H229" s="41"/>
      <c r="I229" s="41"/>
      <c r="J229" s="41"/>
      <c r="K229" s="41"/>
      <c r="L229" s="41"/>
    </row>
    <row r="230" spans="1:12" x14ac:dyDescent="0.2">
      <c r="A230" s="1"/>
      <c r="B230" s="1"/>
      <c r="C230" s="1"/>
      <c r="D230" s="1"/>
      <c r="E230" s="41"/>
      <c r="F230" s="41"/>
      <c r="G230" s="41"/>
      <c r="H230" s="41"/>
      <c r="I230" s="41"/>
      <c r="J230" s="41"/>
      <c r="K230" s="41"/>
      <c r="L230" s="41"/>
    </row>
    <row r="231" spans="1:12" x14ac:dyDescent="0.2">
      <c r="A231" s="1"/>
      <c r="B231" s="1"/>
      <c r="C231" s="1"/>
      <c r="D231" s="1"/>
      <c r="E231" s="41"/>
      <c r="F231" s="41"/>
      <c r="G231" s="41"/>
      <c r="H231" s="41"/>
      <c r="I231" s="41"/>
      <c r="J231" s="41"/>
      <c r="K231" s="41"/>
      <c r="L231" s="41"/>
    </row>
    <row r="232" spans="1:12" x14ac:dyDescent="0.2">
      <c r="A232" s="1"/>
      <c r="B232" s="1"/>
      <c r="C232" s="1"/>
      <c r="D232" s="1"/>
      <c r="E232" s="41"/>
      <c r="F232" s="41"/>
      <c r="G232" s="41"/>
      <c r="H232" s="41"/>
      <c r="I232" s="41"/>
      <c r="J232" s="41"/>
      <c r="K232" s="41"/>
      <c r="L232" s="41"/>
    </row>
    <row r="233" spans="1:12" x14ac:dyDescent="0.2">
      <c r="A233" s="1"/>
      <c r="B233" s="1"/>
      <c r="C233" s="1"/>
      <c r="D233" s="1"/>
      <c r="E233" s="41"/>
      <c r="F233" s="41"/>
      <c r="G233" s="41"/>
      <c r="H233" s="41"/>
      <c r="I233" s="41"/>
      <c r="J233" s="41"/>
      <c r="K233" s="41"/>
      <c r="L233" s="41"/>
    </row>
    <row r="234" spans="1:12" x14ac:dyDescent="0.2">
      <c r="A234" s="1"/>
      <c r="B234" s="1"/>
      <c r="C234" s="1"/>
      <c r="D234" s="1"/>
      <c r="E234" s="41"/>
      <c r="F234" s="41"/>
      <c r="G234" s="41"/>
      <c r="H234" s="41"/>
      <c r="I234" s="41"/>
      <c r="J234" s="41"/>
      <c r="K234" s="41"/>
      <c r="L234" s="41"/>
    </row>
    <row r="235" spans="1:12" x14ac:dyDescent="0.2">
      <c r="A235" s="1"/>
      <c r="B235" s="1"/>
      <c r="C235" s="1"/>
      <c r="D235" s="1"/>
      <c r="E235" s="41"/>
      <c r="F235" s="41"/>
      <c r="G235" s="41"/>
      <c r="H235" s="41"/>
      <c r="I235" s="41"/>
      <c r="J235" s="41"/>
      <c r="K235" s="41"/>
      <c r="L235" s="41"/>
    </row>
    <row r="236" spans="1:12" x14ac:dyDescent="0.2">
      <c r="A236" s="1"/>
      <c r="B236" s="1"/>
      <c r="C236" s="1"/>
      <c r="D236" s="1"/>
      <c r="E236" s="41"/>
      <c r="F236" s="41"/>
      <c r="G236" s="41"/>
      <c r="H236" s="41"/>
      <c r="I236" s="41"/>
      <c r="J236" s="41"/>
      <c r="K236" s="41"/>
      <c r="L236" s="41"/>
    </row>
    <row r="237" spans="1:12" x14ac:dyDescent="0.2">
      <c r="A237" s="1"/>
      <c r="B237" s="1"/>
      <c r="C237" s="1"/>
      <c r="D237" s="1"/>
      <c r="E237" s="41"/>
      <c r="F237" s="41"/>
      <c r="G237" s="41"/>
      <c r="H237" s="41"/>
      <c r="I237" s="41"/>
      <c r="J237" s="41"/>
      <c r="K237" s="41"/>
      <c r="L237" s="41"/>
    </row>
    <row r="238" spans="1:12" x14ac:dyDescent="0.2">
      <c r="A238" s="1"/>
      <c r="B238" s="1"/>
      <c r="C238" s="1"/>
      <c r="D238" s="1"/>
      <c r="E238" s="41"/>
      <c r="F238" s="41"/>
      <c r="G238" s="41"/>
      <c r="H238" s="41"/>
      <c r="I238" s="41"/>
      <c r="J238" s="41"/>
      <c r="K238" s="41"/>
      <c r="L238" s="41"/>
    </row>
    <row r="239" spans="1:12" x14ac:dyDescent="0.2">
      <c r="A239" s="1"/>
      <c r="B239" s="1"/>
      <c r="C239" s="1"/>
      <c r="D239" s="1"/>
      <c r="E239" s="41"/>
      <c r="F239" s="41"/>
      <c r="G239" s="41"/>
      <c r="H239" s="41"/>
      <c r="I239" s="41"/>
      <c r="J239" s="41"/>
      <c r="K239" s="41"/>
      <c r="L239" s="41"/>
    </row>
    <row r="240" spans="1:12" x14ac:dyDescent="0.2">
      <c r="A240" s="1"/>
      <c r="B240" s="1"/>
      <c r="C240" s="1"/>
      <c r="D240" s="1"/>
      <c r="E240" s="41"/>
      <c r="F240" s="41"/>
      <c r="G240" s="41"/>
      <c r="H240" s="41"/>
      <c r="I240" s="41"/>
      <c r="J240" s="41"/>
      <c r="K240" s="41"/>
      <c r="L240" s="41"/>
    </row>
    <row r="241" spans="1:12" x14ac:dyDescent="0.2">
      <c r="A241" s="1"/>
      <c r="B241" s="1"/>
      <c r="C241" s="1"/>
      <c r="D241" s="1"/>
      <c r="E241" s="41"/>
      <c r="F241" s="41"/>
      <c r="G241" s="41"/>
      <c r="H241" s="41"/>
      <c r="I241" s="41"/>
      <c r="J241" s="41"/>
      <c r="K241" s="41"/>
      <c r="L241" s="41"/>
    </row>
    <row r="242" spans="1:12" x14ac:dyDescent="0.2">
      <c r="A242" s="1"/>
      <c r="B242" s="1"/>
      <c r="C242" s="1"/>
      <c r="D242" s="1"/>
      <c r="E242" s="41"/>
      <c r="F242" s="41"/>
      <c r="G242" s="41"/>
      <c r="H242" s="41"/>
      <c r="I242" s="41"/>
      <c r="J242" s="41"/>
      <c r="K242" s="41"/>
      <c r="L242" s="41"/>
    </row>
    <row r="243" spans="1:12" x14ac:dyDescent="0.2">
      <c r="A243" s="1"/>
      <c r="B243" s="1"/>
      <c r="C243" s="1"/>
      <c r="D243" s="1"/>
      <c r="E243" s="41"/>
      <c r="F243" s="41"/>
      <c r="G243" s="41"/>
      <c r="H243" s="41"/>
      <c r="I243" s="41"/>
      <c r="J243" s="41"/>
      <c r="K243" s="41"/>
      <c r="L243" s="41"/>
    </row>
    <row r="244" spans="1:12" x14ac:dyDescent="0.2">
      <c r="A244" s="1"/>
      <c r="B244" s="1"/>
      <c r="C244" s="1"/>
      <c r="D244" s="1"/>
      <c r="E244" s="41"/>
      <c r="F244" s="41"/>
      <c r="G244" s="41"/>
      <c r="H244" s="41"/>
      <c r="I244" s="41"/>
      <c r="J244" s="41"/>
      <c r="K244" s="41"/>
      <c r="L244" s="41"/>
    </row>
    <row r="245" spans="1:12" x14ac:dyDescent="0.2">
      <c r="A245" s="1"/>
      <c r="B245" s="1"/>
      <c r="C245" s="1"/>
      <c r="D245" s="1"/>
      <c r="E245" s="41"/>
      <c r="F245" s="41"/>
      <c r="G245" s="41"/>
      <c r="H245" s="41"/>
      <c r="I245" s="41"/>
      <c r="J245" s="41"/>
      <c r="K245" s="41"/>
      <c r="L245" s="41"/>
    </row>
    <row r="246" spans="1:12" x14ac:dyDescent="0.2">
      <c r="A246" s="1"/>
      <c r="B246" s="1"/>
      <c r="C246" s="1"/>
      <c r="D246" s="1"/>
      <c r="E246" s="41"/>
      <c r="F246" s="41"/>
      <c r="G246" s="41"/>
      <c r="H246" s="41"/>
      <c r="I246" s="41"/>
      <c r="J246" s="41"/>
      <c r="K246" s="41"/>
      <c r="L246" s="41"/>
    </row>
    <row r="247" spans="1:12" x14ac:dyDescent="0.2">
      <c r="A247" s="1"/>
      <c r="B247" s="1"/>
      <c r="C247" s="1"/>
      <c r="D247" s="1"/>
      <c r="E247" s="41"/>
      <c r="F247" s="41"/>
      <c r="G247" s="41"/>
      <c r="H247" s="41"/>
      <c r="I247" s="41"/>
      <c r="J247" s="41"/>
      <c r="K247" s="41"/>
      <c r="L247" s="41"/>
    </row>
    <row r="248" spans="1:12" x14ac:dyDescent="0.2">
      <c r="A248" s="1"/>
      <c r="B248" s="1"/>
      <c r="C248" s="1"/>
      <c r="D248" s="1"/>
      <c r="E248" s="41"/>
      <c r="F248" s="41"/>
      <c r="G248" s="41"/>
      <c r="H248" s="41"/>
      <c r="I248" s="41"/>
      <c r="J248" s="41"/>
      <c r="K248" s="41"/>
      <c r="L248" s="41"/>
    </row>
    <row r="249" spans="1:12" x14ac:dyDescent="0.2">
      <c r="A249" s="1"/>
      <c r="B249" s="1"/>
      <c r="C249" s="1"/>
      <c r="D249" s="1"/>
      <c r="E249" s="41"/>
      <c r="F249" s="41"/>
      <c r="G249" s="41"/>
      <c r="H249" s="41"/>
      <c r="I249" s="41"/>
      <c r="J249" s="41"/>
      <c r="K249" s="41"/>
      <c r="L249" s="41"/>
    </row>
    <row r="250" spans="1:12" x14ac:dyDescent="0.2">
      <c r="A250" s="1"/>
      <c r="B250" s="1"/>
      <c r="C250" s="1"/>
      <c r="D250" s="1"/>
      <c r="E250" s="41"/>
      <c r="F250" s="41"/>
      <c r="G250" s="41"/>
      <c r="H250" s="41"/>
      <c r="I250" s="41"/>
      <c r="J250" s="41"/>
      <c r="K250" s="41"/>
      <c r="L250" s="41"/>
    </row>
    <row r="251" spans="1:12" x14ac:dyDescent="0.2">
      <c r="A251" s="1"/>
      <c r="B251" s="1"/>
      <c r="C251" s="1"/>
      <c r="D251" s="1"/>
      <c r="E251" s="41"/>
      <c r="F251" s="41"/>
      <c r="G251" s="41"/>
      <c r="H251" s="41"/>
      <c r="I251" s="41"/>
      <c r="J251" s="41"/>
      <c r="K251" s="41"/>
      <c r="L251" s="41"/>
    </row>
    <row r="252" spans="1:12" x14ac:dyDescent="0.2">
      <c r="A252" s="1"/>
      <c r="B252" s="1"/>
      <c r="C252" s="1"/>
      <c r="D252" s="1"/>
      <c r="E252" s="41"/>
      <c r="F252" s="41"/>
      <c r="G252" s="41"/>
      <c r="H252" s="41"/>
      <c r="I252" s="41"/>
      <c r="J252" s="41"/>
      <c r="K252" s="41"/>
      <c r="L252" s="41"/>
    </row>
    <row r="253" spans="1:12" x14ac:dyDescent="0.2">
      <c r="A253" s="1"/>
      <c r="B253" s="1"/>
      <c r="C253" s="1"/>
      <c r="D253" s="1"/>
      <c r="E253" s="41"/>
      <c r="F253" s="41"/>
      <c r="G253" s="41"/>
      <c r="H253" s="41"/>
      <c r="I253" s="41"/>
      <c r="J253" s="41"/>
      <c r="K253" s="41"/>
      <c r="L253" s="41"/>
    </row>
  </sheetData>
  <mergeCells count="6">
    <mergeCell ref="A31:D31"/>
    <mergeCell ref="A1:D1"/>
    <mergeCell ref="B3:D3"/>
    <mergeCell ref="B5:D5"/>
    <mergeCell ref="A20:D20"/>
    <mergeCell ref="A28:D28"/>
  </mergeCells>
  <printOptions horizontalCentered="1" verticalCentered="1"/>
  <pageMargins left="0.51181102362204722" right="0.51181102362204722" top="0.98425196850393704" bottom="0.78740157480314965" header="0.31496062992125984" footer="0.31496062992125984"/>
  <pageSetup paperSize="9" orientation="portrait" r:id="rId1"/>
  <headerFooter>
    <oddHeader>&amp;L&amp;G&amp;R
&amp;G</oddHeader>
    <oddFooter>&amp;C&amp;K03+000
Rua Nilton Baldo, 744 – Bairro Jardim Paquetá - CEP 31.330-660 – Belo Horizonte / Minas Gerais.
Endereço Eletrônico: ottawaeng@terra.com.br – Telefax (31) 3418-2175 – CNPJ: 04.472.311/0001-04</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I27" sqref="I27"/>
    </sheetView>
  </sheetViews>
  <sheetFormatPr defaultRowHeight="12.75" x14ac:dyDescent="0.2"/>
  <sheetData>
    <row r="1" spans="1:8" x14ac:dyDescent="0.2">
      <c r="A1" t="s">
        <v>575</v>
      </c>
    </row>
    <row r="3" spans="1:8" x14ac:dyDescent="0.2">
      <c r="A3" s="782" t="s">
        <v>584</v>
      </c>
      <c r="B3" s="782"/>
      <c r="C3" s="782"/>
      <c r="D3" s="782"/>
      <c r="E3" s="782"/>
      <c r="F3" s="782"/>
      <c r="G3" s="782"/>
      <c r="H3" s="782"/>
    </row>
    <row r="4" spans="1:8" x14ac:dyDescent="0.2">
      <c r="C4" s="245" t="s">
        <v>578</v>
      </c>
      <c r="D4" s="252" t="s">
        <v>577</v>
      </c>
      <c r="E4" s="252" t="s">
        <v>576</v>
      </c>
      <c r="G4" s="252" t="s">
        <v>577</v>
      </c>
      <c r="H4" s="252" t="s">
        <v>576</v>
      </c>
    </row>
    <row r="5" spans="1:8" x14ac:dyDescent="0.2">
      <c r="C5" s="245" t="s">
        <v>579</v>
      </c>
      <c r="D5">
        <v>11.1</v>
      </c>
      <c r="E5">
        <v>14.52</v>
      </c>
      <c r="F5" s="245">
        <v>1</v>
      </c>
      <c r="G5">
        <f>D5*F5</f>
        <v>11.1</v>
      </c>
      <c r="H5">
        <f>E5*F5</f>
        <v>14.52</v>
      </c>
    </row>
    <row r="6" spans="1:8" x14ac:dyDescent="0.2">
      <c r="C6" s="245" t="s">
        <v>485</v>
      </c>
      <c r="D6">
        <v>11.61</v>
      </c>
      <c r="E6">
        <v>3.43</v>
      </c>
      <c r="F6" s="245">
        <v>2</v>
      </c>
      <c r="G6">
        <f t="shared" ref="G6:G9" si="0">D6*F6</f>
        <v>23.22</v>
      </c>
      <c r="H6">
        <f t="shared" ref="H6:H9" si="1">E6*F6</f>
        <v>6.86</v>
      </c>
    </row>
    <row r="7" spans="1:8" x14ac:dyDescent="0.2">
      <c r="C7" s="245" t="s">
        <v>487</v>
      </c>
      <c r="D7">
        <v>0</v>
      </c>
      <c r="E7">
        <v>79</v>
      </c>
      <c r="F7" s="245">
        <v>2</v>
      </c>
      <c r="G7">
        <f t="shared" si="0"/>
        <v>0</v>
      </c>
      <c r="H7">
        <f t="shared" si="1"/>
        <v>158</v>
      </c>
    </row>
    <row r="8" spans="1:8" x14ac:dyDescent="0.2">
      <c r="C8" s="245" t="s">
        <v>580</v>
      </c>
      <c r="D8">
        <v>0</v>
      </c>
      <c r="E8">
        <v>52.05</v>
      </c>
      <c r="F8" s="245">
        <v>2</v>
      </c>
      <c r="G8">
        <f t="shared" si="0"/>
        <v>0</v>
      </c>
      <c r="H8">
        <f t="shared" si="1"/>
        <v>104.1</v>
      </c>
    </row>
    <row r="9" spans="1:8" x14ac:dyDescent="0.2">
      <c r="C9" s="245" t="s">
        <v>581</v>
      </c>
      <c r="D9">
        <v>0</v>
      </c>
      <c r="E9">
        <v>34.33</v>
      </c>
      <c r="F9" s="245">
        <v>1</v>
      </c>
      <c r="G9">
        <f t="shared" si="0"/>
        <v>0</v>
      </c>
      <c r="H9">
        <f t="shared" si="1"/>
        <v>34.33</v>
      </c>
    </row>
    <row r="11" spans="1:8" x14ac:dyDescent="0.2">
      <c r="C11" s="245" t="s">
        <v>582</v>
      </c>
      <c r="D11">
        <v>15</v>
      </c>
      <c r="G11">
        <f>SUM(G5:G10)</f>
        <v>34.32</v>
      </c>
      <c r="H11">
        <f>SUM(H5:H10)</f>
        <v>317.81</v>
      </c>
    </row>
    <row r="13" spans="1:8" x14ac:dyDescent="0.2">
      <c r="G13" s="253">
        <f>0.5*G$11*$D11</f>
        <v>257.39999999999998</v>
      </c>
      <c r="H13" s="253">
        <f>0.5*D11*H11</f>
        <v>2383.5749999999998</v>
      </c>
    </row>
    <row r="15" spans="1:8" x14ac:dyDescent="0.2">
      <c r="F15" s="782" t="s">
        <v>583</v>
      </c>
      <c r="G15" s="782"/>
      <c r="H15" s="253">
        <f>H13-G13</f>
        <v>2126.1749999999997</v>
      </c>
    </row>
  </sheetData>
  <mergeCells count="2">
    <mergeCell ref="F15:G15"/>
    <mergeCell ref="A3:H3"/>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view="pageBreakPreview" zoomScale="85" zoomScaleNormal="90" zoomScaleSheetLayoutView="85" workbookViewId="0">
      <selection activeCell="B29" sqref="B29"/>
    </sheetView>
  </sheetViews>
  <sheetFormatPr defaultRowHeight="17.100000000000001" customHeight="1" x14ac:dyDescent="0.2"/>
  <cols>
    <col min="1" max="1" width="13" style="17" customWidth="1"/>
    <col min="2" max="2" width="55.7109375" style="17" customWidth="1"/>
    <col min="3" max="3" width="9.7109375" style="17" customWidth="1"/>
    <col min="4" max="4" width="12.85546875" style="17" bestFit="1" customWidth="1"/>
    <col min="5" max="5" width="14.7109375" style="18" bestFit="1" customWidth="1"/>
    <col min="6" max="6" width="14.7109375" style="17" bestFit="1" customWidth="1"/>
    <col min="7" max="15" width="14.7109375" style="18" bestFit="1" customWidth="1"/>
    <col min="16" max="16" width="14.7109375" style="17" bestFit="1" customWidth="1"/>
    <col min="17" max="17" width="3" style="17" customWidth="1"/>
    <col min="18" max="18" width="8.7109375" style="17" customWidth="1"/>
    <col min="19" max="19" width="3.5703125" style="17" customWidth="1"/>
    <col min="20" max="23" width="12.7109375" style="17" customWidth="1"/>
    <col min="24" max="24" width="12.7109375" style="20" customWidth="1"/>
    <col min="25" max="31" width="12.7109375" style="17" customWidth="1"/>
    <col min="32" max="32" width="9.140625" style="17"/>
    <col min="33" max="33" width="18.7109375" style="17" customWidth="1"/>
    <col min="34" max="16384" width="9.140625" style="17"/>
  </cols>
  <sheetData>
    <row r="1" spans="1:31" s="10" customFormat="1" ht="30" customHeight="1" thickBot="1" x14ac:dyDescent="0.25">
      <c r="A1" s="634" t="s">
        <v>13</v>
      </c>
      <c r="B1" s="635"/>
      <c r="C1" s="635"/>
      <c r="D1" s="635"/>
      <c r="E1" s="635"/>
      <c r="F1" s="635"/>
      <c r="G1" s="635"/>
      <c r="H1" s="635"/>
      <c r="I1" s="635"/>
      <c r="J1" s="635"/>
      <c r="K1" s="635"/>
      <c r="L1" s="635"/>
      <c r="M1" s="635"/>
      <c r="N1" s="635"/>
      <c r="O1" s="635"/>
      <c r="P1" s="636"/>
    </row>
    <row r="2" spans="1:31" s="10" customFormat="1" ht="5.0999999999999996" customHeight="1" thickBot="1" x14ac:dyDescent="0.25">
      <c r="A2" s="197"/>
      <c r="B2" s="198"/>
      <c r="C2" s="198"/>
      <c r="D2" s="199"/>
      <c r="E2" s="198"/>
      <c r="F2" s="198"/>
      <c r="G2" s="198"/>
      <c r="H2" s="198"/>
      <c r="I2" s="198"/>
      <c r="J2" s="198"/>
      <c r="K2" s="198"/>
      <c r="L2" s="198"/>
      <c r="M2" s="198"/>
      <c r="N2" s="198"/>
      <c r="O2" s="198"/>
      <c r="P2" s="200"/>
    </row>
    <row r="3" spans="1:31" s="10" customFormat="1" ht="20.100000000000001" customHeight="1" thickBot="1" x14ac:dyDescent="0.25">
      <c r="A3" s="201" t="s">
        <v>39</v>
      </c>
      <c r="B3" s="202" t="s">
        <v>689</v>
      </c>
      <c r="C3" s="202"/>
      <c r="D3" s="203"/>
      <c r="E3" s="204"/>
      <c r="F3" s="204"/>
      <c r="G3" s="121"/>
      <c r="H3" s="121"/>
      <c r="I3" s="121"/>
      <c r="J3" s="121"/>
      <c r="K3" s="121"/>
      <c r="L3" s="121"/>
      <c r="M3" s="121"/>
      <c r="N3" s="121"/>
      <c r="O3" s="121" t="s">
        <v>8</v>
      </c>
      <c r="P3" s="122" t="s">
        <v>1934</v>
      </c>
    </row>
    <row r="4" spans="1:31" s="10" customFormat="1" ht="5.0999999999999996" customHeight="1" thickBot="1" x14ac:dyDescent="0.25">
      <c r="A4" s="205"/>
      <c r="B4" s="206"/>
      <c r="C4" s="206"/>
      <c r="D4" s="207"/>
      <c r="E4" s="208"/>
      <c r="F4" s="208"/>
      <c r="G4" s="94"/>
      <c r="H4" s="94"/>
      <c r="I4" s="94"/>
      <c r="J4" s="94"/>
      <c r="K4" s="94"/>
      <c r="L4" s="94"/>
      <c r="M4" s="94"/>
      <c r="N4" s="94"/>
      <c r="O4" s="94"/>
      <c r="P4" s="209"/>
    </row>
    <row r="5" spans="1:31" s="10" customFormat="1" ht="20.100000000000001" customHeight="1" thickBot="1" x14ac:dyDescent="0.25">
      <c r="A5" s="210" t="s">
        <v>23</v>
      </c>
      <c r="B5" s="211" t="s">
        <v>691</v>
      </c>
      <c r="C5" s="211"/>
      <c r="D5" s="212"/>
      <c r="E5" s="213"/>
      <c r="F5" s="213"/>
      <c r="G5" s="214"/>
      <c r="H5" s="214"/>
      <c r="I5" s="214"/>
      <c r="J5" s="214"/>
      <c r="K5" s="214"/>
      <c r="L5" s="214"/>
      <c r="M5" s="214"/>
      <c r="N5" s="214"/>
      <c r="O5" s="214"/>
      <c r="P5" s="215"/>
      <c r="Q5" s="4"/>
    </row>
    <row r="6" spans="1:31" s="10" customFormat="1" ht="5.0999999999999996" customHeight="1" thickBot="1" x14ac:dyDescent="0.25">
      <c r="A6" s="216"/>
      <c r="B6" s="217"/>
      <c r="C6" s="217"/>
      <c r="D6" s="218"/>
      <c r="E6" s="217"/>
      <c r="F6" s="217"/>
      <c r="G6" s="219"/>
      <c r="H6" s="219"/>
      <c r="I6" s="219"/>
      <c r="J6" s="219"/>
      <c r="K6" s="219"/>
      <c r="L6" s="219"/>
      <c r="M6" s="219"/>
      <c r="N6" s="219"/>
      <c r="O6" s="219"/>
      <c r="P6" s="220"/>
    </row>
    <row r="7" spans="1:31" s="10" customFormat="1" ht="20.100000000000001" customHeight="1" thickBot="1" x14ac:dyDescent="0.25">
      <c r="A7" s="210" t="s">
        <v>40</v>
      </c>
      <c r="B7" s="211" t="s">
        <v>694</v>
      </c>
      <c r="C7" s="211"/>
      <c r="D7" s="212"/>
      <c r="E7" s="211"/>
      <c r="F7" s="211"/>
      <c r="G7" s="214"/>
      <c r="H7" s="214"/>
      <c r="I7" s="214"/>
      <c r="J7" s="214"/>
      <c r="K7" s="214"/>
      <c r="L7" s="214"/>
      <c r="M7" s="214"/>
      <c r="N7" s="214"/>
      <c r="O7" s="214"/>
      <c r="P7" s="215"/>
    </row>
    <row r="8" spans="1:31" s="13" customFormat="1" ht="30" customHeight="1" thickBot="1" x14ac:dyDescent="0.25">
      <c r="A8" s="221" t="s">
        <v>24</v>
      </c>
      <c r="B8" s="222" t="s">
        <v>25</v>
      </c>
      <c r="C8" s="222" t="s">
        <v>26</v>
      </c>
      <c r="D8" s="222" t="s">
        <v>27</v>
      </c>
      <c r="E8" s="222" t="s">
        <v>28</v>
      </c>
      <c r="F8" s="222" t="s">
        <v>29</v>
      </c>
      <c r="G8" s="222" t="s">
        <v>30</v>
      </c>
      <c r="H8" s="222" t="s">
        <v>95</v>
      </c>
      <c r="I8" s="222" t="s">
        <v>96</v>
      </c>
      <c r="J8" s="222" t="s">
        <v>52</v>
      </c>
      <c r="K8" s="222" t="s">
        <v>53</v>
      </c>
      <c r="L8" s="222" t="s">
        <v>54</v>
      </c>
      <c r="M8" s="222" t="s">
        <v>55</v>
      </c>
      <c r="N8" s="222" t="s">
        <v>56</v>
      </c>
      <c r="O8" s="222" t="s">
        <v>57</v>
      </c>
      <c r="P8" s="223" t="s">
        <v>31</v>
      </c>
      <c r="Q8" s="12"/>
      <c r="R8" s="12"/>
      <c r="S8" s="12"/>
      <c r="T8" s="12"/>
      <c r="U8" s="12"/>
      <c r="V8" s="12"/>
      <c r="X8" s="14"/>
    </row>
    <row r="9" spans="1:31" s="13" customFormat="1" ht="20.100000000000001" customHeight="1" thickBot="1" x14ac:dyDescent="0.25">
      <c r="A9" s="950"/>
      <c r="B9" s="951"/>
      <c r="C9" s="952"/>
      <c r="D9" s="953"/>
      <c r="E9" s="953"/>
      <c r="F9" s="953"/>
      <c r="G9" s="953"/>
      <c r="H9" s="954"/>
      <c r="I9" s="954"/>
      <c r="J9" s="954"/>
      <c r="K9" s="954"/>
      <c r="L9" s="954"/>
      <c r="M9" s="954"/>
      <c r="N9" s="954"/>
      <c r="O9" s="954"/>
      <c r="P9" s="955"/>
      <c r="Q9" s="15"/>
      <c r="R9" s="15"/>
      <c r="S9" s="15"/>
      <c r="T9" s="15"/>
      <c r="V9" s="14"/>
    </row>
    <row r="10" spans="1:31" s="13" customFormat="1" ht="20.100000000000001" customHeight="1" thickTop="1" thickBot="1" x14ac:dyDescent="0.25">
      <c r="A10" s="956" t="str">
        <f>ORÇAMENTO!A14</f>
        <v>01</v>
      </c>
      <c r="B10" s="957" t="str">
        <f>ORÇAMENTO!D14</f>
        <v xml:space="preserve">MOBILIZAÇÃO E DESMOBILIZAÇÃO                                 </v>
      </c>
      <c r="C10" s="958">
        <f t="shared" ref="C10:C16" si="0">P10/$P$37*100</f>
        <v>3.4456633143254622</v>
      </c>
      <c r="D10" s="959">
        <v>60</v>
      </c>
      <c r="E10" s="960"/>
      <c r="F10" s="960"/>
      <c r="G10" s="960"/>
      <c r="H10" s="961"/>
      <c r="I10" s="961"/>
      <c r="J10" s="961"/>
      <c r="K10" s="961"/>
      <c r="L10" s="961"/>
      <c r="M10" s="961"/>
      <c r="N10" s="961"/>
      <c r="O10" s="962">
        <v>40</v>
      </c>
      <c r="P10" s="963">
        <f>ORÇAMENTO!I14</f>
        <v>303743.57000000007</v>
      </c>
      <c r="Q10" s="15"/>
      <c r="R10" s="164">
        <f>SUM(D10:O10)</f>
        <v>100</v>
      </c>
      <c r="S10" s="15"/>
      <c r="T10" s="167">
        <f>D10*$P10/100</f>
        <v>182246.14200000002</v>
      </c>
      <c r="U10" s="167">
        <f t="shared" ref="U10:AE25" si="1">E10*$P10/100</f>
        <v>0</v>
      </c>
      <c r="V10" s="167">
        <f t="shared" si="1"/>
        <v>0</v>
      </c>
      <c r="W10" s="167">
        <f t="shared" si="1"/>
        <v>0</v>
      </c>
      <c r="X10" s="167">
        <f t="shared" si="1"/>
        <v>0</v>
      </c>
      <c r="Y10" s="167">
        <f t="shared" si="1"/>
        <v>0</v>
      </c>
      <c r="Z10" s="167">
        <f t="shared" si="1"/>
        <v>0</v>
      </c>
      <c r="AA10" s="167">
        <f t="shared" si="1"/>
        <v>0</v>
      </c>
      <c r="AB10" s="167">
        <f t="shared" si="1"/>
        <v>0</v>
      </c>
      <c r="AC10" s="167">
        <f t="shared" si="1"/>
        <v>0</v>
      </c>
      <c r="AD10" s="167">
        <f t="shared" si="1"/>
        <v>0</v>
      </c>
      <c r="AE10" s="167">
        <f t="shared" si="1"/>
        <v>121497.42800000003</v>
      </c>
    </row>
    <row r="11" spans="1:31" s="13" customFormat="1" ht="20.100000000000001" customHeight="1" thickTop="1" thickBot="1" x14ac:dyDescent="0.25">
      <c r="A11" s="956" t="str">
        <f>ORÇAMENTO!A16</f>
        <v>02</v>
      </c>
      <c r="B11" s="957" t="str">
        <f>ORÇAMENTO!D16</f>
        <v>ADMINISTRAÇÃO DA OBRA</v>
      </c>
      <c r="C11" s="958">
        <f t="shared" si="0"/>
        <v>7.6606397988629311</v>
      </c>
      <c r="D11" s="959">
        <v>8</v>
      </c>
      <c r="E11" s="959">
        <v>7</v>
      </c>
      <c r="F11" s="959">
        <v>8</v>
      </c>
      <c r="G11" s="959">
        <v>8</v>
      </c>
      <c r="H11" s="962">
        <v>8</v>
      </c>
      <c r="I11" s="962">
        <v>8</v>
      </c>
      <c r="J11" s="962">
        <v>8</v>
      </c>
      <c r="K11" s="962">
        <v>8</v>
      </c>
      <c r="L11" s="962">
        <v>8</v>
      </c>
      <c r="M11" s="962">
        <v>8</v>
      </c>
      <c r="N11" s="962">
        <v>8</v>
      </c>
      <c r="O11" s="962">
        <v>13</v>
      </c>
      <c r="P11" s="963">
        <f>ORÇAMENTO!I16</f>
        <v>675303.96</v>
      </c>
      <c r="Q11" s="15"/>
      <c r="R11" s="164">
        <f t="shared" ref="R11:R17" si="2">SUM(D11:O11)</f>
        <v>100</v>
      </c>
      <c r="S11" s="15"/>
      <c r="T11" s="167">
        <f t="shared" ref="T11:T30" si="3">D11*$P11/100</f>
        <v>54024.316800000001</v>
      </c>
      <c r="U11" s="167">
        <f t="shared" si="1"/>
        <v>47271.277199999997</v>
      </c>
      <c r="V11" s="167">
        <f t="shared" si="1"/>
        <v>54024.316800000001</v>
      </c>
      <c r="W11" s="167">
        <f t="shared" si="1"/>
        <v>54024.316800000001</v>
      </c>
      <c r="X11" s="167">
        <f t="shared" si="1"/>
        <v>54024.316800000001</v>
      </c>
      <c r="Y11" s="167">
        <f t="shared" si="1"/>
        <v>54024.316800000001</v>
      </c>
      <c r="Z11" s="167">
        <f t="shared" si="1"/>
        <v>54024.316800000001</v>
      </c>
      <c r="AA11" s="167">
        <f t="shared" si="1"/>
        <v>54024.316800000001</v>
      </c>
      <c r="AB11" s="167">
        <f t="shared" si="1"/>
        <v>54024.316800000001</v>
      </c>
      <c r="AC11" s="167">
        <f t="shared" si="1"/>
        <v>54024.316800000001</v>
      </c>
      <c r="AD11" s="167">
        <f t="shared" si="1"/>
        <v>54024.316800000001</v>
      </c>
      <c r="AE11" s="167">
        <f t="shared" si="1"/>
        <v>87789.514800000004</v>
      </c>
    </row>
    <row r="12" spans="1:31" s="13" customFormat="1" ht="20.100000000000001" customHeight="1" thickTop="1" thickBot="1" x14ac:dyDescent="0.25">
      <c r="A12" s="956" t="str">
        <f>ORÇAMENTO!A18</f>
        <v>03</v>
      </c>
      <c r="B12" s="957" t="str">
        <f>ORÇAMENTO!D18</f>
        <v>ELEVATÓRIA 01</v>
      </c>
      <c r="C12" s="958">
        <f t="shared" si="0"/>
        <v>3.1406373254198585</v>
      </c>
      <c r="D12" s="959">
        <v>10</v>
      </c>
      <c r="E12" s="959">
        <v>15</v>
      </c>
      <c r="F12" s="959">
        <v>15</v>
      </c>
      <c r="G12" s="959">
        <v>15</v>
      </c>
      <c r="H12" s="962">
        <v>15</v>
      </c>
      <c r="I12" s="962">
        <v>15</v>
      </c>
      <c r="J12" s="962">
        <v>15</v>
      </c>
      <c r="K12" s="960"/>
      <c r="L12" s="960"/>
      <c r="M12" s="960"/>
      <c r="N12" s="960"/>
      <c r="O12" s="960"/>
      <c r="P12" s="963">
        <f>ORÇAMENTO!I18</f>
        <v>276854.78999999998</v>
      </c>
      <c r="Q12" s="15"/>
      <c r="R12" s="164">
        <f t="shared" si="2"/>
        <v>100</v>
      </c>
      <c r="S12" s="15"/>
      <c r="T12" s="167">
        <f t="shared" si="3"/>
        <v>27685.478999999999</v>
      </c>
      <c r="U12" s="167">
        <f t="shared" si="1"/>
        <v>41528.218499999995</v>
      </c>
      <c r="V12" s="167">
        <f t="shared" si="1"/>
        <v>41528.218499999995</v>
      </c>
      <c r="W12" s="167">
        <f t="shared" si="1"/>
        <v>41528.218499999995</v>
      </c>
      <c r="X12" s="167">
        <f t="shared" si="1"/>
        <v>41528.218499999995</v>
      </c>
      <c r="Y12" s="167">
        <f t="shared" si="1"/>
        <v>41528.218499999995</v>
      </c>
      <c r="Z12" s="167">
        <f t="shared" si="1"/>
        <v>41528.218499999995</v>
      </c>
      <c r="AA12" s="167">
        <f t="shared" si="1"/>
        <v>0</v>
      </c>
      <c r="AB12" s="167">
        <f t="shared" si="1"/>
        <v>0</v>
      </c>
      <c r="AC12" s="167">
        <f t="shared" si="1"/>
        <v>0</v>
      </c>
      <c r="AD12" s="167">
        <f t="shared" si="1"/>
        <v>0</v>
      </c>
      <c r="AE12" s="167">
        <f t="shared" si="1"/>
        <v>0</v>
      </c>
    </row>
    <row r="13" spans="1:31" s="13" customFormat="1" ht="20.100000000000001" customHeight="1" thickTop="1" thickBot="1" x14ac:dyDescent="0.25">
      <c r="A13" s="956" t="str">
        <f>ORÇAMENTO!A20</f>
        <v>04</v>
      </c>
      <c r="B13" s="957" t="str">
        <f>ORÇAMENTO!D20</f>
        <v>LINHA DE RECALQUE 01</v>
      </c>
      <c r="C13" s="958">
        <f t="shared" si="0"/>
        <v>0.8440503104492092</v>
      </c>
      <c r="D13" s="961"/>
      <c r="E13" s="959">
        <v>10</v>
      </c>
      <c r="F13" s="959">
        <v>10</v>
      </c>
      <c r="G13" s="959">
        <v>20</v>
      </c>
      <c r="H13" s="962">
        <v>20</v>
      </c>
      <c r="I13" s="962">
        <v>20</v>
      </c>
      <c r="J13" s="962">
        <v>10</v>
      </c>
      <c r="K13" s="962">
        <v>10</v>
      </c>
      <c r="L13" s="961"/>
      <c r="M13" s="961"/>
      <c r="N13" s="961"/>
      <c r="O13" s="961"/>
      <c r="P13" s="963">
        <f>ORÇAMENTO!I20</f>
        <v>74405.08</v>
      </c>
      <c r="Q13" s="15"/>
      <c r="R13" s="164">
        <f t="shared" si="2"/>
        <v>100</v>
      </c>
      <c r="S13" s="15"/>
      <c r="T13" s="167">
        <f t="shared" si="3"/>
        <v>0</v>
      </c>
      <c r="U13" s="167">
        <f t="shared" si="1"/>
        <v>7440.5080000000007</v>
      </c>
      <c r="V13" s="167">
        <f t="shared" si="1"/>
        <v>7440.5080000000007</v>
      </c>
      <c r="W13" s="167">
        <f t="shared" si="1"/>
        <v>14881.016000000001</v>
      </c>
      <c r="X13" s="167">
        <f t="shared" si="1"/>
        <v>14881.016000000001</v>
      </c>
      <c r="Y13" s="167">
        <f t="shared" si="1"/>
        <v>14881.016000000001</v>
      </c>
      <c r="Z13" s="167">
        <f t="shared" si="1"/>
        <v>7440.5080000000007</v>
      </c>
      <c r="AA13" s="167">
        <f t="shared" si="1"/>
        <v>7440.5080000000007</v>
      </c>
      <c r="AB13" s="167">
        <f t="shared" si="1"/>
        <v>0</v>
      </c>
      <c r="AC13" s="167">
        <f t="shared" si="1"/>
        <v>0</v>
      </c>
      <c r="AD13" s="167">
        <f t="shared" si="1"/>
        <v>0</v>
      </c>
      <c r="AE13" s="167">
        <f t="shared" si="1"/>
        <v>0</v>
      </c>
    </row>
    <row r="14" spans="1:31" s="13" customFormat="1" ht="20.100000000000001" customHeight="1" thickTop="1" thickBot="1" x14ac:dyDescent="0.25">
      <c r="A14" s="956" t="str">
        <f>ORÇAMENTO!A22</f>
        <v>05</v>
      </c>
      <c r="B14" s="957" t="str">
        <f>ORÇAMENTO!D22</f>
        <v>REDE INTERCEPTORA E COLETORA DE ESGOTOS</v>
      </c>
      <c r="C14" s="958">
        <f t="shared" si="0"/>
        <v>14.106442769020655</v>
      </c>
      <c r="D14" s="961"/>
      <c r="E14" s="961"/>
      <c r="F14" s="959">
        <v>20</v>
      </c>
      <c r="G14" s="959">
        <v>30</v>
      </c>
      <c r="H14" s="962">
        <v>30</v>
      </c>
      <c r="I14" s="962">
        <v>20</v>
      </c>
      <c r="J14" s="961"/>
      <c r="K14" s="961"/>
      <c r="L14" s="961"/>
      <c r="M14" s="961"/>
      <c r="N14" s="961"/>
      <c r="O14" s="961"/>
      <c r="P14" s="963">
        <f>ORÇAMENTO!I22</f>
        <v>1243517.1099999999</v>
      </c>
      <c r="Q14" s="15"/>
      <c r="R14" s="164">
        <f t="shared" si="2"/>
        <v>100</v>
      </c>
      <c r="S14" s="15"/>
      <c r="T14" s="167">
        <f t="shared" si="3"/>
        <v>0</v>
      </c>
      <c r="U14" s="167">
        <f t="shared" si="1"/>
        <v>0</v>
      </c>
      <c r="V14" s="167">
        <f t="shared" si="1"/>
        <v>248703.42199999996</v>
      </c>
      <c r="W14" s="167">
        <f t="shared" si="1"/>
        <v>373055.13299999997</v>
      </c>
      <c r="X14" s="167">
        <f t="shared" si="1"/>
        <v>373055.13299999997</v>
      </c>
      <c r="Y14" s="167">
        <f t="shared" si="1"/>
        <v>248703.42199999996</v>
      </c>
      <c r="Z14" s="167">
        <f t="shared" si="1"/>
        <v>0</v>
      </c>
      <c r="AA14" s="167">
        <f t="shared" si="1"/>
        <v>0</v>
      </c>
      <c r="AB14" s="167">
        <f t="shared" si="1"/>
        <v>0</v>
      </c>
      <c r="AC14" s="167">
        <f t="shared" si="1"/>
        <v>0</v>
      </c>
      <c r="AD14" s="167">
        <f t="shared" si="1"/>
        <v>0</v>
      </c>
      <c r="AE14" s="167">
        <f t="shared" si="1"/>
        <v>0</v>
      </c>
    </row>
    <row r="15" spans="1:31" s="13" customFormat="1" ht="20.100000000000001" customHeight="1" thickTop="1" thickBot="1" x14ac:dyDescent="0.25">
      <c r="A15" s="956" t="str">
        <f>ORÇAMENTO!A24</f>
        <v>06</v>
      </c>
      <c r="B15" s="957" t="str">
        <f>ORÇAMENTO!D24</f>
        <v>ELEVATÓRIA FINAL</v>
      </c>
      <c r="C15" s="958">
        <f t="shared" si="0"/>
        <v>5.8743820348534275</v>
      </c>
      <c r="D15" s="964"/>
      <c r="E15" s="964"/>
      <c r="F15" s="964"/>
      <c r="G15" s="959">
        <v>20</v>
      </c>
      <c r="H15" s="959">
        <v>30</v>
      </c>
      <c r="I15" s="962">
        <v>30</v>
      </c>
      <c r="J15" s="962">
        <v>20</v>
      </c>
      <c r="K15" s="961"/>
      <c r="L15" s="961"/>
      <c r="M15" s="961"/>
      <c r="N15" s="961"/>
      <c r="O15" s="961"/>
      <c r="P15" s="963">
        <f>ORÇAMENTO!I24</f>
        <v>517841.01</v>
      </c>
      <c r="Q15" s="15"/>
      <c r="R15" s="164">
        <f t="shared" si="2"/>
        <v>100</v>
      </c>
      <c r="S15" s="15"/>
      <c r="T15" s="167">
        <f t="shared" si="3"/>
        <v>0</v>
      </c>
      <c r="U15" s="167">
        <f t="shared" si="1"/>
        <v>0</v>
      </c>
      <c r="V15" s="167">
        <f t="shared" si="1"/>
        <v>0</v>
      </c>
      <c r="W15" s="167">
        <f t="shared" si="1"/>
        <v>103568.20199999999</v>
      </c>
      <c r="X15" s="167">
        <f t="shared" si="1"/>
        <v>155352.30300000001</v>
      </c>
      <c r="Y15" s="167">
        <f t="shared" si="1"/>
        <v>155352.30300000001</v>
      </c>
      <c r="Z15" s="167">
        <f t="shared" si="1"/>
        <v>103568.20199999999</v>
      </c>
      <c r="AA15" s="167">
        <f t="shared" si="1"/>
        <v>0</v>
      </c>
      <c r="AB15" s="167">
        <f t="shared" si="1"/>
        <v>0</v>
      </c>
      <c r="AC15" s="167">
        <f t="shared" si="1"/>
        <v>0</v>
      </c>
      <c r="AD15" s="167">
        <f t="shared" si="1"/>
        <v>0</v>
      </c>
      <c r="AE15" s="167">
        <f t="shared" si="1"/>
        <v>0</v>
      </c>
    </row>
    <row r="16" spans="1:31" s="13" customFormat="1" ht="20.100000000000001" customHeight="1" thickTop="1" thickBot="1" x14ac:dyDescent="0.25">
      <c r="A16" s="956" t="str">
        <f>ORÇAMENTO!A26</f>
        <v>07</v>
      </c>
      <c r="B16" s="957" t="str">
        <f>ORÇAMENTO!D26</f>
        <v>LINHA DE RECALQUE 02</v>
      </c>
      <c r="C16" s="958">
        <f t="shared" si="0"/>
        <v>2.6731754157228331</v>
      </c>
      <c r="D16" s="964"/>
      <c r="E16" s="964"/>
      <c r="F16" s="964"/>
      <c r="G16" s="959">
        <v>20</v>
      </c>
      <c r="H16" s="959">
        <v>30</v>
      </c>
      <c r="I16" s="962">
        <v>30</v>
      </c>
      <c r="J16" s="962">
        <v>20</v>
      </c>
      <c r="K16" s="961"/>
      <c r="L16" s="961"/>
      <c r="M16" s="961"/>
      <c r="N16" s="961"/>
      <c r="O16" s="961"/>
      <c r="P16" s="963">
        <f>ORÇAMENTO!I26</f>
        <v>235646.89</v>
      </c>
      <c r="Q16" s="15"/>
      <c r="R16" s="164">
        <f t="shared" si="2"/>
        <v>100</v>
      </c>
      <c r="S16" s="15"/>
      <c r="T16" s="167">
        <f t="shared" si="3"/>
        <v>0</v>
      </c>
      <c r="U16" s="167">
        <f t="shared" si="1"/>
        <v>0</v>
      </c>
      <c r="V16" s="167">
        <f t="shared" si="1"/>
        <v>0</v>
      </c>
      <c r="W16" s="167">
        <f t="shared" si="1"/>
        <v>47129.378000000004</v>
      </c>
      <c r="X16" s="167">
        <f t="shared" si="1"/>
        <v>70694.066999999995</v>
      </c>
      <c r="Y16" s="167">
        <f t="shared" si="1"/>
        <v>70694.066999999995</v>
      </c>
      <c r="Z16" s="167">
        <f t="shared" si="1"/>
        <v>47129.378000000004</v>
      </c>
      <c r="AA16" s="167">
        <f t="shared" si="1"/>
        <v>0</v>
      </c>
      <c r="AB16" s="167">
        <f t="shared" si="1"/>
        <v>0</v>
      </c>
      <c r="AC16" s="167">
        <f t="shared" si="1"/>
        <v>0</v>
      </c>
      <c r="AD16" s="167">
        <f t="shared" si="1"/>
        <v>0</v>
      </c>
      <c r="AE16" s="167">
        <f t="shared" si="1"/>
        <v>0</v>
      </c>
    </row>
    <row r="17" spans="1:31" s="13" customFormat="1" ht="20.100000000000001" customHeight="1" thickTop="1" thickBot="1" x14ac:dyDescent="0.25">
      <c r="A17" s="965" t="str">
        <f>ORÇAMENTO!A28</f>
        <v>08</v>
      </c>
      <c r="B17" s="966" t="str">
        <f>ORÇAMENTO!D28</f>
        <v>ESTAÇÃO DE TRATAMENTO DE ESGOTOS</v>
      </c>
      <c r="C17" s="967"/>
      <c r="D17" s="968"/>
      <c r="E17" s="968"/>
      <c r="F17" s="968"/>
      <c r="G17" s="968"/>
      <c r="H17" s="969"/>
      <c r="I17" s="969"/>
      <c r="J17" s="969"/>
      <c r="K17" s="969"/>
      <c r="L17" s="969"/>
      <c r="M17" s="969"/>
      <c r="N17" s="969"/>
      <c r="O17" s="969"/>
      <c r="P17" s="970"/>
      <c r="Q17" s="15"/>
      <c r="R17" s="164">
        <f t="shared" si="2"/>
        <v>0</v>
      </c>
      <c r="S17" s="15"/>
      <c r="T17" s="167">
        <f t="shared" si="3"/>
        <v>0</v>
      </c>
      <c r="U17" s="167">
        <f t="shared" si="1"/>
        <v>0</v>
      </c>
      <c r="V17" s="167">
        <f t="shared" si="1"/>
        <v>0</v>
      </c>
      <c r="W17" s="167">
        <f t="shared" si="1"/>
        <v>0</v>
      </c>
      <c r="X17" s="167">
        <f t="shared" si="1"/>
        <v>0</v>
      </c>
      <c r="Y17" s="167">
        <f t="shared" si="1"/>
        <v>0</v>
      </c>
      <c r="Z17" s="167">
        <f t="shared" si="1"/>
        <v>0</v>
      </c>
      <c r="AA17" s="167">
        <f t="shared" si="1"/>
        <v>0</v>
      </c>
      <c r="AB17" s="167">
        <f t="shared" si="1"/>
        <v>0</v>
      </c>
      <c r="AC17" s="167">
        <f t="shared" si="1"/>
        <v>0</v>
      </c>
      <c r="AD17" s="167">
        <f t="shared" si="1"/>
        <v>0</v>
      </c>
      <c r="AE17" s="167">
        <f t="shared" si="1"/>
        <v>0</v>
      </c>
    </row>
    <row r="18" spans="1:31" s="13" customFormat="1" ht="20.100000000000001" customHeight="1" thickTop="1" thickBot="1" x14ac:dyDescent="0.25">
      <c r="A18" s="956" t="str">
        <f>ORÇAMENTO!A30</f>
        <v>08.01</v>
      </c>
      <c r="B18" s="957" t="str">
        <f>ORÇAMENTO!D30</f>
        <v>TERRAPLENAGEM GERAL</v>
      </c>
      <c r="C18" s="958">
        <f t="shared" ref="C18:C30" si="4">P18/$P$37*100</f>
        <v>8.1211793804011503</v>
      </c>
      <c r="D18" s="959">
        <v>70</v>
      </c>
      <c r="E18" s="959">
        <v>30</v>
      </c>
      <c r="F18" s="964"/>
      <c r="G18" s="964"/>
      <c r="H18" s="964"/>
      <c r="I18" s="960"/>
      <c r="J18" s="960"/>
      <c r="K18" s="960"/>
      <c r="L18" s="960"/>
      <c r="M18" s="960"/>
      <c r="N18" s="960"/>
      <c r="O18" s="960"/>
      <c r="P18" s="963">
        <f>ORÇAMENTO!I30</f>
        <v>715901.64</v>
      </c>
      <c r="Q18" s="15"/>
      <c r="R18" s="165">
        <f t="shared" ref="R18:R29" si="5">SUM(D18:O18)</f>
        <v>100</v>
      </c>
      <c r="S18" s="15"/>
      <c r="T18" s="167">
        <f t="shared" si="3"/>
        <v>501131.14800000004</v>
      </c>
      <c r="U18" s="167">
        <f t="shared" si="1"/>
        <v>214770.492</v>
      </c>
      <c r="V18" s="167">
        <f t="shared" si="1"/>
        <v>0</v>
      </c>
      <c r="W18" s="167">
        <f t="shared" si="1"/>
        <v>0</v>
      </c>
      <c r="X18" s="167">
        <f t="shared" si="1"/>
        <v>0</v>
      </c>
      <c r="Y18" s="167">
        <f t="shared" si="1"/>
        <v>0</v>
      </c>
      <c r="Z18" s="167">
        <f t="shared" si="1"/>
        <v>0</v>
      </c>
      <c r="AA18" s="167">
        <f t="shared" si="1"/>
        <v>0</v>
      </c>
      <c r="AB18" s="167">
        <f t="shared" si="1"/>
        <v>0</v>
      </c>
      <c r="AC18" s="167">
        <f t="shared" si="1"/>
        <v>0</v>
      </c>
      <c r="AD18" s="167">
        <f t="shared" si="1"/>
        <v>0</v>
      </c>
      <c r="AE18" s="167">
        <f t="shared" si="1"/>
        <v>0</v>
      </c>
    </row>
    <row r="19" spans="1:31" s="13" customFormat="1" ht="20.100000000000001" customHeight="1" thickTop="1" thickBot="1" x14ac:dyDescent="0.25">
      <c r="A19" s="956" t="str">
        <f>ORÇAMENTO!A32</f>
        <v>08.02</v>
      </c>
      <c r="B19" s="957" t="str">
        <f>ORÇAMENTO!D32</f>
        <v>TRATAMENTO PRELIMINAR MECANIZADO</v>
      </c>
      <c r="C19" s="958">
        <f t="shared" si="4"/>
        <v>7.535977201670339</v>
      </c>
      <c r="D19" s="960"/>
      <c r="E19" s="960"/>
      <c r="F19" s="960"/>
      <c r="G19" s="960"/>
      <c r="H19" s="964"/>
      <c r="I19" s="964"/>
      <c r="J19" s="964"/>
      <c r="K19" s="959">
        <v>30</v>
      </c>
      <c r="L19" s="959">
        <v>25</v>
      </c>
      <c r="M19" s="959">
        <v>25</v>
      </c>
      <c r="N19" s="959">
        <v>20</v>
      </c>
      <c r="O19" s="964"/>
      <c r="P19" s="963">
        <f>ORÇAMENTO!I32</f>
        <v>664314.65</v>
      </c>
      <c r="Q19" s="15"/>
      <c r="R19" s="165">
        <f t="shared" si="5"/>
        <v>100</v>
      </c>
      <c r="S19" s="15"/>
      <c r="T19" s="167">
        <f t="shared" si="3"/>
        <v>0</v>
      </c>
      <c r="U19" s="167">
        <f t="shared" si="1"/>
        <v>0</v>
      </c>
      <c r="V19" s="167">
        <f t="shared" si="1"/>
        <v>0</v>
      </c>
      <c r="W19" s="167">
        <f t="shared" si="1"/>
        <v>0</v>
      </c>
      <c r="X19" s="167">
        <f t="shared" si="1"/>
        <v>0</v>
      </c>
      <c r="Y19" s="167">
        <f t="shared" si="1"/>
        <v>0</v>
      </c>
      <c r="Z19" s="167">
        <f t="shared" si="1"/>
        <v>0</v>
      </c>
      <c r="AA19" s="167">
        <f t="shared" si="1"/>
        <v>199294.39499999999</v>
      </c>
      <c r="AB19" s="167">
        <f t="shared" si="1"/>
        <v>166078.66250000001</v>
      </c>
      <c r="AC19" s="167">
        <f t="shared" si="1"/>
        <v>166078.66250000001</v>
      </c>
      <c r="AD19" s="167">
        <f t="shared" si="1"/>
        <v>132862.93</v>
      </c>
      <c r="AE19" s="167">
        <f t="shared" si="1"/>
        <v>0</v>
      </c>
    </row>
    <row r="20" spans="1:31" s="13" customFormat="1" ht="20.100000000000001" customHeight="1" thickTop="1" thickBot="1" x14ac:dyDescent="0.25">
      <c r="A20" s="956" t="str">
        <f>ORÇAMENTO!A34</f>
        <v>08.03</v>
      </c>
      <c r="B20" s="957" t="str">
        <f>ORÇAMENTO!D34</f>
        <v xml:space="preserve">REATORES UASB </v>
      </c>
      <c r="C20" s="958">
        <f t="shared" si="4"/>
        <v>13.614293165827101</v>
      </c>
      <c r="D20" s="960"/>
      <c r="E20" s="960"/>
      <c r="F20" s="959">
        <v>10</v>
      </c>
      <c r="G20" s="959">
        <v>15</v>
      </c>
      <c r="H20" s="959">
        <v>20</v>
      </c>
      <c r="I20" s="959">
        <v>20</v>
      </c>
      <c r="J20" s="959">
        <v>15</v>
      </c>
      <c r="K20" s="959">
        <v>15</v>
      </c>
      <c r="L20" s="959">
        <v>5</v>
      </c>
      <c r="M20" s="964"/>
      <c r="N20" s="964"/>
      <c r="O20" s="964"/>
      <c r="P20" s="963">
        <f>ORÇAMENTO!I34</f>
        <v>1200132.9299999997</v>
      </c>
      <c r="Q20" s="15"/>
      <c r="R20" s="165">
        <f t="shared" si="5"/>
        <v>100</v>
      </c>
      <c r="S20" s="15"/>
      <c r="T20" s="167">
        <f t="shared" si="3"/>
        <v>0</v>
      </c>
      <c r="U20" s="167">
        <f t="shared" si="1"/>
        <v>0</v>
      </c>
      <c r="V20" s="167">
        <f t="shared" si="1"/>
        <v>120013.29299999998</v>
      </c>
      <c r="W20" s="167">
        <f t="shared" si="1"/>
        <v>180019.93949999995</v>
      </c>
      <c r="X20" s="167">
        <f t="shared" si="1"/>
        <v>240026.58599999995</v>
      </c>
      <c r="Y20" s="167">
        <f t="shared" si="1"/>
        <v>240026.58599999995</v>
      </c>
      <c r="Z20" s="167">
        <f t="shared" si="1"/>
        <v>180019.93949999995</v>
      </c>
      <c r="AA20" s="167">
        <f t="shared" si="1"/>
        <v>180019.93949999995</v>
      </c>
      <c r="AB20" s="167">
        <f t="shared" si="1"/>
        <v>60006.646499999988</v>
      </c>
      <c r="AC20" s="167">
        <f t="shared" si="1"/>
        <v>0</v>
      </c>
      <c r="AD20" s="167">
        <f t="shared" si="1"/>
        <v>0</v>
      </c>
      <c r="AE20" s="167">
        <f t="shared" si="1"/>
        <v>0</v>
      </c>
    </row>
    <row r="21" spans="1:31" s="13" customFormat="1" ht="20.100000000000001" customHeight="1" thickTop="1" thickBot="1" x14ac:dyDescent="0.25">
      <c r="A21" s="956" t="str">
        <f>ORÇAMENTO!A36</f>
        <v>08.04</v>
      </c>
      <c r="B21" s="957" t="str">
        <f>ORÇAMENTO!D36</f>
        <v>FILTRO BIOLÓGICO PERCOLADOR</v>
      </c>
      <c r="C21" s="958">
        <f t="shared" si="4"/>
        <v>8.5178593446036075</v>
      </c>
      <c r="D21" s="960"/>
      <c r="E21" s="960"/>
      <c r="F21" s="964"/>
      <c r="G21" s="959">
        <v>10</v>
      </c>
      <c r="H21" s="959">
        <v>15</v>
      </c>
      <c r="I21" s="959">
        <v>20</v>
      </c>
      <c r="J21" s="959">
        <v>20</v>
      </c>
      <c r="K21" s="959">
        <v>15</v>
      </c>
      <c r="L21" s="959">
        <v>15</v>
      </c>
      <c r="M21" s="959">
        <v>5</v>
      </c>
      <c r="N21" s="964"/>
      <c r="O21" s="964"/>
      <c r="P21" s="963">
        <f>ORÇAMENTO!I36</f>
        <v>750869.94</v>
      </c>
      <c r="Q21" s="15"/>
      <c r="R21" s="165">
        <f t="shared" si="5"/>
        <v>100</v>
      </c>
      <c r="S21" s="15"/>
      <c r="T21" s="167">
        <f t="shared" si="3"/>
        <v>0</v>
      </c>
      <c r="U21" s="167">
        <f t="shared" si="1"/>
        <v>0</v>
      </c>
      <c r="V21" s="167">
        <f t="shared" si="1"/>
        <v>0</v>
      </c>
      <c r="W21" s="167">
        <f t="shared" si="1"/>
        <v>75086.993999999992</v>
      </c>
      <c r="X21" s="167">
        <f t="shared" si="1"/>
        <v>112630.49099999999</v>
      </c>
      <c r="Y21" s="167">
        <f t="shared" si="1"/>
        <v>150173.98799999998</v>
      </c>
      <c r="Z21" s="167">
        <f t="shared" si="1"/>
        <v>150173.98799999998</v>
      </c>
      <c r="AA21" s="167">
        <f t="shared" si="1"/>
        <v>112630.49099999999</v>
      </c>
      <c r="AB21" s="167">
        <f t="shared" si="1"/>
        <v>112630.49099999999</v>
      </c>
      <c r="AC21" s="167">
        <f t="shared" si="1"/>
        <v>37543.496999999996</v>
      </c>
      <c r="AD21" s="167">
        <f t="shared" si="1"/>
        <v>0</v>
      </c>
      <c r="AE21" s="167">
        <f t="shared" si="1"/>
        <v>0</v>
      </c>
    </row>
    <row r="22" spans="1:31" s="13" customFormat="1" ht="20.100000000000001" customHeight="1" thickTop="1" thickBot="1" x14ac:dyDescent="0.25">
      <c r="A22" s="956" t="str">
        <f>ORÇAMENTO!A38</f>
        <v>08.05</v>
      </c>
      <c r="B22" s="957" t="str">
        <f>ORÇAMENTO!D38</f>
        <v>DECANTADOR</v>
      </c>
      <c r="C22" s="958">
        <f t="shared" si="4"/>
        <v>4.3655732525922737</v>
      </c>
      <c r="D22" s="960"/>
      <c r="E22" s="960"/>
      <c r="F22" s="964"/>
      <c r="G22" s="964"/>
      <c r="H22" s="959">
        <v>10</v>
      </c>
      <c r="I22" s="959">
        <v>15</v>
      </c>
      <c r="J22" s="959">
        <v>20</v>
      </c>
      <c r="K22" s="959">
        <v>20</v>
      </c>
      <c r="L22" s="959">
        <v>15</v>
      </c>
      <c r="M22" s="959">
        <v>15</v>
      </c>
      <c r="N22" s="959">
        <v>5</v>
      </c>
      <c r="O22" s="964"/>
      <c r="P22" s="963">
        <f>ORÇAMENTO!I38</f>
        <v>384835.85999999993</v>
      </c>
      <c r="Q22" s="15"/>
      <c r="R22" s="165">
        <f t="shared" si="5"/>
        <v>100</v>
      </c>
      <c r="S22" s="15"/>
      <c r="T22" s="167">
        <f t="shared" si="3"/>
        <v>0</v>
      </c>
      <c r="U22" s="167">
        <f t="shared" si="1"/>
        <v>0</v>
      </c>
      <c r="V22" s="167">
        <f t="shared" si="1"/>
        <v>0</v>
      </c>
      <c r="W22" s="167">
        <f t="shared" si="1"/>
        <v>0</v>
      </c>
      <c r="X22" s="167">
        <f t="shared" si="1"/>
        <v>38483.585999999988</v>
      </c>
      <c r="Y22" s="167">
        <f t="shared" si="1"/>
        <v>57725.378999999986</v>
      </c>
      <c r="Z22" s="167">
        <f t="shared" si="1"/>
        <v>76967.171999999977</v>
      </c>
      <c r="AA22" s="167">
        <f t="shared" si="1"/>
        <v>76967.171999999977</v>
      </c>
      <c r="AB22" s="167">
        <f t="shared" si="1"/>
        <v>57725.378999999986</v>
      </c>
      <c r="AC22" s="167">
        <f t="shared" si="1"/>
        <v>57725.378999999986</v>
      </c>
      <c r="AD22" s="167">
        <f t="shared" si="1"/>
        <v>19241.792999999994</v>
      </c>
      <c r="AE22" s="167">
        <f t="shared" si="1"/>
        <v>0</v>
      </c>
    </row>
    <row r="23" spans="1:31" s="13" customFormat="1" ht="20.100000000000001" customHeight="1" thickTop="1" thickBot="1" x14ac:dyDescent="0.25">
      <c r="A23" s="956" t="str">
        <f>ORÇAMENTO!A40</f>
        <v>08.06</v>
      </c>
      <c r="B23" s="957" t="str">
        <f>ORÇAMENTO!D40</f>
        <v>ELEVATÓRIA DE RECIRCULAÇÃO</v>
      </c>
      <c r="C23" s="958">
        <f t="shared" si="4"/>
        <v>1.6360769799827282</v>
      </c>
      <c r="D23" s="960"/>
      <c r="E23" s="960"/>
      <c r="F23" s="960"/>
      <c r="G23" s="960"/>
      <c r="H23" s="960"/>
      <c r="I23" s="959">
        <v>25</v>
      </c>
      <c r="J23" s="959">
        <v>25</v>
      </c>
      <c r="K23" s="959">
        <v>25</v>
      </c>
      <c r="L23" s="959">
        <v>25</v>
      </c>
      <c r="M23" s="964"/>
      <c r="N23" s="964"/>
      <c r="O23" s="964"/>
      <c r="P23" s="963">
        <f>ORÇAMENTO!I40</f>
        <v>144224.14999999997</v>
      </c>
      <c r="Q23" s="15"/>
      <c r="R23" s="165">
        <f>SUM(D23:O23)</f>
        <v>100</v>
      </c>
      <c r="S23" s="15"/>
      <c r="T23" s="167">
        <f t="shared" si="3"/>
        <v>0</v>
      </c>
      <c r="U23" s="167">
        <f t="shared" si="1"/>
        <v>0</v>
      </c>
      <c r="V23" s="167">
        <f t="shared" si="1"/>
        <v>0</v>
      </c>
      <c r="W23" s="167">
        <f t="shared" si="1"/>
        <v>0</v>
      </c>
      <c r="X23" s="167">
        <f t="shared" si="1"/>
        <v>0</v>
      </c>
      <c r="Y23" s="167">
        <f t="shared" si="1"/>
        <v>36056.037499999991</v>
      </c>
      <c r="Z23" s="167">
        <f t="shared" si="1"/>
        <v>36056.037499999991</v>
      </c>
      <c r="AA23" s="167">
        <f t="shared" si="1"/>
        <v>36056.037499999991</v>
      </c>
      <c r="AB23" s="167">
        <f t="shared" si="1"/>
        <v>36056.037499999991</v>
      </c>
      <c r="AC23" s="167">
        <f t="shared" si="1"/>
        <v>0</v>
      </c>
      <c r="AD23" s="167">
        <f t="shared" si="1"/>
        <v>0</v>
      </c>
      <c r="AE23" s="167">
        <f t="shared" si="1"/>
        <v>0</v>
      </c>
    </row>
    <row r="24" spans="1:31" s="13" customFormat="1" ht="20.100000000000001" customHeight="1" thickTop="1" thickBot="1" x14ac:dyDescent="0.25">
      <c r="A24" s="956" t="str">
        <f>ORÇAMENTO!A42</f>
        <v>08.07</v>
      </c>
      <c r="B24" s="957" t="str">
        <f>ORÇAMENTO!D42</f>
        <v>SANITIZAÇÃO POR ULTRA VIOLETA</v>
      </c>
      <c r="C24" s="958">
        <f t="shared" si="4"/>
        <v>2.9019443969225898</v>
      </c>
      <c r="D24" s="960"/>
      <c r="E24" s="960"/>
      <c r="F24" s="960"/>
      <c r="G24" s="960"/>
      <c r="H24" s="960"/>
      <c r="I24" s="964"/>
      <c r="J24" s="959">
        <v>25</v>
      </c>
      <c r="K24" s="959">
        <v>25</v>
      </c>
      <c r="L24" s="959">
        <v>25</v>
      </c>
      <c r="M24" s="959">
        <v>25</v>
      </c>
      <c r="N24" s="964"/>
      <c r="O24" s="964"/>
      <c r="P24" s="963">
        <f>ORÇAMENTO!I42</f>
        <v>255813.43</v>
      </c>
      <c r="Q24" s="15"/>
      <c r="R24" s="165">
        <f t="shared" ref="R24:R25" si="6">SUM(D24:O24)</f>
        <v>100</v>
      </c>
      <c r="S24" s="15"/>
      <c r="T24" s="167">
        <f t="shared" si="3"/>
        <v>0</v>
      </c>
      <c r="U24" s="167">
        <f t="shared" si="1"/>
        <v>0</v>
      </c>
      <c r="V24" s="167">
        <f t="shared" si="1"/>
        <v>0</v>
      </c>
      <c r="W24" s="167">
        <f t="shared" si="1"/>
        <v>0</v>
      </c>
      <c r="X24" s="167">
        <f t="shared" si="1"/>
        <v>0</v>
      </c>
      <c r="Y24" s="167">
        <f t="shared" si="1"/>
        <v>0</v>
      </c>
      <c r="Z24" s="167">
        <f t="shared" si="1"/>
        <v>63953.357499999998</v>
      </c>
      <c r="AA24" s="167">
        <f t="shared" si="1"/>
        <v>63953.357499999998</v>
      </c>
      <c r="AB24" s="167">
        <f t="shared" si="1"/>
        <v>63953.357499999998</v>
      </c>
      <c r="AC24" s="167">
        <f t="shared" si="1"/>
        <v>63953.357499999998</v>
      </c>
      <c r="AD24" s="167">
        <f t="shared" si="1"/>
        <v>0</v>
      </c>
      <c r="AE24" s="167">
        <f t="shared" si="1"/>
        <v>0</v>
      </c>
    </row>
    <row r="25" spans="1:31" s="13" customFormat="1" ht="20.100000000000001" customHeight="1" thickTop="1" thickBot="1" x14ac:dyDescent="0.25">
      <c r="A25" s="956" t="str">
        <f>ORÇAMENTO!A44</f>
        <v>08.08</v>
      </c>
      <c r="B25" s="957" t="str">
        <f>ORÇAMENTO!D44</f>
        <v>QUEIMADOR DE BIOGÁS</v>
      </c>
      <c r="C25" s="958">
        <f t="shared" si="4"/>
        <v>0.14605917298495585</v>
      </c>
      <c r="D25" s="960"/>
      <c r="E25" s="960"/>
      <c r="F25" s="960"/>
      <c r="G25" s="960"/>
      <c r="H25" s="960"/>
      <c r="I25" s="964"/>
      <c r="J25" s="964"/>
      <c r="K25" s="964"/>
      <c r="L25" s="964"/>
      <c r="M25" s="964"/>
      <c r="N25" s="959">
        <v>50</v>
      </c>
      <c r="O25" s="959">
        <v>50</v>
      </c>
      <c r="P25" s="963">
        <f>ORÇAMENTO!I44</f>
        <v>12875.470000000001</v>
      </c>
      <c r="Q25" s="15"/>
      <c r="R25" s="165">
        <f t="shared" si="6"/>
        <v>100</v>
      </c>
      <c r="S25" s="15"/>
      <c r="T25" s="167">
        <f t="shared" si="3"/>
        <v>0</v>
      </c>
      <c r="U25" s="167">
        <f t="shared" si="1"/>
        <v>0</v>
      </c>
      <c r="V25" s="167">
        <f t="shared" si="1"/>
        <v>0</v>
      </c>
      <c r="W25" s="167">
        <f t="shared" si="1"/>
        <v>0</v>
      </c>
      <c r="X25" s="167">
        <f t="shared" si="1"/>
        <v>0</v>
      </c>
      <c r="Y25" s="167">
        <f t="shared" si="1"/>
        <v>0</v>
      </c>
      <c r="Z25" s="167">
        <f t="shared" si="1"/>
        <v>0</v>
      </c>
      <c r="AA25" s="167">
        <f t="shared" si="1"/>
        <v>0</v>
      </c>
      <c r="AB25" s="167">
        <f t="shared" si="1"/>
        <v>0</v>
      </c>
      <c r="AC25" s="167">
        <f t="shared" si="1"/>
        <v>0</v>
      </c>
      <c r="AD25" s="167">
        <f t="shared" si="1"/>
        <v>6437.7349999999997</v>
      </c>
      <c r="AE25" s="167">
        <f t="shared" si="1"/>
        <v>6437.7349999999997</v>
      </c>
    </row>
    <row r="26" spans="1:31" s="13" customFormat="1" ht="20.100000000000001" customHeight="1" thickTop="1" thickBot="1" x14ac:dyDescent="0.25">
      <c r="A26" s="956" t="str">
        <f>ORÇAMENTO!A46</f>
        <v>08.09</v>
      </c>
      <c r="B26" s="957" t="str">
        <f>ORÇAMENTO!D46</f>
        <v>LEITOS DE SECAGEM</v>
      </c>
      <c r="C26" s="958">
        <f t="shared" si="4"/>
        <v>2.3973596278799967</v>
      </c>
      <c r="D26" s="960"/>
      <c r="E26" s="960"/>
      <c r="F26" s="960"/>
      <c r="G26" s="960"/>
      <c r="H26" s="960"/>
      <c r="I26" s="959">
        <v>10</v>
      </c>
      <c r="J26" s="959">
        <v>15</v>
      </c>
      <c r="K26" s="959">
        <v>20</v>
      </c>
      <c r="L26" s="959">
        <v>20</v>
      </c>
      <c r="M26" s="959">
        <v>15</v>
      </c>
      <c r="N26" s="959">
        <v>15</v>
      </c>
      <c r="O26" s="959">
        <v>5</v>
      </c>
      <c r="P26" s="963">
        <f>ORÇAMENTO!I46</f>
        <v>211333.06000000003</v>
      </c>
      <c r="Q26" s="15"/>
      <c r="R26" s="165">
        <f t="shared" si="5"/>
        <v>100</v>
      </c>
      <c r="S26" s="15"/>
      <c r="T26" s="167">
        <f t="shared" si="3"/>
        <v>0</v>
      </c>
      <c r="U26" s="167">
        <f t="shared" ref="U26:U30" si="7">E26*$P26/100</f>
        <v>0</v>
      </c>
      <c r="V26" s="167">
        <f t="shared" ref="V26:V30" si="8">F26*$P26/100</f>
        <v>0</v>
      </c>
      <c r="W26" s="167">
        <f t="shared" ref="W26:W30" si="9">G26*$P26/100</f>
        <v>0</v>
      </c>
      <c r="X26" s="167">
        <f t="shared" ref="X26:X30" si="10">H26*$P26/100</f>
        <v>0</v>
      </c>
      <c r="Y26" s="167">
        <f t="shared" ref="Y26:Y30" si="11">I26*$P26/100</f>
        <v>21133.306</v>
      </c>
      <c r="Z26" s="167">
        <f t="shared" ref="Z26:Z30" si="12">J26*$P26/100</f>
        <v>31699.959000000003</v>
      </c>
      <c r="AA26" s="167">
        <f t="shared" ref="AA26:AA30" si="13">K26*$P26/100</f>
        <v>42266.612000000001</v>
      </c>
      <c r="AB26" s="167">
        <f t="shared" ref="AB26:AB30" si="14">L26*$P26/100</f>
        <v>42266.612000000001</v>
      </c>
      <c r="AC26" s="167">
        <f t="shared" ref="AC26:AC30" si="15">M26*$P26/100</f>
        <v>31699.959000000003</v>
      </c>
      <c r="AD26" s="167">
        <f t="shared" ref="AD26:AD30" si="16">N26*$P26/100</f>
        <v>31699.959000000003</v>
      </c>
      <c r="AE26" s="167">
        <f t="shared" ref="AE26:AE30" si="17">O26*$P26/100</f>
        <v>10566.653</v>
      </c>
    </row>
    <row r="27" spans="1:31" s="13" customFormat="1" ht="20.100000000000001" customHeight="1" thickTop="1" thickBot="1" x14ac:dyDescent="0.25">
      <c r="A27" s="956" t="str">
        <f>ORÇAMENTO!A48</f>
        <v>08.10</v>
      </c>
      <c r="B27" s="957" t="str">
        <f>ORÇAMENTO!D48</f>
        <v>EDIFICAÇÃO ADMINISTRATIVA - UNIDADE DE APOIO</v>
      </c>
      <c r="C27" s="958">
        <f t="shared" si="4"/>
        <v>1.4781939686445154</v>
      </c>
      <c r="D27" s="960"/>
      <c r="E27" s="960"/>
      <c r="F27" s="960"/>
      <c r="G27" s="960"/>
      <c r="H27" s="960"/>
      <c r="I27" s="964"/>
      <c r="J27" s="964"/>
      <c r="K27" s="959">
        <v>25</v>
      </c>
      <c r="L27" s="959">
        <v>25</v>
      </c>
      <c r="M27" s="959">
        <v>25</v>
      </c>
      <c r="N27" s="959">
        <v>25</v>
      </c>
      <c r="O27" s="964"/>
      <c r="P27" s="963">
        <f>ORÇAMENTO!I48</f>
        <v>130306.38000000003</v>
      </c>
      <c r="Q27" s="15"/>
      <c r="R27" s="165">
        <f t="shared" si="5"/>
        <v>100</v>
      </c>
      <c r="S27" s="15"/>
      <c r="T27" s="167">
        <f t="shared" si="3"/>
        <v>0</v>
      </c>
      <c r="U27" s="167">
        <f t="shared" si="7"/>
        <v>0</v>
      </c>
      <c r="V27" s="167">
        <f t="shared" si="8"/>
        <v>0</v>
      </c>
      <c r="W27" s="167">
        <f t="shared" si="9"/>
        <v>0</v>
      </c>
      <c r="X27" s="167">
        <f t="shared" si="10"/>
        <v>0</v>
      </c>
      <c r="Y27" s="167">
        <f t="shared" si="11"/>
        <v>0</v>
      </c>
      <c r="Z27" s="167">
        <f t="shared" si="12"/>
        <v>0</v>
      </c>
      <c r="AA27" s="167">
        <f t="shared" si="13"/>
        <v>32576.595000000008</v>
      </c>
      <c r="AB27" s="167">
        <f t="shared" si="14"/>
        <v>32576.595000000008</v>
      </c>
      <c r="AC27" s="167">
        <f t="shared" si="15"/>
        <v>32576.595000000008</v>
      </c>
      <c r="AD27" s="167">
        <f t="shared" si="16"/>
        <v>32576.595000000008</v>
      </c>
      <c r="AE27" s="167">
        <f t="shared" si="17"/>
        <v>0</v>
      </c>
    </row>
    <row r="28" spans="1:31" s="13" customFormat="1" ht="20.100000000000001" customHeight="1" thickTop="1" thickBot="1" x14ac:dyDescent="0.25">
      <c r="A28" s="956" t="str">
        <f>ORÇAMENTO!A50</f>
        <v>08.11</v>
      </c>
      <c r="B28" s="957" t="str">
        <f>ORÇAMENTO!D50</f>
        <v>INTERLIGAÇÕES DE PROCESSOS, DRENAGEM E ÁGUA FRIA</v>
      </c>
      <c r="C28" s="958">
        <f t="shared" si="4"/>
        <v>2.8417418543333746</v>
      </c>
      <c r="D28" s="960"/>
      <c r="E28" s="960"/>
      <c r="F28" s="960"/>
      <c r="G28" s="960"/>
      <c r="H28" s="960"/>
      <c r="I28" s="964"/>
      <c r="J28" s="964"/>
      <c r="K28" s="964"/>
      <c r="L28" s="959">
        <v>25</v>
      </c>
      <c r="M28" s="959">
        <v>30</v>
      </c>
      <c r="N28" s="959">
        <v>25</v>
      </c>
      <c r="O28" s="959">
        <v>20</v>
      </c>
      <c r="P28" s="963">
        <f>ORÇAMENTO!I50</f>
        <v>250506.43</v>
      </c>
      <c r="Q28" s="15"/>
      <c r="R28" s="165">
        <f t="shared" si="5"/>
        <v>100</v>
      </c>
      <c r="S28" s="15"/>
      <c r="T28" s="167">
        <f t="shared" si="3"/>
        <v>0</v>
      </c>
      <c r="U28" s="167">
        <f t="shared" si="7"/>
        <v>0</v>
      </c>
      <c r="V28" s="167">
        <f t="shared" si="8"/>
        <v>0</v>
      </c>
      <c r="W28" s="167">
        <f t="shared" si="9"/>
        <v>0</v>
      </c>
      <c r="X28" s="167">
        <f t="shared" si="10"/>
        <v>0</v>
      </c>
      <c r="Y28" s="167">
        <f t="shared" si="11"/>
        <v>0</v>
      </c>
      <c r="Z28" s="167">
        <f t="shared" si="12"/>
        <v>0</v>
      </c>
      <c r="AA28" s="167">
        <f t="shared" si="13"/>
        <v>0</v>
      </c>
      <c r="AB28" s="167">
        <f t="shared" si="14"/>
        <v>62626.607499999998</v>
      </c>
      <c r="AC28" s="167">
        <f t="shared" si="15"/>
        <v>75151.928999999989</v>
      </c>
      <c r="AD28" s="167">
        <f t="shared" si="16"/>
        <v>62626.607499999998</v>
      </c>
      <c r="AE28" s="167">
        <f t="shared" si="17"/>
        <v>50101.285999999993</v>
      </c>
    </row>
    <row r="29" spans="1:31" s="13" customFormat="1" ht="27.75" customHeight="1" thickTop="1" thickBot="1" x14ac:dyDescent="0.25">
      <c r="A29" s="956" t="str">
        <f>ORÇAMENTO!A52</f>
        <v>08.12</v>
      </c>
      <c r="B29" s="971" t="str">
        <f>ORÇAMENTO!D52</f>
        <v>INSTALAÇÕES ELÉTRICAS DA ESTAÇÃO DE TRATAMENTO DE ESGOTOS (ETE)</v>
      </c>
      <c r="C29" s="958">
        <f t="shared" si="4"/>
        <v>3.8795682337625594</v>
      </c>
      <c r="D29" s="960"/>
      <c r="E29" s="960"/>
      <c r="F29" s="960"/>
      <c r="G29" s="960"/>
      <c r="H29" s="961"/>
      <c r="I29" s="972"/>
      <c r="J29" s="972"/>
      <c r="K29" s="964"/>
      <c r="L29" s="964"/>
      <c r="M29" s="959">
        <v>35</v>
      </c>
      <c r="N29" s="959">
        <v>45</v>
      </c>
      <c r="O29" s="959">
        <v>20</v>
      </c>
      <c r="P29" s="963">
        <f>ORÇAMENTO!I52</f>
        <v>341993.33999999997</v>
      </c>
      <c r="Q29" s="15"/>
      <c r="R29" s="165">
        <f t="shared" si="5"/>
        <v>100</v>
      </c>
      <c r="S29" s="15"/>
      <c r="T29" s="167">
        <f t="shared" si="3"/>
        <v>0</v>
      </c>
      <c r="U29" s="167">
        <f t="shared" si="7"/>
        <v>0</v>
      </c>
      <c r="V29" s="167">
        <f t="shared" si="8"/>
        <v>0</v>
      </c>
      <c r="W29" s="167">
        <f t="shared" si="9"/>
        <v>0</v>
      </c>
      <c r="X29" s="167">
        <f t="shared" si="10"/>
        <v>0</v>
      </c>
      <c r="Y29" s="167">
        <f t="shared" si="11"/>
        <v>0</v>
      </c>
      <c r="Z29" s="167">
        <f t="shared" si="12"/>
        <v>0</v>
      </c>
      <c r="AA29" s="167">
        <f t="shared" si="13"/>
        <v>0</v>
      </c>
      <c r="AB29" s="167">
        <f t="shared" si="14"/>
        <v>0</v>
      </c>
      <c r="AC29" s="167">
        <f t="shared" si="15"/>
        <v>119697.66899999998</v>
      </c>
      <c r="AD29" s="167">
        <f t="shared" si="16"/>
        <v>153897.003</v>
      </c>
      <c r="AE29" s="167">
        <f t="shared" si="17"/>
        <v>68398.667999999991</v>
      </c>
    </row>
    <row r="30" spans="1:31" s="13" customFormat="1" ht="16.5" thickTop="1" thickBot="1" x14ac:dyDescent="0.25">
      <c r="A30" s="956" t="str">
        <f>ORÇAMENTO!A54</f>
        <v>08.13</v>
      </c>
      <c r="B30" s="971" t="str">
        <f>ORÇAMENTO!D54</f>
        <v>URBANIZAÇÃO</v>
      </c>
      <c r="C30" s="958">
        <f t="shared" si="4"/>
        <v>4.8191824517404367</v>
      </c>
      <c r="D30" s="960"/>
      <c r="E30" s="960"/>
      <c r="F30" s="960"/>
      <c r="G30" s="960"/>
      <c r="H30" s="961"/>
      <c r="I30" s="972"/>
      <c r="J30" s="972"/>
      <c r="K30" s="964"/>
      <c r="L30" s="964"/>
      <c r="M30" s="964"/>
      <c r="N30" s="959">
        <v>40</v>
      </c>
      <c r="O30" s="959">
        <v>60</v>
      </c>
      <c r="P30" s="963">
        <f>ORÇAMENTO!I54</f>
        <v>424822.61</v>
      </c>
      <c r="Q30" s="15"/>
      <c r="R30" s="166">
        <f t="shared" ref="R30" si="18">SUM(D30:O30)</f>
        <v>100</v>
      </c>
      <c r="S30" s="15"/>
      <c r="T30" s="167">
        <f t="shared" si="3"/>
        <v>0</v>
      </c>
      <c r="U30" s="167">
        <f t="shared" si="7"/>
        <v>0</v>
      </c>
      <c r="V30" s="167">
        <f t="shared" si="8"/>
        <v>0</v>
      </c>
      <c r="W30" s="167">
        <f t="shared" si="9"/>
        <v>0</v>
      </c>
      <c r="X30" s="167">
        <f t="shared" si="10"/>
        <v>0</v>
      </c>
      <c r="Y30" s="167">
        <f t="shared" si="11"/>
        <v>0</v>
      </c>
      <c r="Z30" s="167">
        <f t="shared" si="12"/>
        <v>0</v>
      </c>
      <c r="AA30" s="167">
        <f t="shared" si="13"/>
        <v>0</v>
      </c>
      <c r="AB30" s="167">
        <f t="shared" si="14"/>
        <v>0</v>
      </c>
      <c r="AC30" s="167">
        <f t="shared" si="15"/>
        <v>0</v>
      </c>
      <c r="AD30" s="167">
        <f t="shared" si="16"/>
        <v>169929.04399999999</v>
      </c>
      <c r="AE30" s="167">
        <f t="shared" si="17"/>
        <v>254893.56599999999</v>
      </c>
    </row>
    <row r="31" spans="1:31" s="13" customFormat="1" ht="20.100000000000001" customHeight="1" thickTop="1" x14ac:dyDescent="0.2">
      <c r="A31" s="956"/>
      <c r="B31" s="957"/>
      <c r="C31" s="958"/>
      <c r="D31" s="960"/>
      <c r="E31" s="960"/>
      <c r="F31" s="960"/>
      <c r="G31" s="960"/>
      <c r="H31" s="961"/>
      <c r="I31" s="961"/>
      <c r="J31" s="961"/>
      <c r="K31" s="961"/>
      <c r="L31" s="961"/>
      <c r="M31" s="961"/>
      <c r="N31" s="961"/>
      <c r="O31" s="961"/>
      <c r="P31" s="963"/>
      <c r="Q31" s="15"/>
      <c r="R31" s="15"/>
      <c r="S31" s="15"/>
      <c r="T31" s="15"/>
      <c r="V31" s="14"/>
    </row>
    <row r="32" spans="1:31" s="13" customFormat="1" ht="20.100000000000001" customHeight="1" x14ac:dyDescent="0.2">
      <c r="A32" s="956"/>
      <c r="B32" s="957"/>
      <c r="C32" s="958"/>
      <c r="D32" s="960"/>
      <c r="E32" s="960"/>
      <c r="F32" s="960"/>
      <c r="G32" s="960"/>
      <c r="H32" s="961"/>
      <c r="I32" s="961"/>
      <c r="J32" s="961"/>
      <c r="K32" s="961"/>
      <c r="L32" s="961"/>
      <c r="M32" s="961"/>
      <c r="N32" s="961"/>
      <c r="O32" s="961"/>
      <c r="P32" s="963"/>
      <c r="Q32" s="15"/>
      <c r="R32" s="15"/>
      <c r="S32" s="15"/>
      <c r="T32" s="15"/>
      <c r="V32" s="14"/>
    </row>
    <row r="33" spans="1:24" s="13" customFormat="1" ht="20.100000000000001" customHeight="1" x14ac:dyDescent="0.2">
      <c r="A33" s="956"/>
      <c r="B33" s="973"/>
      <c r="C33" s="974"/>
      <c r="D33" s="975"/>
      <c r="E33" s="975"/>
      <c r="F33" s="975"/>
      <c r="G33" s="975"/>
      <c r="H33" s="976"/>
      <c r="I33" s="976"/>
      <c r="J33" s="976"/>
      <c r="K33" s="976"/>
      <c r="L33" s="976"/>
      <c r="M33" s="976"/>
      <c r="N33" s="976"/>
      <c r="O33" s="976"/>
      <c r="P33" s="963"/>
      <c r="Q33" s="15"/>
      <c r="R33" s="15"/>
      <c r="S33" s="15"/>
      <c r="T33" s="15"/>
      <c r="V33" s="14"/>
    </row>
    <row r="34" spans="1:24" s="13" customFormat="1" ht="20.100000000000001" customHeight="1" x14ac:dyDescent="0.2">
      <c r="A34" s="956"/>
      <c r="B34" s="957"/>
      <c r="C34" s="974"/>
      <c r="D34" s="975"/>
      <c r="E34" s="975"/>
      <c r="F34" s="975"/>
      <c r="G34" s="975"/>
      <c r="H34" s="976"/>
      <c r="I34" s="976"/>
      <c r="J34" s="976"/>
      <c r="K34" s="976"/>
      <c r="L34" s="976"/>
      <c r="M34" s="976"/>
      <c r="N34" s="976"/>
      <c r="O34" s="976"/>
      <c r="P34" s="963"/>
      <c r="Q34" s="15"/>
      <c r="R34" s="15"/>
      <c r="S34" s="15"/>
      <c r="T34" s="15"/>
      <c r="V34" s="14"/>
    </row>
    <row r="35" spans="1:24" s="13" customFormat="1" ht="20.100000000000001" customHeight="1" thickBot="1" x14ac:dyDescent="0.25">
      <c r="A35" s="977"/>
      <c r="B35" s="978"/>
      <c r="C35" s="979"/>
      <c r="D35" s="978"/>
      <c r="E35" s="978"/>
      <c r="F35" s="978"/>
      <c r="G35" s="978"/>
      <c r="H35" s="980"/>
      <c r="I35" s="980"/>
      <c r="J35" s="980"/>
      <c r="K35" s="980"/>
      <c r="L35" s="980"/>
      <c r="M35" s="980"/>
      <c r="N35" s="980"/>
      <c r="O35" s="980"/>
      <c r="P35" s="981"/>
      <c r="Q35" s="15"/>
      <c r="R35" s="15"/>
      <c r="S35" s="15"/>
      <c r="T35" s="15"/>
      <c r="V35" s="14"/>
    </row>
    <row r="36" spans="1:24" s="13" customFormat="1" ht="29.25" customHeight="1" x14ac:dyDescent="0.2">
      <c r="A36" s="982" t="s">
        <v>32</v>
      </c>
      <c r="B36" s="983"/>
      <c r="C36" s="984"/>
      <c r="D36" s="985">
        <f>D37/$P37*100</f>
        <v>8.6791384713271018</v>
      </c>
      <c r="E36" s="985">
        <f t="shared" ref="E36:O36" si="19">E37/$P37*100</f>
        <v>3.52809922989865</v>
      </c>
      <c r="F36" s="985">
        <f t="shared" si="19"/>
        <v>5.3510696841537744</v>
      </c>
      <c r="G36" s="985">
        <f t="shared" si="19"/>
        <v>10.088131074967729</v>
      </c>
      <c r="H36" s="985">
        <f t="shared" si="19"/>
        <v>12.486051770806116</v>
      </c>
      <c r="I36" s="985">
        <f t="shared" si="19"/>
        <v>12.36833433154753</v>
      </c>
      <c r="J36" s="985">
        <f t="shared" si="19"/>
        <v>8.9908030866037585</v>
      </c>
      <c r="K36" s="985">
        <f t="shared" si="19"/>
        <v>9.1345126645015764</v>
      </c>
      <c r="L36" s="985">
        <f t="shared" si="19"/>
        <v>7.8040362577441567</v>
      </c>
      <c r="M36" s="985">
        <f t="shared" si="19"/>
        <v>7.2425844131363242</v>
      </c>
      <c r="N36" s="985">
        <f t="shared" si="19"/>
        <v>7.5244214591809921</v>
      </c>
      <c r="O36" s="985">
        <f t="shared" si="19"/>
        <v>6.8028175561322914</v>
      </c>
      <c r="P36" s="986">
        <f>SUM(P10:P30)-P17</f>
        <v>8815242.2999999989</v>
      </c>
      <c r="Q36" s="15"/>
      <c r="R36" s="15"/>
      <c r="S36" s="15"/>
      <c r="T36" s="15"/>
      <c r="V36" s="14"/>
    </row>
    <row r="37" spans="1:24" s="13" customFormat="1" ht="29.25" customHeight="1" x14ac:dyDescent="0.2">
      <c r="A37" s="987" t="s">
        <v>33</v>
      </c>
      <c r="B37" s="988"/>
      <c r="C37" s="989"/>
      <c r="D37" s="990">
        <f t="shared" ref="D37:O37" si="20">SUM(T10:T36)</f>
        <v>765087.0858</v>
      </c>
      <c r="E37" s="990">
        <f t="shared" si="20"/>
        <v>311010.49569999997</v>
      </c>
      <c r="F37" s="990">
        <f t="shared" si="20"/>
        <v>471709.75829999987</v>
      </c>
      <c r="G37" s="990">
        <f t="shared" si="20"/>
        <v>889293.19779999985</v>
      </c>
      <c r="H37" s="990">
        <f t="shared" si="20"/>
        <v>1100675.7172999997</v>
      </c>
      <c r="I37" s="990">
        <f t="shared" si="20"/>
        <v>1090298.6398</v>
      </c>
      <c r="J37" s="990">
        <f t="shared" si="20"/>
        <v>792561.07680000004</v>
      </c>
      <c r="K37" s="990">
        <f t="shared" si="20"/>
        <v>805229.42429999996</v>
      </c>
      <c r="L37" s="990">
        <f t="shared" si="20"/>
        <v>687944.70529999991</v>
      </c>
      <c r="M37" s="990">
        <f t="shared" si="20"/>
        <v>638451.36479999998</v>
      </c>
      <c r="N37" s="990">
        <f t="shared" si="20"/>
        <v>663295.98329999996</v>
      </c>
      <c r="O37" s="990">
        <f t="shared" si="20"/>
        <v>599684.8507999999</v>
      </c>
      <c r="P37" s="991">
        <f>SUM(P10:P35)</f>
        <v>8815242.2999999989</v>
      </c>
      <c r="Q37" s="15"/>
      <c r="R37" s="15"/>
      <c r="S37" s="15"/>
    </row>
    <row r="38" spans="1:24" s="13" customFormat="1" ht="29.25" customHeight="1" x14ac:dyDescent="0.2">
      <c r="A38" s="987" t="s">
        <v>34</v>
      </c>
      <c r="B38" s="988"/>
      <c r="C38" s="989"/>
      <c r="D38" s="992">
        <f>D36</f>
        <v>8.6791384713271018</v>
      </c>
      <c r="E38" s="992">
        <f t="shared" ref="E38:O38" si="21">D38+E36</f>
        <v>12.207237701225752</v>
      </c>
      <c r="F38" s="992">
        <f t="shared" si="21"/>
        <v>17.558307385379528</v>
      </c>
      <c r="G38" s="992">
        <f t="shared" si="21"/>
        <v>27.646438460347255</v>
      </c>
      <c r="H38" s="992">
        <f t="shared" si="21"/>
        <v>40.132490231153369</v>
      </c>
      <c r="I38" s="992">
        <f t="shared" si="21"/>
        <v>52.500824562700899</v>
      </c>
      <c r="J38" s="992">
        <f t="shared" si="21"/>
        <v>61.491627649304661</v>
      </c>
      <c r="K38" s="992">
        <f t="shared" si="21"/>
        <v>70.626140313806232</v>
      </c>
      <c r="L38" s="992">
        <f t="shared" si="21"/>
        <v>78.43017657155039</v>
      </c>
      <c r="M38" s="992">
        <f t="shared" si="21"/>
        <v>85.672760984686718</v>
      </c>
      <c r="N38" s="992">
        <f t="shared" si="21"/>
        <v>93.197182443867717</v>
      </c>
      <c r="O38" s="992">
        <f t="shared" si="21"/>
        <v>100.00000000000001</v>
      </c>
      <c r="P38" s="993"/>
      <c r="Q38" s="15"/>
      <c r="R38" s="15"/>
      <c r="S38" s="15"/>
      <c r="T38" s="15"/>
      <c r="V38" s="14"/>
    </row>
    <row r="39" spans="1:24" s="13" customFormat="1" ht="29.25" customHeight="1" thickBot="1" x14ac:dyDescent="0.25">
      <c r="A39" s="994" t="s">
        <v>35</v>
      </c>
      <c r="B39" s="995"/>
      <c r="C39" s="996"/>
      <c r="D39" s="997">
        <f>D37</f>
        <v>765087.0858</v>
      </c>
      <c r="E39" s="997">
        <f>D39+E37</f>
        <v>1076097.5814999999</v>
      </c>
      <c r="F39" s="997">
        <f t="shared" ref="F39:O39" si="22">E39+F37</f>
        <v>1547807.3397999997</v>
      </c>
      <c r="G39" s="997">
        <f t="shared" si="22"/>
        <v>2437100.5375999995</v>
      </c>
      <c r="H39" s="997">
        <f t="shared" si="22"/>
        <v>3537776.2548999991</v>
      </c>
      <c r="I39" s="997">
        <f t="shared" si="22"/>
        <v>4628074.8946999991</v>
      </c>
      <c r="J39" s="997">
        <f t="shared" si="22"/>
        <v>5420635.9714999991</v>
      </c>
      <c r="K39" s="997">
        <f t="shared" si="22"/>
        <v>6225865.3957999991</v>
      </c>
      <c r="L39" s="997">
        <f t="shared" si="22"/>
        <v>6913810.1010999987</v>
      </c>
      <c r="M39" s="997">
        <f t="shared" si="22"/>
        <v>7552261.4658999983</v>
      </c>
      <c r="N39" s="997">
        <f t="shared" si="22"/>
        <v>8215557.4491999988</v>
      </c>
      <c r="O39" s="997">
        <f t="shared" si="22"/>
        <v>8815242.2999999989</v>
      </c>
      <c r="P39" s="998"/>
      <c r="Q39" s="15"/>
      <c r="R39" s="15"/>
      <c r="S39" s="15"/>
      <c r="T39" s="15"/>
      <c r="V39" s="14"/>
    </row>
    <row r="40" spans="1:24" s="13" customFormat="1" ht="18" customHeight="1" x14ac:dyDescent="0.2">
      <c r="B40" s="11"/>
      <c r="D40" s="16"/>
      <c r="F40" s="16"/>
      <c r="U40" s="14"/>
    </row>
    <row r="41" spans="1:24" s="13" customFormat="1" ht="17.100000000000001" customHeight="1" x14ac:dyDescent="0.2">
      <c r="B41" s="11"/>
      <c r="E41" s="16"/>
      <c r="G41" s="16"/>
      <c r="H41" s="16"/>
      <c r="I41" s="16"/>
      <c r="J41" s="16"/>
      <c r="K41" s="16"/>
      <c r="L41" s="16"/>
      <c r="M41" s="16"/>
      <c r="N41" s="16"/>
      <c r="O41" s="16"/>
      <c r="X41" s="14"/>
    </row>
    <row r="42" spans="1:24" s="13" customFormat="1" ht="17.100000000000001" customHeight="1" x14ac:dyDescent="0.2">
      <c r="A42" s="17"/>
      <c r="B42" s="11"/>
      <c r="E42" s="16"/>
      <c r="G42" s="16"/>
      <c r="H42" s="16"/>
      <c r="I42" s="16"/>
      <c r="J42" s="16"/>
      <c r="K42" s="16"/>
      <c r="L42" s="16"/>
      <c r="M42" s="16"/>
      <c r="N42" s="16"/>
      <c r="O42" s="16"/>
      <c r="X42" s="14"/>
    </row>
    <row r="43" spans="1:24" ht="17.100000000000001" customHeight="1" x14ac:dyDescent="0.2">
      <c r="P43" s="17">
        <f>ORÇAMENTO!I56</f>
        <v>8815242.3000000007</v>
      </c>
      <c r="R43" s="19"/>
    </row>
  </sheetData>
  <mergeCells count="5">
    <mergeCell ref="A39:C39"/>
    <mergeCell ref="A1:P1"/>
    <mergeCell ref="A36:C36"/>
    <mergeCell ref="A37:C37"/>
    <mergeCell ref="A38:C38"/>
  </mergeCells>
  <phoneticPr fontId="0" type="noConversion"/>
  <printOptions horizontalCentered="1"/>
  <pageMargins left="0.19685039370078741" right="0.39370078740157483" top="1.1811023622047245" bottom="0.85" header="0.31496062992125984" footer="0.45"/>
  <pageSetup paperSize="9" scale="53" orientation="landscape" horizontalDpi="360" verticalDpi="360" r:id="rId1"/>
  <headerFooter alignWithMargins="0">
    <oddHeader>&amp;L
&amp;G&amp;R
&amp;G</oddHeader>
    <oddFooter>&amp;C&amp;12&amp;K03+000
Rua Nilton Baldo, 744 – Bairro Jardim Paquetá - CEP 31.330-660 – Belo Horizonte / Minas Gerais.
Endereço Eletrônico: ottawaeng@terra.com.br – Telefax (31) 3418-2175 – CNPJ: 04.472.311/0001-04
&amp;R&amp;12&amp;K03+000Página &amp;P de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8"/>
  <sheetViews>
    <sheetView view="pageBreakPreview" topLeftCell="A781" zoomScale="80" zoomScaleNormal="100" zoomScaleSheetLayoutView="80" workbookViewId="0">
      <selection activeCell="D799" sqref="D799"/>
    </sheetView>
  </sheetViews>
  <sheetFormatPr defaultRowHeight="15" x14ac:dyDescent="0.2"/>
  <cols>
    <col min="1" max="1" width="16" style="36" customWidth="1"/>
    <col min="2" max="2" width="16" style="3" customWidth="1"/>
    <col min="3" max="3" width="15.140625" style="3" customWidth="1"/>
    <col min="4" max="4" width="90.7109375" style="37" customWidth="1"/>
    <col min="5" max="5" width="11" style="3" customWidth="1"/>
    <col min="6" max="6" width="13.5703125" style="38" customWidth="1"/>
    <col min="7" max="7" width="12.140625" style="39" customWidth="1"/>
    <col min="8" max="8" width="13.5703125" style="39" bestFit="1" customWidth="1"/>
    <col min="9" max="9" width="17.42578125" style="40" customWidth="1"/>
    <col min="10" max="10" width="21" style="1" customWidth="1"/>
    <col min="11" max="11" width="12.5703125" style="1" customWidth="1"/>
    <col min="12" max="12" width="9.28515625" style="1" bestFit="1" customWidth="1"/>
    <col min="13" max="13" width="12.140625" style="1" customWidth="1"/>
    <col min="14" max="16384" width="9.140625" style="1"/>
  </cols>
  <sheetData>
    <row r="1" spans="1:17" ht="28.5" customHeight="1" thickBot="1" x14ac:dyDescent="0.25">
      <c r="A1" s="637" t="s">
        <v>196</v>
      </c>
      <c r="B1" s="638"/>
      <c r="C1" s="638"/>
      <c r="D1" s="638"/>
      <c r="E1" s="638"/>
      <c r="F1" s="638"/>
      <c r="G1" s="638"/>
      <c r="H1" s="638"/>
      <c r="I1" s="639"/>
      <c r="J1" s="29"/>
      <c r="K1" s="29"/>
      <c r="L1" s="29"/>
      <c r="M1" s="29"/>
      <c r="N1" s="29"/>
      <c r="O1" s="29"/>
      <c r="P1" s="29"/>
      <c r="Q1" s="29"/>
    </row>
    <row r="2" spans="1:17" ht="5.0999999999999996" customHeight="1" thickBot="1" x14ac:dyDescent="0.25">
      <c r="A2" s="168"/>
      <c r="B2" s="169"/>
      <c r="C2" s="169"/>
      <c r="D2" s="170"/>
      <c r="E2" s="169"/>
      <c r="F2" s="171"/>
      <c r="G2" s="172"/>
      <c r="H2" s="172"/>
      <c r="I2" s="173"/>
      <c r="J2" s="29"/>
      <c r="K2" s="29"/>
      <c r="L2" s="29"/>
      <c r="M2" s="29"/>
      <c r="N2" s="29"/>
      <c r="O2" s="29"/>
      <c r="P2" s="29"/>
      <c r="Q2" s="29"/>
    </row>
    <row r="3" spans="1:17" ht="14.25" customHeight="1" thickBot="1" x14ac:dyDescent="0.25">
      <c r="A3" s="102" t="s">
        <v>39</v>
      </c>
      <c r="B3" s="640" t="s">
        <v>689</v>
      </c>
      <c r="C3" s="640"/>
      <c r="D3" s="640"/>
      <c r="E3" s="103"/>
      <c r="F3" s="104"/>
      <c r="G3" s="105"/>
      <c r="H3" s="105" t="s">
        <v>197</v>
      </c>
      <c r="I3" s="230" t="s">
        <v>1934</v>
      </c>
      <c r="J3" s="29"/>
      <c r="K3" s="29"/>
      <c r="L3" s="29"/>
      <c r="M3" s="29"/>
      <c r="N3" s="29"/>
      <c r="O3" s="29"/>
      <c r="P3" s="29"/>
      <c r="Q3" s="29"/>
    </row>
    <row r="4" spans="1:17" ht="5.0999999999999996" customHeight="1" thickBot="1" x14ac:dyDescent="0.25">
      <c r="A4" s="30"/>
      <c r="B4" s="31"/>
      <c r="C4" s="31"/>
      <c r="D4" s="32"/>
      <c r="E4" s="31"/>
      <c r="F4" s="33"/>
      <c r="G4" s="34"/>
      <c r="H4" s="34"/>
      <c r="I4" s="35"/>
      <c r="J4" s="29"/>
      <c r="K4" s="29"/>
      <c r="L4" s="29"/>
      <c r="M4" s="29"/>
      <c r="N4" s="29"/>
      <c r="O4" s="29"/>
      <c r="P4" s="29"/>
      <c r="Q4" s="29"/>
    </row>
    <row r="5" spans="1:17" ht="14.25" customHeight="1" thickBot="1" x14ac:dyDescent="0.25">
      <c r="A5" s="106" t="s">
        <v>198</v>
      </c>
      <c r="B5" s="641" t="s">
        <v>691</v>
      </c>
      <c r="C5" s="642"/>
      <c r="D5" s="642"/>
      <c r="E5" s="96"/>
      <c r="F5" s="107"/>
      <c r="G5" s="108"/>
      <c r="H5" s="108"/>
      <c r="I5" s="109"/>
      <c r="J5" s="29"/>
      <c r="K5" s="29"/>
      <c r="L5" s="29"/>
      <c r="M5" s="29"/>
      <c r="N5" s="29"/>
      <c r="O5" s="29"/>
      <c r="P5" s="29"/>
      <c r="Q5" s="29"/>
    </row>
    <row r="6" spans="1:17" ht="5.0999999999999996" customHeight="1" thickBot="1" x14ac:dyDescent="0.25">
      <c r="A6" s="30"/>
      <c r="B6" s="31"/>
      <c r="C6" s="31"/>
      <c r="D6" s="32"/>
      <c r="E6" s="31"/>
      <c r="F6" s="33"/>
      <c r="G6" s="34"/>
      <c r="H6" s="34"/>
      <c r="I6" s="35"/>
      <c r="J6" s="29"/>
      <c r="K6" s="29"/>
      <c r="L6" s="29"/>
      <c r="M6" s="29"/>
      <c r="N6" s="29"/>
      <c r="O6" s="29"/>
      <c r="P6" s="29"/>
      <c r="Q6" s="29"/>
    </row>
    <row r="7" spans="1:17" ht="14.25" customHeight="1" thickBot="1" x14ac:dyDescent="0.25">
      <c r="A7" s="106" t="s">
        <v>199</v>
      </c>
      <c r="B7" s="110" t="s">
        <v>694</v>
      </c>
      <c r="C7" s="96"/>
      <c r="D7" s="562"/>
      <c r="E7" s="96"/>
      <c r="F7" s="111"/>
      <c r="G7" s="108"/>
      <c r="H7" s="108"/>
      <c r="I7" s="112"/>
      <c r="J7" s="55"/>
      <c r="K7" s="29"/>
      <c r="L7" s="29"/>
      <c r="M7" s="29"/>
      <c r="N7" s="29"/>
      <c r="O7" s="29"/>
      <c r="P7" s="29"/>
      <c r="Q7" s="29"/>
    </row>
    <row r="8" spans="1:17" ht="5.0999999999999996" customHeight="1" thickBot="1" x14ac:dyDescent="0.25">
      <c r="A8" s="30"/>
      <c r="B8" s="31"/>
      <c r="C8" s="31"/>
      <c r="D8" s="32"/>
      <c r="E8" s="31"/>
      <c r="F8" s="33"/>
      <c r="G8" s="34"/>
      <c r="H8" s="34"/>
      <c r="I8" s="35"/>
      <c r="J8" s="29"/>
      <c r="K8" s="29"/>
      <c r="L8" s="29"/>
      <c r="M8" s="29"/>
      <c r="N8" s="29"/>
      <c r="O8" s="29"/>
      <c r="P8" s="29"/>
      <c r="Q8" s="29"/>
    </row>
    <row r="9" spans="1:17" ht="14.25" x14ac:dyDescent="0.2">
      <c r="A9" s="643" t="s">
        <v>200</v>
      </c>
      <c r="B9" s="645" t="s">
        <v>201</v>
      </c>
      <c r="C9" s="645" t="s">
        <v>202</v>
      </c>
      <c r="D9" s="624" t="s">
        <v>203</v>
      </c>
      <c r="E9" s="649" t="s">
        <v>204</v>
      </c>
      <c r="F9" s="652" t="s">
        <v>205</v>
      </c>
      <c r="G9" s="113" t="s">
        <v>41</v>
      </c>
      <c r="H9" s="113" t="s">
        <v>41</v>
      </c>
      <c r="I9" s="114" t="s">
        <v>41</v>
      </c>
      <c r="J9" s="29"/>
      <c r="K9" s="29"/>
      <c r="L9" s="29"/>
      <c r="M9" s="29"/>
      <c r="N9" s="29"/>
      <c r="O9" s="29"/>
      <c r="P9" s="29"/>
      <c r="Q9" s="29"/>
    </row>
    <row r="10" spans="1:17" ht="28.5" customHeight="1" x14ac:dyDescent="0.2">
      <c r="A10" s="644"/>
      <c r="B10" s="646"/>
      <c r="C10" s="646"/>
      <c r="D10" s="647"/>
      <c r="E10" s="650"/>
      <c r="F10" s="653"/>
      <c r="G10" s="115" t="s">
        <v>42</v>
      </c>
      <c r="H10" s="115" t="s">
        <v>42</v>
      </c>
      <c r="I10" s="116" t="s">
        <v>206</v>
      </c>
      <c r="J10" s="29"/>
      <c r="K10" s="29"/>
      <c r="L10" s="29"/>
      <c r="M10" s="29"/>
      <c r="N10" s="29"/>
      <c r="O10" s="29"/>
      <c r="P10" s="29"/>
      <c r="Q10" s="29"/>
    </row>
    <row r="11" spans="1:17" ht="14.25" customHeight="1" x14ac:dyDescent="0.2">
      <c r="A11" s="644"/>
      <c r="B11" s="646"/>
      <c r="C11" s="646"/>
      <c r="D11" s="648"/>
      <c r="E11" s="651"/>
      <c r="F11" s="654"/>
      <c r="G11" s="117" t="s">
        <v>43</v>
      </c>
      <c r="H11" s="117" t="s">
        <v>207</v>
      </c>
      <c r="I11" s="116"/>
      <c r="J11" s="29"/>
      <c r="K11" s="29"/>
      <c r="L11" s="29"/>
      <c r="M11" s="29"/>
      <c r="N11" s="29"/>
      <c r="O11" s="29"/>
      <c r="P11" s="29"/>
      <c r="Q11" s="29"/>
    </row>
    <row r="12" spans="1:17" ht="14.25" customHeight="1" x14ac:dyDescent="0.2">
      <c r="A12" s="174"/>
      <c r="B12" s="175"/>
      <c r="C12" s="175"/>
      <c r="D12" s="176"/>
      <c r="E12" s="177"/>
      <c r="F12" s="186"/>
      <c r="G12" s="187"/>
      <c r="H12" s="187"/>
      <c r="I12" s="188"/>
      <c r="J12" s="29"/>
      <c r="K12" s="29"/>
      <c r="L12" s="29"/>
      <c r="M12" s="29"/>
      <c r="N12" s="29"/>
      <c r="O12" s="29"/>
      <c r="P12" s="29"/>
      <c r="Q12" s="29"/>
    </row>
    <row r="13" spans="1:17" ht="14.25" customHeight="1" x14ac:dyDescent="0.2">
      <c r="A13" s="594" t="s">
        <v>1058</v>
      </c>
      <c r="B13" s="298" t="s">
        <v>336</v>
      </c>
      <c r="C13" s="324" t="s">
        <v>208</v>
      </c>
      <c r="D13" s="325" t="s">
        <v>209</v>
      </c>
      <c r="E13" s="298"/>
      <c r="F13" s="363"/>
      <c r="G13" s="364"/>
      <c r="H13" s="364"/>
      <c r="I13" s="595">
        <f>I15+I31+I40</f>
        <v>45318.5</v>
      </c>
      <c r="J13" s="29"/>
      <c r="K13" s="29"/>
      <c r="L13" s="29"/>
      <c r="M13" s="29"/>
      <c r="N13" s="29"/>
      <c r="O13" s="29"/>
      <c r="P13" s="29"/>
      <c r="Q13" s="29"/>
    </row>
    <row r="14" spans="1:17" ht="14.25" customHeight="1" x14ac:dyDescent="0.2">
      <c r="A14" s="311"/>
      <c r="B14" s="227"/>
      <c r="C14" s="227"/>
      <c r="D14" s="178"/>
      <c r="E14" s="227"/>
      <c r="F14" s="157"/>
      <c r="G14" s="157"/>
      <c r="H14" s="157"/>
      <c r="I14" s="596"/>
      <c r="J14" s="29"/>
      <c r="K14" s="29"/>
      <c r="L14" s="29"/>
      <c r="M14" s="29"/>
      <c r="N14" s="29"/>
      <c r="O14" s="29"/>
      <c r="P14" s="29"/>
      <c r="Q14" s="29"/>
    </row>
    <row r="15" spans="1:17" s="7" customFormat="1" ht="15.95" customHeight="1" x14ac:dyDescent="0.2">
      <c r="A15" s="365" t="s">
        <v>1672</v>
      </c>
      <c r="B15" s="179"/>
      <c r="C15" s="179"/>
      <c r="D15" s="180" t="s">
        <v>210</v>
      </c>
      <c r="E15" s="227"/>
      <c r="F15" s="366"/>
      <c r="G15" s="329"/>
      <c r="H15" s="329"/>
      <c r="I15" s="367">
        <f>SUM(I16:I29)</f>
        <v>32085.9</v>
      </c>
      <c r="J15" s="6"/>
      <c r="K15" s="8">
        <v>2</v>
      </c>
      <c r="L15" s="6"/>
      <c r="M15" s="6"/>
      <c r="N15" s="6"/>
      <c r="O15" s="6"/>
      <c r="P15" s="6"/>
      <c r="Q15" s="6"/>
    </row>
    <row r="16" spans="1:17" s="7" customFormat="1" ht="14.25" x14ac:dyDescent="0.2">
      <c r="A16" s="311" t="s">
        <v>211</v>
      </c>
      <c r="B16" s="227" t="s">
        <v>46</v>
      </c>
      <c r="C16" s="227">
        <v>2707</v>
      </c>
      <c r="D16" s="178" t="s">
        <v>1673</v>
      </c>
      <c r="E16" s="227" t="s">
        <v>15</v>
      </c>
      <c r="F16" s="366">
        <v>90</v>
      </c>
      <c r="G16" s="327">
        <v>85.77</v>
      </c>
      <c r="H16" s="329">
        <f>G16</f>
        <v>85.77</v>
      </c>
      <c r="I16" s="368">
        <f>ROUND(F16*H16,2)</f>
        <v>7719.3</v>
      </c>
      <c r="J16" s="6" t="e">
        <f>F16/$K$14</f>
        <v>#DIV/0!</v>
      </c>
      <c r="K16" s="6"/>
      <c r="L16" s="6"/>
      <c r="M16" s="6"/>
      <c r="N16" s="6"/>
      <c r="O16" s="6"/>
      <c r="P16" s="6"/>
      <c r="Q16" s="6"/>
    </row>
    <row r="17" spans="1:17" s="26" customFormat="1" ht="14.25" x14ac:dyDescent="0.2">
      <c r="A17" s="334" t="s">
        <v>212</v>
      </c>
      <c r="B17" s="226" t="s">
        <v>46</v>
      </c>
      <c r="C17" s="226">
        <v>4069</v>
      </c>
      <c r="D17" s="147" t="s">
        <v>1674</v>
      </c>
      <c r="E17" s="226" t="s">
        <v>15</v>
      </c>
      <c r="F17" s="369">
        <v>90</v>
      </c>
      <c r="G17" s="327">
        <v>48.12</v>
      </c>
      <c r="H17" s="329">
        <f t="shared" ref="H17:H29" si="0">G17</f>
        <v>48.12</v>
      </c>
      <c r="I17" s="368">
        <f t="shared" ref="I17:I29" si="1">ROUND(F17*H17,2)</f>
        <v>4330.8</v>
      </c>
      <c r="J17" s="6" t="e">
        <f t="shared" ref="J17:J43" si="2">F17/$K$14</f>
        <v>#DIV/0!</v>
      </c>
      <c r="K17" s="27"/>
      <c r="L17" s="27"/>
      <c r="M17" s="27"/>
      <c r="N17" s="27"/>
      <c r="O17" s="27"/>
      <c r="P17" s="27"/>
      <c r="Q17" s="27"/>
    </row>
    <row r="18" spans="1:17" s="7" customFormat="1" ht="14.25" x14ac:dyDescent="0.2">
      <c r="A18" s="311" t="s">
        <v>213</v>
      </c>
      <c r="B18" s="227" t="s">
        <v>46</v>
      </c>
      <c r="C18" s="227">
        <v>4083</v>
      </c>
      <c r="D18" s="178" t="s">
        <v>1675</v>
      </c>
      <c r="E18" s="227" t="s">
        <v>15</v>
      </c>
      <c r="F18" s="366">
        <v>90</v>
      </c>
      <c r="G18" s="327">
        <v>28.88</v>
      </c>
      <c r="H18" s="329">
        <f t="shared" si="0"/>
        <v>28.88</v>
      </c>
      <c r="I18" s="368">
        <f t="shared" si="1"/>
        <v>2599.1999999999998</v>
      </c>
      <c r="J18" s="6" t="e">
        <f t="shared" si="2"/>
        <v>#DIV/0!</v>
      </c>
      <c r="K18" s="6"/>
      <c r="L18" s="6"/>
      <c r="M18" s="6"/>
      <c r="N18" s="6"/>
      <c r="O18" s="6"/>
      <c r="P18" s="6"/>
      <c r="Q18" s="6"/>
    </row>
    <row r="19" spans="1:17" s="7" customFormat="1" ht="14.25" x14ac:dyDescent="0.2">
      <c r="A19" s="311" t="s">
        <v>214</v>
      </c>
      <c r="B19" s="227" t="s">
        <v>46</v>
      </c>
      <c r="C19" s="227">
        <v>4083</v>
      </c>
      <c r="D19" s="178" t="s">
        <v>1676</v>
      </c>
      <c r="E19" s="227" t="s">
        <v>15</v>
      </c>
      <c r="F19" s="366">
        <v>90</v>
      </c>
      <c r="G19" s="327">
        <v>28.88</v>
      </c>
      <c r="H19" s="329">
        <f t="shared" si="0"/>
        <v>28.88</v>
      </c>
      <c r="I19" s="368">
        <f t="shared" si="1"/>
        <v>2599.1999999999998</v>
      </c>
      <c r="J19" s="6" t="e">
        <f t="shared" si="2"/>
        <v>#DIV/0!</v>
      </c>
      <c r="K19" s="6"/>
      <c r="L19" s="6"/>
      <c r="M19" s="6"/>
      <c r="N19" s="6"/>
      <c r="O19" s="6"/>
      <c r="P19" s="6"/>
      <c r="Q19" s="6"/>
    </row>
    <row r="20" spans="1:17" s="7" customFormat="1" ht="14.25" x14ac:dyDescent="0.2">
      <c r="A20" s="311" t="s">
        <v>215</v>
      </c>
      <c r="B20" s="227" t="s">
        <v>46</v>
      </c>
      <c r="C20" s="227">
        <v>4083</v>
      </c>
      <c r="D20" s="178" t="s">
        <v>1677</v>
      </c>
      <c r="E20" s="227" t="s">
        <v>15</v>
      </c>
      <c r="F20" s="366">
        <v>90</v>
      </c>
      <c r="G20" s="327">
        <v>28.88</v>
      </c>
      <c r="H20" s="329">
        <f t="shared" si="0"/>
        <v>28.88</v>
      </c>
      <c r="I20" s="368">
        <f t="shared" si="1"/>
        <v>2599.1999999999998</v>
      </c>
      <c r="J20" s="6" t="e">
        <f t="shared" si="2"/>
        <v>#DIV/0!</v>
      </c>
      <c r="K20" s="6"/>
      <c r="L20" s="6"/>
      <c r="M20" s="6"/>
      <c r="N20" s="6"/>
      <c r="O20" s="6"/>
      <c r="P20" s="6"/>
      <c r="Q20" s="6"/>
    </row>
    <row r="21" spans="1:17" s="7" customFormat="1" ht="14.25" x14ac:dyDescent="0.2">
      <c r="A21" s="311" t="s">
        <v>217</v>
      </c>
      <c r="B21" s="227" t="s">
        <v>46</v>
      </c>
      <c r="C21" s="227">
        <v>2350</v>
      </c>
      <c r="D21" s="178" t="s">
        <v>216</v>
      </c>
      <c r="E21" s="227" t="s">
        <v>15</v>
      </c>
      <c r="F21" s="366">
        <v>90</v>
      </c>
      <c r="G21" s="327">
        <v>12.07</v>
      </c>
      <c r="H21" s="329">
        <f t="shared" si="0"/>
        <v>12.07</v>
      </c>
      <c r="I21" s="368">
        <f t="shared" si="1"/>
        <v>1086.3</v>
      </c>
      <c r="J21" s="6" t="e">
        <f t="shared" si="2"/>
        <v>#DIV/0!</v>
      </c>
      <c r="K21" s="6"/>
      <c r="L21" s="6"/>
      <c r="M21" s="6"/>
      <c r="N21" s="6"/>
      <c r="O21" s="6"/>
      <c r="P21" s="6"/>
      <c r="Q21" s="6"/>
    </row>
    <row r="22" spans="1:17" s="7" customFormat="1" ht="14.25" x14ac:dyDescent="0.2">
      <c r="A22" s="311" t="s">
        <v>219</v>
      </c>
      <c r="B22" s="227" t="s">
        <v>46</v>
      </c>
      <c r="C22" s="227">
        <v>253</v>
      </c>
      <c r="D22" s="178" t="s">
        <v>218</v>
      </c>
      <c r="E22" s="227" t="s">
        <v>15</v>
      </c>
      <c r="F22" s="366">
        <v>90</v>
      </c>
      <c r="G22" s="327">
        <v>18.73</v>
      </c>
      <c r="H22" s="329">
        <f t="shared" si="0"/>
        <v>18.73</v>
      </c>
      <c r="I22" s="368">
        <f t="shared" si="1"/>
        <v>1685.7</v>
      </c>
      <c r="J22" s="6" t="e">
        <f t="shared" si="2"/>
        <v>#DIV/0!</v>
      </c>
      <c r="K22" s="6"/>
      <c r="L22" s="6"/>
      <c r="M22" s="6"/>
      <c r="N22" s="6"/>
      <c r="O22" s="6"/>
      <c r="P22" s="6"/>
      <c r="Q22" s="6"/>
    </row>
    <row r="23" spans="1:17" s="7" customFormat="1" ht="14.25" x14ac:dyDescent="0.2">
      <c r="A23" s="311" t="s">
        <v>221</v>
      </c>
      <c r="B23" s="227" t="s">
        <v>46</v>
      </c>
      <c r="C23" s="227">
        <v>7592</v>
      </c>
      <c r="D23" s="178" t="s">
        <v>220</v>
      </c>
      <c r="E23" s="227" t="s">
        <v>15</v>
      </c>
      <c r="F23" s="366">
        <v>90</v>
      </c>
      <c r="G23" s="327">
        <v>14.63</v>
      </c>
      <c r="H23" s="329">
        <f t="shared" si="0"/>
        <v>14.63</v>
      </c>
      <c r="I23" s="368">
        <f t="shared" si="1"/>
        <v>1316.7</v>
      </c>
      <c r="J23" s="6" t="e">
        <f t="shared" si="2"/>
        <v>#DIV/0!</v>
      </c>
      <c r="K23" s="6"/>
      <c r="L23" s="6"/>
      <c r="M23" s="6"/>
      <c r="N23" s="6"/>
      <c r="O23" s="6"/>
      <c r="P23" s="6"/>
      <c r="Q23" s="6"/>
    </row>
    <row r="24" spans="1:17" s="7" customFormat="1" ht="14.25" x14ac:dyDescent="0.2">
      <c r="A24" s="311" t="s">
        <v>223</v>
      </c>
      <c r="B24" s="227" t="s">
        <v>46</v>
      </c>
      <c r="C24" s="227">
        <v>244</v>
      </c>
      <c r="D24" s="178" t="s">
        <v>222</v>
      </c>
      <c r="E24" s="227" t="s">
        <v>15</v>
      </c>
      <c r="F24" s="366">
        <v>90</v>
      </c>
      <c r="G24" s="327">
        <v>10.98</v>
      </c>
      <c r="H24" s="329">
        <f t="shared" si="0"/>
        <v>10.98</v>
      </c>
      <c r="I24" s="368">
        <f t="shared" si="1"/>
        <v>988.2</v>
      </c>
      <c r="J24" s="6" t="e">
        <f t="shared" si="2"/>
        <v>#DIV/0!</v>
      </c>
      <c r="K24" s="6"/>
      <c r="L24" s="6"/>
      <c r="M24" s="6"/>
      <c r="N24" s="6"/>
      <c r="O24" s="6"/>
      <c r="P24" s="6"/>
      <c r="Q24" s="6"/>
    </row>
    <row r="25" spans="1:17" s="7" customFormat="1" ht="14.25" x14ac:dyDescent="0.2">
      <c r="A25" s="311" t="s">
        <v>225</v>
      </c>
      <c r="B25" s="227" t="s">
        <v>46</v>
      </c>
      <c r="C25" s="227">
        <v>6122</v>
      </c>
      <c r="D25" s="178" t="s">
        <v>224</v>
      </c>
      <c r="E25" s="227" t="s">
        <v>15</v>
      </c>
      <c r="F25" s="366">
        <v>90</v>
      </c>
      <c r="G25" s="327">
        <v>17.68</v>
      </c>
      <c r="H25" s="329">
        <f t="shared" si="0"/>
        <v>17.68</v>
      </c>
      <c r="I25" s="368">
        <f t="shared" si="1"/>
        <v>1591.2</v>
      </c>
      <c r="J25" s="6" t="e">
        <f t="shared" si="2"/>
        <v>#DIV/0!</v>
      </c>
      <c r="K25" s="6"/>
      <c r="L25" s="6"/>
      <c r="M25" s="6"/>
      <c r="N25" s="6"/>
      <c r="O25" s="6"/>
      <c r="P25" s="6"/>
      <c r="Q25" s="6"/>
    </row>
    <row r="26" spans="1:17" s="7" customFormat="1" ht="14.25" x14ac:dyDescent="0.2">
      <c r="A26" s="311" t="s">
        <v>226</v>
      </c>
      <c r="B26" s="227" t="s">
        <v>46</v>
      </c>
      <c r="C26" s="227">
        <v>6111</v>
      </c>
      <c r="D26" s="178" t="s">
        <v>1678</v>
      </c>
      <c r="E26" s="227" t="s">
        <v>15</v>
      </c>
      <c r="F26" s="366">
        <v>90</v>
      </c>
      <c r="G26" s="327">
        <v>12.02</v>
      </c>
      <c r="H26" s="329">
        <f t="shared" si="0"/>
        <v>12.02</v>
      </c>
      <c r="I26" s="368">
        <f t="shared" si="1"/>
        <v>1081.8</v>
      </c>
      <c r="J26" s="6" t="e">
        <f t="shared" si="2"/>
        <v>#DIV/0!</v>
      </c>
      <c r="K26" s="6"/>
      <c r="L26" s="6"/>
      <c r="M26" s="6"/>
      <c r="N26" s="6"/>
      <c r="O26" s="6"/>
      <c r="P26" s="6"/>
      <c r="Q26" s="6"/>
    </row>
    <row r="27" spans="1:17" s="7" customFormat="1" ht="14.25" x14ac:dyDescent="0.2">
      <c r="A27" s="311" t="s">
        <v>227</v>
      </c>
      <c r="B27" s="227" t="s">
        <v>46</v>
      </c>
      <c r="C27" s="227">
        <v>20020</v>
      </c>
      <c r="D27" s="178" t="s">
        <v>228</v>
      </c>
      <c r="E27" s="227" t="s">
        <v>15</v>
      </c>
      <c r="F27" s="366">
        <v>90</v>
      </c>
      <c r="G27" s="327">
        <v>15.52</v>
      </c>
      <c r="H27" s="329">
        <f t="shared" si="0"/>
        <v>15.52</v>
      </c>
      <c r="I27" s="368">
        <f t="shared" si="1"/>
        <v>1396.8</v>
      </c>
      <c r="J27" s="6" t="e">
        <f t="shared" si="2"/>
        <v>#DIV/0!</v>
      </c>
      <c r="K27" s="6"/>
      <c r="L27" s="6"/>
      <c r="M27" s="6"/>
      <c r="N27" s="6"/>
      <c r="O27" s="6"/>
      <c r="P27" s="6"/>
      <c r="Q27" s="6"/>
    </row>
    <row r="28" spans="1:17" s="7" customFormat="1" ht="14.25" x14ac:dyDescent="0.2">
      <c r="A28" s="311" t="s">
        <v>229</v>
      </c>
      <c r="B28" s="227" t="s">
        <v>46</v>
      </c>
      <c r="C28" s="227">
        <v>4093</v>
      </c>
      <c r="D28" s="178" t="s">
        <v>230</v>
      </c>
      <c r="E28" s="227" t="s">
        <v>15</v>
      </c>
      <c r="F28" s="366">
        <v>90</v>
      </c>
      <c r="G28" s="327">
        <v>15.52</v>
      </c>
      <c r="H28" s="329">
        <f t="shared" si="0"/>
        <v>15.52</v>
      </c>
      <c r="I28" s="368">
        <f t="shared" si="1"/>
        <v>1396.8</v>
      </c>
      <c r="J28" s="6" t="e">
        <f t="shared" si="2"/>
        <v>#DIV/0!</v>
      </c>
      <c r="K28" s="6"/>
      <c r="L28" s="6"/>
      <c r="M28" s="6"/>
      <c r="N28" s="6"/>
      <c r="O28" s="6"/>
      <c r="P28" s="6"/>
      <c r="Q28" s="6"/>
    </row>
    <row r="29" spans="1:17" s="7" customFormat="1" ht="28.5" x14ac:dyDescent="0.2">
      <c r="A29" s="311" t="s">
        <v>1679</v>
      </c>
      <c r="B29" s="227" t="s">
        <v>46</v>
      </c>
      <c r="C29" s="227">
        <v>41776</v>
      </c>
      <c r="D29" s="178" t="s">
        <v>1680</v>
      </c>
      <c r="E29" s="227" t="s">
        <v>15</v>
      </c>
      <c r="F29" s="366">
        <v>90</v>
      </c>
      <c r="G29" s="327">
        <v>18.829999999999998</v>
      </c>
      <c r="H29" s="329">
        <f t="shared" si="0"/>
        <v>18.829999999999998</v>
      </c>
      <c r="I29" s="368">
        <f t="shared" si="1"/>
        <v>1694.7</v>
      </c>
      <c r="J29" s="6" t="e">
        <f t="shared" si="2"/>
        <v>#DIV/0!</v>
      </c>
      <c r="K29" s="6"/>
      <c r="L29" s="6"/>
      <c r="M29" s="6"/>
      <c r="N29" s="6"/>
      <c r="O29" s="6"/>
      <c r="P29" s="6"/>
      <c r="Q29" s="6"/>
    </row>
    <row r="30" spans="1:17" s="7" customFormat="1" ht="14.25" x14ac:dyDescent="0.2">
      <c r="A30" s="311"/>
      <c r="B30" s="227"/>
      <c r="C30" s="227"/>
      <c r="D30" s="178"/>
      <c r="E30" s="227"/>
      <c r="F30" s="366"/>
      <c r="G30" s="327"/>
      <c r="H30" s="329"/>
      <c r="I30" s="368"/>
      <c r="J30" s="6" t="e">
        <f t="shared" si="2"/>
        <v>#DIV/0!</v>
      </c>
      <c r="K30" s="6"/>
      <c r="L30" s="6"/>
      <c r="M30" s="6"/>
      <c r="N30" s="6"/>
      <c r="O30" s="6"/>
      <c r="P30" s="6"/>
      <c r="Q30" s="6"/>
    </row>
    <row r="31" spans="1:17" s="7" customFormat="1" x14ac:dyDescent="0.2">
      <c r="A31" s="365" t="s">
        <v>1681</v>
      </c>
      <c r="B31" s="227"/>
      <c r="C31" s="227"/>
      <c r="D31" s="180" t="s">
        <v>231</v>
      </c>
      <c r="E31" s="227"/>
      <c r="F31" s="366"/>
      <c r="G31" s="327"/>
      <c r="H31" s="329"/>
      <c r="I31" s="367">
        <f>SUM(I32:I38)</f>
        <v>9975.6</v>
      </c>
      <c r="J31" s="6" t="e">
        <f t="shared" si="2"/>
        <v>#DIV/0!</v>
      </c>
      <c r="K31" s="6"/>
      <c r="L31" s="6"/>
      <c r="M31" s="6"/>
      <c r="N31" s="6"/>
      <c r="O31" s="6"/>
      <c r="P31" s="6"/>
      <c r="Q31" s="6"/>
    </row>
    <row r="32" spans="1:17" s="7" customFormat="1" ht="28.5" x14ac:dyDescent="0.2">
      <c r="A32" s="311" t="s">
        <v>232</v>
      </c>
      <c r="B32" s="227" t="s">
        <v>46</v>
      </c>
      <c r="C32" s="227">
        <v>92144</v>
      </c>
      <c r="D32" s="178" t="s">
        <v>1682</v>
      </c>
      <c r="E32" s="227" t="s">
        <v>15</v>
      </c>
      <c r="F32" s="366">
        <v>90</v>
      </c>
      <c r="G32" s="373">
        <v>51.45</v>
      </c>
      <c r="H32" s="329">
        <f t="shared" ref="H32:H38" si="3">G32</f>
        <v>51.45</v>
      </c>
      <c r="I32" s="368">
        <f t="shared" ref="I32" si="4">ROUND(F32*H32,2)</f>
        <v>4630.5</v>
      </c>
      <c r="J32" s="6" t="e">
        <f t="shared" si="2"/>
        <v>#DIV/0!</v>
      </c>
      <c r="K32" s="6"/>
      <c r="L32" s="6"/>
      <c r="M32" s="6"/>
      <c r="N32" s="6"/>
      <c r="O32" s="6"/>
      <c r="P32" s="6"/>
      <c r="Q32" s="6"/>
    </row>
    <row r="33" spans="1:17" s="7" customFormat="1" ht="42.75" x14ac:dyDescent="0.2">
      <c r="A33" s="311" t="s">
        <v>284</v>
      </c>
      <c r="B33" s="227" t="s">
        <v>46</v>
      </c>
      <c r="C33" s="226">
        <v>5961</v>
      </c>
      <c r="D33" s="147" t="s">
        <v>1683</v>
      </c>
      <c r="E33" s="227" t="s">
        <v>15</v>
      </c>
      <c r="F33" s="366">
        <v>90</v>
      </c>
      <c r="G33" s="373">
        <v>39.17</v>
      </c>
      <c r="H33" s="329">
        <f t="shared" si="3"/>
        <v>39.17</v>
      </c>
      <c r="I33" s="368">
        <f t="shared" ref="I33:I38" si="5">ROUND(F33*H33,2)</f>
        <v>3525.3</v>
      </c>
      <c r="J33" s="6" t="e">
        <f t="shared" si="2"/>
        <v>#DIV/0!</v>
      </c>
      <c r="K33" s="6"/>
      <c r="L33" s="6"/>
      <c r="M33" s="6"/>
      <c r="N33" s="6"/>
      <c r="O33" s="6"/>
      <c r="P33" s="6"/>
      <c r="Q33" s="6"/>
    </row>
    <row r="34" spans="1:17" s="7" customFormat="1" ht="42.75" x14ac:dyDescent="0.2">
      <c r="A34" s="311" t="s">
        <v>233</v>
      </c>
      <c r="B34" s="227" t="s">
        <v>46</v>
      </c>
      <c r="C34" s="227">
        <v>5751</v>
      </c>
      <c r="D34" s="178" t="s">
        <v>1684</v>
      </c>
      <c r="E34" s="227" t="s">
        <v>15</v>
      </c>
      <c r="F34" s="366">
        <v>90</v>
      </c>
      <c r="G34" s="373">
        <v>14.66</v>
      </c>
      <c r="H34" s="329">
        <f t="shared" si="3"/>
        <v>14.66</v>
      </c>
      <c r="I34" s="368">
        <f t="shared" si="5"/>
        <v>1319.4</v>
      </c>
      <c r="J34" s="6" t="e">
        <f t="shared" si="2"/>
        <v>#DIV/0!</v>
      </c>
      <c r="K34" s="6"/>
      <c r="L34" s="6"/>
      <c r="M34" s="6"/>
      <c r="N34" s="6"/>
      <c r="O34" s="6"/>
      <c r="P34" s="6"/>
      <c r="Q34" s="6"/>
    </row>
    <row r="35" spans="1:17" s="7" customFormat="1" ht="28.5" x14ac:dyDescent="0.2">
      <c r="A35" s="311" t="s">
        <v>234</v>
      </c>
      <c r="B35" s="227" t="s">
        <v>46</v>
      </c>
      <c r="C35" s="227">
        <v>7247</v>
      </c>
      <c r="D35" s="178" t="s">
        <v>1845</v>
      </c>
      <c r="E35" s="227" t="s">
        <v>15</v>
      </c>
      <c r="F35" s="366">
        <v>90</v>
      </c>
      <c r="G35" s="373">
        <v>2.25</v>
      </c>
      <c r="H35" s="329">
        <f t="shared" si="3"/>
        <v>2.25</v>
      </c>
      <c r="I35" s="368">
        <f t="shared" si="5"/>
        <v>202.5</v>
      </c>
      <c r="J35" s="6" t="e">
        <f t="shared" si="2"/>
        <v>#DIV/0!</v>
      </c>
      <c r="K35" s="6"/>
      <c r="L35" s="6"/>
      <c r="M35" s="6"/>
      <c r="N35" s="6"/>
      <c r="O35" s="6"/>
      <c r="P35" s="6"/>
      <c r="Q35" s="6"/>
    </row>
    <row r="36" spans="1:17" s="7" customFormat="1" ht="14.25" x14ac:dyDescent="0.2">
      <c r="A36" s="311" t="s">
        <v>235</v>
      </c>
      <c r="B36" s="227" t="s">
        <v>46</v>
      </c>
      <c r="C36" s="227">
        <v>7252</v>
      </c>
      <c r="D36" s="178" t="s">
        <v>1846</v>
      </c>
      <c r="E36" s="227" t="s">
        <v>15</v>
      </c>
      <c r="F36" s="366">
        <v>90</v>
      </c>
      <c r="G36" s="373">
        <v>2.25</v>
      </c>
      <c r="H36" s="329">
        <f t="shared" si="3"/>
        <v>2.25</v>
      </c>
      <c r="I36" s="368">
        <f t="shared" si="5"/>
        <v>202.5</v>
      </c>
      <c r="J36" s="6" t="e">
        <f t="shared" si="2"/>
        <v>#DIV/0!</v>
      </c>
      <c r="K36" s="6"/>
      <c r="L36" s="6"/>
      <c r="M36" s="6"/>
      <c r="N36" s="6"/>
      <c r="O36" s="6"/>
      <c r="P36" s="6"/>
      <c r="Q36" s="6"/>
    </row>
    <row r="37" spans="1:17" s="7" customFormat="1" ht="28.5" x14ac:dyDescent="0.2">
      <c r="A37" s="311" t="s">
        <v>429</v>
      </c>
      <c r="B37" s="227" t="s">
        <v>46</v>
      </c>
      <c r="C37" s="226">
        <v>90586</v>
      </c>
      <c r="D37" s="147" t="s">
        <v>1685</v>
      </c>
      <c r="E37" s="227" t="s">
        <v>15</v>
      </c>
      <c r="F37" s="366">
        <v>90</v>
      </c>
      <c r="G37" s="373">
        <v>0.81</v>
      </c>
      <c r="H37" s="329">
        <f t="shared" si="3"/>
        <v>0.81</v>
      </c>
      <c r="I37" s="368">
        <f t="shared" si="5"/>
        <v>72.900000000000006</v>
      </c>
      <c r="J37" s="6" t="e">
        <f t="shared" si="2"/>
        <v>#DIV/0!</v>
      </c>
      <c r="K37" s="6"/>
      <c r="L37" s="6"/>
      <c r="M37" s="6"/>
      <c r="N37" s="6"/>
      <c r="O37" s="6"/>
      <c r="P37" s="6"/>
      <c r="Q37" s="6"/>
    </row>
    <row r="38" spans="1:17" s="7" customFormat="1" ht="28.5" x14ac:dyDescent="0.2">
      <c r="A38" s="311" t="s">
        <v>1686</v>
      </c>
      <c r="B38" s="227" t="s">
        <v>46</v>
      </c>
      <c r="C38" s="226">
        <v>87441</v>
      </c>
      <c r="D38" s="147" t="s">
        <v>1687</v>
      </c>
      <c r="E38" s="227" t="s">
        <v>15</v>
      </c>
      <c r="F38" s="366">
        <v>90</v>
      </c>
      <c r="G38" s="373">
        <v>0.25</v>
      </c>
      <c r="H38" s="329">
        <f t="shared" si="3"/>
        <v>0.25</v>
      </c>
      <c r="I38" s="368">
        <f t="shared" si="5"/>
        <v>22.5</v>
      </c>
      <c r="J38" s="6" t="e">
        <f t="shared" si="2"/>
        <v>#DIV/0!</v>
      </c>
      <c r="K38" s="6"/>
      <c r="L38" s="6"/>
      <c r="M38" s="6"/>
      <c r="N38" s="6"/>
      <c r="O38" s="6"/>
      <c r="P38" s="6"/>
      <c r="Q38" s="6"/>
    </row>
    <row r="39" spans="1:17" s="7" customFormat="1" ht="14.25" x14ac:dyDescent="0.2">
      <c r="A39" s="311"/>
      <c r="B39" s="227"/>
      <c r="C39" s="227"/>
      <c r="D39" s="178"/>
      <c r="E39" s="227"/>
      <c r="F39" s="366"/>
      <c r="G39" s="327"/>
      <c r="H39" s="329"/>
      <c r="I39" s="368"/>
      <c r="J39" s="6" t="e">
        <f t="shared" si="2"/>
        <v>#DIV/0!</v>
      </c>
      <c r="K39" s="6"/>
      <c r="L39" s="6"/>
      <c r="M39" s="6"/>
      <c r="N39" s="6"/>
      <c r="O39" s="6"/>
      <c r="P39" s="6"/>
      <c r="Q39" s="6"/>
    </row>
    <row r="40" spans="1:17" s="7" customFormat="1" x14ac:dyDescent="0.2">
      <c r="A40" s="365" t="s">
        <v>1688</v>
      </c>
      <c r="B40" s="227"/>
      <c r="C40" s="227"/>
      <c r="D40" s="180" t="s">
        <v>236</v>
      </c>
      <c r="E40" s="227"/>
      <c r="F40" s="366"/>
      <c r="G40" s="327"/>
      <c r="H40" s="329"/>
      <c r="I40" s="367">
        <f>SUM(I41:I43)</f>
        <v>3257</v>
      </c>
      <c r="J40" s="6" t="e">
        <f t="shared" si="2"/>
        <v>#DIV/0!</v>
      </c>
      <c r="K40" s="6"/>
      <c r="L40" s="6"/>
      <c r="M40" s="6"/>
      <c r="N40" s="6"/>
      <c r="O40" s="6"/>
      <c r="P40" s="6"/>
      <c r="Q40" s="6"/>
    </row>
    <row r="41" spans="1:17" s="7" customFormat="1" ht="29.25" thickBot="1" x14ac:dyDescent="0.25">
      <c r="A41" s="1005" t="s">
        <v>237</v>
      </c>
      <c r="B41" s="1006" t="s">
        <v>46</v>
      </c>
      <c r="C41" s="586">
        <v>14250</v>
      </c>
      <c r="D41" s="929" t="s">
        <v>1689</v>
      </c>
      <c r="E41" s="1006" t="s">
        <v>238</v>
      </c>
      <c r="F41" s="1007">
        <v>500</v>
      </c>
      <c r="G41" s="1008">
        <v>0.64</v>
      </c>
      <c r="H41" s="1009">
        <f t="shared" ref="H41:H43" si="6">G41</f>
        <v>0.64</v>
      </c>
      <c r="I41" s="1010">
        <f t="shared" ref="I41" si="7">ROUND(F41*H41,2)</f>
        <v>320</v>
      </c>
      <c r="J41" s="6" t="e">
        <f t="shared" si="2"/>
        <v>#DIV/0!</v>
      </c>
      <c r="K41" s="6"/>
      <c r="L41" s="6"/>
      <c r="M41" s="6"/>
      <c r="N41" s="6"/>
      <c r="O41" s="6"/>
      <c r="P41" s="6"/>
      <c r="Q41" s="6"/>
    </row>
    <row r="42" spans="1:17" s="7" customFormat="1" ht="14.25" x14ac:dyDescent="0.2">
      <c r="A42" s="999" t="s">
        <v>239</v>
      </c>
      <c r="B42" s="1000" t="s">
        <v>46</v>
      </c>
      <c r="C42" s="910">
        <v>4221</v>
      </c>
      <c r="D42" s="931" t="s">
        <v>240</v>
      </c>
      <c r="E42" s="1000" t="s">
        <v>241</v>
      </c>
      <c r="F42" s="1001">
        <v>600</v>
      </c>
      <c r="G42" s="1002">
        <v>3.04</v>
      </c>
      <c r="H42" s="1003">
        <f t="shared" si="6"/>
        <v>3.04</v>
      </c>
      <c r="I42" s="1004">
        <f t="shared" ref="I42:I43" si="8">ROUND(F42*H42,2)</f>
        <v>1824</v>
      </c>
      <c r="J42" s="6" t="e">
        <f t="shared" si="2"/>
        <v>#DIV/0!</v>
      </c>
      <c r="K42" s="6"/>
      <c r="L42" s="6"/>
      <c r="M42" s="6"/>
      <c r="N42" s="6"/>
      <c r="O42" s="6"/>
      <c r="P42" s="6"/>
      <c r="Q42" s="6"/>
    </row>
    <row r="43" spans="1:17" s="7" customFormat="1" ht="14.25" x14ac:dyDescent="0.2">
      <c r="A43" s="311" t="s">
        <v>242</v>
      </c>
      <c r="B43" s="227" t="s">
        <v>46</v>
      </c>
      <c r="C43" s="226">
        <v>4222</v>
      </c>
      <c r="D43" s="147" t="s">
        <v>243</v>
      </c>
      <c r="E43" s="227" t="s">
        <v>241</v>
      </c>
      <c r="F43" s="366">
        <v>300</v>
      </c>
      <c r="G43" s="327">
        <v>3.71</v>
      </c>
      <c r="H43" s="329">
        <f t="shared" si="6"/>
        <v>3.71</v>
      </c>
      <c r="I43" s="368">
        <f t="shared" si="8"/>
        <v>1113</v>
      </c>
      <c r="J43" s="6" t="e">
        <f t="shared" si="2"/>
        <v>#DIV/0!</v>
      </c>
      <c r="K43" s="6"/>
      <c r="L43" s="6"/>
      <c r="M43" s="6"/>
      <c r="N43" s="6"/>
      <c r="O43" s="6"/>
      <c r="P43" s="6"/>
      <c r="Q43" s="6"/>
    </row>
    <row r="44" spans="1:17" s="26" customFormat="1" ht="14.25" x14ac:dyDescent="0.2">
      <c r="A44" s="597"/>
      <c r="B44" s="226"/>
      <c r="C44" s="226"/>
      <c r="D44" s="148"/>
      <c r="E44" s="226"/>
      <c r="F44" s="146"/>
      <c r="G44" s="236"/>
      <c r="H44" s="146"/>
      <c r="I44" s="350"/>
      <c r="J44" s="27"/>
      <c r="K44" s="27"/>
      <c r="L44" s="27"/>
      <c r="M44" s="27"/>
      <c r="N44" s="27"/>
      <c r="O44" s="27"/>
      <c r="P44" s="27"/>
      <c r="Q44" s="27"/>
    </row>
    <row r="45" spans="1:17" s="7" customFormat="1" x14ac:dyDescent="0.2">
      <c r="A45" s="594" t="s">
        <v>1059</v>
      </c>
      <c r="B45" s="298" t="s">
        <v>336</v>
      </c>
      <c r="C45" s="324" t="s">
        <v>1554</v>
      </c>
      <c r="D45" s="325" t="s">
        <v>1692</v>
      </c>
      <c r="E45" s="298" t="s">
        <v>17</v>
      </c>
      <c r="F45" s="363"/>
      <c r="G45" s="364"/>
      <c r="H45" s="364"/>
      <c r="I45" s="595">
        <f>SUM(I46:I47)</f>
        <v>20.659999999999997</v>
      </c>
      <c r="J45" s="6"/>
      <c r="K45" s="6"/>
      <c r="L45" s="6"/>
      <c r="M45" s="6"/>
      <c r="N45" s="6"/>
      <c r="O45" s="6"/>
      <c r="P45" s="6"/>
      <c r="Q45" s="6"/>
    </row>
    <row r="46" spans="1:17" ht="14.25" x14ac:dyDescent="0.2">
      <c r="A46" s="311" t="s">
        <v>72</v>
      </c>
      <c r="B46" s="226" t="s">
        <v>46</v>
      </c>
      <c r="C46" s="227">
        <v>88316</v>
      </c>
      <c r="D46" s="178" t="s">
        <v>797</v>
      </c>
      <c r="E46" s="227" t="s">
        <v>15</v>
      </c>
      <c r="F46" s="146">
        <v>0.2</v>
      </c>
      <c r="G46" s="146">
        <v>16.64</v>
      </c>
      <c r="H46" s="146">
        <f>G46</f>
        <v>16.64</v>
      </c>
      <c r="I46" s="350">
        <f>ROUND(F46*H46,2)</f>
        <v>3.33</v>
      </c>
      <c r="J46" s="29"/>
      <c r="K46" s="29"/>
      <c r="L46" s="29"/>
      <c r="M46" s="29"/>
      <c r="N46" s="29"/>
      <c r="O46" s="29"/>
      <c r="P46" s="29"/>
      <c r="Q46" s="29"/>
    </row>
    <row r="47" spans="1:17" ht="57" x14ac:dyDescent="0.2">
      <c r="A47" s="311" t="s">
        <v>171</v>
      </c>
      <c r="B47" s="226" t="s">
        <v>46</v>
      </c>
      <c r="C47" s="227">
        <v>5875</v>
      </c>
      <c r="D47" s="178" t="s">
        <v>1020</v>
      </c>
      <c r="E47" s="227" t="s">
        <v>840</v>
      </c>
      <c r="F47" s="146">
        <v>0.2</v>
      </c>
      <c r="G47" s="146">
        <v>86.64</v>
      </c>
      <c r="H47" s="146">
        <f>G47</f>
        <v>86.64</v>
      </c>
      <c r="I47" s="350">
        <f>ROUND(F47*H47,2)</f>
        <v>17.329999999999998</v>
      </c>
      <c r="J47" s="29"/>
      <c r="K47" s="29"/>
      <c r="L47" s="29"/>
      <c r="M47" s="29"/>
      <c r="N47" s="29"/>
      <c r="O47" s="29"/>
      <c r="P47" s="29"/>
      <c r="Q47" s="29"/>
    </row>
    <row r="48" spans="1:17" s="7" customFormat="1" ht="14.25" x14ac:dyDescent="0.2">
      <c r="A48" s="311"/>
      <c r="B48" s="227"/>
      <c r="C48" s="227"/>
      <c r="D48" s="149"/>
      <c r="E48" s="227"/>
      <c r="F48" s="189"/>
      <c r="G48" s="189"/>
      <c r="H48" s="189"/>
      <c r="I48" s="598"/>
      <c r="J48" s="6"/>
      <c r="K48" s="6"/>
      <c r="L48" s="6"/>
      <c r="M48" s="6"/>
      <c r="N48" s="6"/>
      <c r="O48" s="6"/>
      <c r="P48" s="6"/>
      <c r="Q48" s="6"/>
    </row>
    <row r="49" spans="1:17" s="7" customFormat="1" ht="30" x14ac:dyDescent="0.2">
      <c r="A49" s="594" t="s">
        <v>1060</v>
      </c>
      <c r="B49" s="298" t="s">
        <v>336</v>
      </c>
      <c r="C49" s="324" t="s">
        <v>827</v>
      </c>
      <c r="D49" s="325" t="s">
        <v>920</v>
      </c>
      <c r="E49" s="298"/>
      <c r="F49" s="363"/>
      <c r="G49" s="364"/>
      <c r="H49" s="364"/>
      <c r="I49" s="595">
        <f>SUM(I50:I54)</f>
        <v>6251.47</v>
      </c>
      <c r="J49" s="6"/>
      <c r="K49" s="6"/>
      <c r="L49" s="6"/>
      <c r="M49" s="6"/>
      <c r="N49" s="6"/>
      <c r="O49" s="6"/>
      <c r="P49" s="6"/>
      <c r="Q49" s="6"/>
    </row>
    <row r="50" spans="1:17" s="26" customFormat="1" ht="14.25" x14ac:dyDescent="0.2">
      <c r="A50" s="334" t="s">
        <v>73</v>
      </c>
      <c r="B50" s="226" t="s">
        <v>46</v>
      </c>
      <c r="C50" s="226">
        <v>4773</v>
      </c>
      <c r="D50" s="147" t="s">
        <v>713</v>
      </c>
      <c r="E50" s="226" t="s">
        <v>18</v>
      </c>
      <c r="F50" s="190">
        <f>2.2*2+4+3.2*4</f>
        <v>21.200000000000003</v>
      </c>
      <c r="G50" s="190">
        <v>173.59</v>
      </c>
      <c r="H50" s="329">
        <f t="shared" ref="H50:H54" si="9">G50</f>
        <v>173.59</v>
      </c>
      <c r="I50" s="368">
        <f t="shared" ref="I50" si="10">ROUND(F50*H50,2)</f>
        <v>3680.11</v>
      </c>
      <c r="J50" s="27"/>
      <c r="K50" s="27"/>
      <c r="L50" s="27"/>
      <c r="M50" s="27"/>
      <c r="N50" s="27"/>
      <c r="O50" s="27"/>
      <c r="P50" s="27"/>
      <c r="Q50" s="27"/>
    </row>
    <row r="51" spans="1:17" s="26" customFormat="1" ht="14.25" x14ac:dyDescent="0.2">
      <c r="A51" s="334" t="s">
        <v>75</v>
      </c>
      <c r="B51" s="226" t="s">
        <v>46</v>
      </c>
      <c r="C51" s="226">
        <v>6160</v>
      </c>
      <c r="D51" s="147" t="s">
        <v>244</v>
      </c>
      <c r="E51" s="226" t="s">
        <v>15</v>
      </c>
      <c r="F51" s="190">
        <v>44</v>
      </c>
      <c r="G51" s="190">
        <v>23.46</v>
      </c>
      <c r="H51" s="329">
        <f t="shared" si="9"/>
        <v>23.46</v>
      </c>
      <c r="I51" s="368">
        <f t="shared" ref="I51:I54" si="11">ROUND(F51*H51,2)</f>
        <v>1032.24</v>
      </c>
      <c r="J51" s="27"/>
      <c r="K51" s="27"/>
      <c r="L51" s="27"/>
      <c r="M51" s="27"/>
      <c r="N51" s="27"/>
      <c r="O51" s="27"/>
      <c r="P51" s="27"/>
      <c r="Q51" s="27"/>
    </row>
    <row r="52" spans="1:17" s="26" customFormat="1" ht="14.25" x14ac:dyDescent="0.2">
      <c r="A52" s="334" t="s">
        <v>249</v>
      </c>
      <c r="B52" s="226" t="s">
        <v>46</v>
      </c>
      <c r="C52" s="226">
        <v>6121</v>
      </c>
      <c r="D52" s="147" t="s">
        <v>245</v>
      </c>
      <c r="E52" s="226" t="s">
        <v>15</v>
      </c>
      <c r="F52" s="190">
        <v>44</v>
      </c>
      <c r="G52" s="190">
        <v>10.78</v>
      </c>
      <c r="H52" s="329">
        <f t="shared" si="9"/>
        <v>10.78</v>
      </c>
      <c r="I52" s="368">
        <f t="shared" si="11"/>
        <v>474.32</v>
      </c>
      <c r="J52" s="27"/>
      <c r="K52" s="27"/>
      <c r="L52" s="27"/>
      <c r="M52" s="27"/>
      <c r="N52" s="27"/>
      <c r="O52" s="27"/>
      <c r="P52" s="27"/>
      <c r="Q52" s="27"/>
    </row>
    <row r="53" spans="1:17" s="26" customFormat="1" ht="14.25" x14ac:dyDescent="0.2">
      <c r="A53" s="334" t="s">
        <v>317</v>
      </c>
      <c r="B53" s="226" t="s">
        <v>46</v>
      </c>
      <c r="C53" s="226">
        <v>6110</v>
      </c>
      <c r="D53" s="147" t="s">
        <v>246</v>
      </c>
      <c r="E53" s="226" t="s">
        <v>15</v>
      </c>
      <c r="F53" s="190">
        <v>44</v>
      </c>
      <c r="G53" s="190">
        <v>13.82</v>
      </c>
      <c r="H53" s="329">
        <f t="shared" si="9"/>
        <v>13.82</v>
      </c>
      <c r="I53" s="368">
        <f t="shared" si="11"/>
        <v>608.08000000000004</v>
      </c>
      <c r="J53" s="27"/>
      <c r="K53" s="27"/>
      <c r="L53" s="27"/>
      <c r="M53" s="27"/>
      <c r="N53" s="27"/>
      <c r="O53" s="27"/>
      <c r="P53" s="27"/>
      <c r="Q53" s="27"/>
    </row>
    <row r="54" spans="1:17" s="26" customFormat="1" ht="14.25" x14ac:dyDescent="0.2">
      <c r="A54" s="334" t="s">
        <v>830</v>
      </c>
      <c r="B54" s="226" t="s">
        <v>46</v>
      </c>
      <c r="C54" s="226">
        <v>252</v>
      </c>
      <c r="D54" s="147" t="s">
        <v>774</v>
      </c>
      <c r="E54" s="226" t="s">
        <v>15</v>
      </c>
      <c r="F54" s="190">
        <v>44</v>
      </c>
      <c r="G54" s="190">
        <v>10.38</v>
      </c>
      <c r="H54" s="329">
        <f t="shared" si="9"/>
        <v>10.38</v>
      </c>
      <c r="I54" s="368">
        <f t="shared" si="11"/>
        <v>456.72</v>
      </c>
      <c r="J54" s="27"/>
      <c r="K54" s="27"/>
      <c r="L54" s="27"/>
      <c r="M54" s="27"/>
      <c r="N54" s="27"/>
      <c r="O54" s="27"/>
      <c r="P54" s="27"/>
      <c r="Q54" s="27"/>
    </row>
    <row r="55" spans="1:17" ht="14.25" x14ac:dyDescent="0.2">
      <c r="A55" s="311"/>
      <c r="B55" s="227"/>
      <c r="C55" s="227"/>
      <c r="D55" s="178"/>
      <c r="E55" s="227"/>
      <c r="F55" s="157"/>
      <c r="G55" s="157"/>
      <c r="H55" s="157"/>
      <c r="I55" s="596"/>
      <c r="J55" s="29"/>
      <c r="K55" s="29"/>
      <c r="L55" s="29"/>
      <c r="M55" s="29"/>
      <c r="N55" s="29"/>
      <c r="O55" s="29"/>
      <c r="P55" s="29"/>
      <c r="Q55" s="29"/>
    </row>
    <row r="56" spans="1:17" s="7" customFormat="1" ht="60" x14ac:dyDescent="0.2">
      <c r="A56" s="594" t="s">
        <v>1061</v>
      </c>
      <c r="B56" s="298" t="s">
        <v>336</v>
      </c>
      <c r="C56" s="324" t="s">
        <v>250</v>
      </c>
      <c r="D56" s="325" t="s">
        <v>714</v>
      </c>
      <c r="E56" s="298" t="s">
        <v>19</v>
      </c>
      <c r="F56" s="363"/>
      <c r="G56" s="364"/>
      <c r="H56" s="364"/>
      <c r="I56" s="595">
        <f>SUM(I57:I66)</f>
        <v>1039.79</v>
      </c>
      <c r="J56" s="6"/>
      <c r="K56" s="6"/>
      <c r="L56" s="6"/>
      <c r="M56" s="6"/>
      <c r="N56" s="6"/>
      <c r="O56" s="6"/>
      <c r="P56" s="6"/>
      <c r="Q56" s="6"/>
    </row>
    <row r="57" spans="1:17" s="26" customFormat="1" ht="13.5" customHeight="1" x14ac:dyDescent="0.2">
      <c r="A57" s="320" t="s">
        <v>76</v>
      </c>
      <c r="B57" s="154" t="s">
        <v>46</v>
      </c>
      <c r="C57" s="153">
        <v>589</v>
      </c>
      <c r="D57" s="148" t="s">
        <v>413</v>
      </c>
      <c r="E57" s="154" t="s">
        <v>18</v>
      </c>
      <c r="F57" s="191">
        <v>6</v>
      </c>
      <c r="G57" s="192">
        <v>31.66</v>
      </c>
      <c r="H57" s="329">
        <f t="shared" ref="H57:H66" si="12">G57</f>
        <v>31.66</v>
      </c>
      <c r="I57" s="368">
        <f t="shared" ref="I57" si="13">ROUND(F57*H57,2)</f>
        <v>189.96</v>
      </c>
    </row>
    <row r="58" spans="1:17" s="26" customFormat="1" ht="14.25" x14ac:dyDescent="0.2">
      <c r="A58" s="320" t="s">
        <v>100</v>
      </c>
      <c r="B58" s="154" t="s">
        <v>46</v>
      </c>
      <c r="C58" s="153">
        <v>11125</v>
      </c>
      <c r="D58" s="148" t="s">
        <v>414</v>
      </c>
      <c r="E58" s="154" t="s">
        <v>170</v>
      </c>
      <c r="F58" s="191">
        <v>3</v>
      </c>
      <c r="G58" s="192">
        <v>14.43</v>
      </c>
      <c r="H58" s="329">
        <f t="shared" si="12"/>
        <v>14.43</v>
      </c>
      <c r="I58" s="368">
        <f t="shared" ref="I58:I66" si="14">ROUND(F58*H58,2)</f>
        <v>43.29</v>
      </c>
    </row>
    <row r="59" spans="1:17" s="26" customFormat="1" ht="28.5" x14ac:dyDescent="0.2">
      <c r="A59" s="320" t="s">
        <v>253</v>
      </c>
      <c r="B59" s="154" t="s">
        <v>46</v>
      </c>
      <c r="C59" s="153">
        <v>7162</v>
      </c>
      <c r="D59" s="148" t="s">
        <v>415</v>
      </c>
      <c r="E59" s="154" t="s">
        <v>16</v>
      </c>
      <c r="F59" s="191">
        <v>2</v>
      </c>
      <c r="G59" s="192">
        <v>26.01</v>
      </c>
      <c r="H59" s="329">
        <f t="shared" si="12"/>
        <v>26.01</v>
      </c>
      <c r="I59" s="368">
        <f t="shared" si="14"/>
        <v>52.02</v>
      </c>
    </row>
    <row r="60" spans="1:17" s="26" customFormat="1" ht="28.5" x14ac:dyDescent="0.2">
      <c r="A60" s="320" t="s">
        <v>254</v>
      </c>
      <c r="B60" s="154" t="s">
        <v>46</v>
      </c>
      <c r="C60" s="153">
        <v>7696</v>
      </c>
      <c r="D60" s="148" t="s">
        <v>416</v>
      </c>
      <c r="E60" s="154" t="s">
        <v>18</v>
      </c>
      <c r="F60" s="191">
        <f>2.1*2</f>
        <v>4.2</v>
      </c>
      <c r="G60" s="192">
        <v>38.58</v>
      </c>
      <c r="H60" s="329">
        <f t="shared" si="12"/>
        <v>38.58</v>
      </c>
      <c r="I60" s="368">
        <f t="shared" si="14"/>
        <v>162.04</v>
      </c>
    </row>
    <row r="61" spans="1:17" s="26" customFormat="1" ht="14.25" x14ac:dyDescent="0.2">
      <c r="A61" s="320" t="s">
        <v>316</v>
      </c>
      <c r="B61" s="154" t="s">
        <v>46</v>
      </c>
      <c r="C61" s="153">
        <v>11964</v>
      </c>
      <c r="D61" s="148" t="s">
        <v>417</v>
      </c>
      <c r="E61" s="154" t="s">
        <v>19</v>
      </c>
      <c r="F61" s="191">
        <v>4</v>
      </c>
      <c r="G61" s="192">
        <v>1.32</v>
      </c>
      <c r="H61" s="329">
        <f t="shared" si="12"/>
        <v>1.32</v>
      </c>
      <c r="I61" s="368">
        <f t="shared" si="14"/>
        <v>5.28</v>
      </c>
    </row>
    <row r="62" spans="1:17" s="26" customFormat="1" ht="14.25" x14ac:dyDescent="0.2">
      <c r="A62" s="320" t="s">
        <v>841</v>
      </c>
      <c r="B62" s="154" t="s">
        <v>46</v>
      </c>
      <c r="C62" s="153">
        <v>5104</v>
      </c>
      <c r="D62" s="148" t="s">
        <v>418</v>
      </c>
      <c r="E62" s="154" t="s">
        <v>170</v>
      </c>
      <c r="F62" s="191">
        <v>0.2</v>
      </c>
      <c r="G62" s="192">
        <v>38.299999999999997</v>
      </c>
      <c r="H62" s="329">
        <f t="shared" si="12"/>
        <v>38.299999999999997</v>
      </c>
      <c r="I62" s="368">
        <f t="shared" si="14"/>
        <v>7.66</v>
      </c>
    </row>
    <row r="63" spans="1:17" s="26" customFormat="1" ht="14.25" x14ac:dyDescent="0.2">
      <c r="A63" s="320" t="s">
        <v>842</v>
      </c>
      <c r="B63" s="154" t="s">
        <v>46</v>
      </c>
      <c r="C63" s="153">
        <v>252</v>
      </c>
      <c r="D63" s="148" t="s">
        <v>774</v>
      </c>
      <c r="E63" s="154" t="s">
        <v>15</v>
      </c>
      <c r="F63" s="191">
        <v>9</v>
      </c>
      <c r="G63" s="190">
        <v>10.38</v>
      </c>
      <c r="H63" s="329">
        <f t="shared" si="12"/>
        <v>10.38</v>
      </c>
      <c r="I63" s="368">
        <f t="shared" si="14"/>
        <v>93.42</v>
      </c>
    </row>
    <row r="64" spans="1:17" s="26" customFormat="1" ht="14.25" x14ac:dyDescent="0.2">
      <c r="A64" s="320" t="s">
        <v>843</v>
      </c>
      <c r="B64" s="154" t="s">
        <v>46</v>
      </c>
      <c r="C64" s="153">
        <v>6110</v>
      </c>
      <c r="D64" s="148" t="s">
        <v>246</v>
      </c>
      <c r="E64" s="154" t="s">
        <v>15</v>
      </c>
      <c r="F64" s="191">
        <v>12</v>
      </c>
      <c r="G64" s="190">
        <v>13.82</v>
      </c>
      <c r="H64" s="329">
        <f t="shared" si="12"/>
        <v>13.82</v>
      </c>
      <c r="I64" s="368">
        <f t="shared" si="14"/>
        <v>165.84</v>
      </c>
    </row>
    <row r="65" spans="1:17" s="26" customFormat="1" ht="14.25" x14ac:dyDescent="0.2">
      <c r="A65" s="320" t="s">
        <v>1770</v>
      </c>
      <c r="B65" s="154" t="s">
        <v>46</v>
      </c>
      <c r="C65" s="153">
        <v>6111</v>
      </c>
      <c r="D65" s="148" t="s">
        <v>276</v>
      </c>
      <c r="E65" s="154" t="s">
        <v>15</v>
      </c>
      <c r="F65" s="191">
        <v>12</v>
      </c>
      <c r="G65" s="192">
        <v>12.02</v>
      </c>
      <c r="H65" s="329">
        <f t="shared" si="12"/>
        <v>12.02</v>
      </c>
      <c r="I65" s="368">
        <f t="shared" si="14"/>
        <v>144.24</v>
      </c>
    </row>
    <row r="66" spans="1:17" s="26" customFormat="1" ht="14.25" x14ac:dyDescent="0.2">
      <c r="A66" s="320" t="s">
        <v>1771</v>
      </c>
      <c r="B66" s="154" t="s">
        <v>46</v>
      </c>
      <c r="C66" s="153">
        <v>4750</v>
      </c>
      <c r="D66" s="148" t="s">
        <v>275</v>
      </c>
      <c r="E66" s="154" t="s">
        <v>15</v>
      </c>
      <c r="F66" s="191">
        <v>12</v>
      </c>
      <c r="G66" s="192">
        <v>14.67</v>
      </c>
      <c r="H66" s="329">
        <f t="shared" si="12"/>
        <v>14.67</v>
      </c>
      <c r="I66" s="368">
        <f t="shared" si="14"/>
        <v>176.04</v>
      </c>
    </row>
    <row r="67" spans="1:17" s="26" customFormat="1" ht="14.25" x14ac:dyDescent="0.2">
      <c r="A67" s="320"/>
      <c r="B67" s="154"/>
      <c r="C67" s="153"/>
      <c r="D67" s="148"/>
      <c r="E67" s="154"/>
      <c r="F67" s="191"/>
      <c r="G67" s="192"/>
      <c r="H67" s="191"/>
      <c r="I67" s="599"/>
    </row>
    <row r="68" spans="1:17" s="326" customFormat="1" ht="30" x14ac:dyDescent="0.2">
      <c r="A68" s="594" t="s">
        <v>1062</v>
      </c>
      <c r="B68" s="298" t="s">
        <v>336</v>
      </c>
      <c r="C68" s="324" t="s">
        <v>255</v>
      </c>
      <c r="D68" s="325" t="s">
        <v>778</v>
      </c>
      <c r="E68" s="298" t="s">
        <v>19</v>
      </c>
      <c r="F68" s="363"/>
      <c r="G68" s="364"/>
      <c r="H68" s="364"/>
      <c r="I68" s="595">
        <f>SUM(I69:I72)</f>
        <v>522.31999999999994</v>
      </c>
      <c r="J68" s="93"/>
      <c r="K68" s="93"/>
      <c r="L68" s="93"/>
      <c r="M68" s="93"/>
      <c r="N68" s="93"/>
      <c r="O68" s="93"/>
      <c r="P68" s="93"/>
      <c r="Q68" s="93"/>
    </row>
    <row r="69" spans="1:17" s="319" customFormat="1" ht="14.25" x14ac:dyDescent="0.2">
      <c r="A69" s="334" t="s">
        <v>9</v>
      </c>
      <c r="B69" s="226" t="s">
        <v>46</v>
      </c>
      <c r="C69" s="226">
        <v>11125</v>
      </c>
      <c r="D69" s="147" t="s">
        <v>715</v>
      </c>
      <c r="E69" s="226" t="s">
        <v>170</v>
      </c>
      <c r="F69" s="361">
        <f>13.5*1.6*0.8</f>
        <v>17.28</v>
      </c>
      <c r="G69" s="327">
        <v>14.43</v>
      </c>
      <c r="H69" s="327">
        <f t="shared" ref="H69:H72" si="15">G69</f>
        <v>14.43</v>
      </c>
      <c r="I69" s="362">
        <f>ROUND(F69*H69,2)</f>
        <v>249.35</v>
      </c>
      <c r="J69" s="328"/>
      <c r="K69" s="328"/>
      <c r="L69" s="328"/>
      <c r="M69" s="328"/>
      <c r="N69" s="328"/>
      <c r="O69" s="328"/>
      <c r="P69" s="328"/>
      <c r="Q69" s="328"/>
    </row>
    <row r="70" spans="1:17" s="319" customFormat="1" ht="14.25" x14ac:dyDescent="0.2">
      <c r="A70" s="334" t="s">
        <v>10</v>
      </c>
      <c r="B70" s="226" t="s">
        <v>46</v>
      </c>
      <c r="C70" s="226">
        <v>589</v>
      </c>
      <c r="D70" s="147" t="s">
        <v>716</v>
      </c>
      <c r="E70" s="226" t="s">
        <v>18</v>
      </c>
      <c r="F70" s="361">
        <f>(1.6*2+0.8*2)</f>
        <v>4.8000000000000007</v>
      </c>
      <c r="G70" s="327">
        <v>31.66</v>
      </c>
      <c r="H70" s="327">
        <f t="shared" si="15"/>
        <v>31.66</v>
      </c>
      <c r="I70" s="362">
        <f>ROUND(F70*H70,2)</f>
        <v>151.97</v>
      </c>
      <c r="J70" s="328"/>
      <c r="K70" s="328"/>
      <c r="L70" s="328"/>
      <c r="M70" s="328"/>
      <c r="N70" s="328"/>
      <c r="O70" s="328"/>
      <c r="P70" s="328"/>
      <c r="Q70" s="328"/>
    </row>
    <row r="71" spans="1:17" s="319" customFormat="1" thickBot="1" x14ac:dyDescent="0.25">
      <c r="A71" s="933" t="s">
        <v>11</v>
      </c>
      <c r="B71" s="586" t="s">
        <v>46</v>
      </c>
      <c r="C71" s="586">
        <v>252</v>
      </c>
      <c r="D71" s="584" t="s">
        <v>774</v>
      </c>
      <c r="E71" s="586" t="s">
        <v>15</v>
      </c>
      <c r="F71" s="1013">
        <v>5</v>
      </c>
      <c r="G71" s="928">
        <v>10.38</v>
      </c>
      <c r="H71" s="1008">
        <f t="shared" si="15"/>
        <v>10.38</v>
      </c>
      <c r="I71" s="1014">
        <f>ROUND(F71*H71,2)</f>
        <v>51.9</v>
      </c>
      <c r="J71" s="328"/>
      <c r="K71" s="328"/>
      <c r="L71" s="328"/>
      <c r="M71" s="328"/>
      <c r="N71" s="328"/>
      <c r="O71" s="328"/>
      <c r="P71" s="328"/>
      <c r="Q71" s="328"/>
    </row>
    <row r="72" spans="1:17" s="319" customFormat="1" ht="14.25" x14ac:dyDescent="0.2">
      <c r="A72" s="930" t="s">
        <v>12</v>
      </c>
      <c r="B72" s="910" t="s">
        <v>46</v>
      </c>
      <c r="C72" s="910">
        <v>6110</v>
      </c>
      <c r="D72" s="931" t="s">
        <v>246</v>
      </c>
      <c r="E72" s="910" t="s">
        <v>15</v>
      </c>
      <c r="F72" s="1011">
        <v>5</v>
      </c>
      <c r="G72" s="932">
        <v>13.82</v>
      </c>
      <c r="H72" s="1002">
        <f t="shared" si="15"/>
        <v>13.82</v>
      </c>
      <c r="I72" s="1012">
        <f>ROUND(F72*H72,2)</f>
        <v>69.099999999999994</v>
      </c>
      <c r="J72" s="328"/>
      <c r="K72" s="328"/>
      <c r="L72" s="328"/>
      <c r="M72" s="328"/>
      <c r="N72" s="328"/>
      <c r="O72" s="328"/>
      <c r="P72" s="328"/>
      <c r="Q72" s="328"/>
    </row>
    <row r="73" spans="1:17" s="319" customFormat="1" ht="14.25" x14ac:dyDescent="0.2">
      <c r="A73" s="334"/>
      <c r="B73" s="226"/>
      <c r="C73" s="226"/>
      <c r="D73" s="147"/>
      <c r="E73" s="226"/>
      <c r="F73" s="361"/>
      <c r="G73" s="190"/>
      <c r="H73" s="327"/>
      <c r="I73" s="362"/>
      <c r="J73" s="328"/>
      <c r="K73" s="328"/>
      <c r="L73" s="328"/>
      <c r="M73" s="328"/>
      <c r="N73" s="328"/>
      <c r="O73" s="328"/>
      <c r="P73" s="328"/>
      <c r="Q73" s="328"/>
    </row>
    <row r="74" spans="1:17" s="326" customFormat="1" ht="30" x14ac:dyDescent="0.2">
      <c r="A74" s="594" t="s">
        <v>1063</v>
      </c>
      <c r="B74" s="298" t="s">
        <v>336</v>
      </c>
      <c r="C74" s="324" t="s">
        <v>588</v>
      </c>
      <c r="D74" s="325" t="s">
        <v>709</v>
      </c>
      <c r="E74" s="298" t="s">
        <v>19</v>
      </c>
      <c r="F74" s="363"/>
      <c r="G74" s="364"/>
      <c r="H74" s="364"/>
      <c r="I74" s="595">
        <f>SUM(I75:I78)</f>
        <v>399.49</v>
      </c>
      <c r="J74" s="93"/>
      <c r="K74" s="93"/>
      <c r="L74" s="93"/>
      <c r="M74" s="93"/>
      <c r="N74" s="93"/>
      <c r="O74" s="93"/>
      <c r="P74" s="93"/>
      <c r="Q74" s="93"/>
    </row>
    <row r="75" spans="1:17" s="319" customFormat="1" ht="14.25" x14ac:dyDescent="0.2">
      <c r="A75" s="334" t="s">
        <v>257</v>
      </c>
      <c r="B75" s="226" t="s">
        <v>46</v>
      </c>
      <c r="C75" s="226">
        <v>11125</v>
      </c>
      <c r="D75" s="147" t="s">
        <v>715</v>
      </c>
      <c r="E75" s="226" t="s">
        <v>170</v>
      </c>
      <c r="F75" s="361">
        <f>13.5*1.15*0.8</f>
        <v>12.42</v>
      </c>
      <c r="G75" s="327">
        <v>14.43</v>
      </c>
      <c r="H75" s="329">
        <f t="shared" ref="H75:H78" si="16">G75</f>
        <v>14.43</v>
      </c>
      <c r="I75" s="368">
        <f t="shared" ref="I75" si="17">ROUND(F75*H75,2)</f>
        <v>179.22</v>
      </c>
      <c r="J75" s="328"/>
      <c r="K75" s="328"/>
      <c r="L75" s="328"/>
      <c r="M75" s="328"/>
      <c r="N75" s="328"/>
      <c r="O75" s="328"/>
      <c r="P75" s="328"/>
      <c r="Q75" s="328"/>
    </row>
    <row r="76" spans="1:17" s="319" customFormat="1" ht="14.25" x14ac:dyDescent="0.2">
      <c r="A76" s="334" t="s">
        <v>258</v>
      </c>
      <c r="B76" s="226" t="s">
        <v>46</v>
      </c>
      <c r="C76" s="226">
        <v>589</v>
      </c>
      <c r="D76" s="147" t="s">
        <v>716</v>
      </c>
      <c r="E76" s="226" t="s">
        <v>18</v>
      </c>
      <c r="F76" s="361">
        <f>(1.15*2+0.8*2)</f>
        <v>3.9</v>
      </c>
      <c r="G76" s="327">
        <v>31.66</v>
      </c>
      <c r="H76" s="329">
        <f t="shared" si="16"/>
        <v>31.66</v>
      </c>
      <c r="I76" s="368">
        <f t="shared" ref="I76:I78" si="18">ROUND(F76*H76,2)</f>
        <v>123.47</v>
      </c>
      <c r="J76" s="328"/>
      <c r="K76" s="328"/>
      <c r="L76" s="328"/>
      <c r="M76" s="328"/>
      <c r="N76" s="328"/>
      <c r="O76" s="328"/>
      <c r="P76" s="328"/>
      <c r="Q76" s="328"/>
    </row>
    <row r="77" spans="1:17" s="319" customFormat="1" ht="14.25" x14ac:dyDescent="0.2">
      <c r="A77" s="334" t="s">
        <v>259</v>
      </c>
      <c r="B77" s="226" t="s">
        <v>46</v>
      </c>
      <c r="C77" s="226">
        <v>252</v>
      </c>
      <c r="D77" s="148" t="s">
        <v>774</v>
      </c>
      <c r="E77" s="226" t="s">
        <v>15</v>
      </c>
      <c r="F77" s="361">
        <v>4</v>
      </c>
      <c r="G77" s="190">
        <v>10.38</v>
      </c>
      <c r="H77" s="329">
        <f t="shared" si="16"/>
        <v>10.38</v>
      </c>
      <c r="I77" s="368">
        <f t="shared" si="18"/>
        <v>41.52</v>
      </c>
      <c r="J77" s="328"/>
      <c r="K77" s="328"/>
      <c r="L77" s="328"/>
      <c r="M77" s="328"/>
      <c r="N77" s="328"/>
      <c r="O77" s="328"/>
      <c r="P77" s="328"/>
      <c r="Q77" s="328"/>
    </row>
    <row r="78" spans="1:17" s="319" customFormat="1" ht="14.25" x14ac:dyDescent="0.2">
      <c r="A78" s="334" t="s">
        <v>260</v>
      </c>
      <c r="B78" s="226" t="s">
        <v>46</v>
      </c>
      <c r="C78" s="226">
        <v>6110</v>
      </c>
      <c r="D78" s="147" t="s">
        <v>246</v>
      </c>
      <c r="E78" s="226" t="s">
        <v>15</v>
      </c>
      <c r="F78" s="361">
        <v>4</v>
      </c>
      <c r="G78" s="190">
        <v>13.82</v>
      </c>
      <c r="H78" s="329">
        <f t="shared" si="16"/>
        <v>13.82</v>
      </c>
      <c r="I78" s="368">
        <f t="shared" si="18"/>
        <v>55.28</v>
      </c>
      <c r="J78" s="328"/>
      <c r="K78" s="328"/>
      <c r="L78" s="328"/>
      <c r="M78" s="328"/>
      <c r="N78" s="328"/>
      <c r="O78" s="328"/>
      <c r="P78" s="328"/>
      <c r="Q78" s="328"/>
    </row>
    <row r="79" spans="1:17" ht="15" customHeight="1" x14ac:dyDescent="0.2">
      <c r="A79" s="311"/>
      <c r="B79" s="150"/>
      <c r="C79" s="150"/>
      <c r="D79" s="184" t="s">
        <v>822</v>
      </c>
      <c r="E79" s="150"/>
      <c r="F79" s="146"/>
      <c r="G79" s="236"/>
      <c r="H79" s="329"/>
      <c r="I79" s="152"/>
      <c r="J79" s="41"/>
      <c r="K79" s="41"/>
      <c r="L79" s="41"/>
      <c r="M79" s="41"/>
      <c r="N79" s="41"/>
      <c r="O79" s="41"/>
      <c r="P79" s="41"/>
      <c r="Q79" s="41"/>
    </row>
    <row r="80" spans="1:17" s="326" customFormat="1" ht="30" x14ac:dyDescent="0.2">
      <c r="A80" s="594" t="s">
        <v>1027</v>
      </c>
      <c r="B80" s="298" t="s">
        <v>336</v>
      </c>
      <c r="C80" s="324" t="s">
        <v>589</v>
      </c>
      <c r="D80" s="325" t="s">
        <v>712</v>
      </c>
      <c r="E80" s="298" t="s">
        <v>19</v>
      </c>
      <c r="F80" s="363"/>
      <c r="G80" s="364"/>
      <c r="H80" s="364"/>
      <c r="I80" s="595">
        <f>SUM(I81:I84)</f>
        <v>322.78999999999996</v>
      </c>
      <c r="J80" s="93"/>
      <c r="K80" s="93"/>
      <c r="L80" s="93"/>
      <c r="M80" s="93"/>
      <c r="N80" s="93"/>
      <c r="O80" s="93"/>
      <c r="P80" s="93"/>
      <c r="Q80" s="93"/>
    </row>
    <row r="81" spans="1:17" s="319" customFormat="1" ht="14.25" x14ac:dyDescent="0.2">
      <c r="A81" s="334" t="s">
        <v>261</v>
      </c>
      <c r="B81" s="226" t="s">
        <v>46</v>
      </c>
      <c r="C81" s="226">
        <v>11125</v>
      </c>
      <c r="D81" s="147" t="s">
        <v>715</v>
      </c>
      <c r="E81" s="226" t="s">
        <v>170</v>
      </c>
      <c r="F81" s="361">
        <f>13.5*0.8*0.8</f>
        <v>8.64</v>
      </c>
      <c r="G81" s="327">
        <v>14.43</v>
      </c>
      <c r="H81" s="329">
        <f t="shared" ref="H81" si="19">G81</f>
        <v>14.43</v>
      </c>
      <c r="I81" s="368">
        <f t="shared" ref="I81" si="20">ROUND(F81*H81,2)</f>
        <v>124.68</v>
      </c>
      <c r="J81" s="328"/>
      <c r="K81" s="328"/>
      <c r="L81" s="328"/>
      <c r="M81" s="328"/>
      <c r="N81" s="328"/>
      <c r="O81" s="328"/>
      <c r="P81" s="328"/>
      <c r="Q81" s="328"/>
    </row>
    <row r="82" spans="1:17" s="319" customFormat="1" ht="14.25" x14ac:dyDescent="0.2">
      <c r="A82" s="334" t="s">
        <v>262</v>
      </c>
      <c r="B82" s="226" t="s">
        <v>46</v>
      </c>
      <c r="C82" s="226">
        <v>589</v>
      </c>
      <c r="D82" s="147" t="s">
        <v>716</v>
      </c>
      <c r="E82" s="226" t="s">
        <v>18</v>
      </c>
      <c r="F82" s="361">
        <f>(0.8*4)</f>
        <v>3.2</v>
      </c>
      <c r="G82" s="327">
        <v>31.66</v>
      </c>
      <c r="H82" s="327">
        <f t="shared" ref="H82:H84" si="21">G82</f>
        <v>31.66</v>
      </c>
      <c r="I82" s="362">
        <f>ROUND(F82*H82,2)</f>
        <v>101.31</v>
      </c>
      <c r="J82" s="328"/>
      <c r="K82" s="328"/>
      <c r="L82" s="328"/>
      <c r="M82" s="328"/>
      <c r="N82" s="328"/>
      <c r="O82" s="328"/>
      <c r="P82" s="328"/>
      <c r="Q82" s="328"/>
    </row>
    <row r="83" spans="1:17" s="319" customFormat="1" ht="14.25" x14ac:dyDescent="0.2">
      <c r="A83" s="334" t="s">
        <v>263</v>
      </c>
      <c r="B83" s="226" t="s">
        <v>46</v>
      </c>
      <c r="C83" s="226">
        <v>252</v>
      </c>
      <c r="D83" s="148" t="s">
        <v>774</v>
      </c>
      <c r="E83" s="226" t="s">
        <v>15</v>
      </c>
      <c r="F83" s="361">
        <v>4</v>
      </c>
      <c r="G83" s="190">
        <v>10.38</v>
      </c>
      <c r="H83" s="327">
        <f t="shared" si="21"/>
        <v>10.38</v>
      </c>
      <c r="I83" s="362">
        <f>ROUND(F83*H83,2)</f>
        <v>41.52</v>
      </c>
      <c r="J83" s="328"/>
      <c r="K83" s="328"/>
      <c r="L83" s="328"/>
      <c r="M83" s="328"/>
      <c r="N83" s="328"/>
      <c r="O83" s="328"/>
      <c r="P83" s="328"/>
      <c r="Q83" s="328"/>
    </row>
    <row r="84" spans="1:17" s="319" customFormat="1" ht="14.25" x14ac:dyDescent="0.2">
      <c r="A84" s="334" t="s">
        <v>264</v>
      </c>
      <c r="B84" s="226" t="s">
        <v>46</v>
      </c>
      <c r="C84" s="226">
        <v>6110</v>
      </c>
      <c r="D84" s="147" t="s">
        <v>246</v>
      </c>
      <c r="E84" s="226" t="s">
        <v>15</v>
      </c>
      <c r="F84" s="361">
        <v>4</v>
      </c>
      <c r="G84" s="190">
        <v>13.82</v>
      </c>
      <c r="H84" s="327">
        <f t="shared" si="21"/>
        <v>13.82</v>
      </c>
      <c r="I84" s="362">
        <f>ROUND(F84*H84,2)</f>
        <v>55.28</v>
      </c>
      <c r="J84" s="328"/>
      <c r="K84" s="328"/>
      <c r="L84" s="328"/>
      <c r="M84" s="328"/>
      <c r="N84" s="328"/>
      <c r="O84" s="328"/>
      <c r="P84" s="328"/>
      <c r="Q84" s="328"/>
    </row>
    <row r="85" spans="1:17" ht="15" customHeight="1" x14ac:dyDescent="0.2">
      <c r="A85" s="311"/>
      <c r="B85" s="150"/>
      <c r="C85" s="150"/>
      <c r="D85" s="184"/>
      <c r="E85" s="150"/>
      <c r="F85" s="146"/>
      <c r="G85" s="236"/>
      <c r="H85" s="329"/>
      <c r="I85" s="152"/>
      <c r="J85" s="41"/>
      <c r="K85" s="41"/>
      <c r="L85" s="41"/>
      <c r="M85" s="41"/>
      <c r="N85" s="41"/>
      <c r="O85" s="41"/>
      <c r="P85" s="41"/>
      <c r="Q85" s="41"/>
    </row>
    <row r="86" spans="1:17" s="137" customFormat="1" ht="15.95" customHeight="1" x14ac:dyDescent="0.2">
      <c r="A86" s="594" t="s">
        <v>1066</v>
      </c>
      <c r="B86" s="298" t="s">
        <v>336</v>
      </c>
      <c r="C86" s="324" t="s">
        <v>265</v>
      </c>
      <c r="D86" s="325" t="s">
        <v>710</v>
      </c>
      <c r="E86" s="298" t="s">
        <v>19</v>
      </c>
      <c r="F86" s="363"/>
      <c r="G86" s="364"/>
      <c r="H86" s="364"/>
      <c r="I86" s="595">
        <f>SUM(I87:I109)</f>
        <v>16381.03</v>
      </c>
      <c r="J86" s="136"/>
      <c r="K86" s="136"/>
      <c r="L86" s="136"/>
      <c r="M86" s="136"/>
      <c r="N86" s="136"/>
      <c r="O86" s="136"/>
      <c r="P86" s="136"/>
      <c r="Q86" s="136"/>
    </row>
    <row r="87" spans="1:17" s="319" customFormat="1" ht="15.95" customHeight="1" x14ac:dyDescent="0.2">
      <c r="A87" s="334" t="s">
        <v>266</v>
      </c>
      <c r="B87" s="226" t="s">
        <v>46</v>
      </c>
      <c r="C87" s="226">
        <v>93358</v>
      </c>
      <c r="D87" s="147" t="s">
        <v>776</v>
      </c>
      <c r="E87" s="226" t="s">
        <v>17</v>
      </c>
      <c r="F87" s="146">
        <f>5*2.8*1</f>
        <v>14</v>
      </c>
      <c r="G87" s="236">
        <v>65.819999999999993</v>
      </c>
      <c r="H87" s="327">
        <f t="shared" ref="H87:H109" si="22">G87</f>
        <v>65.819999999999993</v>
      </c>
      <c r="I87" s="313">
        <f t="shared" ref="I87:I109" si="23">ROUND(F87*H87,2)</f>
        <v>921.48</v>
      </c>
      <c r="J87" s="328"/>
      <c r="K87" s="328"/>
      <c r="L87" s="328"/>
      <c r="M87" s="328"/>
      <c r="N87" s="328"/>
      <c r="O87" s="328"/>
      <c r="P87" s="328"/>
      <c r="Q87" s="328"/>
    </row>
    <row r="88" spans="1:17" s="319" customFormat="1" ht="28.5" x14ac:dyDescent="0.2">
      <c r="A88" s="334" t="s">
        <v>267</v>
      </c>
      <c r="B88" s="226" t="s">
        <v>46</v>
      </c>
      <c r="C88" s="226">
        <v>94097</v>
      </c>
      <c r="D88" s="147" t="s">
        <v>735</v>
      </c>
      <c r="E88" s="226" t="s">
        <v>16</v>
      </c>
      <c r="F88" s="146">
        <f>5*2.8</f>
        <v>14</v>
      </c>
      <c r="G88" s="236">
        <v>4.91</v>
      </c>
      <c r="H88" s="327">
        <f t="shared" si="22"/>
        <v>4.91</v>
      </c>
      <c r="I88" s="313">
        <f t="shared" si="23"/>
        <v>68.739999999999995</v>
      </c>
      <c r="J88" s="328"/>
      <c r="K88" s="328"/>
      <c r="L88" s="328"/>
      <c r="M88" s="328"/>
      <c r="N88" s="328"/>
      <c r="O88" s="328"/>
      <c r="P88" s="328"/>
      <c r="Q88" s="328"/>
    </row>
    <row r="89" spans="1:17" s="319" customFormat="1" ht="15.95" customHeight="1" x14ac:dyDescent="0.2">
      <c r="A89" s="334" t="s">
        <v>268</v>
      </c>
      <c r="B89" s="226" t="s">
        <v>46</v>
      </c>
      <c r="C89" s="226">
        <v>88039</v>
      </c>
      <c r="D89" s="156" t="s">
        <v>717</v>
      </c>
      <c r="E89" s="226" t="s">
        <v>17</v>
      </c>
      <c r="F89" s="146">
        <f>F88</f>
        <v>14</v>
      </c>
      <c r="G89" s="236">
        <v>69.37</v>
      </c>
      <c r="H89" s="327">
        <f t="shared" si="22"/>
        <v>69.37</v>
      </c>
      <c r="I89" s="313">
        <f t="shared" si="23"/>
        <v>971.18</v>
      </c>
      <c r="J89" s="328"/>
      <c r="K89" s="328"/>
      <c r="L89" s="328"/>
      <c r="M89" s="328"/>
      <c r="N89" s="328"/>
      <c r="O89" s="328"/>
      <c r="P89" s="328"/>
      <c r="Q89" s="328"/>
    </row>
    <row r="90" spans="1:17" s="26" customFormat="1" ht="28.5" x14ac:dyDescent="0.2">
      <c r="A90" s="334" t="s">
        <v>269</v>
      </c>
      <c r="B90" s="226" t="s">
        <v>46</v>
      </c>
      <c r="C90" s="226">
        <v>95241</v>
      </c>
      <c r="D90" s="156" t="s">
        <v>706</v>
      </c>
      <c r="E90" s="226" t="s">
        <v>16</v>
      </c>
      <c r="F90" s="146">
        <f>F88</f>
        <v>14</v>
      </c>
      <c r="G90" s="236">
        <v>19.88</v>
      </c>
      <c r="H90" s="327">
        <f t="shared" si="22"/>
        <v>19.88</v>
      </c>
      <c r="I90" s="313">
        <f t="shared" si="23"/>
        <v>278.32</v>
      </c>
      <c r="J90" s="27"/>
      <c r="K90" s="27"/>
      <c r="L90" s="27"/>
      <c r="M90" s="27"/>
      <c r="N90" s="27"/>
      <c r="O90" s="27"/>
      <c r="P90" s="27"/>
      <c r="Q90" s="27"/>
    </row>
    <row r="91" spans="1:17" s="336" customFormat="1" ht="14.25" x14ac:dyDescent="0.2">
      <c r="A91" s="334" t="s">
        <v>323</v>
      </c>
      <c r="B91" s="154" t="s">
        <v>46</v>
      </c>
      <c r="C91" s="226">
        <v>6454</v>
      </c>
      <c r="D91" s="156" t="s">
        <v>1691</v>
      </c>
      <c r="E91" s="154" t="s">
        <v>17</v>
      </c>
      <c r="F91" s="146">
        <f>F87</f>
        <v>14</v>
      </c>
      <c r="G91" s="146">
        <v>155.35</v>
      </c>
      <c r="H91" s="146">
        <f t="shared" ref="H91" si="24">ROUND((1+$L$16)*G91,2)</f>
        <v>155.35</v>
      </c>
      <c r="I91" s="313">
        <f>ROUND(F91*H91,2)</f>
        <v>2174.9</v>
      </c>
      <c r="J91" s="335"/>
      <c r="K91" s="335"/>
      <c r="L91" s="335"/>
      <c r="M91" s="335"/>
      <c r="N91" s="335"/>
      <c r="O91" s="335"/>
    </row>
    <row r="92" spans="1:17" s="26" customFormat="1" ht="14.25" x14ac:dyDescent="0.2">
      <c r="A92" s="334" t="s">
        <v>324</v>
      </c>
      <c r="B92" s="226" t="s">
        <v>46</v>
      </c>
      <c r="C92" s="226">
        <v>25071</v>
      </c>
      <c r="D92" s="156" t="s">
        <v>1710</v>
      </c>
      <c r="E92" s="226" t="s">
        <v>19</v>
      </c>
      <c r="F92" s="146">
        <v>239</v>
      </c>
      <c r="G92" s="236">
        <v>1.53</v>
      </c>
      <c r="H92" s="327">
        <f t="shared" si="22"/>
        <v>1.53</v>
      </c>
      <c r="I92" s="313">
        <f t="shared" si="23"/>
        <v>365.67</v>
      </c>
      <c r="J92" s="27"/>
      <c r="K92" s="27"/>
      <c r="L92" s="27"/>
      <c r="M92" s="27"/>
      <c r="N92" s="27"/>
      <c r="O92" s="27"/>
      <c r="P92" s="27"/>
      <c r="Q92" s="27"/>
    </row>
    <row r="93" spans="1:17" s="26" customFormat="1" ht="14.25" x14ac:dyDescent="0.2">
      <c r="A93" s="334" t="s">
        <v>325</v>
      </c>
      <c r="B93" s="226" t="s">
        <v>46</v>
      </c>
      <c r="C93" s="226">
        <v>38591</v>
      </c>
      <c r="D93" s="156" t="s">
        <v>1711</v>
      </c>
      <c r="E93" s="226" t="s">
        <v>19</v>
      </c>
      <c r="F93" s="146">
        <v>200</v>
      </c>
      <c r="G93" s="236">
        <v>2.21</v>
      </c>
      <c r="H93" s="327">
        <f t="shared" ref="H93:H94" si="25">G93</f>
        <v>2.21</v>
      </c>
      <c r="I93" s="313">
        <f t="shared" ref="I93:I94" si="26">ROUND(F93*H93,2)</f>
        <v>442</v>
      </c>
      <c r="J93" s="27"/>
      <c r="K93" s="27"/>
      <c r="L93" s="27"/>
      <c r="M93" s="27"/>
      <c r="N93" s="27"/>
      <c r="O93" s="27"/>
      <c r="P93" s="27"/>
      <c r="Q93" s="27"/>
    </row>
    <row r="94" spans="1:17" s="26" customFormat="1" ht="14.25" x14ac:dyDescent="0.2">
      <c r="A94" s="334" t="s">
        <v>326</v>
      </c>
      <c r="B94" s="226" t="s">
        <v>46</v>
      </c>
      <c r="C94" s="226">
        <v>38593</v>
      </c>
      <c r="D94" s="156" t="s">
        <v>1712</v>
      </c>
      <c r="E94" s="226" t="s">
        <v>19</v>
      </c>
      <c r="F94" s="146">
        <v>76</v>
      </c>
      <c r="G94" s="236">
        <v>1.9</v>
      </c>
      <c r="H94" s="327">
        <f t="shared" si="25"/>
        <v>1.9</v>
      </c>
      <c r="I94" s="313">
        <f t="shared" si="26"/>
        <v>144.4</v>
      </c>
      <c r="J94" s="27"/>
      <c r="K94" s="27"/>
      <c r="L94" s="27"/>
      <c r="M94" s="27"/>
      <c r="N94" s="27"/>
      <c r="O94" s="27"/>
      <c r="P94" s="27"/>
      <c r="Q94" s="27"/>
    </row>
    <row r="95" spans="1:17" s="26" customFormat="1" ht="14.25" x14ac:dyDescent="0.2">
      <c r="A95" s="334" t="s">
        <v>327</v>
      </c>
      <c r="B95" s="226" t="s">
        <v>46</v>
      </c>
      <c r="C95" s="226">
        <v>38598</v>
      </c>
      <c r="D95" s="156" t="s">
        <v>1713</v>
      </c>
      <c r="E95" s="226" t="s">
        <v>19</v>
      </c>
      <c r="F95" s="236">
        <f>61+62</f>
        <v>123</v>
      </c>
      <c r="G95" s="236">
        <v>1.96</v>
      </c>
      <c r="H95" s="327">
        <f t="shared" ref="H95:H100" si="27">G95</f>
        <v>1.96</v>
      </c>
      <c r="I95" s="313">
        <f t="shared" ref="I95:I100" si="28">ROUND(F95*H95,2)</f>
        <v>241.08</v>
      </c>
      <c r="J95" s="27"/>
      <c r="K95" s="27"/>
      <c r="L95" s="27"/>
      <c r="M95" s="27"/>
      <c r="N95" s="27"/>
      <c r="O95" s="27"/>
      <c r="P95" s="27"/>
      <c r="Q95" s="27"/>
    </row>
    <row r="96" spans="1:17" s="26" customFormat="1" ht="14.25" x14ac:dyDescent="0.2">
      <c r="A96" s="334" t="s">
        <v>328</v>
      </c>
      <c r="B96" s="226" t="s">
        <v>46</v>
      </c>
      <c r="C96" s="226">
        <v>34452</v>
      </c>
      <c r="D96" s="156" t="s">
        <v>1714</v>
      </c>
      <c r="E96" s="226" t="s">
        <v>170</v>
      </c>
      <c r="F96" s="236">
        <v>1</v>
      </c>
      <c r="G96" s="236">
        <v>3.7</v>
      </c>
      <c r="H96" s="327">
        <f t="shared" si="27"/>
        <v>3.7</v>
      </c>
      <c r="I96" s="313">
        <f t="shared" si="28"/>
        <v>3.7</v>
      </c>
      <c r="J96" s="27"/>
      <c r="K96" s="27"/>
      <c r="L96" s="27"/>
      <c r="M96" s="27"/>
      <c r="N96" s="27"/>
      <c r="O96" s="27"/>
      <c r="P96" s="27"/>
      <c r="Q96" s="27"/>
    </row>
    <row r="97" spans="1:17" s="26" customFormat="1" ht="14.25" customHeight="1" x14ac:dyDescent="0.2">
      <c r="A97" s="334" t="s">
        <v>329</v>
      </c>
      <c r="B97" s="226" t="s">
        <v>46</v>
      </c>
      <c r="C97" s="226">
        <v>34456</v>
      </c>
      <c r="D97" s="156" t="s">
        <v>1715</v>
      </c>
      <c r="E97" s="226" t="s">
        <v>170</v>
      </c>
      <c r="F97" s="236">
        <v>16</v>
      </c>
      <c r="G97" s="236">
        <v>3.7</v>
      </c>
      <c r="H97" s="327">
        <f t="shared" si="27"/>
        <v>3.7</v>
      </c>
      <c r="I97" s="313">
        <f t="shared" si="28"/>
        <v>59.2</v>
      </c>
      <c r="J97" s="27"/>
      <c r="K97" s="27"/>
      <c r="L97" s="27"/>
      <c r="M97" s="27"/>
      <c r="N97" s="27"/>
      <c r="O97" s="27"/>
      <c r="P97" s="27"/>
      <c r="Q97" s="27"/>
    </row>
    <row r="98" spans="1:17" s="26" customFormat="1" ht="14.25" customHeight="1" x14ac:dyDescent="0.2">
      <c r="A98" s="334" t="s">
        <v>330</v>
      </c>
      <c r="B98" s="226" t="s">
        <v>46</v>
      </c>
      <c r="C98" s="226">
        <v>34449</v>
      </c>
      <c r="D98" s="156" t="s">
        <v>844</v>
      </c>
      <c r="E98" s="226" t="s">
        <v>170</v>
      </c>
      <c r="F98" s="236">
        <v>95</v>
      </c>
      <c r="G98" s="236">
        <v>4.18</v>
      </c>
      <c r="H98" s="327">
        <f t="shared" si="27"/>
        <v>4.18</v>
      </c>
      <c r="I98" s="313">
        <f t="shared" si="28"/>
        <v>397.1</v>
      </c>
      <c r="J98" s="27"/>
      <c r="K98" s="27"/>
      <c r="L98" s="27"/>
      <c r="M98" s="27"/>
      <c r="N98" s="27"/>
      <c r="O98" s="27"/>
      <c r="P98" s="27"/>
      <c r="Q98" s="27"/>
    </row>
    <row r="99" spans="1:17" s="26" customFormat="1" ht="14.25" x14ac:dyDescent="0.2">
      <c r="A99" s="334" t="s">
        <v>331</v>
      </c>
      <c r="B99" s="226" t="s">
        <v>46</v>
      </c>
      <c r="C99" s="226">
        <v>33</v>
      </c>
      <c r="D99" s="156" t="s">
        <v>772</v>
      </c>
      <c r="E99" s="226" t="s">
        <v>170</v>
      </c>
      <c r="F99" s="236">
        <v>6</v>
      </c>
      <c r="G99" s="236">
        <v>4.1900000000000004</v>
      </c>
      <c r="H99" s="327">
        <f t="shared" si="27"/>
        <v>4.1900000000000004</v>
      </c>
      <c r="I99" s="313">
        <f t="shared" si="28"/>
        <v>25.14</v>
      </c>
      <c r="J99" s="27"/>
      <c r="K99" s="27"/>
      <c r="L99" s="27"/>
      <c r="M99" s="27"/>
      <c r="N99" s="27"/>
      <c r="O99" s="27"/>
      <c r="P99" s="27"/>
      <c r="Q99" s="27"/>
    </row>
    <row r="100" spans="1:17" s="26" customFormat="1" ht="14.25" x14ac:dyDescent="0.2">
      <c r="A100" s="334" t="s">
        <v>332</v>
      </c>
      <c r="B100" s="226" t="s">
        <v>46</v>
      </c>
      <c r="C100" s="226">
        <v>34439</v>
      </c>
      <c r="D100" s="156" t="s">
        <v>771</v>
      </c>
      <c r="E100" s="226" t="s">
        <v>170</v>
      </c>
      <c r="F100" s="236">
        <v>45</v>
      </c>
      <c r="G100" s="236">
        <v>4</v>
      </c>
      <c r="H100" s="327">
        <f t="shared" si="27"/>
        <v>4</v>
      </c>
      <c r="I100" s="313">
        <f t="shared" si="28"/>
        <v>180</v>
      </c>
      <c r="J100" s="27"/>
      <c r="K100" s="27"/>
      <c r="L100" s="27"/>
      <c r="M100" s="27"/>
      <c r="N100" s="27"/>
      <c r="O100" s="27"/>
      <c r="P100" s="27"/>
      <c r="Q100" s="27"/>
    </row>
    <row r="101" spans="1:17" s="26" customFormat="1" ht="28.5" x14ac:dyDescent="0.2">
      <c r="A101" s="334" t="s">
        <v>1555</v>
      </c>
      <c r="B101" s="226" t="s">
        <v>46</v>
      </c>
      <c r="C101" s="226">
        <v>94973</v>
      </c>
      <c r="D101" s="156" t="s">
        <v>707</v>
      </c>
      <c r="E101" s="226" t="s">
        <v>17</v>
      </c>
      <c r="F101" s="146">
        <v>2.1</v>
      </c>
      <c r="G101" s="236">
        <v>318.3</v>
      </c>
      <c r="H101" s="327">
        <f>G101</f>
        <v>318.3</v>
      </c>
      <c r="I101" s="313">
        <f>ROUND(F101*H101,2)</f>
        <v>668.43</v>
      </c>
      <c r="J101" s="27"/>
      <c r="K101" s="27"/>
      <c r="L101" s="27"/>
      <c r="M101" s="27"/>
      <c r="N101" s="27"/>
      <c r="O101" s="27"/>
      <c r="P101" s="27"/>
      <c r="Q101" s="27"/>
    </row>
    <row r="102" spans="1:17" s="26" customFormat="1" ht="14.25" x14ac:dyDescent="0.2">
      <c r="A102" s="334" t="s">
        <v>1556</v>
      </c>
      <c r="B102" s="226" t="s">
        <v>46</v>
      </c>
      <c r="C102" s="226">
        <v>38124</v>
      </c>
      <c r="D102" s="156" t="s">
        <v>1730</v>
      </c>
      <c r="E102" s="226" t="s">
        <v>19</v>
      </c>
      <c r="F102" s="146">
        <v>2</v>
      </c>
      <c r="G102" s="236">
        <v>29.7</v>
      </c>
      <c r="H102" s="327">
        <f>G102</f>
        <v>29.7</v>
      </c>
      <c r="I102" s="313">
        <f>ROUND(F102*H102,2)</f>
        <v>59.4</v>
      </c>
      <c r="J102" s="27"/>
      <c r="K102" s="27"/>
      <c r="L102" s="27"/>
      <c r="M102" s="27"/>
      <c r="N102" s="27"/>
      <c r="O102" s="27"/>
      <c r="P102" s="27"/>
      <c r="Q102" s="27"/>
    </row>
    <row r="103" spans="1:17" s="26" customFormat="1" ht="43.5" thickBot="1" x14ac:dyDescent="0.25">
      <c r="A103" s="933" t="s">
        <v>1557</v>
      </c>
      <c r="B103" s="586" t="s">
        <v>46</v>
      </c>
      <c r="C103" s="913">
        <v>92541</v>
      </c>
      <c r="D103" s="584" t="s">
        <v>1720</v>
      </c>
      <c r="E103" s="586" t="s">
        <v>16</v>
      </c>
      <c r="F103" s="585">
        <f>5.6*3.4</f>
        <v>19.04</v>
      </c>
      <c r="G103" s="1016">
        <v>44.87</v>
      </c>
      <c r="H103" s="1008">
        <f t="shared" ref="H103:H104" si="29">G103</f>
        <v>44.87</v>
      </c>
      <c r="I103" s="915">
        <f t="shared" ref="I103:I104" si="30">ROUND(F103*H103,2)</f>
        <v>854.32</v>
      </c>
      <c r="J103" s="27"/>
      <c r="K103" s="27"/>
      <c r="L103" s="27"/>
      <c r="M103" s="27"/>
      <c r="N103" s="27"/>
      <c r="O103" s="27"/>
      <c r="P103" s="27"/>
      <c r="Q103" s="27"/>
    </row>
    <row r="104" spans="1:17" s="26" customFormat="1" ht="28.5" x14ac:dyDescent="0.2">
      <c r="A104" s="930" t="s">
        <v>1558</v>
      </c>
      <c r="B104" s="910" t="s">
        <v>46</v>
      </c>
      <c r="C104" s="899">
        <v>94201</v>
      </c>
      <c r="D104" s="900" t="s">
        <v>1721</v>
      </c>
      <c r="E104" s="910" t="s">
        <v>16</v>
      </c>
      <c r="F104" s="901">
        <f>F103</f>
        <v>19.04</v>
      </c>
      <c r="G104" s="1015">
        <v>44.75</v>
      </c>
      <c r="H104" s="1002">
        <f t="shared" si="29"/>
        <v>44.75</v>
      </c>
      <c r="I104" s="919">
        <f t="shared" si="30"/>
        <v>852.04</v>
      </c>
      <c r="J104" s="27"/>
      <c r="K104" s="27"/>
      <c r="L104" s="27"/>
      <c r="M104" s="27"/>
      <c r="N104" s="27"/>
      <c r="O104" s="27"/>
      <c r="P104" s="27"/>
      <c r="Q104" s="27"/>
    </row>
    <row r="105" spans="1:17" s="26" customFormat="1" ht="28.5" customHeight="1" x14ac:dyDescent="0.2">
      <c r="A105" s="334" t="s">
        <v>1559</v>
      </c>
      <c r="B105" s="226" t="s">
        <v>46</v>
      </c>
      <c r="C105" s="226">
        <v>87878</v>
      </c>
      <c r="D105" s="147" t="s">
        <v>719</v>
      </c>
      <c r="E105" s="226" t="s">
        <v>16</v>
      </c>
      <c r="F105" s="146">
        <f>44.24*2</f>
        <v>88.48</v>
      </c>
      <c r="G105" s="236">
        <v>3.13</v>
      </c>
      <c r="H105" s="327">
        <f t="shared" si="22"/>
        <v>3.13</v>
      </c>
      <c r="I105" s="313">
        <f t="shared" si="23"/>
        <v>276.94</v>
      </c>
      <c r="J105" s="27"/>
      <c r="K105" s="27"/>
      <c r="L105" s="27"/>
      <c r="M105" s="27"/>
      <c r="N105" s="27"/>
      <c r="O105" s="27"/>
      <c r="P105" s="27"/>
      <c r="Q105" s="27"/>
    </row>
    <row r="106" spans="1:17" s="26" customFormat="1" ht="57" x14ac:dyDescent="0.2">
      <c r="A106" s="334" t="s">
        <v>1560</v>
      </c>
      <c r="B106" s="226" t="s">
        <v>46</v>
      </c>
      <c r="C106" s="226">
        <v>87561</v>
      </c>
      <c r="D106" s="156" t="s">
        <v>777</v>
      </c>
      <c r="E106" s="226" t="s">
        <v>16</v>
      </c>
      <c r="F106" s="146">
        <f>F105</f>
        <v>88.48</v>
      </c>
      <c r="G106" s="236">
        <v>23.88</v>
      </c>
      <c r="H106" s="327">
        <f t="shared" si="22"/>
        <v>23.88</v>
      </c>
      <c r="I106" s="313">
        <f t="shared" si="23"/>
        <v>2112.9</v>
      </c>
      <c r="J106" s="27"/>
      <c r="K106" s="27"/>
      <c r="L106" s="27"/>
      <c r="M106" s="27"/>
      <c r="N106" s="27"/>
      <c r="O106" s="27"/>
      <c r="P106" s="27"/>
      <c r="Q106" s="27"/>
    </row>
    <row r="107" spans="1:17" s="26" customFormat="1" ht="28.5" x14ac:dyDescent="0.2">
      <c r="A107" s="334" t="s">
        <v>1561</v>
      </c>
      <c r="B107" s="226" t="s">
        <v>46</v>
      </c>
      <c r="C107" s="226">
        <v>91341</v>
      </c>
      <c r="D107" s="156" t="s">
        <v>1719</v>
      </c>
      <c r="E107" s="226" t="s">
        <v>16</v>
      </c>
      <c r="F107" s="146">
        <f>0.8*2.1*2</f>
        <v>3.3600000000000003</v>
      </c>
      <c r="G107" s="236">
        <v>695.38</v>
      </c>
      <c r="H107" s="327">
        <f t="shared" si="22"/>
        <v>695.38</v>
      </c>
      <c r="I107" s="313">
        <f t="shared" si="23"/>
        <v>2336.48</v>
      </c>
      <c r="J107" s="27"/>
      <c r="K107" s="27"/>
      <c r="L107" s="27"/>
      <c r="M107" s="27"/>
      <c r="N107" s="27"/>
      <c r="O107" s="27"/>
      <c r="P107" s="27"/>
      <c r="Q107" s="27"/>
    </row>
    <row r="108" spans="1:17" s="26" customFormat="1" ht="28.5" x14ac:dyDescent="0.2">
      <c r="A108" s="334" t="s">
        <v>1562</v>
      </c>
      <c r="B108" s="226" t="s">
        <v>46</v>
      </c>
      <c r="C108" s="226">
        <v>94576</v>
      </c>
      <c r="D108" s="156" t="s">
        <v>1729</v>
      </c>
      <c r="E108" s="226" t="s">
        <v>19</v>
      </c>
      <c r="F108" s="146">
        <f>1.5*1.2*2</f>
        <v>3.5999999999999996</v>
      </c>
      <c r="G108" s="236">
        <v>520.70000000000005</v>
      </c>
      <c r="H108" s="327">
        <f t="shared" si="22"/>
        <v>520.70000000000005</v>
      </c>
      <c r="I108" s="313">
        <f t="shared" si="23"/>
        <v>1874.52</v>
      </c>
      <c r="J108" s="27"/>
      <c r="K108" s="27"/>
      <c r="L108" s="27"/>
      <c r="M108" s="27"/>
      <c r="N108" s="27"/>
      <c r="O108" s="27"/>
      <c r="P108" s="27"/>
      <c r="Q108" s="27"/>
    </row>
    <row r="109" spans="1:17" s="26" customFormat="1" ht="28.5" x14ac:dyDescent="0.2">
      <c r="A109" s="334" t="s">
        <v>1563</v>
      </c>
      <c r="B109" s="226" t="s">
        <v>46</v>
      </c>
      <c r="C109" s="226">
        <v>88487</v>
      </c>
      <c r="D109" s="156" t="s">
        <v>720</v>
      </c>
      <c r="E109" s="226" t="s">
        <v>16</v>
      </c>
      <c r="F109" s="146">
        <f>F105*1.6</f>
        <v>141.56800000000001</v>
      </c>
      <c r="G109" s="236">
        <v>7.58</v>
      </c>
      <c r="H109" s="327">
        <f t="shared" si="22"/>
        <v>7.58</v>
      </c>
      <c r="I109" s="313">
        <f t="shared" si="23"/>
        <v>1073.0899999999999</v>
      </c>
      <c r="J109" s="27"/>
      <c r="K109" s="27"/>
      <c r="L109" s="27"/>
      <c r="M109" s="27"/>
      <c r="N109" s="27"/>
      <c r="O109" s="27"/>
      <c r="P109" s="27"/>
      <c r="Q109" s="27"/>
    </row>
    <row r="110" spans="1:17" ht="15" customHeight="1" x14ac:dyDescent="0.2">
      <c r="A110" s="311"/>
      <c r="B110" s="150"/>
      <c r="C110" s="226"/>
      <c r="D110" s="156"/>
      <c r="E110" s="226"/>
      <c r="F110" s="146"/>
      <c r="G110" s="236"/>
      <c r="H110" s="329"/>
      <c r="I110" s="152"/>
      <c r="J110" s="41"/>
      <c r="K110" s="41"/>
      <c r="L110" s="41"/>
      <c r="M110" s="41"/>
      <c r="N110" s="41"/>
      <c r="O110" s="41"/>
      <c r="P110" s="41"/>
      <c r="Q110" s="41"/>
    </row>
    <row r="111" spans="1:17" s="326" customFormat="1" ht="18" customHeight="1" x14ac:dyDescent="0.2">
      <c r="A111" s="594" t="s">
        <v>1564</v>
      </c>
      <c r="B111" s="298" t="s">
        <v>336</v>
      </c>
      <c r="C111" s="324" t="s">
        <v>590</v>
      </c>
      <c r="D111" s="325" t="s">
        <v>1565</v>
      </c>
      <c r="E111" s="298" t="s">
        <v>19</v>
      </c>
      <c r="F111" s="363"/>
      <c r="G111" s="364"/>
      <c r="H111" s="364"/>
      <c r="I111" s="595">
        <f>SUM(I112:I136)</f>
        <v>18829.400000000001</v>
      </c>
      <c r="J111" s="93"/>
      <c r="K111" s="93"/>
      <c r="L111" s="93"/>
      <c r="M111" s="93"/>
      <c r="N111" s="93"/>
      <c r="O111" s="93"/>
      <c r="P111" s="93"/>
      <c r="Q111" s="93"/>
    </row>
    <row r="112" spans="1:17" s="26" customFormat="1" ht="14.25" x14ac:dyDescent="0.2">
      <c r="A112" s="597" t="s">
        <v>603</v>
      </c>
      <c r="B112" s="226" t="s">
        <v>66</v>
      </c>
      <c r="C112" s="226"/>
      <c r="D112" s="148" t="s">
        <v>779</v>
      </c>
      <c r="E112" s="226" t="s">
        <v>19</v>
      </c>
      <c r="F112" s="146">
        <v>1</v>
      </c>
      <c r="G112" s="235">
        <v>2000</v>
      </c>
      <c r="H112" s="327">
        <f t="shared" ref="H112:H133" si="31">G112</f>
        <v>2000</v>
      </c>
      <c r="I112" s="313">
        <f t="shared" ref="I112:I133" si="32">ROUND(F112*H112,2)</f>
        <v>2000</v>
      </c>
      <c r="J112" s="27"/>
      <c r="K112" s="27"/>
      <c r="L112" s="27"/>
      <c r="M112" s="27"/>
      <c r="N112" s="27"/>
      <c r="O112" s="27"/>
      <c r="P112" s="27"/>
      <c r="Q112" s="27"/>
    </row>
    <row r="113" spans="1:17" s="26" customFormat="1" ht="14.25" x14ac:dyDescent="0.2">
      <c r="A113" s="597" t="s">
        <v>604</v>
      </c>
      <c r="B113" s="226" t="s">
        <v>66</v>
      </c>
      <c r="C113" s="226"/>
      <c r="D113" s="148" t="s">
        <v>780</v>
      </c>
      <c r="E113" s="226" t="s">
        <v>19</v>
      </c>
      <c r="F113" s="146">
        <v>1</v>
      </c>
      <c r="G113" s="235">
        <v>310</v>
      </c>
      <c r="H113" s="327">
        <f t="shared" si="31"/>
        <v>310</v>
      </c>
      <c r="I113" s="313">
        <f t="shared" si="32"/>
        <v>310</v>
      </c>
      <c r="J113" s="27"/>
      <c r="K113" s="27"/>
      <c r="L113" s="27"/>
      <c r="M113" s="27"/>
      <c r="N113" s="27"/>
      <c r="O113" s="27"/>
      <c r="P113" s="27"/>
      <c r="Q113" s="27"/>
    </row>
    <row r="114" spans="1:17" s="26" customFormat="1" ht="14.25" x14ac:dyDescent="0.2">
      <c r="A114" s="597" t="s">
        <v>1772</v>
      </c>
      <c r="B114" s="226" t="s">
        <v>66</v>
      </c>
      <c r="C114" s="226"/>
      <c r="D114" s="148" t="s">
        <v>781</v>
      </c>
      <c r="E114" s="226" t="s">
        <v>19</v>
      </c>
      <c r="F114" s="146">
        <v>1</v>
      </c>
      <c r="G114" s="235">
        <v>2200</v>
      </c>
      <c r="H114" s="327">
        <f t="shared" ref="H114:H122" si="33">G114</f>
        <v>2200</v>
      </c>
      <c r="I114" s="313">
        <f t="shared" ref="I114:I122" si="34">ROUND(F114*H114,2)</f>
        <v>2200</v>
      </c>
      <c r="J114" s="27"/>
      <c r="K114" s="27"/>
      <c r="L114" s="27"/>
      <c r="M114" s="27"/>
      <c r="N114" s="27"/>
      <c r="O114" s="27"/>
      <c r="P114" s="27"/>
      <c r="Q114" s="27"/>
    </row>
    <row r="115" spans="1:17" s="26" customFormat="1" ht="14.25" x14ac:dyDescent="0.2">
      <c r="A115" s="597" t="s">
        <v>1773</v>
      </c>
      <c r="B115" s="226" t="s">
        <v>66</v>
      </c>
      <c r="C115" s="226"/>
      <c r="D115" s="148" t="s">
        <v>721</v>
      </c>
      <c r="E115" s="226" t="s">
        <v>19</v>
      </c>
      <c r="F115" s="146">
        <v>2</v>
      </c>
      <c r="G115" s="235">
        <v>170</v>
      </c>
      <c r="H115" s="327">
        <f t="shared" si="33"/>
        <v>170</v>
      </c>
      <c r="I115" s="313">
        <f t="shared" si="34"/>
        <v>340</v>
      </c>
      <c r="J115" s="27"/>
      <c r="K115" s="27"/>
      <c r="L115" s="27"/>
      <c r="M115" s="27"/>
      <c r="N115" s="27"/>
      <c r="O115" s="27"/>
      <c r="P115" s="27"/>
      <c r="Q115" s="27"/>
    </row>
    <row r="116" spans="1:17" s="26" customFormat="1" ht="14.25" x14ac:dyDescent="0.2">
      <c r="A116" s="597" t="s">
        <v>1774</v>
      </c>
      <c r="B116" s="226" t="s">
        <v>66</v>
      </c>
      <c r="C116" s="226"/>
      <c r="D116" s="148" t="s">
        <v>782</v>
      </c>
      <c r="E116" s="226" t="s">
        <v>19</v>
      </c>
      <c r="F116" s="146">
        <v>2</v>
      </c>
      <c r="G116" s="235">
        <v>520</v>
      </c>
      <c r="H116" s="327">
        <f t="shared" si="33"/>
        <v>520</v>
      </c>
      <c r="I116" s="313">
        <f t="shared" si="34"/>
        <v>1040</v>
      </c>
      <c r="J116" s="27"/>
      <c r="K116" s="27"/>
      <c r="L116" s="27"/>
      <c r="M116" s="27"/>
      <c r="N116" s="27"/>
      <c r="O116" s="27"/>
      <c r="P116" s="27"/>
      <c r="Q116" s="27"/>
    </row>
    <row r="117" spans="1:17" s="26" customFormat="1" ht="14.25" x14ac:dyDescent="0.2">
      <c r="A117" s="597" t="s">
        <v>1775</v>
      </c>
      <c r="B117" s="226" t="s">
        <v>66</v>
      </c>
      <c r="C117" s="226"/>
      <c r="D117" s="148" t="s">
        <v>783</v>
      </c>
      <c r="E117" s="226" t="s">
        <v>19</v>
      </c>
      <c r="F117" s="146">
        <v>2</v>
      </c>
      <c r="G117" s="235">
        <v>294</v>
      </c>
      <c r="H117" s="327">
        <f t="shared" si="33"/>
        <v>294</v>
      </c>
      <c r="I117" s="313">
        <f t="shared" si="34"/>
        <v>588</v>
      </c>
      <c r="J117" s="27"/>
      <c r="K117" s="27"/>
      <c r="L117" s="27"/>
      <c r="M117" s="27"/>
      <c r="N117" s="27"/>
      <c r="O117" s="27"/>
      <c r="P117" s="27"/>
      <c r="Q117" s="27"/>
    </row>
    <row r="118" spans="1:17" s="26" customFormat="1" ht="14.25" x14ac:dyDescent="0.2">
      <c r="A118" s="597" t="s">
        <v>1776</v>
      </c>
      <c r="B118" s="226" t="s">
        <v>66</v>
      </c>
      <c r="C118" s="226"/>
      <c r="D118" s="148" t="s">
        <v>784</v>
      </c>
      <c r="E118" s="226" t="s">
        <v>19</v>
      </c>
      <c r="F118" s="146">
        <v>4</v>
      </c>
      <c r="G118" s="235">
        <v>121</v>
      </c>
      <c r="H118" s="327">
        <f t="shared" si="33"/>
        <v>121</v>
      </c>
      <c r="I118" s="313">
        <f t="shared" si="34"/>
        <v>484</v>
      </c>
      <c r="J118" s="27"/>
      <c r="K118" s="27"/>
      <c r="L118" s="27"/>
      <c r="M118" s="27"/>
      <c r="N118" s="27"/>
      <c r="O118" s="27"/>
      <c r="P118" s="27"/>
      <c r="Q118" s="27"/>
    </row>
    <row r="119" spans="1:17" s="26" customFormat="1" ht="14.25" x14ac:dyDescent="0.2">
      <c r="A119" s="597" t="s">
        <v>1777</v>
      </c>
      <c r="B119" s="226" t="s">
        <v>66</v>
      </c>
      <c r="C119" s="226"/>
      <c r="D119" s="148" t="s">
        <v>785</v>
      </c>
      <c r="E119" s="226" t="s">
        <v>19</v>
      </c>
      <c r="F119" s="146">
        <v>1</v>
      </c>
      <c r="G119" s="235">
        <v>299</v>
      </c>
      <c r="H119" s="327">
        <f t="shared" si="33"/>
        <v>299</v>
      </c>
      <c r="I119" s="313">
        <f t="shared" si="34"/>
        <v>299</v>
      </c>
      <c r="J119" s="27"/>
      <c r="K119" s="27"/>
      <c r="L119" s="27"/>
      <c r="M119" s="27"/>
      <c r="N119" s="27"/>
      <c r="O119" s="27"/>
      <c r="P119" s="27"/>
      <c r="Q119" s="27"/>
    </row>
    <row r="120" spans="1:17" s="26" customFormat="1" ht="14.25" x14ac:dyDescent="0.2">
      <c r="A120" s="597" t="s">
        <v>1778</v>
      </c>
      <c r="B120" s="226" t="s">
        <v>66</v>
      </c>
      <c r="C120" s="226"/>
      <c r="D120" s="148" t="s">
        <v>786</v>
      </c>
      <c r="E120" s="226" t="s">
        <v>19</v>
      </c>
      <c r="F120" s="146">
        <v>1</v>
      </c>
      <c r="G120" s="235">
        <v>281</v>
      </c>
      <c r="H120" s="327">
        <f t="shared" si="33"/>
        <v>281</v>
      </c>
      <c r="I120" s="313">
        <f t="shared" si="34"/>
        <v>281</v>
      </c>
      <c r="J120" s="27"/>
      <c r="K120" s="27"/>
      <c r="L120" s="27"/>
      <c r="M120" s="27"/>
      <c r="N120" s="27"/>
      <c r="O120" s="27"/>
      <c r="P120" s="27"/>
      <c r="Q120" s="27"/>
    </row>
    <row r="121" spans="1:17" s="26" customFormat="1" ht="14.25" x14ac:dyDescent="0.2">
      <c r="A121" s="597" t="s">
        <v>1779</v>
      </c>
      <c r="B121" s="226" t="s">
        <v>66</v>
      </c>
      <c r="C121" s="226"/>
      <c r="D121" s="148" t="s">
        <v>787</v>
      </c>
      <c r="E121" s="226" t="s">
        <v>19</v>
      </c>
      <c r="F121" s="146">
        <v>1</v>
      </c>
      <c r="G121" s="235">
        <v>434</v>
      </c>
      <c r="H121" s="327">
        <f t="shared" si="33"/>
        <v>434</v>
      </c>
      <c r="I121" s="313">
        <f t="shared" si="34"/>
        <v>434</v>
      </c>
      <c r="J121" s="27"/>
      <c r="K121" s="27"/>
      <c r="L121" s="27"/>
      <c r="M121" s="27"/>
      <c r="N121" s="27"/>
      <c r="O121" s="27"/>
      <c r="P121" s="27"/>
      <c r="Q121" s="27"/>
    </row>
    <row r="122" spans="1:17" s="26" customFormat="1" ht="14.25" x14ac:dyDescent="0.2">
      <c r="A122" s="597" t="s">
        <v>1780</v>
      </c>
      <c r="B122" s="226" t="s">
        <v>66</v>
      </c>
      <c r="C122" s="226"/>
      <c r="D122" s="148" t="s">
        <v>788</v>
      </c>
      <c r="E122" s="226" t="s">
        <v>19</v>
      </c>
      <c r="F122" s="146">
        <v>2</v>
      </c>
      <c r="G122" s="235">
        <v>185</v>
      </c>
      <c r="H122" s="327">
        <f t="shared" si="33"/>
        <v>185</v>
      </c>
      <c r="I122" s="313">
        <f t="shared" si="34"/>
        <v>370</v>
      </c>
      <c r="J122" s="27"/>
      <c r="K122" s="27"/>
      <c r="L122" s="27"/>
      <c r="M122" s="27"/>
      <c r="N122" s="27"/>
      <c r="O122" s="27"/>
      <c r="P122" s="27"/>
      <c r="Q122" s="27"/>
    </row>
    <row r="123" spans="1:17" s="26" customFormat="1" ht="14.25" x14ac:dyDescent="0.2">
      <c r="A123" s="597" t="s">
        <v>1781</v>
      </c>
      <c r="B123" s="226" t="s">
        <v>66</v>
      </c>
      <c r="C123" s="226"/>
      <c r="D123" s="148" t="s">
        <v>722</v>
      </c>
      <c r="E123" s="226" t="s">
        <v>19</v>
      </c>
      <c r="F123" s="146">
        <v>3</v>
      </c>
      <c r="G123" s="235">
        <v>160</v>
      </c>
      <c r="H123" s="327">
        <f t="shared" si="31"/>
        <v>160</v>
      </c>
      <c r="I123" s="313">
        <f t="shared" si="32"/>
        <v>480</v>
      </c>
      <c r="J123" s="27"/>
      <c r="K123" s="27"/>
      <c r="L123" s="27"/>
      <c r="M123" s="27"/>
      <c r="N123" s="27"/>
      <c r="O123" s="27"/>
      <c r="P123" s="27"/>
      <c r="Q123" s="27"/>
    </row>
    <row r="124" spans="1:17" s="26" customFormat="1" ht="14.25" x14ac:dyDescent="0.2">
      <c r="A124" s="597" t="s">
        <v>1782</v>
      </c>
      <c r="B124" s="226" t="s">
        <v>66</v>
      </c>
      <c r="C124" s="226"/>
      <c r="D124" s="148" t="s">
        <v>723</v>
      </c>
      <c r="E124" s="226" t="s">
        <v>19</v>
      </c>
      <c r="F124" s="146">
        <v>2</v>
      </c>
      <c r="G124" s="235">
        <v>790</v>
      </c>
      <c r="H124" s="327">
        <f t="shared" si="31"/>
        <v>790</v>
      </c>
      <c r="I124" s="313">
        <f t="shared" si="32"/>
        <v>1580</v>
      </c>
      <c r="J124" s="27"/>
      <c r="K124" s="27"/>
      <c r="L124" s="27"/>
      <c r="M124" s="27"/>
      <c r="N124" s="27"/>
      <c r="O124" s="27"/>
      <c r="P124" s="27"/>
      <c r="Q124" s="27"/>
    </row>
    <row r="125" spans="1:17" s="26" customFormat="1" ht="14.25" x14ac:dyDescent="0.2">
      <c r="A125" s="597" t="s">
        <v>1783</v>
      </c>
      <c r="B125" s="226" t="s">
        <v>66</v>
      </c>
      <c r="C125" s="226"/>
      <c r="D125" s="148" t="s">
        <v>789</v>
      </c>
      <c r="E125" s="226" t="s">
        <v>19</v>
      </c>
      <c r="F125" s="146">
        <v>2</v>
      </c>
      <c r="G125" s="235">
        <v>101</v>
      </c>
      <c r="H125" s="327">
        <f t="shared" si="31"/>
        <v>101</v>
      </c>
      <c r="I125" s="313">
        <f t="shared" si="32"/>
        <v>202</v>
      </c>
      <c r="J125" s="27"/>
      <c r="K125" s="27"/>
      <c r="L125" s="27"/>
      <c r="M125" s="27"/>
      <c r="N125" s="27"/>
      <c r="O125" s="27"/>
      <c r="P125" s="27"/>
      <c r="Q125" s="27"/>
    </row>
    <row r="126" spans="1:17" s="26" customFormat="1" ht="14.25" x14ac:dyDescent="0.2">
      <c r="A126" s="597" t="s">
        <v>1784</v>
      </c>
      <c r="B126" s="226" t="s">
        <v>66</v>
      </c>
      <c r="C126" s="226"/>
      <c r="D126" s="148" t="s">
        <v>790</v>
      </c>
      <c r="E126" s="226" t="s">
        <v>19</v>
      </c>
      <c r="F126" s="146">
        <v>3</v>
      </c>
      <c r="G126" s="235">
        <v>897</v>
      </c>
      <c r="H126" s="327">
        <f t="shared" si="31"/>
        <v>897</v>
      </c>
      <c r="I126" s="313">
        <f t="shared" si="32"/>
        <v>2691</v>
      </c>
      <c r="J126" s="27"/>
      <c r="K126" s="27"/>
      <c r="L126" s="27"/>
      <c r="M126" s="27"/>
      <c r="N126" s="27"/>
      <c r="O126" s="27"/>
      <c r="P126" s="27"/>
      <c r="Q126" s="27"/>
    </row>
    <row r="127" spans="1:17" s="26" customFormat="1" ht="14.25" x14ac:dyDescent="0.2">
      <c r="A127" s="597" t="s">
        <v>1785</v>
      </c>
      <c r="B127" s="226" t="s">
        <v>66</v>
      </c>
      <c r="C127" s="226"/>
      <c r="D127" s="148" t="s">
        <v>724</v>
      </c>
      <c r="E127" s="226" t="s">
        <v>19</v>
      </c>
      <c r="F127" s="146">
        <v>1</v>
      </c>
      <c r="G127" s="235">
        <v>180</v>
      </c>
      <c r="H127" s="327">
        <f t="shared" si="31"/>
        <v>180</v>
      </c>
      <c r="I127" s="313">
        <f t="shared" si="32"/>
        <v>180</v>
      </c>
      <c r="J127" s="27"/>
      <c r="K127" s="27"/>
      <c r="L127" s="27"/>
      <c r="M127" s="27"/>
      <c r="N127" s="27"/>
      <c r="O127" s="27"/>
      <c r="P127" s="27"/>
      <c r="Q127" s="27"/>
    </row>
    <row r="128" spans="1:17" s="26" customFormat="1" ht="14.25" x14ac:dyDescent="0.2">
      <c r="A128" s="597" t="s">
        <v>1786</v>
      </c>
      <c r="B128" s="226" t="s">
        <v>66</v>
      </c>
      <c r="C128" s="226"/>
      <c r="D128" s="148" t="s">
        <v>725</v>
      </c>
      <c r="E128" s="226" t="s">
        <v>19</v>
      </c>
      <c r="F128" s="146">
        <v>1</v>
      </c>
      <c r="G128" s="235">
        <v>350</v>
      </c>
      <c r="H128" s="327">
        <f t="shared" si="31"/>
        <v>350</v>
      </c>
      <c r="I128" s="313">
        <f t="shared" si="32"/>
        <v>350</v>
      </c>
      <c r="J128" s="27"/>
      <c r="K128" s="27"/>
      <c r="L128" s="27"/>
      <c r="M128" s="27"/>
      <c r="N128" s="27"/>
      <c r="O128" s="27"/>
      <c r="P128" s="27"/>
      <c r="Q128" s="27"/>
    </row>
    <row r="129" spans="1:18" s="26" customFormat="1" ht="14.25" x14ac:dyDescent="0.2">
      <c r="A129" s="597" t="s">
        <v>1787</v>
      </c>
      <c r="B129" s="226" t="s">
        <v>66</v>
      </c>
      <c r="C129" s="226"/>
      <c r="D129" s="148" t="s">
        <v>726</v>
      </c>
      <c r="E129" s="226" t="s">
        <v>19</v>
      </c>
      <c r="F129" s="146">
        <v>1</v>
      </c>
      <c r="G129" s="235">
        <v>340</v>
      </c>
      <c r="H129" s="327">
        <f t="shared" si="31"/>
        <v>340</v>
      </c>
      <c r="I129" s="313">
        <f t="shared" si="32"/>
        <v>340</v>
      </c>
      <c r="J129" s="27"/>
      <c r="K129" s="27"/>
      <c r="L129" s="27"/>
      <c r="M129" s="27"/>
      <c r="N129" s="27"/>
      <c r="O129" s="27"/>
      <c r="P129" s="27"/>
      <c r="Q129" s="27"/>
    </row>
    <row r="130" spans="1:18" s="26" customFormat="1" ht="14.25" x14ac:dyDescent="0.2">
      <c r="A130" s="597" t="s">
        <v>1788</v>
      </c>
      <c r="B130" s="226" t="s">
        <v>66</v>
      </c>
      <c r="C130" s="226"/>
      <c r="D130" s="148" t="s">
        <v>791</v>
      </c>
      <c r="E130" s="226" t="s">
        <v>19</v>
      </c>
      <c r="F130" s="146">
        <v>1</v>
      </c>
      <c r="G130" s="235">
        <v>110</v>
      </c>
      <c r="H130" s="327">
        <f t="shared" si="31"/>
        <v>110</v>
      </c>
      <c r="I130" s="313">
        <f t="shared" si="32"/>
        <v>110</v>
      </c>
      <c r="J130" s="27"/>
      <c r="K130" s="27"/>
      <c r="L130" s="27"/>
      <c r="M130" s="27"/>
      <c r="N130" s="27"/>
      <c r="O130" s="27"/>
      <c r="P130" s="27"/>
      <c r="Q130" s="27"/>
    </row>
    <row r="131" spans="1:18" s="26" customFormat="1" ht="14.25" x14ac:dyDescent="0.2">
      <c r="A131" s="597" t="s">
        <v>1789</v>
      </c>
      <c r="B131" s="226" t="s">
        <v>66</v>
      </c>
      <c r="C131" s="226"/>
      <c r="D131" s="148" t="s">
        <v>792</v>
      </c>
      <c r="E131" s="226" t="s">
        <v>19</v>
      </c>
      <c r="F131" s="146">
        <v>1</v>
      </c>
      <c r="G131" s="235">
        <v>180</v>
      </c>
      <c r="H131" s="327">
        <f t="shared" si="31"/>
        <v>180</v>
      </c>
      <c r="I131" s="313">
        <f t="shared" si="32"/>
        <v>180</v>
      </c>
      <c r="J131" s="27"/>
      <c r="K131" s="27"/>
      <c r="L131" s="27"/>
      <c r="M131" s="27"/>
      <c r="N131" s="27"/>
      <c r="O131" s="27"/>
      <c r="P131" s="27"/>
      <c r="Q131" s="27"/>
    </row>
    <row r="132" spans="1:18" s="26" customFormat="1" ht="14.25" x14ac:dyDescent="0.2">
      <c r="A132" s="597" t="s">
        <v>1790</v>
      </c>
      <c r="B132" s="226" t="s">
        <v>66</v>
      </c>
      <c r="C132" s="226"/>
      <c r="D132" s="148" t="s">
        <v>793</v>
      </c>
      <c r="E132" s="226" t="s">
        <v>19</v>
      </c>
      <c r="F132" s="146">
        <v>192</v>
      </c>
      <c r="G132" s="235">
        <v>5.4</v>
      </c>
      <c r="H132" s="327">
        <f t="shared" si="31"/>
        <v>5.4</v>
      </c>
      <c r="I132" s="313">
        <f t="shared" si="32"/>
        <v>1036.8</v>
      </c>
      <c r="J132" s="27"/>
      <c r="K132" s="27"/>
      <c r="L132" s="27"/>
      <c r="M132" s="27"/>
      <c r="N132" s="27"/>
      <c r="O132" s="27"/>
      <c r="P132" s="27"/>
      <c r="Q132" s="27"/>
    </row>
    <row r="133" spans="1:18" s="26" customFormat="1" ht="14.25" x14ac:dyDescent="0.2">
      <c r="A133" s="597" t="s">
        <v>1791</v>
      </c>
      <c r="B133" s="226" t="s">
        <v>66</v>
      </c>
      <c r="C133" s="226"/>
      <c r="D133" s="148" t="s">
        <v>794</v>
      </c>
      <c r="E133" s="226" t="s">
        <v>19</v>
      </c>
      <c r="F133" s="146">
        <v>24</v>
      </c>
      <c r="G133" s="235">
        <v>2.6</v>
      </c>
      <c r="H133" s="327">
        <f t="shared" si="31"/>
        <v>2.6</v>
      </c>
      <c r="I133" s="313">
        <f t="shared" si="32"/>
        <v>62.4</v>
      </c>
      <c r="J133" s="27"/>
      <c r="K133" s="27"/>
      <c r="L133" s="27"/>
      <c r="M133" s="27"/>
      <c r="N133" s="27"/>
      <c r="O133" s="27"/>
      <c r="P133" s="27"/>
      <c r="Q133" s="27"/>
    </row>
    <row r="134" spans="1:18" s="26" customFormat="1" ht="14.25" x14ac:dyDescent="0.2">
      <c r="A134" s="597" t="s">
        <v>1792</v>
      </c>
      <c r="B134" s="226" t="s">
        <v>46</v>
      </c>
      <c r="C134" s="226">
        <v>88267</v>
      </c>
      <c r="D134" s="148" t="s">
        <v>795</v>
      </c>
      <c r="E134" s="226" t="s">
        <v>15</v>
      </c>
      <c r="F134" s="146">
        <v>60</v>
      </c>
      <c r="G134" s="236">
        <v>21.01</v>
      </c>
      <c r="H134" s="146">
        <f>ROUND((1+K$3)*G134,2)</f>
        <v>21.01</v>
      </c>
      <c r="I134" s="350">
        <f>ROUND(F134*H134,2)</f>
        <v>1260.5999999999999</v>
      </c>
      <c r="J134" s="27"/>
      <c r="K134" s="27"/>
      <c r="L134" s="27"/>
      <c r="M134" s="27"/>
      <c r="N134" s="27"/>
      <c r="O134" s="27"/>
      <c r="P134" s="27"/>
      <c r="Q134" s="27"/>
    </row>
    <row r="135" spans="1:18" s="26" customFormat="1" ht="14.25" customHeight="1" thickBot="1" x14ac:dyDescent="0.25">
      <c r="A135" s="604" t="s">
        <v>1793</v>
      </c>
      <c r="B135" s="586" t="s">
        <v>46</v>
      </c>
      <c r="C135" s="586">
        <v>88248</v>
      </c>
      <c r="D135" s="584" t="s">
        <v>796</v>
      </c>
      <c r="E135" s="586" t="s">
        <v>15</v>
      </c>
      <c r="F135" s="585">
        <v>60</v>
      </c>
      <c r="G135" s="1016">
        <v>16.87</v>
      </c>
      <c r="H135" s="585">
        <f>ROUND((1+K$3)*G135,2)</f>
        <v>16.87</v>
      </c>
      <c r="I135" s="606">
        <f>ROUND(F135*H135,2)</f>
        <v>1012.2</v>
      </c>
      <c r="J135" s="27"/>
      <c r="K135" s="27"/>
      <c r="L135" s="27"/>
      <c r="M135" s="27"/>
      <c r="N135" s="27"/>
      <c r="O135" s="27"/>
      <c r="P135" s="27"/>
      <c r="Q135" s="27"/>
    </row>
    <row r="136" spans="1:18" s="26" customFormat="1" ht="14.25" x14ac:dyDescent="0.2">
      <c r="A136" s="1017" t="s">
        <v>1794</v>
      </c>
      <c r="B136" s="910" t="s">
        <v>46</v>
      </c>
      <c r="C136" s="910">
        <v>88316</v>
      </c>
      <c r="D136" s="900" t="s">
        <v>797</v>
      </c>
      <c r="E136" s="910" t="s">
        <v>15</v>
      </c>
      <c r="F136" s="901">
        <v>60</v>
      </c>
      <c r="G136" s="1015">
        <v>16.64</v>
      </c>
      <c r="H136" s="901">
        <f>ROUND((1+K$3)*G136,2)</f>
        <v>16.64</v>
      </c>
      <c r="I136" s="1018">
        <f>ROUND(F136*H136,2)</f>
        <v>998.4</v>
      </c>
      <c r="J136" s="27"/>
      <c r="K136" s="27"/>
      <c r="L136" s="27"/>
      <c r="M136" s="27"/>
      <c r="N136" s="27"/>
      <c r="O136" s="27"/>
      <c r="P136" s="27"/>
      <c r="Q136" s="27"/>
    </row>
    <row r="137" spans="1:18" s="26" customFormat="1" ht="14.25" x14ac:dyDescent="0.2">
      <c r="A137" s="597"/>
      <c r="B137" s="226"/>
      <c r="C137" s="226"/>
      <c r="D137" s="148"/>
      <c r="E137" s="226"/>
      <c r="F137" s="146"/>
      <c r="G137" s="236"/>
      <c r="H137" s="146"/>
      <c r="I137" s="350"/>
      <c r="J137" s="27"/>
      <c r="K137" s="27"/>
      <c r="L137" s="27"/>
      <c r="M137" s="27"/>
      <c r="N137" s="27"/>
      <c r="O137" s="27"/>
      <c r="P137" s="27"/>
      <c r="Q137" s="27"/>
    </row>
    <row r="138" spans="1:18" s="7" customFormat="1" x14ac:dyDescent="0.2">
      <c r="A138" s="594">
        <v>10</v>
      </c>
      <c r="B138" s="298" t="s">
        <v>336</v>
      </c>
      <c r="C138" s="324" t="s">
        <v>270</v>
      </c>
      <c r="D138" s="325" t="s">
        <v>1019</v>
      </c>
      <c r="E138" s="298" t="s">
        <v>17</v>
      </c>
      <c r="F138" s="363"/>
      <c r="G138" s="364"/>
      <c r="H138" s="364"/>
      <c r="I138" s="595">
        <f>SUM(I139:I140)</f>
        <v>15.5</v>
      </c>
      <c r="J138" s="6"/>
      <c r="K138" s="6"/>
      <c r="L138" s="6"/>
      <c r="M138" s="6"/>
      <c r="N138" s="6"/>
      <c r="O138" s="6"/>
      <c r="P138" s="6"/>
      <c r="Q138" s="6"/>
    </row>
    <row r="139" spans="1:18" ht="14.25" x14ac:dyDescent="0.2">
      <c r="A139" s="311" t="s">
        <v>387</v>
      </c>
      <c r="B139" s="226" t="s">
        <v>46</v>
      </c>
      <c r="C139" s="227">
        <v>88316</v>
      </c>
      <c r="D139" s="178" t="s">
        <v>797</v>
      </c>
      <c r="E139" s="227" t="s">
        <v>15</v>
      </c>
      <c r="F139" s="146">
        <v>0.15</v>
      </c>
      <c r="G139" s="146">
        <v>16.64</v>
      </c>
      <c r="H139" s="146">
        <f>G139</f>
        <v>16.64</v>
      </c>
      <c r="I139" s="350">
        <f>ROUND(F139*H139,2)</f>
        <v>2.5</v>
      </c>
      <c r="J139" s="29"/>
      <c r="K139" s="29"/>
      <c r="L139" s="29"/>
      <c r="M139" s="29"/>
      <c r="N139" s="29"/>
      <c r="O139" s="29"/>
      <c r="P139" s="29"/>
      <c r="Q139" s="29"/>
    </row>
    <row r="140" spans="1:18" ht="57" x14ac:dyDescent="0.2">
      <c r="A140" s="311" t="s">
        <v>388</v>
      </c>
      <c r="B140" s="226" t="s">
        <v>46</v>
      </c>
      <c r="C140" s="227">
        <v>5875</v>
      </c>
      <c r="D140" s="178" t="s">
        <v>1020</v>
      </c>
      <c r="E140" s="227" t="s">
        <v>840</v>
      </c>
      <c r="F140" s="146">
        <v>0.15</v>
      </c>
      <c r="G140" s="146">
        <v>86.64</v>
      </c>
      <c r="H140" s="146">
        <f>G140</f>
        <v>86.64</v>
      </c>
      <c r="I140" s="350">
        <f>ROUND(F140*H140,2)</f>
        <v>13</v>
      </c>
      <c r="J140" s="29"/>
      <c r="K140" s="29"/>
      <c r="L140" s="29"/>
      <c r="M140" s="29"/>
      <c r="N140" s="29"/>
      <c r="O140" s="29"/>
      <c r="P140" s="29"/>
      <c r="Q140" s="29"/>
    </row>
    <row r="141" spans="1:18" s="26" customFormat="1" ht="14.25" x14ac:dyDescent="0.2">
      <c r="A141" s="320"/>
      <c r="B141" s="226"/>
      <c r="C141" s="226"/>
      <c r="D141" s="148"/>
      <c r="E141" s="154"/>
      <c r="F141" s="191"/>
      <c r="G141" s="192"/>
      <c r="H141" s="146"/>
      <c r="I141" s="313"/>
    </row>
    <row r="142" spans="1:18" s="7" customFormat="1" ht="30" x14ac:dyDescent="0.2">
      <c r="A142" s="594">
        <v>11</v>
      </c>
      <c r="B142" s="298" t="s">
        <v>336</v>
      </c>
      <c r="C142" s="324" t="s">
        <v>591</v>
      </c>
      <c r="D142" s="325" t="s">
        <v>828</v>
      </c>
      <c r="E142" s="298" t="s">
        <v>18</v>
      </c>
      <c r="F142" s="363"/>
      <c r="G142" s="364"/>
      <c r="H142" s="364"/>
      <c r="I142" s="595">
        <f>SUM(I143:I151)</f>
        <v>58804.21</v>
      </c>
      <c r="J142" s="6"/>
      <c r="K142" s="6"/>
      <c r="L142" s="6"/>
      <c r="M142" s="6"/>
      <c r="N142" s="6"/>
      <c r="O142" s="6"/>
      <c r="P142" s="6"/>
      <c r="Q142" s="6"/>
    </row>
    <row r="143" spans="1:18" s="26" customFormat="1" ht="28.5" x14ac:dyDescent="0.2">
      <c r="A143" s="334" t="s">
        <v>605</v>
      </c>
      <c r="B143" s="226" t="s">
        <v>46</v>
      </c>
      <c r="C143" s="226">
        <v>79475</v>
      </c>
      <c r="D143" s="147" t="s">
        <v>1318</v>
      </c>
      <c r="E143" s="226" t="s">
        <v>17</v>
      </c>
      <c r="F143" s="146">
        <f>PI()*0.6^2/4*2.8*75</f>
        <v>59.376101152847085</v>
      </c>
      <c r="G143" s="146">
        <v>368.9</v>
      </c>
      <c r="H143" s="146">
        <f>G143</f>
        <v>368.9</v>
      </c>
      <c r="I143" s="350">
        <f t="shared" ref="I143:I149" si="35">ROUND(F143*H143,2)</f>
        <v>21903.84</v>
      </c>
      <c r="J143" s="262"/>
      <c r="K143" s="25"/>
      <c r="L143" s="132"/>
      <c r="M143" s="25"/>
      <c r="N143" s="25"/>
      <c r="O143" s="25"/>
      <c r="P143" s="25"/>
      <c r="R143" s="25"/>
    </row>
    <row r="144" spans="1:18" s="26" customFormat="1" ht="57" x14ac:dyDescent="0.2">
      <c r="A144" s="334" t="s">
        <v>606</v>
      </c>
      <c r="B144" s="226" t="s">
        <v>46</v>
      </c>
      <c r="C144" s="226">
        <v>92417</v>
      </c>
      <c r="D144" s="148" t="s">
        <v>1351</v>
      </c>
      <c r="E144" s="226" t="s">
        <v>16</v>
      </c>
      <c r="F144" s="146">
        <v>32.799999999999997</v>
      </c>
      <c r="G144" s="146">
        <v>96.25</v>
      </c>
      <c r="H144" s="146">
        <f>G144</f>
        <v>96.25</v>
      </c>
      <c r="I144" s="350">
        <f t="shared" ref="I144" si="36">ROUND(F144*H144,2)</f>
        <v>3157</v>
      </c>
      <c r="J144" s="262"/>
      <c r="K144" s="25"/>
      <c r="L144" s="132"/>
      <c r="M144" s="25"/>
      <c r="N144" s="25"/>
      <c r="O144" s="25"/>
      <c r="P144" s="25"/>
      <c r="R144" s="25"/>
    </row>
    <row r="145" spans="1:17" ht="28.5" x14ac:dyDescent="0.2">
      <c r="A145" s="334" t="s">
        <v>607</v>
      </c>
      <c r="B145" s="226" t="s">
        <v>46</v>
      </c>
      <c r="C145" s="226">
        <v>94965</v>
      </c>
      <c r="D145" s="156" t="s">
        <v>1690</v>
      </c>
      <c r="E145" s="226" t="s">
        <v>17</v>
      </c>
      <c r="F145" s="146">
        <f>3.4+42.4</f>
        <v>45.8</v>
      </c>
      <c r="G145" s="146">
        <v>280.60000000000002</v>
      </c>
      <c r="H145" s="146">
        <f t="shared" ref="H145:H151" si="37">ROUND((1+K$3)*G145,2)</f>
        <v>280.60000000000002</v>
      </c>
      <c r="I145" s="313">
        <f t="shared" si="35"/>
        <v>12851.48</v>
      </c>
      <c r="J145" s="41">
        <f>PI()*0.6^2/4</f>
        <v>0.28274333882308139</v>
      </c>
      <c r="K145" s="349"/>
      <c r="L145" s="41"/>
      <c r="M145" s="41"/>
      <c r="N145" s="41"/>
      <c r="O145" s="41"/>
      <c r="P145" s="41"/>
      <c r="Q145" s="41"/>
    </row>
    <row r="146" spans="1:17" ht="14.25" x14ac:dyDescent="0.2">
      <c r="A146" s="334" t="s">
        <v>608</v>
      </c>
      <c r="B146" s="226" t="s">
        <v>46</v>
      </c>
      <c r="C146" s="226" t="s">
        <v>831</v>
      </c>
      <c r="D146" s="156" t="s">
        <v>832</v>
      </c>
      <c r="E146" s="226" t="s">
        <v>17</v>
      </c>
      <c r="F146" s="146">
        <f>F145</f>
        <v>45.8</v>
      </c>
      <c r="G146" s="146">
        <v>107.03</v>
      </c>
      <c r="H146" s="146">
        <f t="shared" si="37"/>
        <v>107.03</v>
      </c>
      <c r="I146" s="313">
        <f t="shared" si="35"/>
        <v>4901.97</v>
      </c>
      <c r="J146" s="41"/>
      <c r="K146" s="349"/>
      <c r="L146" s="41"/>
      <c r="M146" s="41"/>
      <c r="N146" s="41"/>
      <c r="O146" s="41"/>
      <c r="P146" s="41"/>
      <c r="Q146" s="41"/>
    </row>
    <row r="147" spans="1:17" s="26" customFormat="1" ht="28.5" x14ac:dyDescent="0.2">
      <c r="A147" s="334" t="s">
        <v>609</v>
      </c>
      <c r="B147" s="226" t="s">
        <v>46</v>
      </c>
      <c r="C147" s="226">
        <v>12759</v>
      </c>
      <c r="D147" s="147" t="s">
        <v>833</v>
      </c>
      <c r="E147" s="226" t="s">
        <v>16</v>
      </c>
      <c r="F147" s="146">
        <f>0.038*0.7*67</f>
        <v>1.7822</v>
      </c>
      <c r="G147" s="146">
        <v>624.36</v>
      </c>
      <c r="H147" s="146">
        <f t="shared" si="37"/>
        <v>624.36</v>
      </c>
      <c r="I147" s="313">
        <f t="shared" si="35"/>
        <v>1112.73</v>
      </c>
      <c r="J147" s="27"/>
      <c r="K147" s="349"/>
      <c r="L147" s="27"/>
      <c r="M147" s="27"/>
      <c r="N147" s="27"/>
      <c r="O147" s="27"/>
      <c r="P147" s="27"/>
      <c r="Q147" s="27"/>
    </row>
    <row r="148" spans="1:17" s="26" customFormat="1" ht="28.5" x14ac:dyDescent="0.2">
      <c r="A148" s="334" t="s">
        <v>1795</v>
      </c>
      <c r="B148" s="226" t="s">
        <v>46</v>
      </c>
      <c r="C148" s="226">
        <v>11964</v>
      </c>
      <c r="D148" s="147" t="s">
        <v>834</v>
      </c>
      <c r="E148" s="226" t="s">
        <v>19</v>
      </c>
      <c r="F148" s="146">
        <f>67*2</f>
        <v>134</v>
      </c>
      <c r="G148" s="146">
        <v>1.32</v>
      </c>
      <c r="H148" s="146">
        <f t="shared" si="37"/>
        <v>1.32</v>
      </c>
      <c r="I148" s="313">
        <f t="shared" si="35"/>
        <v>176.88</v>
      </c>
      <c r="J148" s="27"/>
      <c r="K148" s="349"/>
      <c r="L148" s="27"/>
      <c r="M148" s="27"/>
      <c r="N148" s="27"/>
      <c r="O148" s="27"/>
      <c r="P148" s="27"/>
      <c r="Q148" s="27"/>
    </row>
    <row r="149" spans="1:17" s="26" customFormat="1" ht="28.5" x14ac:dyDescent="0.2">
      <c r="A149" s="334" t="s">
        <v>1796</v>
      </c>
      <c r="B149" s="226" t="s">
        <v>46</v>
      </c>
      <c r="C149" s="226">
        <v>7774</v>
      </c>
      <c r="D149" s="147" t="s">
        <v>835</v>
      </c>
      <c r="E149" s="226" t="s">
        <v>18</v>
      </c>
      <c r="F149" s="146">
        <v>75</v>
      </c>
      <c r="G149" s="146">
        <v>147.19</v>
      </c>
      <c r="H149" s="146">
        <f t="shared" si="37"/>
        <v>147.19</v>
      </c>
      <c r="I149" s="313">
        <f t="shared" si="35"/>
        <v>11039.25</v>
      </c>
      <c r="J149" s="27"/>
      <c r="K149" s="349"/>
      <c r="L149" s="27"/>
      <c r="M149" s="27"/>
      <c r="N149" s="27"/>
      <c r="O149" s="27"/>
      <c r="P149" s="27"/>
      <c r="Q149" s="27"/>
    </row>
    <row r="150" spans="1:17" s="26" customFormat="1" ht="14.25" x14ac:dyDescent="0.2">
      <c r="A150" s="334" t="s">
        <v>1797</v>
      </c>
      <c r="B150" s="226" t="s">
        <v>46</v>
      </c>
      <c r="C150" s="226">
        <v>73516</v>
      </c>
      <c r="D150" s="147" t="s">
        <v>1025</v>
      </c>
      <c r="E150" s="226" t="s">
        <v>18</v>
      </c>
      <c r="F150" s="146">
        <v>75</v>
      </c>
      <c r="G150" s="146">
        <v>5.74</v>
      </c>
      <c r="H150" s="146">
        <f t="shared" si="37"/>
        <v>5.74</v>
      </c>
      <c r="I150" s="313">
        <f t="shared" ref="I150:I151" si="38">ROUND(F150*H150,2)</f>
        <v>430.5</v>
      </c>
      <c r="J150" s="27"/>
      <c r="K150" s="349"/>
      <c r="L150" s="27"/>
      <c r="M150" s="27"/>
      <c r="N150" s="27"/>
      <c r="O150" s="27"/>
      <c r="P150" s="27"/>
      <c r="Q150" s="27"/>
    </row>
    <row r="151" spans="1:17" s="26" customFormat="1" ht="28.5" x14ac:dyDescent="0.2">
      <c r="A151" s="334" t="s">
        <v>2199</v>
      </c>
      <c r="B151" s="226" t="s">
        <v>46</v>
      </c>
      <c r="C151" s="154">
        <v>6240</v>
      </c>
      <c r="D151" s="148" t="s">
        <v>1420</v>
      </c>
      <c r="E151" s="226" t="s">
        <v>19</v>
      </c>
      <c r="F151" s="146">
        <v>8</v>
      </c>
      <c r="G151" s="146">
        <v>403.82</v>
      </c>
      <c r="H151" s="146">
        <f t="shared" si="37"/>
        <v>403.82</v>
      </c>
      <c r="I151" s="313">
        <f t="shared" si="38"/>
        <v>3230.56</v>
      </c>
      <c r="J151" s="27"/>
      <c r="K151" s="349"/>
      <c r="L151" s="27"/>
      <c r="M151" s="27"/>
      <c r="N151" s="27"/>
      <c r="O151" s="27"/>
      <c r="P151" s="27"/>
      <c r="Q151" s="27"/>
    </row>
    <row r="152" spans="1:17" s="26" customFormat="1" ht="14.25" x14ac:dyDescent="0.2">
      <c r="A152" s="334"/>
      <c r="B152" s="226"/>
      <c r="C152" s="226"/>
      <c r="D152" s="147"/>
      <c r="E152" s="226"/>
      <c r="F152" s="146"/>
      <c r="G152" s="146"/>
      <c r="H152" s="146"/>
      <c r="I152" s="313"/>
      <c r="J152" s="27"/>
      <c r="K152" s="351"/>
      <c r="L152" s="27"/>
      <c r="M152" s="27"/>
      <c r="N152" s="27"/>
      <c r="O152" s="27"/>
      <c r="P152" s="27"/>
      <c r="Q152" s="27"/>
    </row>
    <row r="153" spans="1:17" s="7" customFormat="1" ht="30" x14ac:dyDescent="0.2">
      <c r="A153" s="594">
        <v>12</v>
      </c>
      <c r="B153" s="298" t="s">
        <v>336</v>
      </c>
      <c r="C153" s="324" t="s">
        <v>592</v>
      </c>
      <c r="D153" s="325" t="s">
        <v>752</v>
      </c>
      <c r="E153" s="298"/>
      <c r="F153" s="363"/>
      <c r="G153" s="364"/>
      <c r="H153" s="364"/>
      <c r="I153" s="595">
        <f>SUM(I154:I158)</f>
        <v>8471.07</v>
      </c>
      <c r="J153" s="6"/>
      <c r="K153" s="6"/>
      <c r="L153" s="6"/>
      <c r="M153" s="6"/>
      <c r="N153" s="6"/>
      <c r="O153" s="6"/>
      <c r="P153" s="6"/>
      <c r="Q153" s="6"/>
    </row>
    <row r="154" spans="1:17" s="26" customFormat="1" ht="14.25" x14ac:dyDescent="0.2">
      <c r="A154" s="334" t="s">
        <v>610</v>
      </c>
      <c r="B154" s="226" t="s">
        <v>46</v>
      </c>
      <c r="C154" s="226">
        <v>4773</v>
      </c>
      <c r="D154" s="147" t="s">
        <v>713</v>
      </c>
      <c r="E154" s="226" t="s">
        <v>18</v>
      </c>
      <c r="F154" s="190">
        <f>4.1*2+4.75+3.2*4+2.85</f>
        <v>28.6</v>
      </c>
      <c r="G154" s="190">
        <v>173.59</v>
      </c>
      <c r="H154" s="190">
        <f>G154</f>
        <v>173.59</v>
      </c>
      <c r="I154" s="600">
        <f>ROUND(F154*H154,2)</f>
        <v>4964.67</v>
      </c>
      <c r="J154" s="27"/>
      <c r="K154" s="27"/>
      <c r="L154" s="27"/>
      <c r="M154" s="27"/>
      <c r="N154" s="27"/>
      <c r="O154" s="27"/>
      <c r="P154" s="27"/>
      <c r="Q154" s="27"/>
    </row>
    <row r="155" spans="1:17" s="26" customFormat="1" ht="14.25" x14ac:dyDescent="0.2">
      <c r="A155" s="334" t="s">
        <v>611</v>
      </c>
      <c r="B155" s="226" t="s">
        <v>46</v>
      </c>
      <c r="C155" s="226">
        <v>6160</v>
      </c>
      <c r="D155" s="147" t="s">
        <v>244</v>
      </c>
      <c r="E155" s="226" t="s">
        <v>15</v>
      </c>
      <c r="F155" s="190">
        <v>60</v>
      </c>
      <c r="G155" s="190">
        <v>23.46</v>
      </c>
      <c r="H155" s="190">
        <f>G155</f>
        <v>23.46</v>
      </c>
      <c r="I155" s="600">
        <f>ROUND(F155*G155,2)</f>
        <v>1407.6</v>
      </c>
      <c r="J155" s="27"/>
      <c r="K155" s="27"/>
      <c r="L155" s="27"/>
      <c r="M155" s="27"/>
      <c r="N155" s="27"/>
      <c r="O155" s="27"/>
      <c r="P155" s="27"/>
      <c r="Q155" s="27"/>
    </row>
    <row r="156" spans="1:17" s="26" customFormat="1" ht="14.25" x14ac:dyDescent="0.2">
      <c r="A156" s="334" t="s">
        <v>612</v>
      </c>
      <c r="B156" s="226" t="s">
        <v>46</v>
      </c>
      <c r="C156" s="226">
        <v>6121</v>
      </c>
      <c r="D156" s="147" t="s">
        <v>245</v>
      </c>
      <c r="E156" s="226" t="s">
        <v>15</v>
      </c>
      <c r="F156" s="190">
        <v>60</v>
      </c>
      <c r="G156" s="190">
        <v>10.78</v>
      </c>
      <c r="H156" s="190">
        <f>G156</f>
        <v>10.78</v>
      </c>
      <c r="I156" s="600">
        <f>ROUND(F156*G156,2)</f>
        <v>646.79999999999995</v>
      </c>
      <c r="J156" s="27"/>
      <c r="K156" s="27"/>
      <c r="L156" s="27"/>
      <c r="M156" s="27"/>
      <c r="N156" s="27"/>
      <c r="O156" s="27"/>
      <c r="P156" s="27"/>
      <c r="Q156" s="27"/>
    </row>
    <row r="157" spans="1:17" s="26" customFormat="1" ht="14.25" x14ac:dyDescent="0.2">
      <c r="A157" s="334" t="s">
        <v>613</v>
      </c>
      <c r="B157" s="226" t="s">
        <v>46</v>
      </c>
      <c r="C157" s="226">
        <v>6110</v>
      </c>
      <c r="D157" s="147" t="s">
        <v>246</v>
      </c>
      <c r="E157" s="226" t="s">
        <v>15</v>
      </c>
      <c r="F157" s="190">
        <v>60</v>
      </c>
      <c r="G157" s="190">
        <v>13.82</v>
      </c>
      <c r="H157" s="190">
        <f>G157</f>
        <v>13.82</v>
      </c>
      <c r="I157" s="600">
        <f>ROUND(F157*G157,2)</f>
        <v>829.2</v>
      </c>
      <c r="J157" s="27"/>
      <c r="K157" s="27"/>
      <c r="L157" s="27"/>
      <c r="M157" s="27"/>
      <c r="N157" s="27"/>
      <c r="O157" s="27"/>
      <c r="P157" s="27"/>
      <c r="Q157" s="27"/>
    </row>
    <row r="158" spans="1:17" s="26" customFormat="1" ht="14.25" x14ac:dyDescent="0.2">
      <c r="A158" s="334" t="s">
        <v>614</v>
      </c>
      <c r="B158" s="226" t="s">
        <v>46</v>
      </c>
      <c r="C158" s="226">
        <v>252</v>
      </c>
      <c r="D158" s="147" t="s">
        <v>774</v>
      </c>
      <c r="E158" s="226" t="s">
        <v>15</v>
      </c>
      <c r="F158" s="190">
        <v>60</v>
      </c>
      <c r="G158" s="190">
        <v>10.38</v>
      </c>
      <c r="H158" s="190">
        <f>G158</f>
        <v>10.38</v>
      </c>
      <c r="I158" s="600">
        <f>ROUND(F158*G158,2)</f>
        <v>622.79999999999995</v>
      </c>
      <c r="J158" s="27"/>
      <c r="K158" s="27"/>
      <c r="L158" s="27"/>
      <c r="M158" s="27"/>
      <c r="N158" s="27"/>
      <c r="O158" s="27"/>
      <c r="P158" s="27"/>
      <c r="Q158" s="27"/>
    </row>
    <row r="159" spans="1:17" s="7" customFormat="1" thickBot="1" x14ac:dyDescent="0.25">
      <c r="A159" s="1005"/>
      <c r="B159" s="1006"/>
      <c r="C159" s="1006"/>
      <c r="D159" s="574"/>
      <c r="E159" s="1006"/>
      <c r="F159" s="585"/>
      <c r="G159" s="585"/>
      <c r="H159" s="1026"/>
      <c r="I159" s="1027"/>
      <c r="J159" s="6"/>
      <c r="K159" s="6"/>
      <c r="L159" s="6"/>
      <c r="M159" s="6"/>
      <c r="N159" s="6"/>
      <c r="O159" s="6"/>
      <c r="P159" s="6"/>
      <c r="Q159" s="6"/>
    </row>
    <row r="160" spans="1:17" s="7" customFormat="1" ht="60" x14ac:dyDescent="0.2">
      <c r="A160" s="1019">
        <v>13</v>
      </c>
      <c r="B160" s="1020" t="s">
        <v>336</v>
      </c>
      <c r="C160" s="1021" t="s">
        <v>593</v>
      </c>
      <c r="D160" s="1022" t="s">
        <v>714</v>
      </c>
      <c r="E160" s="1020" t="s">
        <v>19</v>
      </c>
      <c r="F160" s="1023"/>
      <c r="G160" s="1024"/>
      <c r="H160" s="1024"/>
      <c r="I160" s="1025">
        <f>SUM(I161:I170)</f>
        <v>1278.98</v>
      </c>
      <c r="J160" s="6"/>
      <c r="K160" s="6"/>
      <c r="L160" s="6"/>
      <c r="M160" s="6"/>
      <c r="N160" s="6"/>
      <c r="O160" s="6"/>
      <c r="P160" s="6"/>
      <c r="Q160" s="6"/>
    </row>
    <row r="161" spans="1:17" s="26" customFormat="1" ht="13.5" customHeight="1" x14ac:dyDescent="0.2">
      <c r="A161" s="320" t="s">
        <v>615</v>
      </c>
      <c r="B161" s="154" t="s">
        <v>46</v>
      </c>
      <c r="C161" s="153">
        <v>589</v>
      </c>
      <c r="D161" s="148" t="s">
        <v>413</v>
      </c>
      <c r="E161" s="154" t="s">
        <v>18</v>
      </c>
      <c r="F161" s="191">
        <v>6</v>
      </c>
      <c r="G161" s="192">
        <v>31.66</v>
      </c>
      <c r="H161" s="190">
        <f>G161</f>
        <v>31.66</v>
      </c>
      <c r="I161" s="600">
        <f>ROUND(F161*H161,2)</f>
        <v>189.96</v>
      </c>
    </row>
    <row r="162" spans="1:17" s="26" customFormat="1" ht="14.25" x14ac:dyDescent="0.2">
      <c r="A162" s="320" t="s">
        <v>616</v>
      </c>
      <c r="B162" s="154" t="s">
        <v>46</v>
      </c>
      <c r="C162" s="153">
        <v>11125</v>
      </c>
      <c r="D162" s="148" t="s">
        <v>414</v>
      </c>
      <c r="E162" s="154" t="s">
        <v>170</v>
      </c>
      <c r="F162" s="191">
        <v>3</v>
      </c>
      <c r="G162" s="192">
        <v>14.43</v>
      </c>
      <c r="H162" s="190">
        <f t="shared" ref="H162:H170" si="39">G162</f>
        <v>14.43</v>
      </c>
      <c r="I162" s="600">
        <f t="shared" ref="I162:I170" si="40">ROUND(F162*H162,2)</f>
        <v>43.29</v>
      </c>
    </row>
    <row r="163" spans="1:17" s="26" customFormat="1" ht="28.5" x14ac:dyDescent="0.2">
      <c r="A163" s="320" t="s">
        <v>1567</v>
      </c>
      <c r="B163" s="154" t="s">
        <v>46</v>
      </c>
      <c r="C163" s="153">
        <v>7162</v>
      </c>
      <c r="D163" s="148" t="s">
        <v>415</v>
      </c>
      <c r="E163" s="154" t="s">
        <v>16</v>
      </c>
      <c r="F163" s="191">
        <v>2</v>
      </c>
      <c r="G163" s="192">
        <v>26.01</v>
      </c>
      <c r="H163" s="190">
        <f t="shared" si="39"/>
        <v>26.01</v>
      </c>
      <c r="I163" s="600">
        <f t="shared" si="40"/>
        <v>52.02</v>
      </c>
    </row>
    <row r="164" spans="1:17" s="26" customFormat="1" ht="28.5" x14ac:dyDescent="0.2">
      <c r="A164" s="320" t="s">
        <v>1568</v>
      </c>
      <c r="B164" s="154" t="s">
        <v>46</v>
      </c>
      <c r="C164" s="153">
        <v>7696</v>
      </c>
      <c r="D164" s="148" t="s">
        <v>416</v>
      </c>
      <c r="E164" s="154" t="s">
        <v>18</v>
      </c>
      <c r="F164" s="191">
        <f>5.2*2</f>
        <v>10.4</v>
      </c>
      <c r="G164" s="192">
        <v>38.58</v>
      </c>
      <c r="H164" s="190">
        <f t="shared" si="39"/>
        <v>38.58</v>
      </c>
      <c r="I164" s="600">
        <f t="shared" si="40"/>
        <v>401.23</v>
      </c>
    </row>
    <row r="165" spans="1:17" s="26" customFormat="1" ht="14.25" x14ac:dyDescent="0.2">
      <c r="A165" s="320" t="s">
        <v>1798</v>
      </c>
      <c r="B165" s="154" t="s">
        <v>46</v>
      </c>
      <c r="C165" s="153">
        <v>11964</v>
      </c>
      <c r="D165" s="148" t="s">
        <v>417</v>
      </c>
      <c r="E165" s="154" t="s">
        <v>19</v>
      </c>
      <c r="F165" s="191">
        <v>4</v>
      </c>
      <c r="G165" s="192">
        <v>1.32</v>
      </c>
      <c r="H165" s="190">
        <f t="shared" si="39"/>
        <v>1.32</v>
      </c>
      <c r="I165" s="600">
        <f t="shared" si="40"/>
        <v>5.28</v>
      </c>
    </row>
    <row r="166" spans="1:17" s="26" customFormat="1" ht="14.25" x14ac:dyDescent="0.2">
      <c r="A166" s="320" t="s">
        <v>1799</v>
      </c>
      <c r="B166" s="154" t="s">
        <v>46</v>
      </c>
      <c r="C166" s="153">
        <v>5104</v>
      </c>
      <c r="D166" s="148" t="s">
        <v>418</v>
      </c>
      <c r="E166" s="154" t="s">
        <v>170</v>
      </c>
      <c r="F166" s="191">
        <v>0.2</v>
      </c>
      <c r="G166" s="192">
        <v>38.299999999999997</v>
      </c>
      <c r="H166" s="190">
        <f t="shared" si="39"/>
        <v>38.299999999999997</v>
      </c>
      <c r="I166" s="600">
        <f t="shared" si="40"/>
        <v>7.66</v>
      </c>
    </row>
    <row r="167" spans="1:17" s="26" customFormat="1" ht="14.25" x14ac:dyDescent="0.2">
      <c r="A167" s="320" t="s">
        <v>1800</v>
      </c>
      <c r="B167" s="154" t="s">
        <v>46</v>
      </c>
      <c r="C167" s="153">
        <v>252</v>
      </c>
      <c r="D167" s="148" t="s">
        <v>774</v>
      </c>
      <c r="E167" s="154" t="s">
        <v>15</v>
      </c>
      <c r="F167" s="191">
        <v>9</v>
      </c>
      <c r="G167" s="190">
        <v>10.38</v>
      </c>
      <c r="H167" s="190">
        <f t="shared" si="39"/>
        <v>10.38</v>
      </c>
      <c r="I167" s="600">
        <f t="shared" si="40"/>
        <v>93.42</v>
      </c>
    </row>
    <row r="168" spans="1:17" s="26" customFormat="1" ht="14.25" x14ac:dyDescent="0.2">
      <c r="A168" s="320" t="s">
        <v>1801</v>
      </c>
      <c r="B168" s="154" t="s">
        <v>46</v>
      </c>
      <c r="C168" s="153">
        <v>6110</v>
      </c>
      <c r="D168" s="148" t="s">
        <v>246</v>
      </c>
      <c r="E168" s="154" t="s">
        <v>15</v>
      </c>
      <c r="F168" s="191">
        <v>12</v>
      </c>
      <c r="G168" s="190">
        <v>13.82</v>
      </c>
      <c r="H168" s="190">
        <f t="shared" si="39"/>
        <v>13.82</v>
      </c>
      <c r="I168" s="600">
        <f t="shared" si="40"/>
        <v>165.84</v>
      </c>
    </row>
    <row r="169" spans="1:17" s="26" customFormat="1" ht="14.25" x14ac:dyDescent="0.2">
      <c r="A169" s="320" t="s">
        <v>1802</v>
      </c>
      <c r="B169" s="154" t="s">
        <v>46</v>
      </c>
      <c r="C169" s="153">
        <v>6111</v>
      </c>
      <c r="D169" s="148" t="s">
        <v>276</v>
      </c>
      <c r="E169" s="154" t="s">
        <v>15</v>
      </c>
      <c r="F169" s="191">
        <v>12</v>
      </c>
      <c r="G169" s="192">
        <v>12.02</v>
      </c>
      <c r="H169" s="190">
        <f t="shared" si="39"/>
        <v>12.02</v>
      </c>
      <c r="I169" s="600">
        <f t="shared" si="40"/>
        <v>144.24</v>
      </c>
    </row>
    <row r="170" spans="1:17" s="26" customFormat="1" ht="14.25" x14ac:dyDescent="0.2">
      <c r="A170" s="320" t="s">
        <v>1803</v>
      </c>
      <c r="B170" s="154" t="s">
        <v>46</v>
      </c>
      <c r="C170" s="153">
        <v>4750</v>
      </c>
      <c r="D170" s="148" t="s">
        <v>275</v>
      </c>
      <c r="E170" s="154" t="s">
        <v>15</v>
      </c>
      <c r="F170" s="191">
        <v>12</v>
      </c>
      <c r="G170" s="192">
        <v>14.67</v>
      </c>
      <c r="H170" s="190">
        <f t="shared" si="39"/>
        <v>14.67</v>
      </c>
      <c r="I170" s="600">
        <f t="shared" si="40"/>
        <v>176.04</v>
      </c>
    </row>
    <row r="171" spans="1:17" s="26" customFormat="1" ht="14.25" x14ac:dyDescent="0.2">
      <c r="A171" s="320"/>
      <c r="B171" s="154"/>
      <c r="C171" s="153"/>
      <c r="D171" s="148"/>
      <c r="E171" s="154"/>
      <c r="F171" s="191"/>
      <c r="G171" s="192"/>
      <c r="H171" s="191"/>
      <c r="I171" s="599"/>
    </row>
    <row r="172" spans="1:17" s="326" customFormat="1" ht="30" x14ac:dyDescent="0.2">
      <c r="A172" s="594">
        <v>14</v>
      </c>
      <c r="B172" s="298" t="s">
        <v>336</v>
      </c>
      <c r="C172" s="324" t="s">
        <v>594</v>
      </c>
      <c r="D172" s="325" t="s">
        <v>922</v>
      </c>
      <c r="E172" s="298" t="s">
        <v>19</v>
      </c>
      <c r="F172" s="363"/>
      <c r="G172" s="364"/>
      <c r="H172" s="364"/>
      <c r="I172" s="595">
        <f>SUM(I173:I176)</f>
        <v>583.68000000000006</v>
      </c>
      <c r="J172" s="93"/>
      <c r="K172" s="93"/>
      <c r="L172" s="93"/>
      <c r="M172" s="93"/>
      <c r="N172" s="93"/>
      <c r="O172" s="93"/>
      <c r="P172" s="93"/>
      <c r="Q172" s="93"/>
    </row>
    <row r="173" spans="1:17" s="319" customFormat="1" ht="14.25" x14ac:dyDescent="0.2">
      <c r="A173" s="334" t="s">
        <v>617</v>
      </c>
      <c r="B173" s="226" t="s">
        <v>46</v>
      </c>
      <c r="C173" s="226">
        <v>11125</v>
      </c>
      <c r="D173" s="147" t="s">
        <v>715</v>
      </c>
      <c r="E173" s="226" t="s">
        <v>170</v>
      </c>
      <c r="F173" s="361">
        <f>13.5*1.7*0.9</f>
        <v>20.655000000000001</v>
      </c>
      <c r="G173" s="327">
        <v>14.43</v>
      </c>
      <c r="H173" s="327">
        <f t="shared" ref="H173:H176" si="41">G173</f>
        <v>14.43</v>
      </c>
      <c r="I173" s="362">
        <f>ROUND(F173*H173,2)</f>
        <v>298.05</v>
      </c>
      <c r="J173" s="328"/>
      <c r="K173" s="328"/>
      <c r="L173" s="328"/>
      <c r="M173" s="328"/>
      <c r="N173" s="328"/>
      <c r="O173" s="328"/>
      <c r="P173" s="328"/>
      <c r="Q173" s="328"/>
    </row>
    <row r="174" spans="1:17" s="319" customFormat="1" ht="14.25" x14ac:dyDescent="0.2">
      <c r="A174" s="334" t="s">
        <v>618</v>
      </c>
      <c r="B174" s="226" t="s">
        <v>46</v>
      </c>
      <c r="C174" s="226">
        <v>589</v>
      </c>
      <c r="D174" s="147" t="s">
        <v>716</v>
      </c>
      <c r="E174" s="226" t="s">
        <v>18</v>
      </c>
      <c r="F174" s="361">
        <f>(1.7*2+0.9*2)</f>
        <v>5.2</v>
      </c>
      <c r="G174" s="327">
        <v>31.66</v>
      </c>
      <c r="H174" s="327">
        <f t="shared" si="41"/>
        <v>31.66</v>
      </c>
      <c r="I174" s="362">
        <f>ROUND(F174*H174,2)</f>
        <v>164.63</v>
      </c>
      <c r="J174" s="328"/>
      <c r="K174" s="328"/>
      <c r="L174" s="328"/>
      <c r="M174" s="328"/>
      <c r="N174" s="328"/>
      <c r="O174" s="328"/>
      <c r="P174" s="328"/>
      <c r="Q174" s="328"/>
    </row>
    <row r="175" spans="1:17" s="319" customFormat="1" ht="14.25" x14ac:dyDescent="0.2">
      <c r="A175" s="334" t="s">
        <v>619</v>
      </c>
      <c r="B175" s="226" t="s">
        <v>46</v>
      </c>
      <c r="C175" s="226">
        <v>252</v>
      </c>
      <c r="D175" s="148" t="s">
        <v>774</v>
      </c>
      <c r="E175" s="226" t="s">
        <v>15</v>
      </c>
      <c r="F175" s="361">
        <v>5</v>
      </c>
      <c r="G175" s="190">
        <v>10.38</v>
      </c>
      <c r="H175" s="327">
        <f t="shared" si="41"/>
        <v>10.38</v>
      </c>
      <c r="I175" s="362">
        <f>ROUND(F175*H175,2)</f>
        <v>51.9</v>
      </c>
      <c r="J175" s="328"/>
      <c r="K175" s="328"/>
      <c r="L175" s="328"/>
      <c r="M175" s="328"/>
      <c r="N175" s="328"/>
      <c r="O175" s="328"/>
      <c r="P175" s="328"/>
      <c r="Q175" s="328"/>
    </row>
    <row r="176" spans="1:17" s="319" customFormat="1" ht="14.25" x14ac:dyDescent="0.2">
      <c r="A176" s="334" t="s">
        <v>1360</v>
      </c>
      <c r="B176" s="226" t="s">
        <v>46</v>
      </c>
      <c r="C176" s="226">
        <v>6110</v>
      </c>
      <c r="D176" s="147" t="s">
        <v>246</v>
      </c>
      <c r="E176" s="226" t="s">
        <v>15</v>
      </c>
      <c r="F176" s="361">
        <v>5</v>
      </c>
      <c r="G176" s="190">
        <v>13.82</v>
      </c>
      <c r="H176" s="327">
        <f t="shared" si="41"/>
        <v>13.82</v>
      </c>
      <c r="I176" s="362">
        <f>ROUND(F176*H176,2)</f>
        <v>69.099999999999994</v>
      </c>
      <c r="J176" s="328"/>
      <c r="K176" s="328"/>
      <c r="L176" s="328"/>
      <c r="M176" s="328"/>
      <c r="N176" s="328"/>
      <c r="O176" s="328"/>
      <c r="P176" s="328"/>
      <c r="Q176" s="328"/>
    </row>
    <row r="177" spans="1:17" s="319" customFormat="1" ht="14.25" x14ac:dyDescent="0.2">
      <c r="A177" s="334"/>
      <c r="B177" s="226"/>
      <c r="C177" s="226"/>
      <c r="D177" s="147"/>
      <c r="E177" s="226"/>
      <c r="F177" s="361"/>
      <c r="G177" s="190"/>
      <c r="H177" s="327"/>
      <c r="I177" s="362"/>
      <c r="J177" s="328"/>
      <c r="K177" s="328"/>
      <c r="L177" s="328"/>
      <c r="M177" s="328"/>
      <c r="N177" s="328"/>
      <c r="O177" s="328"/>
      <c r="P177" s="328"/>
      <c r="Q177" s="328"/>
    </row>
    <row r="178" spans="1:17" s="326" customFormat="1" ht="30" x14ac:dyDescent="0.2">
      <c r="A178" s="594">
        <v>15</v>
      </c>
      <c r="B178" s="298" t="s">
        <v>336</v>
      </c>
      <c r="C178" s="324" t="s">
        <v>595</v>
      </c>
      <c r="D178" s="325" t="s">
        <v>709</v>
      </c>
      <c r="E178" s="298" t="s">
        <v>19</v>
      </c>
      <c r="F178" s="363"/>
      <c r="G178" s="364"/>
      <c r="H178" s="364"/>
      <c r="I178" s="595">
        <f>SUM(I179:I182)</f>
        <v>399.49</v>
      </c>
      <c r="J178" s="93"/>
      <c r="K178" s="93"/>
      <c r="L178" s="93"/>
      <c r="M178" s="93"/>
      <c r="N178" s="93"/>
      <c r="O178" s="93"/>
      <c r="P178" s="93"/>
      <c r="Q178" s="93"/>
    </row>
    <row r="179" spans="1:17" s="319" customFormat="1" ht="14.25" x14ac:dyDescent="0.2">
      <c r="A179" s="334" t="s">
        <v>620</v>
      </c>
      <c r="B179" s="226" t="s">
        <v>46</v>
      </c>
      <c r="C179" s="226">
        <v>11125</v>
      </c>
      <c r="D179" s="147" t="s">
        <v>715</v>
      </c>
      <c r="E179" s="226" t="s">
        <v>170</v>
      </c>
      <c r="F179" s="361">
        <f>13.5*1.15*0.8</f>
        <v>12.42</v>
      </c>
      <c r="G179" s="327">
        <v>14.43</v>
      </c>
      <c r="H179" s="327">
        <f t="shared" ref="H179:H182" si="42">G179</f>
        <v>14.43</v>
      </c>
      <c r="I179" s="362">
        <f>ROUND(F179*H179,2)</f>
        <v>179.22</v>
      </c>
      <c r="J179" s="328"/>
      <c r="K179" s="328"/>
      <c r="L179" s="328"/>
      <c r="M179" s="328"/>
      <c r="N179" s="328"/>
      <c r="O179" s="328"/>
      <c r="P179" s="328"/>
      <c r="Q179" s="328"/>
    </row>
    <row r="180" spans="1:17" s="319" customFormat="1" ht="14.25" x14ac:dyDescent="0.2">
      <c r="A180" s="334" t="s">
        <v>621</v>
      </c>
      <c r="B180" s="226" t="s">
        <v>46</v>
      </c>
      <c r="C180" s="226">
        <v>589</v>
      </c>
      <c r="D180" s="147" t="s">
        <v>716</v>
      </c>
      <c r="E180" s="226" t="s">
        <v>18</v>
      </c>
      <c r="F180" s="361">
        <f>(1.15*2+0.8*2)</f>
        <v>3.9</v>
      </c>
      <c r="G180" s="327">
        <v>31.66</v>
      </c>
      <c r="H180" s="327">
        <f t="shared" si="42"/>
        <v>31.66</v>
      </c>
      <c r="I180" s="362">
        <f>ROUND(F180*H180,2)</f>
        <v>123.47</v>
      </c>
      <c r="J180" s="328"/>
      <c r="K180" s="328"/>
      <c r="L180" s="328"/>
      <c r="M180" s="328"/>
      <c r="N180" s="328"/>
      <c r="O180" s="328"/>
      <c r="P180" s="328"/>
      <c r="Q180" s="328"/>
    </row>
    <row r="181" spans="1:17" s="319" customFormat="1" ht="14.25" x14ac:dyDescent="0.2">
      <c r="A181" s="334" t="s">
        <v>622</v>
      </c>
      <c r="B181" s="226" t="s">
        <v>46</v>
      </c>
      <c r="C181" s="226">
        <v>252</v>
      </c>
      <c r="D181" s="148" t="s">
        <v>774</v>
      </c>
      <c r="E181" s="226" t="s">
        <v>15</v>
      </c>
      <c r="F181" s="361">
        <v>4</v>
      </c>
      <c r="G181" s="190">
        <v>10.38</v>
      </c>
      <c r="H181" s="327">
        <f t="shared" si="42"/>
        <v>10.38</v>
      </c>
      <c r="I181" s="362">
        <f>ROUND(F181*H181,2)</f>
        <v>41.52</v>
      </c>
      <c r="J181" s="328"/>
      <c r="K181" s="328"/>
      <c r="L181" s="328"/>
      <c r="M181" s="328"/>
      <c r="N181" s="328"/>
      <c r="O181" s="328"/>
      <c r="P181" s="328"/>
      <c r="Q181" s="328"/>
    </row>
    <row r="182" spans="1:17" s="319" customFormat="1" ht="14.25" x14ac:dyDescent="0.2">
      <c r="A182" s="334" t="s">
        <v>623</v>
      </c>
      <c r="B182" s="226" t="s">
        <v>46</v>
      </c>
      <c r="C182" s="226">
        <v>6110</v>
      </c>
      <c r="D182" s="147" t="s">
        <v>246</v>
      </c>
      <c r="E182" s="226" t="s">
        <v>15</v>
      </c>
      <c r="F182" s="361">
        <v>4</v>
      </c>
      <c r="G182" s="190">
        <v>13.82</v>
      </c>
      <c r="H182" s="327">
        <f t="shared" si="42"/>
        <v>13.82</v>
      </c>
      <c r="I182" s="362">
        <f>ROUND(F182*H182,2)</f>
        <v>55.28</v>
      </c>
      <c r="J182" s="328"/>
      <c r="K182" s="328"/>
      <c r="L182" s="328"/>
      <c r="M182" s="328"/>
      <c r="N182" s="328"/>
      <c r="O182" s="328"/>
      <c r="P182" s="328"/>
      <c r="Q182" s="328"/>
    </row>
    <row r="183" spans="1:17" ht="15" customHeight="1" x14ac:dyDescent="0.2">
      <c r="A183" s="311"/>
      <c r="B183" s="150"/>
      <c r="C183" s="150"/>
      <c r="D183" s="184"/>
      <c r="E183" s="150"/>
      <c r="F183" s="146"/>
      <c r="G183" s="236"/>
      <c r="H183" s="329"/>
      <c r="I183" s="152"/>
      <c r="J183" s="41"/>
      <c r="K183" s="41"/>
      <c r="L183" s="41"/>
      <c r="M183" s="41"/>
      <c r="N183" s="41"/>
      <c r="O183" s="41"/>
      <c r="P183" s="41"/>
      <c r="Q183" s="41"/>
    </row>
    <row r="184" spans="1:17" s="326" customFormat="1" ht="30" x14ac:dyDescent="0.2">
      <c r="A184" s="594">
        <v>16</v>
      </c>
      <c r="B184" s="298" t="s">
        <v>336</v>
      </c>
      <c r="C184" s="324" t="s">
        <v>596</v>
      </c>
      <c r="D184" s="325" t="s">
        <v>921</v>
      </c>
      <c r="E184" s="298" t="s">
        <v>19</v>
      </c>
      <c r="F184" s="363"/>
      <c r="G184" s="364"/>
      <c r="H184" s="364"/>
      <c r="I184" s="595">
        <f>SUM(I185:I188)</f>
        <v>368.56999999999994</v>
      </c>
      <c r="J184" s="93"/>
      <c r="K184" s="93"/>
      <c r="L184" s="93"/>
      <c r="M184" s="93"/>
      <c r="N184" s="93"/>
      <c r="O184" s="93"/>
      <c r="P184" s="93"/>
      <c r="Q184" s="93"/>
    </row>
    <row r="185" spans="1:17" s="319" customFormat="1" ht="14.25" x14ac:dyDescent="0.2">
      <c r="A185" s="334" t="s">
        <v>1804</v>
      </c>
      <c r="B185" s="226" t="s">
        <v>46</v>
      </c>
      <c r="C185" s="226">
        <v>11125</v>
      </c>
      <c r="D185" s="147" t="s">
        <v>715</v>
      </c>
      <c r="E185" s="226" t="s">
        <v>170</v>
      </c>
      <c r="F185" s="361">
        <f>13.5*0.9*0.9</f>
        <v>10.935</v>
      </c>
      <c r="G185" s="327">
        <v>14.43</v>
      </c>
      <c r="H185" s="327">
        <f t="shared" ref="H185:H188" si="43">G185</f>
        <v>14.43</v>
      </c>
      <c r="I185" s="362">
        <f>ROUND(F185*H185,2)</f>
        <v>157.79</v>
      </c>
      <c r="J185" s="328"/>
      <c r="K185" s="328"/>
      <c r="L185" s="328"/>
      <c r="M185" s="328"/>
      <c r="N185" s="328"/>
      <c r="O185" s="328"/>
      <c r="P185" s="328"/>
      <c r="Q185" s="328"/>
    </row>
    <row r="186" spans="1:17" s="319" customFormat="1" ht="14.25" x14ac:dyDescent="0.2">
      <c r="A186" s="334" t="s">
        <v>1805</v>
      </c>
      <c r="B186" s="226" t="s">
        <v>46</v>
      </c>
      <c r="C186" s="226">
        <v>589</v>
      </c>
      <c r="D186" s="147" t="s">
        <v>716</v>
      </c>
      <c r="E186" s="226" t="s">
        <v>18</v>
      </c>
      <c r="F186" s="361">
        <f>(0.9*4)</f>
        <v>3.6</v>
      </c>
      <c r="G186" s="327">
        <v>31.66</v>
      </c>
      <c r="H186" s="327">
        <f t="shared" si="43"/>
        <v>31.66</v>
      </c>
      <c r="I186" s="362">
        <f>ROUND(F186*H186,2)</f>
        <v>113.98</v>
      </c>
      <c r="J186" s="328"/>
      <c r="K186" s="328"/>
      <c r="L186" s="328"/>
      <c r="M186" s="328"/>
      <c r="N186" s="328"/>
      <c r="O186" s="328"/>
      <c r="P186" s="328"/>
      <c r="Q186" s="328"/>
    </row>
    <row r="187" spans="1:17" s="319" customFormat="1" ht="14.25" x14ac:dyDescent="0.2">
      <c r="A187" s="334" t="s">
        <v>1806</v>
      </c>
      <c r="B187" s="226" t="s">
        <v>46</v>
      </c>
      <c r="C187" s="226">
        <v>252</v>
      </c>
      <c r="D187" s="148" t="s">
        <v>774</v>
      </c>
      <c r="E187" s="226" t="s">
        <v>15</v>
      </c>
      <c r="F187" s="361">
        <v>4</v>
      </c>
      <c r="G187" s="190">
        <v>10.38</v>
      </c>
      <c r="H187" s="327">
        <f t="shared" si="43"/>
        <v>10.38</v>
      </c>
      <c r="I187" s="362">
        <f>ROUND(F187*H187,2)</f>
        <v>41.52</v>
      </c>
      <c r="J187" s="328"/>
      <c r="K187" s="328"/>
      <c r="L187" s="328"/>
      <c r="M187" s="328"/>
      <c r="N187" s="328"/>
      <c r="O187" s="328"/>
      <c r="P187" s="328"/>
      <c r="Q187" s="328"/>
    </row>
    <row r="188" spans="1:17" s="319" customFormat="1" ht="14.25" x14ac:dyDescent="0.2">
      <c r="A188" s="334" t="s">
        <v>1807</v>
      </c>
      <c r="B188" s="226" t="s">
        <v>46</v>
      </c>
      <c r="C188" s="226">
        <v>6110</v>
      </c>
      <c r="D188" s="147" t="s">
        <v>246</v>
      </c>
      <c r="E188" s="226" t="s">
        <v>15</v>
      </c>
      <c r="F188" s="361">
        <v>4</v>
      </c>
      <c r="G188" s="190">
        <v>13.82</v>
      </c>
      <c r="H188" s="327">
        <f t="shared" si="43"/>
        <v>13.82</v>
      </c>
      <c r="I188" s="362">
        <f>ROUND(F188*H188,2)</f>
        <v>55.28</v>
      </c>
      <c r="J188" s="328"/>
      <c r="K188" s="328"/>
      <c r="L188" s="328"/>
      <c r="M188" s="328"/>
      <c r="N188" s="328"/>
      <c r="O188" s="328"/>
      <c r="P188" s="328"/>
      <c r="Q188" s="328"/>
    </row>
    <row r="189" spans="1:17" ht="15" customHeight="1" x14ac:dyDescent="0.2">
      <c r="A189" s="311"/>
      <c r="B189" s="150"/>
      <c r="C189" s="150"/>
      <c r="D189" s="184"/>
      <c r="E189" s="150"/>
      <c r="F189" s="146"/>
      <c r="G189" s="236"/>
      <c r="H189" s="329"/>
      <c r="I189" s="152"/>
      <c r="J189" s="41"/>
      <c r="K189" s="41"/>
      <c r="L189" s="41"/>
      <c r="M189" s="41"/>
      <c r="N189" s="41"/>
      <c r="O189" s="41"/>
      <c r="P189" s="41"/>
      <c r="Q189" s="41"/>
    </row>
    <row r="190" spans="1:17" s="326" customFormat="1" ht="30.75" thickBot="1" x14ac:dyDescent="0.25">
      <c r="A190" s="1028">
        <v>17</v>
      </c>
      <c r="B190" s="588" t="s">
        <v>336</v>
      </c>
      <c r="C190" s="1029" t="s">
        <v>1808</v>
      </c>
      <c r="D190" s="1030" t="s">
        <v>1350</v>
      </c>
      <c r="E190" s="588" t="s">
        <v>19</v>
      </c>
      <c r="F190" s="1031"/>
      <c r="G190" s="1032"/>
      <c r="H190" s="1032"/>
      <c r="I190" s="1033">
        <f>SUM(I191:I194)</f>
        <v>306.23</v>
      </c>
      <c r="J190" s="93"/>
      <c r="K190" s="93"/>
      <c r="L190" s="93"/>
      <c r="M190" s="93"/>
      <c r="N190" s="93"/>
      <c r="O190" s="93"/>
      <c r="P190" s="93"/>
      <c r="Q190" s="93"/>
    </row>
    <row r="191" spans="1:17" s="319" customFormat="1" ht="14.25" x14ac:dyDescent="0.2">
      <c r="A191" s="930" t="s">
        <v>624</v>
      </c>
      <c r="B191" s="910" t="s">
        <v>46</v>
      </c>
      <c r="C191" s="910">
        <v>11125</v>
      </c>
      <c r="D191" s="931" t="s">
        <v>715</v>
      </c>
      <c r="E191" s="910" t="s">
        <v>170</v>
      </c>
      <c r="F191" s="1011">
        <f>13.5*0.7*0.7</f>
        <v>6.6149999999999993</v>
      </c>
      <c r="G191" s="1002">
        <v>14.43</v>
      </c>
      <c r="H191" s="1002">
        <f t="shared" ref="H191:H194" si="44">G191</f>
        <v>14.43</v>
      </c>
      <c r="I191" s="1012">
        <f>ROUND(F191*H191,2)</f>
        <v>95.45</v>
      </c>
      <c r="J191" s="328"/>
      <c r="K191" s="328"/>
      <c r="L191" s="328"/>
      <c r="M191" s="328"/>
      <c r="N191" s="328"/>
      <c r="O191" s="328"/>
      <c r="P191" s="328"/>
      <c r="Q191" s="328"/>
    </row>
    <row r="192" spans="1:17" s="319" customFormat="1" ht="14.25" x14ac:dyDescent="0.2">
      <c r="A192" s="334" t="s">
        <v>625</v>
      </c>
      <c r="B192" s="226" t="s">
        <v>46</v>
      </c>
      <c r="C192" s="226">
        <v>589</v>
      </c>
      <c r="D192" s="147" t="s">
        <v>716</v>
      </c>
      <c r="E192" s="226" t="s">
        <v>18</v>
      </c>
      <c r="F192" s="361">
        <f>(0.9*4)</f>
        <v>3.6</v>
      </c>
      <c r="G192" s="327">
        <v>31.66</v>
      </c>
      <c r="H192" s="327">
        <f t="shared" si="44"/>
        <v>31.66</v>
      </c>
      <c r="I192" s="362">
        <f>ROUND(F192*H192,2)</f>
        <v>113.98</v>
      </c>
      <c r="J192" s="328"/>
      <c r="K192" s="328"/>
      <c r="L192" s="328"/>
      <c r="M192" s="328"/>
      <c r="N192" s="328"/>
      <c r="O192" s="328"/>
      <c r="P192" s="328"/>
      <c r="Q192" s="328"/>
    </row>
    <row r="193" spans="1:17" s="319" customFormat="1" ht="14.25" x14ac:dyDescent="0.2">
      <c r="A193" s="334" t="s">
        <v>626</v>
      </c>
      <c r="B193" s="226" t="s">
        <v>46</v>
      </c>
      <c r="C193" s="226">
        <v>252</v>
      </c>
      <c r="D193" s="148" t="s">
        <v>774</v>
      </c>
      <c r="E193" s="226" t="s">
        <v>15</v>
      </c>
      <c r="F193" s="361">
        <v>4</v>
      </c>
      <c r="G193" s="190">
        <v>10.38</v>
      </c>
      <c r="H193" s="327">
        <f t="shared" si="44"/>
        <v>10.38</v>
      </c>
      <c r="I193" s="362">
        <f>ROUND(F193*H193,2)</f>
        <v>41.52</v>
      </c>
      <c r="J193" s="328"/>
      <c r="K193" s="328"/>
      <c r="L193" s="328"/>
      <c r="M193" s="328"/>
      <c r="N193" s="328"/>
      <c r="O193" s="328"/>
      <c r="P193" s="328"/>
      <c r="Q193" s="328"/>
    </row>
    <row r="194" spans="1:17" s="319" customFormat="1" ht="14.25" x14ac:dyDescent="0.2">
      <c r="A194" s="334" t="s">
        <v>627</v>
      </c>
      <c r="B194" s="226" t="s">
        <v>46</v>
      </c>
      <c r="C194" s="226">
        <v>6110</v>
      </c>
      <c r="D194" s="147" t="s">
        <v>246</v>
      </c>
      <c r="E194" s="226" t="s">
        <v>15</v>
      </c>
      <c r="F194" s="361">
        <v>4</v>
      </c>
      <c r="G194" s="190">
        <v>13.82</v>
      </c>
      <c r="H194" s="327">
        <f t="shared" si="44"/>
        <v>13.82</v>
      </c>
      <c r="I194" s="362">
        <f>ROUND(F194*H194,2)</f>
        <v>55.28</v>
      </c>
      <c r="J194" s="328"/>
      <c r="K194" s="328"/>
      <c r="L194" s="328"/>
      <c r="M194" s="328"/>
      <c r="N194" s="328"/>
      <c r="O194" s="328"/>
      <c r="P194" s="328"/>
      <c r="Q194" s="328"/>
    </row>
    <row r="195" spans="1:17" s="26" customFormat="1" ht="15" customHeight="1" x14ac:dyDescent="0.2">
      <c r="A195" s="334"/>
      <c r="B195" s="226"/>
      <c r="C195" s="226"/>
      <c r="D195" s="156"/>
      <c r="E195" s="226"/>
      <c r="F195" s="146"/>
      <c r="G195" s="236"/>
      <c r="H195" s="327"/>
      <c r="I195" s="313"/>
      <c r="J195" s="27"/>
      <c r="K195" s="27"/>
      <c r="L195" s="27"/>
      <c r="M195" s="27"/>
      <c r="N195" s="27"/>
      <c r="O195" s="27"/>
      <c r="P195" s="27"/>
      <c r="Q195" s="27"/>
    </row>
    <row r="196" spans="1:17" s="137" customFormat="1" ht="15.95" customHeight="1" x14ac:dyDescent="0.2">
      <c r="A196" s="594">
        <v>18</v>
      </c>
      <c r="B196" s="298" t="s">
        <v>336</v>
      </c>
      <c r="C196" s="324" t="s">
        <v>279</v>
      </c>
      <c r="D196" s="325" t="str">
        <f>ORÇAMENTO!D296</f>
        <v>FORNECIMENTO E APLICAÇÃO DOS MATERIAIS HIDRÁULICOS DA ELEVATÓRIA FINAL</v>
      </c>
      <c r="E196" s="298" t="s">
        <v>19</v>
      </c>
      <c r="F196" s="363"/>
      <c r="G196" s="364"/>
      <c r="H196" s="364"/>
      <c r="I196" s="595">
        <f>SUM(I197:I228)</f>
        <v>43865.310000000005</v>
      </c>
      <c r="J196" s="136"/>
      <c r="K196" s="136"/>
      <c r="L196" s="136"/>
      <c r="M196" s="136"/>
      <c r="N196" s="136"/>
      <c r="O196" s="136"/>
      <c r="P196" s="136"/>
      <c r="Q196" s="136"/>
    </row>
    <row r="197" spans="1:17" s="26" customFormat="1" ht="14.25" x14ac:dyDescent="0.2">
      <c r="A197" s="320" t="s">
        <v>396</v>
      </c>
      <c r="B197" s="226" t="s">
        <v>66</v>
      </c>
      <c r="C197" s="226"/>
      <c r="D197" s="148" t="s">
        <v>403</v>
      </c>
      <c r="E197" s="154" t="s">
        <v>19</v>
      </c>
      <c r="F197" s="191">
        <v>2</v>
      </c>
      <c r="G197" s="236">
        <v>340</v>
      </c>
      <c r="H197" s="146">
        <f t="shared" ref="H197" si="45">G197</f>
        <v>340</v>
      </c>
      <c r="I197" s="313">
        <f t="shared" ref="I197" si="46">F197*H197</f>
        <v>680</v>
      </c>
    </row>
    <row r="198" spans="1:17" s="26" customFormat="1" ht="14.25" x14ac:dyDescent="0.2">
      <c r="A198" s="320" t="s">
        <v>397</v>
      </c>
      <c r="B198" s="226" t="s">
        <v>66</v>
      </c>
      <c r="C198" s="226"/>
      <c r="D198" s="148" t="s">
        <v>929</v>
      </c>
      <c r="E198" s="154" t="s">
        <v>19</v>
      </c>
      <c r="F198" s="191">
        <v>2</v>
      </c>
      <c r="G198" s="236">
        <v>560</v>
      </c>
      <c r="H198" s="146">
        <f t="shared" ref="H198:H225" si="47">G198</f>
        <v>560</v>
      </c>
      <c r="I198" s="313">
        <f t="shared" ref="I198:I225" si="48">F198*H198</f>
        <v>1120</v>
      </c>
    </row>
    <row r="199" spans="1:17" s="26" customFormat="1" ht="14.25" x14ac:dyDescent="0.2">
      <c r="A199" s="320" t="s">
        <v>398</v>
      </c>
      <c r="B199" s="226" t="s">
        <v>66</v>
      </c>
      <c r="C199" s="226"/>
      <c r="D199" s="148" t="s">
        <v>930</v>
      </c>
      <c r="E199" s="154" t="s">
        <v>19</v>
      </c>
      <c r="F199" s="191">
        <v>2</v>
      </c>
      <c r="G199" s="236">
        <v>601</v>
      </c>
      <c r="H199" s="146">
        <f t="shared" si="47"/>
        <v>601</v>
      </c>
      <c r="I199" s="313">
        <f t="shared" si="48"/>
        <v>1202</v>
      </c>
    </row>
    <row r="200" spans="1:17" s="26" customFormat="1" ht="14.25" x14ac:dyDescent="0.2">
      <c r="A200" s="320" t="s">
        <v>399</v>
      </c>
      <c r="B200" s="226" t="s">
        <v>66</v>
      </c>
      <c r="C200" s="226"/>
      <c r="D200" s="148" t="s">
        <v>931</v>
      </c>
      <c r="E200" s="154" t="s">
        <v>19</v>
      </c>
      <c r="F200" s="191">
        <v>2</v>
      </c>
      <c r="G200" s="236">
        <v>2250</v>
      </c>
      <c r="H200" s="146">
        <f t="shared" si="47"/>
        <v>2250</v>
      </c>
      <c r="I200" s="313">
        <f t="shared" si="48"/>
        <v>4500</v>
      </c>
    </row>
    <row r="201" spans="1:17" s="26" customFormat="1" ht="14.25" x14ac:dyDescent="0.2">
      <c r="A201" s="320" t="s">
        <v>1597</v>
      </c>
      <c r="B201" s="226" t="s">
        <v>66</v>
      </c>
      <c r="C201" s="226"/>
      <c r="D201" s="148" t="s">
        <v>404</v>
      </c>
      <c r="E201" s="154" t="s">
        <v>19</v>
      </c>
      <c r="F201" s="191">
        <v>3</v>
      </c>
      <c r="G201" s="236">
        <v>190</v>
      </c>
      <c r="H201" s="146">
        <f t="shared" si="47"/>
        <v>190</v>
      </c>
      <c r="I201" s="313">
        <f t="shared" si="48"/>
        <v>570</v>
      </c>
    </row>
    <row r="202" spans="1:17" s="26" customFormat="1" ht="14.25" x14ac:dyDescent="0.2">
      <c r="A202" s="320" t="s">
        <v>1598</v>
      </c>
      <c r="B202" s="226" t="s">
        <v>66</v>
      </c>
      <c r="C202" s="226"/>
      <c r="D202" s="148" t="s">
        <v>932</v>
      </c>
      <c r="E202" s="154" t="s">
        <v>19</v>
      </c>
      <c r="F202" s="191">
        <v>2</v>
      </c>
      <c r="G202" s="236">
        <v>2210</v>
      </c>
      <c r="H202" s="146">
        <f t="shared" si="47"/>
        <v>2210</v>
      </c>
      <c r="I202" s="313">
        <f t="shared" si="48"/>
        <v>4420</v>
      </c>
    </row>
    <row r="203" spans="1:17" s="26" customFormat="1" ht="14.25" x14ac:dyDescent="0.2">
      <c r="A203" s="320" t="s">
        <v>1599</v>
      </c>
      <c r="B203" s="226" t="s">
        <v>66</v>
      </c>
      <c r="C203" s="226"/>
      <c r="D203" s="148" t="s">
        <v>933</v>
      </c>
      <c r="E203" s="154" t="s">
        <v>19</v>
      </c>
      <c r="F203" s="191">
        <v>1</v>
      </c>
      <c r="G203" s="236">
        <v>620</v>
      </c>
      <c r="H203" s="146">
        <f t="shared" si="47"/>
        <v>620</v>
      </c>
      <c r="I203" s="313">
        <f t="shared" si="48"/>
        <v>620</v>
      </c>
    </row>
    <row r="204" spans="1:17" s="26" customFormat="1" ht="14.25" x14ac:dyDescent="0.2">
      <c r="A204" s="320" t="s">
        <v>1600</v>
      </c>
      <c r="B204" s="226" t="s">
        <v>66</v>
      </c>
      <c r="C204" s="226"/>
      <c r="D204" s="148" t="s">
        <v>934</v>
      </c>
      <c r="E204" s="154" t="s">
        <v>19</v>
      </c>
      <c r="F204" s="191">
        <v>1</v>
      </c>
      <c r="G204" s="236">
        <v>520</v>
      </c>
      <c r="H204" s="146">
        <f t="shared" si="47"/>
        <v>520</v>
      </c>
      <c r="I204" s="313">
        <f t="shared" si="48"/>
        <v>520</v>
      </c>
    </row>
    <row r="205" spans="1:17" s="26" customFormat="1" ht="14.25" x14ac:dyDescent="0.2">
      <c r="A205" s="320" t="s">
        <v>1601</v>
      </c>
      <c r="B205" s="226" t="s">
        <v>66</v>
      </c>
      <c r="C205" s="226"/>
      <c r="D205" s="148" t="s">
        <v>935</v>
      </c>
      <c r="E205" s="154" t="s">
        <v>19</v>
      </c>
      <c r="F205" s="191">
        <v>1</v>
      </c>
      <c r="G205" s="236">
        <v>820</v>
      </c>
      <c r="H205" s="146">
        <f t="shared" si="47"/>
        <v>820</v>
      </c>
      <c r="I205" s="313">
        <f t="shared" si="48"/>
        <v>820</v>
      </c>
    </row>
    <row r="206" spans="1:17" s="26" customFormat="1" ht="14.25" x14ac:dyDescent="0.2">
      <c r="A206" s="320" t="s">
        <v>1602</v>
      </c>
      <c r="B206" s="226" t="s">
        <v>66</v>
      </c>
      <c r="C206" s="226"/>
      <c r="D206" s="148" t="s">
        <v>405</v>
      </c>
      <c r="E206" s="154" t="s">
        <v>19</v>
      </c>
      <c r="F206" s="191">
        <v>1</v>
      </c>
      <c r="G206" s="236">
        <v>1400</v>
      </c>
      <c r="H206" s="146">
        <f t="shared" si="47"/>
        <v>1400</v>
      </c>
      <c r="I206" s="313">
        <f t="shared" si="48"/>
        <v>1400</v>
      </c>
    </row>
    <row r="207" spans="1:17" s="26" customFormat="1" ht="14.25" x14ac:dyDescent="0.2">
      <c r="A207" s="320" t="s">
        <v>1603</v>
      </c>
      <c r="B207" s="226" t="s">
        <v>66</v>
      </c>
      <c r="C207" s="226"/>
      <c r="D207" s="148" t="s">
        <v>936</v>
      </c>
      <c r="E207" s="154" t="s">
        <v>19</v>
      </c>
      <c r="F207" s="191">
        <v>1</v>
      </c>
      <c r="G207" s="236">
        <v>504</v>
      </c>
      <c r="H207" s="146">
        <f t="shared" si="47"/>
        <v>504</v>
      </c>
      <c r="I207" s="313">
        <f t="shared" si="48"/>
        <v>504</v>
      </c>
    </row>
    <row r="208" spans="1:17" s="26" customFormat="1" ht="14.25" x14ac:dyDescent="0.2">
      <c r="A208" s="320" t="s">
        <v>1604</v>
      </c>
      <c r="B208" s="226" t="s">
        <v>66</v>
      </c>
      <c r="C208" s="226"/>
      <c r="D208" s="148" t="s">
        <v>937</v>
      </c>
      <c r="E208" s="154" t="s">
        <v>19</v>
      </c>
      <c r="F208" s="191">
        <v>2</v>
      </c>
      <c r="G208" s="236">
        <v>2176</v>
      </c>
      <c r="H208" s="146">
        <f t="shared" si="47"/>
        <v>2176</v>
      </c>
      <c r="I208" s="313">
        <f t="shared" si="48"/>
        <v>4352</v>
      </c>
    </row>
    <row r="209" spans="1:9" s="26" customFormat="1" ht="14.25" x14ac:dyDescent="0.2">
      <c r="A209" s="320" t="s">
        <v>1605</v>
      </c>
      <c r="B209" s="226" t="s">
        <v>66</v>
      </c>
      <c r="C209" s="226"/>
      <c r="D209" s="148" t="s">
        <v>938</v>
      </c>
      <c r="E209" s="154" t="s">
        <v>19</v>
      </c>
      <c r="F209" s="191">
        <v>1</v>
      </c>
      <c r="G209" s="236">
        <v>400</v>
      </c>
      <c r="H209" s="146">
        <f t="shared" si="47"/>
        <v>400</v>
      </c>
      <c r="I209" s="313">
        <f t="shared" si="48"/>
        <v>400</v>
      </c>
    </row>
    <row r="210" spans="1:9" s="26" customFormat="1" ht="14.25" x14ac:dyDescent="0.2">
      <c r="A210" s="320" t="s">
        <v>1606</v>
      </c>
      <c r="B210" s="226" t="s">
        <v>66</v>
      </c>
      <c r="C210" s="226"/>
      <c r="D210" s="148" t="s">
        <v>939</v>
      </c>
      <c r="E210" s="154" t="s">
        <v>19</v>
      </c>
      <c r="F210" s="191">
        <v>1</v>
      </c>
      <c r="G210" s="236">
        <v>180</v>
      </c>
      <c r="H210" s="146">
        <f t="shared" si="47"/>
        <v>180</v>
      </c>
      <c r="I210" s="313">
        <f t="shared" si="48"/>
        <v>180</v>
      </c>
    </row>
    <row r="211" spans="1:9" s="26" customFormat="1" ht="14.25" x14ac:dyDescent="0.2">
      <c r="A211" s="320" t="s">
        <v>1607</v>
      </c>
      <c r="B211" s="226" t="s">
        <v>66</v>
      </c>
      <c r="C211" s="226"/>
      <c r="D211" s="148" t="s">
        <v>940</v>
      </c>
      <c r="E211" s="154" t="s">
        <v>19</v>
      </c>
      <c r="F211" s="191">
        <v>1</v>
      </c>
      <c r="G211" s="236">
        <v>380</v>
      </c>
      <c r="H211" s="146">
        <f t="shared" si="47"/>
        <v>380</v>
      </c>
      <c r="I211" s="313">
        <f t="shared" si="48"/>
        <v>380</v>
      </c>
    </row>
    <row r="212" spans="1:9" s="26" customFormat="1" ht="14.25" x14ac:dyDescent="0.2">
      <c r="A212" s="320" t="s">
        <v>1608</v>
      </c>
      <c r="B212" s="226" t="s">
        <v>66</v>
      </c>
      <c r="C212" s="226"/>
      <c r="D212" s="148" t="s">
        <v>941</v>
      </c>
      <c r="E212" s="154" t="s">
        <v>19</v>
      </c>
      <c r="F212" s="191">
        <v>1</v>
      </c>
      <c r="G212" s="236">
        <v>1100</v>
      </c>
      <c r="H212" s="146">
        <f t="shared" si="47"/>
        <v>1100</v>
      </c>
      <c r="I212" s="313">
        <f t="shared" si="48"/>
        <v>1100</v>
      </c>
    </row>
    <row r="213" spans="1:9" s="26" customFormat="1" ht="14.25" x14ac:dyDescent="0.2">
      <c r="A213" s="320" t="s">
        <v>1609</v>
      </c>
      <c r="B213" s="226" t="s">
        <v>66</v>
      </c>
      <c r="C213" s="226"/>
      <c r="D213" s="148" t="s">
        <v>942</v>
      </c>
      <c r="E213" s="154" t="s">
        <v>19</v>
      </c>
      <c r="F213" s="191">
        <v>1</v>
      </c>
      <c r="G213" s="236">
        <v>530</v>
      </c>
      <c r="H213" s="146">
        <f t="shared" si="47"/>
        <v>530</v>
      </c>
      <c r="I213" s="313">
        <f t="shared" si="48"/>
        <v>530</v>
      </c>
    </row>
    <row r="214" spans="1:9" s="26" customFormat="1" ht="14.25" x14ac:dyDescent="0.2">
      <c r="A214" s="320" t="s">
        <v>1610</v>
      </c>
      <c r="B214" s="226" t="s">
        <v>66</v>
      </c>
      <c r="C214" s="226"/>
      <c r="D214" s="148" t="s">
        <v>926</v>
      </c>
      <c r="E214" s="154" t="s">
        <v>19</v>
      </c>
      <c r="F214" s="191">
        <v>1</v>
      </c>
      <c r="G214" s="236">
        <v>676</v>
      </c>
      <c r="H214" s="146">
        <f t="shared" si="47"/>
        <v>676</v>
      </c>
      <c r="I214" s="313">
        <f t="shared" si="48"/>
        <v>676</v>
      </c>
    </row>
    <row r="215" spans="1:9" s="26" customFormat="1" ht="14.25" x14ac:dyDescent="0.2">
      <c r="A215" s="320" t="s">
        <v>1611</v>
      </c>
      <c r="B215" s="226" t="s">
        <v>66</v>
      </c>
      <c r="C215" s="226"/>
      <c r="D215" s="148" t="s">
        <v>943</v>
      </c>
      <c r="E215" s="154" t="s">
        <v>19</v>
      </c>
      <c r="F215" s="191">
        <v>1</v>
      </c>
      <c r="G215" s="236">
        <v>10200</v>
      </c>
      <c r="H215" s="146">
        <f t="shared" si="47"/>
        <v>10200</v>
      </c>
      <c r="I215" s="313">
        <f t="shared" si="48"/>
        <v>10200</v>
      </c>
    </row>
    <row r="216" spans="1:9" s="26" customFormat="1" ht="14.25" x14ac:dyDescent="0.2">
      <c r="A216" s="320" t="s">
        <v>1612</v>
      </c>
      <c r="B216" s="226" t="s">
        <v>66</v>
      </c>
      <c r="C216" s="226"/>
      <c r="D216" s="148" t="s">
        <v>944</v>
      </c>
      <c r="E216" s="154" t="s">
        <v>19</v>
      </c>
      <c r="F216" s="191">
        <v>1</v>
      </c>
      <c r="G216" s="236">
        <v>2200</v>
      </c>
      <c r="H216" s="146">
        <f t="shared" si="47"/>
        <v>2200</v>
      </c>
      <c r="I216" s="313">
        <f t="shared" si="48"/>
        <v>2200</v>
      </c>
    </row>
    <row r="217" spans="1:9" s="26" customFormat="1" ht="14.25" x14ac:dyDescent="0.2">
      <c r="A217" s="320" t="s">
        <v>1613</v>
      </c>
      <c r="B217" s="226" t="s">
        <v>66</v>
      </c>
      <c r="C217" s="226"/>
      <c r="D217" s="148" t="s">
        <v>945</v>
      </c>
      <c r="E217" s="154" t="s">
        <v>19</v>
      </c>
      <c r="F217" s="191">
        <v>1</v>
      </c>
      <c r="G217" s="236">
        <v>320</v>
      </c>
      <c r="H217" s="146">
        <f t="shared" si="47"/>
        <v>320</v>
      </c>
      <c r="I217" s="313">
        <f t="shared" si="48"/>
        <v>320</v>
      </c>
    </row>
    <row r="218" spans="1:9" s="26" customFormat="1" ht="14.25" x14ac:dyDescent="0.2">
      <c r="A218" s="320" t="s">
        <v>1614</v>
      </c>
      <c r="B218" s="226" t="s">
        <v>46</v>
      </c>
      <c r="C218" s="226">
        <v>11714</v>
      </c>
      <c r="D218" s="148" t="s">
        <v>138</v>
      </c>
      <c r="E218" s="154" t="s">
        <v>19</v>
      </c>
      <c r="F218" s="191">
        <v>1</v>
      </c>
      <c r="G218" s="236">
        <v>34.15</v>
      </c>
      <c r="H218" s="146">
        <f t="shared" si="47"/>
        <v>34.15</v>
      </c>
      <c r="I218" s="313">
        <f t="shared" si="48"/>
        <v>34.15</v>
      </c>
    </row>
    <row r="219" spans="1:9" s="26" customFormat="1" ht="14.25" x14ac:dyDescent="0.2">
      <c r="A219" s="320" t="s">
        <v>1615</v>
      </c>
      <c r="B219" s="226" t="s">
        <v>46</v>
      </c>
      <c r="C219" s="226">
        <v>9839</v>
      </c>
      <c r="D219" s="148" t="s">
        <v>927</v>
      </c>
      <c r="E219" s="154" t="s">
        <v>18</v>
      </c>
      <c r="F219" s="191">
        <v>1</v>
      </c>
      <c r="G219" s="236">
        <v>11.53</v>
      </c>
      <c r="H219" s="146">
        <f t="shared" si="47"/>
        <v>11.53</v>
      </c>
      <c r="I219" s="313">
        <f t="shared" si="48"/>
        <v>11.53</v>
      </c>
    </row>
    <row r="220" spans="1:9" s="26" customFormat="1" ht="14.25" x14ac:dyDescent="0.2">
      <c r="A220" s="320" t="s">
        <v>1616</v>
      </c>
      <c r="B220" s="226" t="s">
        <v>46</v>
      </c>
      <c r="C220" s="226">
        <v>20068</v>
      </c>
      <c r="D220" s="148" t="s">
        <v>928</v>
      </c>
      <c r="E220" s="154" t="s">
        <v>18</v>
      </c>
      <c r="F220" s="191">
        <v>0.5</v>
      </c>
      <c r="G220" s="236">
        <v>9.06</v>
      </c>
      <c r="H220" s="146">
        <f t="shared" si="47"/>
        <v>9.06</v>
      </c>
      <c r="I220" s="313">
        <f t="shared" si="48"/>
        <v>4.53</v>
      </c>
    </row>
    <row r="221" spans="1:9" s="26" customFormat="1" ht="14.25" x14ac:dyDescent="0.2">
      <c r="A221" s="320" t="s">
        <v>1617</v>
      </c>
      <c r="B221" s="226" t="s">
        <v>66</v>
      </c>
      <c r="C221" s="226"/>
      <c r="D221" s="148" t="s">
        <v>600</v>
      </c>
      <c r="E221" s="154" t="s">
        <v>19</v>
      </c>
      <c r="F221" s="191">
        <v>4</v>
      </c>
      <c r="G221" s="236">
        <v>2.9</v>
      </c>
      <c r="H221" s="146">
        <f t="shared" si="47"/>
        <v>2.9</v>
      </c>
      <c r="I221" s="313">
        <f t="shared" si="48"/>
        <v>11.6</v>
      </c>
    </row>
    <row r="222" spans="1:9" s="26" customFormat="1" ht="14.25" x14ac:dyDescent="0.2">
      <c r="A222" s="320" t="s">
        <v>1618</v>
      </c>
      <c r="B222" s="226" t="s">
        <v>66</v>
      </c>
      <c r="C222" s="226"/>
      <c r="D222" s="148" t="s">
        <v>402</v>
      </c>
      <c r="E222" s="154" t="s">
        <v>19</v>
      </c>
      <c r="F222" s="191">
        <v>2</v>
      </c>
      <c r="G222" s="236">
        <v>4.2</v>
      </c>
      <c r="H222" s="146">
        <f t="shared" si="47"/>
        <v>4.2</v>
      </c>
      <c r="I222" s="313">
        <f t="shared" si="48"/>
        <v>8.4</v>
      </c>
    </row>
    <row r="223" spans="1:9" s="26" customFormat="1" ht="14.25" x14ac:dyDescent="0.2">
      <c r="A223" s="320" t="s">
        <v>1619</v>
      </c>
      <c r="B223" s="226" t="s">
        <v>66</v>
      </c>
      <c r="C223" s="226"/>
      <c r="D223" s="148" t="s">
        <v>406</v>
      </c>
      <c r="E223" s="154" t="s">
        <v>19</v>
      </c>
      <c r="F223" s="191">
        <v>19</v>
      </c>
      <c r="G223" s="236">
        <v>10.5</v>
      </c>
      <c r="H223" s="146">
        <f t="shared" si="47"/>
        <v>10.5</v>
      </c>
      <c r="I223" s="313">
        <f t="shared" si="48"/>
        <v>199.5</v>
      </c>
    </row>
    <row r="224" spans="1:9" s="26" customFormat="1" ht="14.25" x14ac:dyDescent="0.2">
      <c r="A224" s="320" t="s">
        <v>1620</v>
      </c>
      <c r="B224" s="226" t="s">
        <v>66</v>
      </c>
      <c r="C224" s="226"/>
      <c r="D224" s="148" t="s">
        <v>601</v>
      </c>
      <c r="E224" s="154" t="s">
        <v>19</v>
      </c>
      <c r="F224" s="191">
        <v>32</v>
      </c>
      <c r="G224" s="236">
        <v>5.4</v>
      </c>
      <c r="H224" s="146">
        <f t="shared" si="47"/>
        <v>5.4</v>
      </c>
      <c r="I224" s="313">
        <f t="shared" si="48"/>
        <v>172.8</v>
      </c>
    </row>
    <row r="225" spans="1:18" s="26" customFormat="1" ht="14.25" x14ac:dyDescent="0.2">
      <c r="A225" s="320" t="s">
        <v>1621</v>
      </c>
      <c r="B225" s="226" t="s">
        <v>66</v>
      </c>
      <c r="C225" s="226"/>
      <c r="D225" s="148" t="s">
        <v>602</v>
      </c>
      <c r="E225" s="154" t="s">
        <v>19</v>
      </c>
      <c r="F225" s="191">
        <v>168</v>
      </c>
      <c r="G225" s="236">
        <v>7.6</v>
      </c>
      <c r="H225" s="146">
        <f t="shared" si="47"/>
        <v>7.6</v>
      </c>
      <c r="I225" s="313">
        <f t="shared" si="48"/>
        <v>1276.8</v>
      </c>
    </row>
    <row r="226" spans="1:18" s="26" customFormat="1" ht="14.25" x14ac:dyDescent="0.2">
      <c r="A226" s="320" t="s">
        <v>1622</v>
      </c>
      <c r="B226" s="226" t="s">
        <v>46</v>
      </c>
      <c r="C226" s="226">
        <v>88267</v>
      </c>
      <c r="D226" s="148" t="s">
        <v>795</v>
      </c>
      <c r="E226" s="226" t="s">
        <v>15</v>
      </c>
      <c r="F226" s="146">
        <v>100</v>
      </c>
      <c r="G226" s="236">
        <v>21.01</v>
      </c>
      <c r="H226" s="146">
        <f>ROUND((1+K$3)*G226,2)</f>
        <v>21.01</v>
      </c>
      <c r="I226" s="350">
        <f>ROUND(F226*H226,2)</f>
        <v>2101</v>
      </c>
      <c r="J226" s="27"/>
      <c r="K226" s="27"/>
      <c r="L226" s="27"/>
      <c r="M226" s="27"/>
      <c r="N226" s="27"/>
      <c r="O226" s="27"/>
      <c r="P226" s="27"/>
      <c r="Q226" s="27"/>
    </row>
    <row r="227" spans="1:18" s="26" customFormat="1" ht="14.25" customHeight="1" x14ac:dyDescent="0.2">
      <c r="A227" s="320" t="s">
        <v>1623</v>
      </c>
      <c r="B227" s="226" t="s">
        <v>46</v>
      </c>
      <c r="C227" s="226">
        <v>88248</v>
      </c>
      <c r="D227" s="148" t="s">
        <v>796</v>
      </c>
      <c r="E227" s="226" t="s">
        <v>15</v>
      </c>
      <c r="F227" s="146">
        <v>100</v>
      </c>
      <c r="G227" s="236">
        <v>16.87</v>
      </c>
      <c r="H227" s="146">
        <f>ROUND((1+K$3)*G227,2)</f>
        <v>16.87</v>
      </c>
      <c r="I227" s="350">
        <f>ROUND(F227*H227,2)</f>
        <v>1687</v>
      </c>
      <c r="J227" s="27"/>
      <c r="K227" s="27"/>
      <c r="L227" s="27"/>
      <c r="M227" s="27"/>
      <c r="N227" s="27"/>
      <c r="O227" s="27"/>
      <c r="P227" s="27"/>
      <c r="Q227" s="27"/>
    </row>
    <row r="228" spans="1:18" s="26" customFormat="1" ht="14.25" x14ac:dyDescent="0.2">
      <c r="A228" s="320" t="s">
        <v>1624</v>
      </c>
      <c r="B228" s="226" t="s">
        <v>46</v>
      </c>
      <c r="C228" s="226">
        <v>88316</v>
      </c>
      <c r="D228" s="148" t="s">
        <v>797</v>
      </c>
      <c r="E228" s="226" t="s">
        <v>15</v>
      </c>
      <c r="F228" s="146">
        <v>100</v>
      </c>
      <c r="G228" s="236">
        <v>16.64</v>
      </c>
      <c r="H228" s="146">
        <f>ROUND((1+K$3)*G228,2)</f>
        <v>16.64</v>
      </c>
      <c r="I228" s="350">
        <f>ROUND(F228*H228,2)</f>
        <v>1664</v>
      </c>
      <c r="J228" s="27"/>
      <c r="K228" s="27"/>
      <c r="L228" s="27"/>
      <c r="M228" s="27"/>
      <c r="N228" s="27"/>
      <c r="O228" s="27"/>
      <c r="P228" s="27"/>
      <c r="Q228" s="27"/>
    </row>
    <row r="229" spans="1:18" s="26" customFormat="1" thickBot="1" x14ac:dyDescent="0.25">
      <c r="A229" s="933"/>
      <c r="B229" s="586"/>
      <c r="C229" s="586"/>
      <c r="D229" s="929"/>
      <c r="E229" s="586"/>
      <c r="F229" s="585"/>
      <c r="G229" s="585"/>
      <c r="H229" s="585"/>
      <c r="I229" s="915"/>
      <c r="J229" s="27"/>
      <c r="K229" s="349"/>
      <c r="L229" s="27"/>
      <c r="M229" s="27"/>
      <c r="N229" s="27"/>
      <c r="O229" s="27"/>
      <c r="P229" s="27"/>
      <c r="Q229" s="27"/>
    </row>
    <row r="230" spans="1:18" s="7" customFormat="1" ht="30" x14ac:dyDescent="0.2">
      <c r="A230" s="1019">
        <v>19</v>
      </c>
      <c r="B230" s="1020" t="s">
        <v>336</v>
      </c>
      <c r="C230" s="1021" t="s">
        <v>597</v>
      </c>
      <c r="D230" s="1022" t="s">
        <v>1023</v>
      </c>
      <c r="E230" s="1020" t="s">
        <v>17</v>
      </c>
      <c r="F230" s="1023"/>
      <c r="G230" s="1024"/>
      <c r="H230" s="1024"/>
      <c r="I230" s="1025">
        <f>SUM(I231:I232)</f>
        <v>7.17</v>
      </c>
      <c r="J230" s="6"/>
      <c r="K230" s="6"/>
      <c r="L230" s="6"/>
      <c r="M230" s="6"/>
      <c r="N230" s="6"/>
      <c r="O230" s="6"/>
      <c r="P230" s="6"/>
      <c r="Q230" s="6"/>
    </row>
    <row r="231" spans="1:18" ht="14.25" x14ac:dyDescent="0.2">
      <c r="A231" s="311" t="s">
        <v>628</v>
      </c>
      <c r="B231" s="226" t="s">
        <v>46</v>
      </c>
      <c r="C231" s="227">
        <v>88246</v>
      </c>
      <c r="D231" s="178" t="s">
        <v>1024</v>
      </c>
      <c r="E231" s="227" t="s">
        <v>15</v>
      </c>
      <c r="F231" s="157">
        <v>0.15</v>
      </c>
      <c r="G231" s="146">
        <v>25.61</v>
      </c>
      <c r="H231" s="146">
        <f>G231</f>
        <v>25.61</v>
      </c>
      <c r="I231" s="350">
        <f>ROUND(F231*H231,2)</f>
        <v>3.84</v>
      </c>
      <c r="J231" s="29"/>
      <c r="K231" s="29"/>
      <c r="L231" s="29"/>
      <c r="M231" s="29"/>
      <c r="N231" s="29"/>
      <c r="O231" s="29"/>
      <c r="P231" s="29"/>
      <c r="Q231" s="29"/>
    </row>
    <row r="232" spans="1:18" ht="14.25" x14ac:dyDescent="0.2">
      <c r="A232" s="311" t="s">
        <v>629</v>
      </c>
      <c r="B232" s="226" t="s">
        <v>46</v>
      </c>
      <c r="C232" s="227">
        <v>88316</v>
      </c>
      <c r="D232" s="178" t="s">
        <v>797</v>
      </c>
      <c r="E232" s="227" t="s">
        <v>840</v>
      </c>
      <c r="F232" s="157">
        <v>0.2</v>
      </c>
      <c r="G232" s="146">
        <v>16.64</v>
      </c>
      <c r="H232" s="146">
        <f>G232</f>
        <v>16.64</v>
      </c>
      <c r="I232" s="350">
        <f>ROUND(F232*H232,2)</f>
        <v>3.33</v>
      </c>
      <c r="J232" s="29"/>
      <c r="K232" s="29"/>
      <c r="L232" s="29"/>
      <c r="M232" s="29"/>
      <c r="N232" s="29"/>
      <c r="O232" s="29"/>
      <c r="P232" s="29"/>
      <c r="Q232" s="29"/>
    </row>
    <row r="233" spans="1:18" ht="14.25" x14ac:dyDescent="0.2">
      <c r="A233" s="311"/>
      <c r="B233" s="226"/>
      <c r="C233" s="227"/>
      <c r="D233" s="178"/>
      <c r="E233" s="227"/>
      <c r="F233" s="157"/>
      <c r="G233" s="146"/>
      <c r="H233" s="146"/>
      <c r="I233" s="350"/>
      <c r="J233" s="29"/>
      <c r="K233" s="29"/>
      <c r="L233" s="29"/>
      <c r="M233" s="29"/>
      <c r="N233" s="29"/>
      <c r="O233" s="29"/>
      <c r="P233" s="29"/>
      <c r="Q233" s="29"/>
    </row>
    <row r="234" spans="1:18" s="7" customFormat="1" ht="45" x14ac:dyDescent="0.2">
      <c r="A234" s="594">
        <v>20</v>
      </c>
      <c r="B234" s="298" t="s">
        <v>336</v>
      </c>
      <c r="C234" s="324" t="s">
        <v>280</v>
      </c>
      <c r="D234" s="325" t="s">
        <v>1707</v>
      </c>
      <c r="E234" s="298" t="s">
        <v>19</v>
      </c>
      <c r="F234" s="363"/>
      <c r="G234" s="364"/>
      <c r="H234" s="364"/>
      <c r="I234" s="595">
        <f>SUM(I235:I240)</f>
        <v>5627.94</v>
      </c>
      <c r="J234" s="6"/>
      <c r="K234" s="6"/>
      <c r="L234" s="6"/>
      <c r="M234" s="6"/>
      <c r="N234" s="6"/>
      <c r="O234" s="6"/>
      <c r="P234" s="6"/>
      <c r="Q234" s="6"/>
    </row>
    <row r="235" spans="1:18" s="26" customFormat="1" ht="57" x14ac:dyDescent="0.2">
      <c r="A235" s="334" t="s">
        <v>1541</v>
      </c>
      <c r="B235" s="154" t="s">
        <v>46</v>
      </c>
      <c r="C235" s="226">
        <v>5824</v>
      </c>
      <c r="D235" s="147" t="s">
        <v>839</v>
      </c>
      <c r="E235" s="154" t="s">
        <v>840</v>
      </c>
      <c r="F235" s="146">
        <v>8</v>
      </c>
      <c r="G235" s="146">
        <v>106.76</v>
      </c>
      <c r="H235" s="146">
        <f t="shared" ref="H235:H240" si="49">G235</f>
        <v>106.76</v>
      </c>
      <c r="I235" s="350">
        <f t="shared" ref="I235" si="50">ROUND(F235*H235,2)</f>
        <v>854.08</v>
      </c>
      <c r="J235" s="262"/>
      <c r="K235" s="25"/>
      <c r="L235" s="132"/>
      <c r="M235" s="25"/>
      <c r="N235" s="25"/>
      <c r="O235" s="25"/>
      <c r="P235" s="25"/>
      <c r="R235" s="25"/>
    </row>
    <row r="236" spans="1:18" s="26" customFormat="1" ht="14.25" x14ac:dyDescent="0.2">
      <c r="A236" s="334" t="s">
        <v>1542</v>
      </c>
      <c r="B236" s="154" t="s">
        <v>46</v>
      </c>
      <c r="C236" s="226">
        <v>88285</v>
      </c>
      <c r="D236" s="147" t="s">
        <v>846</v>
      </c>
      <c r="E236" s="154" t="s">
        <v>15</v>
      </c>
      <c r="F236" s="146">
        <f>F235</f>
        <v>8</v>
      </c>
      <c r="G236" s="146">
        <v>18.440000000000001</v>
      </c>
      <c r="H236" s="146">
        <f t="shared" si="49"/>
        <v>18.440000000000001</v>
      </c>
      <c r="I236" s="350">
        <f t="shared" ref="I236:I240" si="51">ROUND(F236*H236,2)</f>
        <v>147.52000000000001</v>
      </c>
      <c r="J236" s="262"/>
      <c r="K236" s="25"/>
      <c r="L236" s="132"/>
      <c r="M236" s="25"/>
      <c r="N236" s="25"/>
      <c r="O236" s="25"/>
      <c r="P236" s="25"/>
      <c r="R236" s="25"/>
    </row>
    <row r="237" spans="1:18" s="26" customFormat="1" ht="31.5" customHeight="1" x14ac:dyDescent="0.2">
      <c r="A237" s="334" t="s">
        <v>1543</v>
      </c>
      <c r="B237" s="154" t="s">
        <v>46</v>
      </c>
      <c r="C237" s="226">
        <v>89272</v>
      </c>
      <c r="D237" s="147" t="s">
        <v>845</v>
      </c>
      <c r="E237" s="154" t="s">
        <v>840</v>
      </c>
      <c r="F237" s="146">
        <v>8</v>
      </c>
      <c r="G237" s="146">
        <v>144.16999999999999</v>
      </c>
      <c r="H237" s="146">
        <f t="shared" si="49"/>
        <v>144.16999999999999</v>
      </c>
      <c r="I237" s="350">
        <f t="shared" si="51"/>
        <v>1153.3599999999999</v>
      </c>
      <c r="J237" s="262"/>
      <c r="K237" s="25"/>
      <c r="L237" s="132"/>
      <c r="M237" s="25"/>
      <c r="N237" s="25"/>
      <c r="O237" s="25"/>
      <c r="P237" s="25"/>
      <c r="R237" s="25"/>
    </row>
    <row r="238" spans="1:18" s="26" customFormat="1" ht="14.25" x14ac:dyDescent="0.2">
      <c r="A238" s="334" t="s">
        <v>1544</v>
      </c>
      <c r="B238" s="154" t="s">
        <v>46</v>
      </c>
      <c r="C238" s="226">
        <v>88296</v>
      </c>
      <c r="D238" s="147" t="s">
        <v>847</v>
      </c>
      <c r="E238" s="154" t="s">
        <v>15</v>
      </c>
      <c r="F238" s="146">
        <f>F237</f>
        <v>8</v>
      </c>
      <c r="G238" s="146">
        <v>25.37</v>
      </c>
      <c r="H238" s="146">
        <f t="shared" si="49"/>
        <v>25.37</v>
      </c>
      <c r="I238" s="350">
        <f t="shared" si="51"/>
        <v>202.96</v>
      </c>
      <c r="J238" s="262"/>
      <c r="K238" s="25"/>
      <c r="L238" s="132"/>
      <c r="M238" s="25"/>
      <c r="N238" s="25"/>
      <c r="O238" s="25"/>
      <c r="P238" s="25"/>
      <c r="R238" s="25"/>
    </row>
    <row r="239" spans="1:18" s="26" customFormat="1" ht="57" x14ac:dyDescent="0.2">
      <c r="A239" s="334" t="s">
        <v>1545</v>
      </c>
      <c r="B239" s="154" t="s">
        <v>46</v>
      </c>
      <c r="C239" s="226">
        <v>89202</v>
      </c>
      <c r="D239" s="147" t="s">
        <v>1705</v>
      </c>
      <c r="E239" s="154" t="s">
        <v>18</v>
      </c>
      <c r="F239" s="146">
        <f>6*8.4</f>
        <v>50.400000000000006</v>
      </c>
      <c r="G239" s="146">
        <v>62.24</v>
      </c>
      <c r="H239" s="146">
        <f t="shared" si="49"/>
        <v>62.24</v>
      </c>
      <c r="I239" s="350">
        <f t="shared" si="51"/>
        <v>3136.9</v>
      </c>
      <c r="J239" s="262"/>
      <c r="K239" s="25"/>
      <c r="L239" s="132"/>
      <c r="M239" s="25"/>
      <c r="N239" s="25"/>
      <c r="O239" s="25"/>
      <c r="P239" s="25"/>
      <c r="R239" s="25"/>
    </row>
    <row r="240" spans="1:18" ht="14.25" x14ac:dyDescent="0.2">
      <c r="A240" s="334" t="s">
        <v>1546</v>
      </c>
      <c r="B240" s="154" t="s">
        <v>46</v>
      </c>
      <c r="C240" s="227">
        <v>88316</v>
      </c>
      <c r="D240" s="178" t="s">
        <v>829</v>
      </c>
      <c r="E240" s="227" t="s">
        <v>15</v>
      </c>
      <c r="F240" s="146">
        <v>8</v>
      </c>
      <c r="G240" s="146">
        <v>16.64</v>
      </c>
      <c r="H240" s="146">
        <f t="shared" si="49"/>
        <v>16.64</v>
      </c>
      <c r="I240" s="350">
        <f t="shared" si="51"/>
        <v>133.12</v>
      </c>
      <c r="J240" s="29"/>
      <c r="K240" s="29"/>
      <c r="L240" s="29"/>
      <c r="M240" s="29"/>
      <c r="N240" s="29"/>
      <c r="O240" s="29"/>
      <c r="P240" s="29"/>
      <c r="Q240" s="29"/>
    </row>
    <row r="241" spans="1:18" s="7" customFormat="1" ht="14.25" x14ac:dyDescent="0.2">
      <c r="A241" s="601"/>
      <c r="B241" s="150"/>
      <c r="C241" s="150"/>
      <c r="D241" s="184"/>
      <c r="E241" s="150"/>
      <c r="F241" s="151"/>
      <c r="G241" s="185"/>
      <c r="H241" s="146"/>
      <c r="I241" s="152"/>
      <c r="J241" s="6"/>
      <c r="K241" s="6"/>
      <c r="L241" s="6"/>
      <c r="M241" s="6"/>
      <c r="N241" s="6"/>
      <c r="O241" s="6"/>
      <c r="P241" s="6"/>
      <c r="Q241" s="6"/>
    </row>
    <row r="242" spans="1:18" ht="14.25" x14ac:dyDescent="0.2">
      <c r="A242" s="311"/>
      <c r="B242" s="226"/>
      <c r="C242" s="227"/>
      <c r="D242" s="178"/>
      <c r="E242" s="227"/>
      <c r="F242" s="157"/>
      <c r="G242" s="146"/>
      <c r="H242" s="146"/>
      <c r="I242" s="350"/>
      <c r="J242" s="29"/>
      <c r="K242" s="29"/>
      <c r="L242" s="29"/>
      <c r="M242" s="29"/>
      <c r="N242" s="29"/>
      <c r="O242" s="29"/>
      <c r="P242" s="29"/>
      <c r="Q242" s="29"/>
    </row>
    <row r="243" spans="1:18" s="7" customFormat="1" ht="45" x14ac:dyDescent="0.2">
      <c r="A243" s="594">
        <v>21</v>
      </c>
      <c r="B243" s="298" t="s">
        <v>336</v>
      </c>
      <c r="C243" s="324" t="s">
        <v>1575</v>
      </c>
      <c r="D243" s="325" t="s">
        <v>1708</v>
      </c>
      <c r="E243" s="298" t="s">
        <v>19</v>
      </c>
      <c r="F243" s="363"/>
      <c r="G243" s="364"/>
      <c r="H243" s="364"/>
      <c r="I243" s="595">
        <f>SUM(I244:I249)</f>
        <v>29423.730000000003</v>
      </c>
      <c r="J243" s="6"/>
      <c r="K243" s="6"/>
      <c r="L243" s="6"/>
      <c r="M243" s="6"/>
      <c r="N243" s="6"/>
      <c r="O243" s="6"/>
      <c r="P243" s="6"/>
      <c r="Q243" s="6"/>
    </row>
    <row r="244" spans="1:18" s="26" customFormat="1" ht="57" x14ac:dyDescent="0.2">
      <c r="A244" s="334" t="s">
        <v>1569</v>
      </c>
      <c r="B244" s="154" t="s">
        <v>46</v>
      </c>
      <c r="C244" s="226">
        <v>5824</v>
      </c>
      <c r="D244" s="147" t="s">
        <v>839</v>
      </c>
      <c r="E244" s="154" t="s">
        <v>840</v>
      </c>
      <c r="F244" s="146">
        <v>16</v>
      </c>
      <c r="G244" s="146">
        <v>106.76</v>
      </c>
      <c r="H244" s="146">
        <f t="shared" ref="H244:H249" si="52">G244</f>
        <v>106.76</v>
      </c>
      <c r="I244" s="350">
        <f t="shared" ref="I244:I249" si="53">ROUND(F244*H244,2)</f>
        <v>1708.16</v>
      </c>
      <c r="J244" s="262"/>
      <c r="K244" s="25"/>
      <c r="L244" s="132"/>
      <c r="M244" s="25"/>
      <c r="N244" s="25"/>
      <c r="O244" s="25"/>
      <c r="P244" s="25"/>
      <c r="R244" s="25"/>
    </row>
    <row r="245" spans="1:18" s="26" customFormat="1" ht="14.25" x14ac:dyDescent="0.2">
      <c r="A245" s="334" t="s">
        <v>1570</v>
      </c>
      <c r="B245" s="154" t="s">
        <v>46</v>
      </c>
      <c r="C245" s="226">
        <v>88285</v>
      </c>
      <c r="D245" s="147" t="s">
        <v>846</v>
      </c>
      <c r="E245" s="154" t="s">
        <v>15</v>
      </c>
      <c r="F245" s="146">
        <f>F244</f>
        <v>16</v>
      </c>
      <c r="G245" s="146">
        <v>18.440000000000001</v>
      </c>
      <c r="H245" s="146">
        <f t="shared" si="52"/>
        <v>18.440000000000001</v>
      </c>
      <c r="I245" s="350">
        <f t="shared" si="53"/>
        <v>295.04000000000002</v>
      </c>
      <c r="J245" s="262"/>
      <c r="K245" s="25"/>
      <c r="L245" s="132"/>
      <c r="M245" s="25"/>
      <c r="N245" s="25"/>
      <c r="O245" s="25"/>
      <c r="P245" s="25"/>
      <c r="R245" s="25"/>
    </row>
    <row r="246" spans="1:18" s="26" customFormat="1" ht="31.5" customHeight="1" x14ac:dyDescent="0.2">
      <c r="A246" s="334" t="s">
        <v>1571</v>
      </c>
      <c r="B246" s="154" t="s">
        <v>46</v>
      </c>
      <c r="C246" s="226">
        <v>89272</v>
      </c>
      <c r="D246" s="147" t="s">
        <v>845</v>
      </c>
      <c r="E246" s="154" t="s">
        <v>840</v>
      </c>
      <c r="F246" s="146">
        <v>16</v>
      </c>
      <c r="G246" s="146">
        <v>144.16999999999999</v>
      </c>
      <c r="H246" s="146">
        <f t="shared" si="52"/>
        <v>144.16999999999999</v>
      </c>
      <c r="I246" s="350">
        <f t="shared" si="53"/>
        <v>2306.7199999999998</v>
      </c>
      <c r="J246" s="262"/>
      <c r="K246" s="25"/>
      <c r="L246" s="132"/>
      <c r="M246" s="25"/>
      <c r="N246" s="25"/>
      <c r="O246" s="25"/>
      <c r="P246" s="25"/>
      <c r="R246" s="25"/>
    </row>
    <row r="247" spans="1:18" s="26" customFormat="1" ht="14.25" x14ac:dyDescent="0.2">
      <c r="A247" s="334" t="s">
        <v>1572</v>
      </c>
      <c r="B247" s="154" t="s">
        <v>46</v>
      </c>
      <c r="C247" s="226">
        <v>88296</v>
      </c>
      <c r="D247" s="147" t="s">
        <v>847</v>
      </c>
      <c r="E247" s="154" t="s">
        <v>15</v>
      </c>
      <c r="F247" s="146">
        <f>F246</f>
        <v>16</v>
      </c>
      <c r="G247" s="146">
        <v>25.37</v>
      </c>
      <c r="H247" s="146">
        <f t="shared" si="52"/>
        <v>25.37</v>
      </c>
      <c r="I247" s="350">
        <f t="shared" si="53"/>
        <v>405.92</v>
      </c>
      <c r="J247" s="262"/>
      <c r="K247" s="25"/>
      <c r="L247" s="132"/>
      <c r="M247" s="25"/>
      <c r="N247" s="25"/>
      <c r="O247" s="25"/>
      <c r="P247" s="25"/>
      <c r="R247" s="25"/>
    </row>
    <row r="248" spans="1:18" s="26" customFormat="1" ht="57" x14ac:dyDescent="0.2">
      <c r="A248" s="334" t="s">
        <v>1573</v>
      </c>
      <c r="B248" s="154" t="s">
        <v>46</v>
      </c>
      <c r="C248" s="226">
        <v>89202</v>
      </c>
      <c r="D248" s="147" t="s">
        <v>1705</v>
      </c>
      <c r="E248" s="154" t="s">
        <v>18</v>
      </c>
      <c r="F248" s="146">
        <v>392.7</v>
      </c>
      <c r="G248" s="146">
        <v>62.24</v>
      </c>
      <c r="H248" s="146">
        <f t="shared" si="52"/>
        <v>62.24</v>
      </c>
      <c r="I248" s="350">
        <f t="shared" si="53"/>
        <v>24441.65</v>
      </c>
      <c r="J248" s="262"/>
      <c r="K248" s="25"/>
      <c r="L248" s="132"/>
      <c r="M248" s="25"/>
      <c r="N248" s="25"/>
      <c r="O248" s="25"/>
      <c r="P248" s="25"/>
      <c r="R248" s="25"/>
    </row>
    <row r="249" spans="1:18" ht="14.25" x14ac:dyDescent="0.2">
      <c r="A249" s="334" t="s">
        <v>1574</v>
      </c>
      <c r="B249" s="154" t="s">
        <v>46</v>
      </c>
      <c r="C249" s="227">
        <v>88316</v>
      </c>
      <c r="D249" s="178" t="s">
        <v>829</v>
      </c>
      <c r="E249" s="227" t="s">
        <v>15</v>
      </c>
      <c r="F249" s="146">
        <v>16</v>
      </c>
      <c r="G249" s="146">
        <v>16.64</v>
      </c>
      <c r="H249" s="146">
        <f t="shared" si="52"/>
        <v>16.64</v>
      </c>
      <c r="I249" s="350">
        <f t="shared" si="53"/>
        <v>266.24</v>
      </c>
      <c r="J249" s="29"/>
      <c r="K249" s="29"/>
      <c r="L249" s="29"/>
      <c r="M249" s="29"/>
      <c r="N249" s="29"/>
      <c r="O249" s="29"/>
      <c r="P249" s="29"/>
      <c r="Q249" s="29"/>
    </row>
    <row r="250" spans="1:18" s="26" customFormat="1" thickBot="1" x14ac:dyDescent="0.25">
      <c r="A250" s="920"/>
      <c r="B250" s="586"/>
      <c r="C250" s="586"/>
      <c r="D250" s="584"/>
      <c r="E250" s="913"/>
      <c r="F250" s="1034"/>
      <c r="G250" s="1035"/>
      <c r="H250" s="585"/>
      <c r="I250" s="915"/>
    </row>
    <row r="251" spans="1:18" s="26" customFormat="1" ht="45" x14ac:dyDescent="0.2">
      <c r="A251" s="1019">
        <v>22</v>
      </c>
      <c r="B251" s="1020" t="s">
        <v>336</v>
      </c>
      <c r="C251" s="1021" t="s">
        <v>281</v>
      </c>
      <c r="D251" s="1022" t="s">
        <v>247</v>
      </c>
      <c r="E251" s="1020"/>
      <c r="F251" s="1023"/>
      <c r="G251" s="1024"/>
      <c r="H251" s="1024"/>
      <c r="I251" s="1025">
        <f>SUM(I252:I257)</f>
        <v>239.78999999999996</v>
      </c>
    </row>
    <row r="252" spans="1:18" s="326" customFormat="1" ht="28.5" x14ac:dyDescent="0.2">
      <c r="A252" s="334" t="s">
        <v>630</v>
      </c>
      <c r="B252" s="226" t="s">
        <v>46</v>
      </c>
      <c r="C252" s="226">
        <v>12759</v>
      </c>
      <c r="D252" s="147" t="s">
        <v>1359</v>
      </c>
      <c r="E252" s="226" t="s">
        <v>16</v>
      </c>
      <c r="F252" s="361">
        <v>0.2</v>
      </c>
      <c r="G252" s="327">
        <v>624.36</v>
      </c>
      <c r="H252" s="327">
        <f t="shared" ref="H252:H257" si="54">G252</f>
        <v>624.36</v>
      </c>
      <c r="I252" s="362">
        <f>ROUND(F252*H252,2)</f>
        <v>124.87</v>
      </c>
      <c r="J252" s="93"/>
      <c r="K252" s="93"/>
      <c r="L252" s="93"/>
      <c r="M252" s="93"/>
      <c r="N252" s="93"/>
      <c r="O252" s="93"/>
      <c r="P252" s="93"/>
      <c r="Q252" s="93"/>
    </row>
    <row r="253" spans="1:18" s="326" customFormat="1" ht="14.25" x14ac:dyDescent="0.2">
      <c r="A253" s="334" t="s">
        <v>631</v>
      </c>
      <c r="B253" s="226" t="s">
        <v>46</v>
      </c>
      <c r="C253" s="226">
        <v>11976</v>
      </c>
      <c r="D253" s="147" t="s">
        <v>1361</v>
      </c>
      <c r="E253" s="226" t="s">
        <v>19</v>
      </c>
      <c r="F253" s="361">
        <v>3</v>
      </c>
      <c r="G253" s="327">
        <v>4.38</v>
      </c>
      <c r="H253" s="327">
        <f t="shared" si="54"/>
        <v>4.38</v>
      </c>
      <c r="I253" s="362">
        <f t="shared" ref="I253:I254" si="55">ROUND(F253*H253,2)</f>
        <v>13.14</v>
      </c>
      <c r="J253" s="93"/>
      <c r="K253" s="93"/>
      <c r="L253" s="93"/>
      <c r="M253" s="93"/>
      <c r="N253" s="93"/>
      <c r="O253" s="93"/>
      <c r="P253" s="93"/>
      <c r="Q253" s="93"/>
    </row>
    <row r="254" spans="1:18" s="326" customFormat="1" ht="14.25" x14ac:dyDescent="0.2">
      <c r="A254" s="334" t="s">
        <v>632</v>
      </c>
      <c r="B254" s="226" t="s">
        <v>46</v>
      </c>
      <c r="C254" s="226">
        <v>252</v>
      </c>
      <c r="D254" s="147" t="s">
        <v>774</v>
      </c>
      <c r="E254" s="226" t="s">
        <v>15</v>
      </c>
      <c r="F254" s="361">
        <v>2</v>
      </c>
      <c r="G254" s="236">
        <v>10.38</v>
      </c>
      <c r="H254" s="327">
        <f t="shared" si="54"/>
        <v>10.38</v>
      </c>
      <c r="I254" s="362">
        <f t="shared" si="55"/>
        <v>20.76</v>
      </c>
      <c r="J254" s="93"/>
      <c r="K254" s="93"/>
      <c r="L254" s="93"/>
      <c r="M254" s="93"/>
      <c r="N254" s="93"/>
      <c r="O254" s="93"/>
      <c r="P254" s="93"/>
      <c r="Q254" s="93"/>
    </row>
    <row r="255" spans="1:18" s="326" customFormat="1" ht="14.25" x14ac:dyDescent="0.2">
      <c r="A255" s="334" t="s">
        <v>633</v>
      </c>
      <c r="B255" s="226" t="s">
        <v>46</v>
      </c>
      <c r="C255" s="226">
        <v>6110</v>
      </c>
      <c r="D255" s="147" t="s">
        <v>246</v>
      </c>
      <c r="E255" s="226" t="s">
        <v>15</v>
      </c>
      <c r="F255" s="361">
        <v>2</v>
      </c>
      <c r="G255" s="236">
        <v>13.82</v>
      </c>
      <c r="H255" s="327">
        <f t="shared" si="54"/>
        <v>13.82</v>
      </c>
      <c r="I255" s="362">
        <f>ROUND(F255*H255,2)</f>
        <v>27.64</v>
      </c>
      <c r="J255" s="93"/>
      <c r="K255" s="93"/>
      <c r="L255" s="93"/>
      <c r="M255" s="93"/>
      <c r="N255" s="93"/>
      <c r="O255" s="93"/>
      <c r="P255" s="93"/>
      <c r="Q255" s="93"/>
    </row>
    <row r="256" spans="1:18" s="326" customFormat="1" ht="14.25" x14ac:dyDescent="0.2">
      <c r="A256" s="334" t="s">
        <v>1625</v>
      </c>
      <c r="B256" s="226" t="s">
        <v>46</v>
      </c>
      <c r="C256" s="226">
        <v>6111</v>
      </c>
      <c r="D256" s="147" t="s">
        <v>276</v>
      </c>
      <c r="E256" s="226" t="s">
        <v>15</v>
      </c>
      <c r="F256" s="361">
        <v>2</v>
      </c>
      <c r="G256" s="236">
        <v>12.02</v>
      </c>
      <c r="H256" s="327">
        <f t="shared" si="54"/>
        <v>12.02</v>
      </c>
      <c r="I256" s="362">
        <f>ROUND(F256*H256,2)</f>
        <v>24.04</v>
      </c>
      <c r="J256" s="93"/>
      <c r="K256" s="93"/>
      <c r="L256" s="93"/>
      <c r="M256" s="93"/>
      <c r="N256" s="93"/>
      <c r="O256" s="93"/>
      <c r="P256" s="93"/>
      <c r="Q256" s="93"/>
    </row>
    <row r="257" spans="1:17" s="326" customFormat="1" ht="14.25" x14ac:dyDescent="0.2">
      <c r="A257" s="334" t="s">
        <v>1626</v>
      </c>
      <c r="B257" s="226" t="s">
        <v>46</v>
      </c>
      <c r="C257" s="226">
        <v>4750</v>
      </c>
      <c r="D257" s="147" t="s">
        <v>275</v>
      </c>
      <c r="E257" s="226" t="s">
        <v>15</v>
      </c>
      <c r="F257" s="361">
        <v>2</v>
      </c>
      <c r="G257" s="236">
        <v>14.67</v>
      </c>
      <c r="H257" s="327">
        <f t="shared" si="54"/>
        <v>14.67</v>
      </c>
      <c r="I257" s="362">
        <f>ROUND(F257*H257,2)</f>
        <v>29.34</v>
      </c>
      <c r="J257" s="93"/>
      <c r="K257" s="93"/>
      <c r="L257" s="93"/>
      <c r="M257" s="93"/>
      <c r="N257" s="93"/>
      <c r="O257" s="93"/>
      <c r="P257" s="93"/>
      <c r="Q257" s="93"/>
    </row>
    <row r="258" spans="1:17" s="26" customFormat="1" ht="14.25" x14ac:dyDescent="0.2">
      <c r="A258" s="320"/>
      <c r="B258" s="154"/>
      <c r="C258" s="153"/>
      <c r="D258" s="148"/>
      <c r="E258" s="154"/>
      <c r="F258" s="191"/>
      <c r="G258" s="192"/>
      <c r="H258" s="191"/>
      <c r="I258" s="599"/>
    </row>
    <row r="259" spans="1:17" s="26" customFormat="1" x14ac:dyDescent="0.2">
      <c r="A259" s="594">
        <v>23</v>
      </c>
      <c r="B259" s="298" t="s">
        <v>336</v>
      </c>
      <c r="C259" s="324" t="s">
        <v>282</v>
      </c>
      <c r="D259" s="325" t="s">
        <v>386</v>
      </c>
      <c r="E259" s="298" t="s">
        <v>19</v>
      </c>
      <c r="F259" s="363"/>
      <c r="G259" s="364"/>
      <c r="H259" s="364"/>
      <c r="I259" s="595">
        <f>SUM(I260:I270)</f>
        <v>31947.249919999998</v>
      </c>
    </row>
    <row r="260" spans="1:17" s="26" customFormat="1" ht="14.25" x14ac:dyDescent="0.2">
      <c r="A260" s="320" t="s">
        <v>432</v>
      </c>
      <c r="B260" s="154" t="s">
        <v>46</v>
      </c>
      <c r="C260" s="153">
        <v>7184</v>
      </c>
      <c r="D260" s="148" t="s">
        <v>1362</v>
      </c>
      <c r="E260" s="154" t="s">
        <v>16</v>
      </c>
      <c r="F260" s="191">
        <f>1.45*7.8*12*2</f>
        <v>271.43999999999994</v>
      </c>
      <c r="G260" s="192">
        <v>28</v>
      </c>
      <c r="H260" s="191">
        <f t="shared" ref="H260" si="56">G260</f>
        <v>28</v>
      </c>
      <c r="I260" s="599">
        <f t="shared" ref="I260" si="57">F260*H260</f>
        <v>7600.3199999999979</v>
      </c>
    </row>
    <row r="261" spans="1:17" s="26" customFormat="1" ht="14.25" x14ac:dyDescent="0.2">
      <c r="A261" s="320" t="s">
        <v>433</v>
      </c>
      <c r="B261" s="154" t="s">
        <v>46</v>
      </c>
      <c r="C261" s="153">
        <v>11976</v>
      </c>
      <c r="D261" s="148" t="s">
        <v>393</v>
      </c>
      <c r="E261" s="154" t="s">
        <v>19</v>
      </c>
      <c r="F261" s="191">
        <f>ROUNDDOWN(7.8/0.5*2*12*2,0)</f>
        <v>748</v>
      </c>
      <c r="G261" s="192">
        <v>4.38</v>
      </c>
      <c r="H261" s="191">
        <f t="shared" ref="H261:H270" si="58">G261</f>
        <v>4.38</v>
      </c>
      <c r="I261" s="599">
        <f t="shared" ref="I261:I270" si="59">F261*H261</f>
        <v>3276.24</v>
      </c>
    </row>
    <row r="262" spans="1:17" s="26" customFormat="1" ht="14.25" x14ac:dyDescent="0.2">
      <c r="A262" s="320" t="s">
        <v>434</v>
      </c>
      <c r="B262" s="154" t="s">
        <v>46</v>
      </c>
      <c r="C262" s="153">
        <v>11975</v>
      </c>
      <c r="D262" s="148" t="s">
        <v>394</v>
      </c>
      <c r="E262" s="154" t="s">
        <v>19</v>
      </c>
      <c r="F262" s="191">
        <f>6*16*8</f>
        <v>768</v>
      </c>
      <c r="G262" s="192">
        <v>13.03</v>
      </c>
      <c r="H262" s="191">
        <f t="shared" ref="H262" si="60">G262</f>
        <v>13.03</v>
      </c>
      <c r="I262" s="599">
        <f t="shared" ref="I262" si="61">F262*H262</f>
        <v>10007.039999999999</v>
      </c>
    </row>
    <row r="263" spans="1:17" s="26" customFormat="1" ht="14.25" x14ac:dyDescent="0.2">
      <c r="A263" s="320" t="s">
        <v>435</v>
      </c>
      <c r="B263" s="154" t="s">
        <v>46</v>
      </c>
      <c r="C263" s="153">
        <v>5104</v>
      </c>
      <c r="D263" s="148" t="s">
        <v>392</v>
      </c>
      <c r="E263" s="154" t="s">
        <v>170</v>
      </c>
      <c r="F263" s="191">
        <v>1</v>
      </c>
      <c r="G263" s="192">
        <v>38.299999999999997</v>
      </c>
      <c r="H263" s="191">
        <f t="shared" si="58"/>
        <v>38.299999999999997</v>
      </c>
      <c r="I263" s="599">
        <f t="shared" si="59"/>
        <v>38.299999999999997</v>
      </c>
    </row>
    <row r="264" spans="1:17" s="26" customFormat="1" ht="14.25" x14ac:dyDescent="0.2">
      <c r="A264" s="320" t="s">
        <v>1576</v>
      </c>
      <c r="B264" s="154" t="s">
        <v>46</v>
      </c>
      <c r="C264" s="153">
        <v>584</v>
      </c>
      <c r="D264" s="148" t="s">
        <v>389</v>
      </c>
      <c r="E264" s="154" t="s">
        <v>18</v>
      </c>
      <c r="F264" s="191">
        <f>7.8*12*2</f>
        <v>187.2</v>
      </c>
      <c r="G264" s="192">
        <v>20</v>
      </c>
      <c r="H264" s="191">
        <f t="shared" si="58"/>
        <v>20</v>
      </c>
      <c r="I264" s="599">
        <f t="shared" si="59"/>
        <v>3744</v>
      </c>
    </row>
    <row r="265" spans="1:17" s="26" customFormat="1" ht="14.25" x14ac:dyDescent="0.2">
      <c r="A265" s="320" t="s">
        <v>1577</v>
      </c>
      <c r="B265" s="154" t="s">
        <v>46</v>
      </c>
      <c r="C265" s="153">
        <v>11122</v>
      </c>
      <c r="D265" s="148" t="s">
        <v>390</v>
      </c>
      <c r="E265" s="154" t="s">
        <v>16</v>
      </c>
      <c r="F265" s="191">
        <f>7.8*0.27*12*2</f>
        <v>50.543999999999997</v>
      </c>
      <c r="G265" s="192">
        <v>14.43</v>
      </c>
      <c r="H265" s="191">
        <f t="shared" si="58"/>
        <v>14.43</v>
      </c>
      <c r="I265" s="599">
        <f t="shared" si="59"/>
        <v>729.34992</v>
      </c>
    </row>
    <row r="266" spans="1:17" s="26" customFormat="1" ht="14.25" x14ac:dyDescent="0.2">
      <c r="A266" s="320" t="s">
        <v>2200</v>
      </c>
      <c r="B266" s="154" t="s">
        <v>46</v>
      </c>
      <c r="C266" s="153">
        <v>6110</v>
      </c>
      <c r="D266" s="148" t="s">
        <v>246</v>
      </c>
      <c r="E266" s="154" t="s">
        <v>15</v>
      </c>
      <c r="F266" s="191">
        <v>100</v>
      </c>
      <c r="G266" s="190">
        <v>13.82</v>
      </c>
      <c r="H266" s="191">
        <f t="shared" si="58"/>
        <v>13.82</v>
      </c>
      <c r="I266" s="599">
        <f t="shared" si="59"/>
        <v>1382</v>
      </c>
    </row>
    <row r="267" spans="1:17" s="26" customFormat="1" ht="14.25" x14ac:dyDescent="0.2">
      <c r="A267" s="320" t="s">
        <v>2201</v>
      </c>
      <c r="B267" s="154" t="s">
        <v>46</v>
      </c>
      <c r="C267" s="153">
        <v>252</v>
      </c>
      <c r="D267" s="147" t="s">
        <v>774</v>
      </c>
      <c r="E267" s="154" t="s">
        <v>15</v>
      </c>
      <c r="F267" s="191">
        <f>F266</f>
        <v>100</v>
      </c>
      <c r="G267" s="236">
        <v>10.38</v>
      </c>
      <c r="H267" s="191">
        <f t="shared" si="58"/>
        <v>10.38</v>
      </c>
      <c r="I267" s="599">
        <f t="shared" si="59"/>
        <v>1038</v>
      </c>
    </row>
    <row r="268" spans="1:17" s="26" customFormat="1" ht="14.25" x14ac:dyDescent="0.2">
      <c r="A268" s="320" t="s">
        <v>2202</v>
      </c>
      <c r="B268" s="154" t="s">
        <v>46</v>
      </c>
      <c r="C268" s="153">
        <v>6111</v>
      </c>
      <c r="D268" s="148" t="s">
        <v>276</v>
      </c>
      <c r="E268" s="154" t="s">
        <v>15</v>
      </c>
      <c r="F268" s="191">
        <f>F266</f>
        <v>100</v>
      </c>
      <c r="G268" s="236">
        <v>12.02</v>
      </c>
      <c r="H268" s="191">
        <f t="shared" si="58"/>
        <v>12.02</v>
      </c>
      <c r="I268" s="599">
        <f t="shared" si="59"/>
        <v>1202</v>
      </c>
    </row>
    <row r="269" spans="1:17" s="26" customFormat="1" ht="14.25" x14ac:dyDescent="0.2">
      <c r="A269" s="320" t="s">
        <v>2203</v>
      </c>
      <c r="B269" s="154" t="s">
        <v>46</v>
      </c>
      <c r="C269" s="153">
        <v>4750</v>
      </c>
      <c r="D269" s="148" t="s">
        <v>275</v>
      </c>
      <c r="E269" s="154" t="s">
        <v>15</v>
      </c>
      <c r="F269" s="191">
        <f>F266</f>
        <v>100</v>
      </c>
      <c r="G269" s="236">
        <v>14.67</v>
      </c>
      <c r="H269" s="191">
        <f t="shared" si="58"/>
        <v>14.67</v>
      </c>
      <c r="I269" s="599">
        <f t="shared" si="59"/>
        <v>1467</v>
      </c>
    </row>
    <row r="270" spans="1:17" s="26" customFormat="1" ht="14.25" x14ac:dyDescent="0.2">
      <c r="A270" s="320" t="s">
        <v>2204</v>
      </c>
      <c r="B270" s="154" t="s">
        <v>46</v>
      </c>
      <c r="C270" s="153">
        <v>1213</v>
      </c>
      <c r="D270" s="148" t="s">
        <v>391</v>
      </c>
      <c r="E270" s="154" t="s">
        <v>15</v>
      </c>
      <c r="F270" s="191">
        <f>F266</f>
        <v>100</v>
      </c>
      <c r="G270" s="192">
        <v>14.63</v>
      </c>
      <c r="H270" s="191">
        <f t="shared" si="58"/>
        <v>14.63</v>
      </c>
      <c r="I270" s="599">
        <f t="shared" si="59"/>
        <v>1463</v>
      </c>
    </row>
    <row r="271" spans="1:17" s="26" customFormat="1" ht="14.25" x14ac:dyDescent="0.2">
      <c r="A271" s="320"/>
      <c r="B271" s="227"/>
      <c r="C271" s="227"/>
      <c r="D271" s="178"/>
      <c r="E271" s="227"/>
      <c r="F271" s="189"/>
      <c r="G271" s="189"/>
      <c r="H271" s="189"/>
      <c r="I271" s="600"/>
    </row>
    <row r="272" spans="1:17" s="26" customFormat="1" ht="45" x14ac:dyDescent="0.2">
      <c r="A272" s="594">
        <v>24</v>
      </c>
      <c r="B272" s="298" t="s">
        <v>336</v>
      </c>
      <c r="C272" s="324" t="s">
        <v>283</v>
      </c>
      <c r="D272" s="325" t="s">
        <v>251</v>
      </c>
      <c r="E272" s="298"/>
      <c r="F272" s="363"/>
      <c r="G272" s="364"/>
      <c r="H272" s="364"/>
      <c r="I272" s="595">
        <f>SUM(I273:I276)</f>
        <v>286.47000000000003</v>
      </c>
    </row>
    <row r="273" spans="1:9" s="26" customFormat="1" ht="14.25" x14ac:dyDescent="0.2">
      <c r="A273" s="320" t="s">
        <v>436</v>
      </c>
      <c r="B273" s="227" t="s">
        <v>46</v>
      </c>
      <c r="C273" s="226">
        <v>11125</v>
      </c>
      <c r="D273" s="147" t="s">
        <v>715</v>
      </c>
      <c r="E273" s="227" t="s">
        <v>170</v>
      </c>
      <c r="F273" s="189">
        <f>48*0.38*0.65</f>
        <v>11.856000000000002</v>
      </c>
      <c r="G273" s="190">
        <v>14.43</v>
      </c>
      <c r="H273" s="189">
        <f>G273</f>
        <v>14.43</v>
      </c>
      <c r="I273" s="600">
        <f>ROUND(F273*H273,2)</f>
        <v>171.08</v>
      </c>
    </row>
    <row r="274" spans="1:9" s="26" customFormat="1" ht="14.25" x14ac:dyDescent="0.2">
      <c r="A274" s="320" t="s">
        <v>437</v>
      </c>
      <c r="B274" s="227" t="s">
        <v>46</v>
      </c>
      <c r="C274" s="226">
        <v>585</v>
      </c>
      <c r="D274" s="147" t="s">
        <v>252</v>
      </c>
      <c r="E274" s="227" t="s">
        <v>170</v>
      </c>
      <c r="F274" s="189">
        <v>1.54</v>
      </c>
      <c r="G274" s="190">
        <v>18.79</v>
      </c>
      <c r="H274" s="189">
        <f>G274</f>
        <v>18.79</v>
      </c>
      <c r="I274" s="600">
        <f>ROUND(F274*H274,2)</f>
        <v>28.94</v>
      </c>
    </row>
    <row r="275" spans="1:9" s="26" customFormat="1" ht="14.25" x14ac:dyDescent="0.2">
      <c r="A275" s="320" t="s">
        <v>634</v>
      </c>
      <c r="B275" s="227" t="s">
        <v>46</v>
      </c>
      <c r="C275" s="226">
        <v>252</v>
      </c>
      <c r="D275" s="147" t="s">
        <v>774</v>
      </c>
      <c r="E275" s="227" t="s">
        <v>15</v>
      </c>
      <c r="F275" s="189">
        <v>5</v>
      </c>
      <c r="G275" s="190">
        <v>10.38</v>
      </c>
      <c r="H275" s="189">
        <f>G275</f>
        <v>10.38</v>
      </c>
      <c r="I275" s="600">
        <f>ROUND(F275*H275,2)</f>
        <v>51.9</v>
      </c>
    </row>
    <row r="276" spans="1:9" s="26" customFormat="1" ht="14.25" x14ac:dyDescent="0.2">
      <c r="A276" s="320" t="s">
        <v>635</v>
      </c>
      <c r="B276" s="227" t="s">
        <v>46</v>
      </c>
      <c r="C276" s="226">
        <v>6110</v>
      </c>
      <c r="D276" s="147" t="s">
        <v>246</v>
      </c>
      <c r="E276" s="227" t="s">
        <v>15</v>
      </c>
      <c r="F276" s="189">
        <v>2.5</v>
      </c>
      <c r="G276" s="190">
        <v>13.82</v>
      </c>
      <c r="H276" s="189">
        <f>G276</f>
        <v>13.82</v>
      </c>
      <c r="I276" s="600">
        <f>ROUND(F276*H276,2)</f>
        <v>34.549999999999997</v>
      </c>
    </row>
    <row r="277" spans="1:9" s="26" customFormat="1" ht="14.25" x14ac:dyDescent="0.2">
      <c r="A277" s="320"/>
      <c r="B277" s="154"/>
      <c r="C277" s="153"/>
      <c r="D277" s="148"/>
      <c r="E277" s="154"/>
      <c r="F277" s="191"/>
      <c r="G277" s="192"/>
      <c r="H277" s="191"/>
      <c r="I277" s="599"/>
    </row>
    <row r="278" spans="1:9" s="26" customFormat="1" ht="45" x14ac:dyDescent="0.2">
      <c r="A278" s="594">
        <v>25</v>
      </c>
      <c r="B278" s="298" t="s">
        <v>336</v>
      </c>
      <c r="C278" s="324" t="s">
        <v>1582</v>
      </c>
      <c r="D278" s="325" t="s">
        <v>256</v>
      </c>
      <c r="E278" s="298"/>
      <c r="F278" s="363"/>
      <c r="G278" s="364"/>
      <c r="H278" s="364"/>
      <c r="I278" s="595">
        <f>SUM(I279:I282)</f>
        <v>259.14</v>
      </c>
    </row>
    <row r="279" spans="1:9" s="26" customFormat="1" ht="14.25" x14ac:dyDescent="0.2">
      <c r="A279" s="320" t="s">
        <v>1578</v>
      </c>
      <c r="B279" s="227" t="s">
        <v>46</v>
      </c>
      <c r="C279" s="227">
        <v>11125</v>
      </c>
      <c r="D279" s="147" t="s">
        <v>715</v>
      </c>
      <c r="E279" s="227" t="s">
        <v>170</v>
      </c>
      <c r="F279" s="190">
        <f>48*0.46*0.45</f>
        <v>9.9360000000000017</v>
      </c>
      <c r="G279" s="190">
        <v>14.43</v>
      </c>
      <c r="H279" s="189">
        <f>G279</f>
        <v>14.43</v>
      </c>
      <c r="I279" s="600">
        <f>ROUND(F279*H279,2)</f>
        <v>143.38</v>
      </c>
    </row>
    <row r="280" spans="1:9" s="26" customFormat="1" ht="14.25" x14ac:dyDescent="0.2">
      <c r="A280" s="320" t="s">
        <v>1579</v>
      </c>
      <c r="B280" s="227" t="s">
        <v>46</v>
      </c>
      <c r="C280" s="227">
        <v>585</v>
      </c>
      <c r="D280" s="147" t="s">
        <v>252</v>
      </c>
      <c r="E280" s="227" t="s">
        <v>170</v>
      </c>
      <c r="F280" s="190">
        <v>1.56</v>
      </c>
      <c r="G280" s="190">
        <v>18.79</v>
      </c>
      <c r="H280" s="189">
        <f>G280</f>
        <v>18.79</v>
      </c>
      <c r="I280" s="600">
        <f>ROUND(F280*H280,2)</f>
        <v>29.31</v>
      </c>
    </row>
    <row r="281" spans="1:9" s="26" customFormat="1" ht="14.25" x14ac:dyDescent="0.2">
      <c r="A281" s="320" t="s">
        <v>1580</v>
      </c>
      <c r="B281" s="227" t="s">
        <v>46</v>
      </c>
      <c r="C281" s="227">
        <v>252</v>
      </c>
      <c r="D281" s="147" t="s">
        <v>774</v>
      </c>
      <c r="E281" s="227" t="s">
        <v>15</v>
      </c>
      <c r="F281" s="190">
        <v>5</v>
      </c>
      <c r="G281" s="190">
        <v>10.38</v>
      </c>
      <c r="H281" s="189">
        <f>G281</f>
        <v>10.38</v>
      </c>
      <c r="I281" s="600">
        <f>ROUND(F281*H281,2)</f>
        <v>51.9</v>
      </c>
    </row>
    <row r="282" spans="1:9" s="26" customFormat="1" ht="14.25" x14ac:dyDescent="0.2">
      <c r="A282" s="320" t="s">
        <v>1581</v>
      </c>
      <c r="B282" s="227" t="s">
        <v>46</v>
      </c>
      <c r="C282" s="227">
        <v>6110</v>
      </c>
      <c r="D282" s="147" t="s">
        <v>246</v>
      </c>
      <c r="E282" s="227" t="s">
        <v>15</v>
      </c>
      <c r="F282" s="190">
        <v>2.5</v>
      </c>
      <c r="G282" s="190">
        <v>13.82</v>
      </c>
      <c r="H282" s="189">
        <f>G282</f>
        <v>13.82</v>
      </c>
      <c r="I282" s="600">
        <f>ROUND(F282*H282,2)</f>
        <v>34.549999999999997</v>
      </c>
    </row>
    <row r="283" spans="1:9" s="26" customFormat="1" thickBot="1" x14ac:dyDescent="0.25">
      <c r="A283" s="920"/>
      <c r="B283" s="1006"/>
      <c r="C283" s="1006"/>
      <c r="D283" s="1036"/>
      <c r="E283" s="1006"/>
      <c r="F283" s="1026"/>
      <c r="G283" s="1026"/>
      <c r="H283" s="1026"/>
      <c r="I283" s="1037"/>
    </row>
    <row r="284" spans="1:9" s="26" customFormat="1" ht="30" x14ac:dyDescent="0.2">
      <c r="A284" s="1019">
        <v>26</v>
      </c>
      <c r="B284" s="1020" t="s">
        <v>336</v>
      </c>
      <c r="C284" s="1021" t="s">
        <v>355</v>
      </c>
      <c r="D284" s="1022" t="s">
        <v>189</v>
      </c>
      <c r="E284" s="1020"/>
      <c r="F284" s="1023"/>
      <c r="G284" s="1024"/>
      <c r="H284" s="1024"/>
      <c r="I284" s="1025">
        <f>SUM(I285:I288)</f>
        <v>381.01000000000005</v>
      </c>
    </row>
    <row r="285" spans="1:9" s="26" customFormat="1" ht="14.25" x14ac:dyDescent="0.2">
      <c r="A285" s="320" t="s">
        <v>636</v>
      </c>
      <c r="B285" s="226" t="s">
        <v>46</v>
      </c>
      <c r="C285" s="226">
        <v>11125</v>
      </c>
      <c r="D285" s="147" t="s">
        <v>715</v>
      </c>
      <c r="E285" s="226" t="s">
        <v>170</v>
      </c>
      <c r="F285" s="190">
        <f>13.5*0.8*0.8</f>
        <v>8.64</v>
      </c>
      <c r="G285" s="190">
        <v>14.43</v>
      </c>
      <c r="H285" s="190">
        <f>G285</f>
        <v>14.43</v>
      </c>
      <c r="I285" s="600">
        <f>ROUND(F285*H285,2)</f>
        <v>124.68</v>
      </c>
    </row>
    <row r="286" spans="1:9" s="26" customFormat="1" ht="14.25" x14ac:dyDescent="0.2">
      <c r="A286" s="320" t="s">
        <v>637</v>
      </c>
      <c r="B286" s="226" t="s">
        <v>46</v>
      </c>
      <c r="C286" s="226">
        <v>585</v>
      </c>
      <c r="D286" s="147" t="s">
        <v>252</v>
      </c>
      <c r="E286" s="226" t="s">
        <v>170</v>
      </c>
      <c r="F286" s="190">
        <v>2.6</v>
      </c>
      <c r="G286" s="190">
        <v>18.79</v>
      </c>
      <c r="H286" s="190">
        <f>G286</f>
        <v>18.79</v>
      </c>
      <c r="I286" s="600">
        <f>ROUND(F286*H286,2)</f>
        <v>48.85</v>
      </c>
    </row>
    <row r="287" spans="1:9" s="26" customFormat="1" ht="14.25" x14ac:dyDescent="0.2">
      <c r="A287" s="320" t="s">
        <v>638</v>
      </c>
      <c r="B287" s="226" t="s">
        <v>46</v>
      </c>
      <c r="C287" s="226">
        <v>252</v>
      </c>
      <c r="D287" s="147" t="s">
        <v>774</v>
      </c>
      <c r="E287" s="226" t="s">
        <v>15</v>
      </c>
      <c r="F287" s="190">
        <v>12</v>
      </c>
      <c r="G287" s="190">
        <v>10.38</v>
      </c>
      <c r="H287" s="190">
        <f>G287</f>
        <v>10.38</v>
      </c>
      <c r="I287" s="600">
        <f>ROUND(F287*H287,2)</f>
        <v>124.56</v>
      </c>
    </row>
    <row r="288" spans="1:9" s="26" customFormat="1" ht="14.25" x14ac:dyDescent="0.2">
      <c r="A288" s="320" t="s">
        <v>639</v>
      </c>
      <c r="B288" s="226" t="s">
        <v>46</v>
      </c>
      <c r="C288" s="226">
        <v>6110</v>
      </c>
      <c r="D288" s="147" t="s">
        <v>246</v>
      </c>
      <c r="E288" s="226" t="s">
        <v>15</v>
      </c>
      <c r="F288" s="190">
        <v>6</v>
      </c>
      <c r="G288" s="190">
        <v>13.82</v>
      </c>
      <c r="H288" s="190">
        <f>G288</f>
        <v>13.82</v>
      </c>
      <c r="I288" s="600">
        <f>ROUND(F288*H288,2)</f>
        <v>82.92</v>
      </c>
    </row>
    <row r="289" spans="1:9" s="26" customFormat="1" ht="14.25" x14ac:dyDescent="0.2">
      <c r="A289" s="320"/>
      <c r="B289" s="227"/>
      <c r="C289" s="227"/>
      <c r="D289" s="178"/>
      <c r="E289" s="227"/>
      <c r="F289" s="189"/>
      <c r="G289" s="189"/>
      <c r="H289" s="189"/>
      <c r="I289" s="600"/>
    </row>
    <row r="290" spans="1:9" s="26" customFormat="1" ht="30" x14ac:dyDescent="0.2">
      <c r="A290" s="594">
        <v>27</v>
      </c>
      <c r="B290" s="298" t="s">
        <v>336</v>
      </c>
      <c r="C290" s="324" t="s">
        <v>364</v>
      </c>
      <c r="D290" s="325" t="s">
        <v>395</v>
      </c>
      <c r="E290" s="298"/>
      <c r="F290" s="363"/>
      <c r="G290" s="364"/>
      <c r="H290" s="364"/>
      <c r="I290" s="595">
        <f>SUM(I291:I295)</f>
        <v>214.47000000000003</v>
      </c>
    </row>
    <row r="291" spans="1:9" s="26" customFormat="1" ht="14.25" x14ac:dyDescent="0.2">
      <c r="A291" s="320" t="s">
        <v>640</v>
      </c>
      <c r="B291" s="227" t="s">
        <v>46</v>
      </c>
      <c r="C291" s="226">
        <v>11125</v>
      </c>
      <c r="D291" s="147" t="s">
        <v>715</v>
      </c>
      <c r="E291" s="226" t="s">
        <v>170</v>
      </c>
      <c r="F291" s="361">
        <f>1.2*0.3*13.5</f>
        <v>4.8599999999999994</v>
      </c>
      <c r="G291" s="190">
        <v>14.43</v>
      </c>
      <c r="H291" s="189">
        <f>G291</f>
        <v>14.43</v>
      </c>
      <c r="I291" s="600">
        <f>ROUND(F291*H291,2)</f>
        <v>70.13</v>
      </c>
    </row>
    <row r="292" spans="1:9" s="26" customFormat="1" ht="14.25" x14ac:dyDescent="0.2">
      <c r="A292" s="320" t="s">
        <v>641</v>
      </c>
      <c r="B292" s="227" t="s">
        <v>46</v>
      </c>
      <c r="C292" s="226">
        <v>589</v>
      </c>
      <c r="D292" s="147" t="s">
        <v>716</v>
      </c>
      <c r="E292" s="226" t="s">
        <v>18</v>
      </c>
      <c r="F292" s="361">
        <f>1.2*2+0.3*2</f>
        <v>3</v>
      </c>
      <c r="G292" s="190">
        <v>31.66</v>
      </c>
      <c r="H292" s="189">
        <f t="shared" ref="H292:H295" si="62">G292</f>
        <v>31.66</v>
      </c>
      <c r="I292" s="600">
        <f t="shared" ref="I292:I295" si="63">ROUND(F292*H292,2)</f>
        <v>94.98</v>
      </c>
    </row>
    <row r="293" spans="1:9" s="26" customFormat="1" ht="28.5" x14ac:dyDescent="0.2">
      <c r="A293" s="320" t="s">
        <v>642</v>
      </c>
      <c r="B293" s="227" t="s">
        <v>46</v>
      </c>
      <c r="C293" s="226">
        <v>11962</v>
      </c>
      <c r="D293" s="147" t="s">
        <v>1363</v>
      </c>
      <c r="E293" s="226" t="s">
        <v>19</v>
      </c>
      <c r="F293" s="361">
        <v>8</v>
      </c>
      <c r="G293" s="190">
        <v>0.12</v>
      </c>
      <c r="H293" s="189">
        <f t="shared" si="62"/>
        <v>0.12</v>
      </c>
      <c r="I293" s="600">
        <f t="shared" si="63"/>
        <v>0.96</v>
      </c>
    </row>
    <row r="294" spans="1:9" s="26" customFormat="1" ht="14.25" x14ac:dyDescent="0.2">
      <c r="A294" s="320" t="s">
        <v>643</v>
      </c>
      <c r="B294" s="227" t="s">
        <v>46</v>
      </c>
      <c r="C294" s="226">
        <v>252</v>
      </c>
      <c r="D294" s="147" t="s">
        <v>774</v>
      </c>
      <c r="E294" s="226" t="s">
        <v>15</v>
      </c>
      <c r="F294" s="361">
        <v>2</v>
      </c>
      <c r="G294" s="190">
        <v>10.38</v>
      </c>
      <c r="H294" s="189">
        <f t="shared" si="62"/>
        <v>10.38</v>
      </c>
      <c r="I294" s="600">
        <f t="shared" si="63"/>
        <v>20.76</v>
      </c>
    </row>
    <row r="295" spans="1:9" s="26" customFormat="1" ht="14.25" x14ac:dyDescent="0.2">
      <c r="A295" s="320" t="s">
        <v>2205</v>
      </c>
      <c r="B295" s="227" t="s">
        <v>46</v>
      </c>
      <c r="C295" s="226">
        <v>6110</v>
      </c>
      <c r="D295" s="147" t="s">
        <v>246</v>
      </c>
      <c r="E295" s="226" t="s">
        <v>15</v>
      </c>
      <c r="F295" s="361">
        <v>2</v>
      </c>
      <c r="G295" s="190">
        <v>13.82</v>
      </c>
      <c r="H295" s="189">
        <f t="shared" si="62"/>
        <v>13.82</v>
      </c>
      <c r="I295" s="600">
        <f t="shared" si="63"/>
        <v>27.64</v>
      </c>
    </row>
    <row r="296" spans="1:9" s="26" customFormat="1" ht="14.25" x14ac:dyDescent="0.2">
      <c r="A296" s="320"/>
      <c r="B296" s="46"/>
      <c r="C296" s="46"/>
      <c r="D296" s="46"/>
      <c r="E296" s="195"/>
      <c r="F296" s="196"/>
      <c r="G296" s="196"/>
      <c r="H296" s="196"/>
      <c r="I296" s="602"/>
    </row>
    <row r="297" spans="1:9" s="26" customFormat="1" x14ac:dyDescent="0.2">
      <c r="A297" s="594">
        <v>28</v>
      </c>
      <c r="B297" s="298" t="s">
        <v>336</v>
      </c>
      <c r="C297" s="324" t="s">
        <v>357</v>
      </c>
      <c r="D297" s="325" t="str">
        <f>ORÇAMENTO!D418</f>
        <v>FORNECIMENTO E APLICAÇÃO DO MATERIAL HIDRÁULICO DO REATOR UASB</v>
      </c>
      <c r="E297" s="298"/>
      <c r="F297" s="363"/>
      <c r="G297" s="364"/>
      <c r="H297" s="364"/>
      <c r="I297" s="595">
        <f>SUM(I298:I354)</f>
        <v>227988.74599999998</v>
      </c>
    </row>
    <row r="298" spans="1:9" s="26" customFormat="1" ht="14.25" x14ac:dyDescent="0.2">
      <c r="A298" s="320" t="s">
        <v>644</v>
      </c>
      <c r="B298" s="226" t="s">
        <v>66</v>
      </c>
      <c r="C298" s="226"/>
      <c r="D298" s="148" t="s">
        <v>1189</v>
      </c>
      <c r="E298" s="154" t="s">
        <v>19</v>
      </c>
      <c r="F298" s="191">
        <v>1</v>
      </c>
      <c r="G298" s="190">
        <v>2380</v>
      </c>
      <c r="H298" s="191">
        <f t="shared" ref="H298" si="64">G298</f>
        <v>2380</v>
      </c>
      <c r="I298" s="599">
        <f t="shared" ref="I298" si="65">F298*H298</f>
        <v>2380</v>
      </c>
    </row>
    <row r="299" spans="1:9" s="26" customFormat="1" ht="14.25" x14ac:dyDescent="0.2">
      <c r="A299" s="320" t="s">
        <v>645</v>
      </c>
      <c r="B299" s="226" t="s">
        <v>66</v>
      </c>
      <c r="C299" s="226"/>
      <c r="D299" s="148" t="s">
        <v>1190</v>
      </c>
      <c r="E299" s="154" t="s">
        <v>19</v>
      </c>
      <c r="F299" s="191">
        <v>2</v>
      </c>
      <c r="G299" s="190">
        <v>986</v>
      </c>
      <c r="H299" s="191">
        <f t="shared" ref="H299:H351" si="66">G299</f>
        <v>986</v>
      </c>
      <c r="I299" s="599">
        <f t="shared" ref="I299:I351" si="67">F299*H299</f>
        <v>1972</v>
      </c>
    </row>
    <row r="300" spans="1:9" s="26" customFormat="1" ht="14.25" x14ac:dyDescent="0.2">
      <c r="A300" s="320" t="s">
        <v>646</v>
      </c>
      <c r="B300" s="226" t="s">
        <v>66</v>
      </c>
      <c r="C300" s="226"/>
      <c r="D300" s="148" t="s">
        <v>1191</v>
      </c>
      <c r="E300" s="154" t="s">
        <v>19</v>
      </c>
      <c r="F300" s="191">
        <v>2</v>
      </c>
      <c r="G300" s="190">
        <v>1320</v>
      </c>
      <c r="H300" s="191">
        <f t="shared" si="66"/>
        <v>1320</v>
      </c>
      <c r="I300" s="599">
        <f t="shared" si="67"/>
        <v>2640</v>
      </c>
    </row>
    <row r="301" spans="1:9" s="26" customFormat="1" ht="14.25" x14ac:dyDescent="0.2">
      <c r="A301" s="320" t="s">
        <v>647</v>
      </c>
      <c r="B301" s="226" t="s">
        <v>66</v>
      </c>
      <c r="C301" s="226"/>
      <c r="D301" s="148" t="s">
        <v>1192</v>
      </c>
      <c r="E301" s="154" t="s">
        <v>19</v>
      </c>
      <c r="F301" s="191">
        <v>2</v>
      </c>
      <c r="G301" s="190">
        <v>343</v>
      </c>
      <c r="H301" s="191">
        <f t="shared" si="66"/>
        <v>343</v>
      </c>
      <c r="I301" s="599">
        <f t="shared" si="67"/>
        <v>686</v>
      </c>
    </row>
    <row r="302" spans="1:9" s="26" customFormat="1" ht="14.25" x14ac:dyDescent="0.2">
      <c r="A302" s="320" t="s">
        <v>1584</v>
      </c>
      <c r="B302" s="226" t="s">
        <v>66</v>
      </c>
      <c r="C302" s="226"/>
      <c r="D302" s="148" t="s">
        <v>1193</v>
      </c>
      <c r="E302" s="154" t="s">
        <v>19</v>
      </c>
      <c r="F302" s="191">
        <v>4</v>
      </c>
      <c r="G302" s="190">
        <v>1940</v>
      </c>
      <c r="H302" s="191">
        <f t="shared" si="66"/>
        <v>1940</v>
      </c>
      <c r="I302" s="599">
        <f t="shared" si="67"/>
        <v>7760</v>
      </c>
    </row>
    <row r="303" spans="1:9" s="26" customFormat="1" ht="14.25" x14ac:dyDescent="0.2">
      <c r="A303" s="320" t="s">
        <v>2206</v>
      </c>
      <c r="B303" s="226" t="s">
        <v>66</v>
      </c>
      <c r="C303" s="226"/>
      <c r="D303" s="148" t="s">
        <v>1194</v>
      </c>
      <c r="E303" s="154" t="s">
        <v>19</v>
      </c>
      <c r="F303" s="191">
        <v>4</v>
      </c>
      <c r="G303" s="190">
        <v>470</v>
      </c>
      <c r="H303" s="191">
        <f t="shared" si="66"/>
        <v>470</v>
      </c>
      <c r="I303" s="599">
        <f t="shared" si="67"/>
        <v>1880</v>
      </c>
    </row>
    <row r="304" spans="1:9" s="26" customFormat="1" ht="14.25" x14ac:dyDescent="0.2">
      <c r="A304" s="320" t="s">
        <v>2207</v>
      </c>
      <c r="B304" s="226" t="s">
        <v>66</v>
      </c>
      <c r="C304" s="226"/>
      <c r="D304" s="148" t="s">
        <v>1195</v>
      </c>
      <c r="E304" s="154" t="s">
        <v>19</v>
      </c>
      <c r="F304" s="191">
        <v>24</v>
      </c>
      <c r="G304" s="190">
        <v>180</v>
      </c>
      <c r="H304" s="191">
        <f t="shared" si="66"/>
        <v>180</v>
      </c>
      <c r="I304" s="599">
        <f t="shared" si="67"/>
        <v>4320</v>
      </c>
    </row>
    <row r="305" spans="1:9" s="26" customFormat="1" ht="14.25" x14ac:dyDescent="0.2">
      <c r="A305" s="320" t="s">
        <v>2208</v>
      </c>
      <c r="B305" s="226" t="s">
        <v>66</v>
      </c>
      <c r="C305" s="226"/>
      <c r="D305" s="148" t="s">
        <v>1196</v>
      </c>
      <c r="E305" s="154" t="s">
        <v>19</v>
      </c>
      <c r="F305" s="191">
        <v>4</v>
      </c>
      <c r="G305" s="190">
        <v>680</v>
      </c>
      <c r="H305" s="191">
        <f t="shared" si="66"/>
        <v>680</v>
      </c>
      <c r="I305" s="599">
        <f t="shared" si="67"/>
        <v>2720</v>
      </c>
    </row>
    <row r="306" spans="1:9" s="26" customFormat="1" ht="14.25" x14ac:dyDescent="0.2">
      <c r="A306" s="320" t="s">
        <v>2209</v>
      </c>
      <c r="B306" s="226" t="s">
        <v>66</v>
      </c>
      <c r="C306" s="226"/>
      <c r="D306" s="148" t="s">
        <v>1197</v>
      </c>
      <c r="E306" s="154" t="s">
        <v>19</v>
      </c>
      <c r="F306" s="191">
        <v>12</v>
      </c>
      <c r="G306" s="190">
        <v>77</v>
      </c>
      <c r="H306" s="191">
        <f t="shared" si="66"/>
        <v>77</v>
      </c>
      <c r="I306" s="599">
        <f t="shared" si="67"/>
        <v>924</v>
      </c>
    </row>
    <row r="307" spans="1:9" s="26" customFormat="1" ht="14.25" x14ac:dyDescent="0.2">
      <c r="A307" s="320" t="s">
        <v>2210</v>
      </c>
      <c r="B307" s="226" t="s">
        <v>66</v>
      </c>
      <c r="C307" s="226"/>
      <c r="D307" s="148" t="s">
        <v>1198</v>
      </c>
      <c r="E307" s="154" t="s">
        <v>19</v>
      </c>
      <c r="F307" s="191">
        <v>4</v>
      </c>
      <c r="G307" s="190">
        <v>1410</v>
      </c>
      <c r="H307" s="191">
        <f t="shared" si="66"/>
        <v>1410</v>
      </c>
      <c r="I307" s="599">
        <f t="shared" si="67"/>
        <v>5640</v>
      </c>
    </row>
    <row r="308" spans="1:9" s="26" customFormat="1" ht="14.25" x14ac:dyDescent="0.2">
      <c r="A308" s="320" t="s">
        <v>2211</v>
      </c>
      <c r="B308" s="226" t="s">
        <v>66</v>
      </c>
      <c r="C308" s="226"/>
      <c r="D308" s="148" t="s">
        <v>1199</v>
      </c>
      <c r="E308" s="154" t="s">
        <v>19</v>
      </c>
      <c r="F308" s="191">
        <v>4</v>
      </c>
      <c r="G308" s="190">
        <v>490</v>
      </c>
      <c r="H308" s="191">
        <f t="shared" si="66"/>
        <v>490</v>
      </c>
      <c r="I308" s="599">
        <f t="shared" si="67"/>
        <v>1960</v>
      </c>
    </row>
    <row r="309" spans="1:9" s="26" customFormat="1" ht="14.25" x14ac:dyDescent="0.2">
      <c r="A309" s="320" t="s">
        <v>2212</v>
      </c>
      <c r="B309" s="226" t="s">
        <v>66</v>
      </c>
      <c r="C309" s="226"/>
      <c r="D309" s="148" t="s">
        <v>1200</v>
      </c>
      <c r="E309" s="154" t="s">
        <v>19</v>
      </c>
      <c r="F309" s="191">
        <v>4</v>
      </c>
      <c r="G309" s="190">
        <v>660</v>
      </c>
      <c r="H309" s="191">
        <f t="shared" si="66"/>
        <v>660</v>
      </c>
      <c r="I309" s="599">
        <f t="shared" si="67"/>
        <v>2640</v>
      </c>
    </row>
    <row r="310" spans="1:9" s="26" customFormat="1" ht="14.25" x14ac:dyDescent="0.2">
      <c r="A310" s="320" t="s">
        <v>2213</v>
      </c>
      <c r="B310" s="226" t="s">
        <v>66</v>
      </c>
      <c r="C310" s="226"/>
      <c r="D310" s="148" t="s">
        <v>1201</v>
      </c>
      <c r="E310" s="154" t="s">
        <v>19</v>
      </c>
      <c r="F310" s="191">
        <v>4</v>
      </c>
      <c r="G310" s="190">
        <v>421</v>
      </c>
      <c r="H310" s="191">
        <f t="shared" si="66"/>
        <v>421</v>
      </c>
      <c r="I310" s="599">
        <f t="shared" si="67"/>
        <v>1684</v>
      </c>
    </row>
    <row r="311" spans="1:9" s="26" customFormat="1" ht="14.25" x14ac:dyDescent="0.2">
      <c r="A311" s="320" t="s">
        <v>2214</v>
      </c>
      <c r="B311" s="226" t="s">
        <v>66</v>
      </c>
      <c r="C311" s="226"/>
      <c r="D311" s="148" t="s">
        <v>1202</v>
      </c>
      <c r="E311" s="154" t="s">
        <v>19</v>
      </c>
      <c r="F311" s="191">
        <v>2</v>
      </c>
      <c r="G311" s="190">
        <v>1700</v>
      </c>
      <c r="H311" s="191">
        <f t="shared" si="66"/>
        <v>1700</v>
      </c>
      <c r="I311" s="599">
        <f t="shared" si="67"/>
        <v>3400</v>
      </c>
    </row>
    <row r="312" spans="1:9" s="26" customFormat="1" ht="14.25" x14ac:dyDescent="0.2">
      <c r="A312" s="320" t="s">
        <v>2215</v>
      </c>
      <c r="B312" s="226" t="s">
        <v>66</v>
      </c>
      <c r="C312" s="226"/>
      <c r="D312" s="148" t="s">
        <v>1203</v>
      </c>
      <c r="E312" s="154" t="s">
        <v>19</v>
      </c>
      <c r="F312" s="191">
        <v>6</v>
      </c>
      <c r="G312" s="190">
        <v>66</v>
      </c>
      <c r="H312" s="191">
        <f t="shared" si="66"/>
        <v>66</v>
      </c>
      <c r="I312" s="599">
        <f t="shared" si="67"/>
        <v>396</v>
      </c>
    </row>
    <row r="313" spans="1:9" s="260" customFormat="1" ht="28.5" x14ac:dyDescent="0.2">
      <c r="A313" s="320" t="s">
        <v>2216</v>
      </c>
      <c r="B313" s="226" t="s">
        <v>46</v>
      </c>
      <c r="C313" s="226">
        <v>21010</v>
      </c>
      <c r="D313" s="148" t="s">
        <v>1847</v>
      </c>
      <c r="E313" s="154" t="s">
        <v>18</v>
      </c>
      <c r="F313" s="191">
        <v>43</v>
      </c>
      <c r="G313" s="190">
        <v>15.97</v>
      </c>
      <c r="H313" s="191">
        <f t="shared" si="66"/>
        <v>15.97</v>
      </c>
      <c r="I313" s="599">
        <f t="shared" si="67"/>
        <v>686.71</v>
      </c>
    </row>
    <row r="314" spans="1:9" s="26" customFormat="1" ht="14.25" x14ac:dyDescent="0.2">
      <c r="A314" s="320" t="s">
        <v>2217</v>
      </c>
      <c r="B314" s="226" t="s">
        <v>66</v>
      </c>
      <c r="C314" s="226"/>
      <c r="D314" s="148" t="s">
        <v>1204</v>
      </c>
      <c r="E314" s="154" t="s">
        <v>19</v>
      </c>
      <c r="F314" s="191">
        <v>10</v>
      </c>
      <c r="G314" s="190">
        <v>199</v>
      </c>
      <c r="H314" s="191">
        <f t="shared" si="66"/>
        <v>199</v>
      </c>
      <c r="I314" s="599">
        <f t="shared" si="67"/>
        <v>1990</v>
      </c>
    </row>
    <row r="315" spans="1:9" s="260" customFormat="1" ht="28.5" x14ac:dyDescent="0.2">
      <c r="A315" s="320" t="s">
        <v>2218</v>
      </c>
      <c r="B315" s="226" t="s">
        <v>46</v>
      </c>
      <c r="C315" s="226">
        <v>25886</v>
      </c>
      <c r="D315" s="148" t="s">
        <v>1848</v>
      </c>
      <c r="E315" s="154" t="s">
        <v>18</v>
      </c>
      <c r="F315" s="191">
        <v>420</v>
      </c>
      <c r="G315" s="190">
        <v>32.93</v>
      </c>
      <c r="H315" s="191">
        <f t="shared" si="66"/>
        <v>32.93</v>
      </c>
      <c r="I315" s="599">
        <f t="shared" si="67"/>
        <v>13830.6</v>
      </c>
    </row>
    <row r="316" spans="1:9" s="260" customFormat="1" ht="14.25" x14ac:dyDescent="0.2">
      <c r="A316" s="320" t="s">
        <v>2219</v>
      </c>
      <c r="B316" s="226" t="s">
        <v>46</v>
      </c>
      <c r="C316" s="226">
        <v>41936</v>
      </c>
      <c r="D316" s="148" t="s">
        <v>1849</v>
      </c>
      <c r="E316" s="154" t="s">
        <v>18</v>
      </c>
      <c r="F316" s="191">
        <v>156</v>
      </c>
      <c r="G316" s="190">
        <v>32.57</v>
      </c>
      <c r="H316" s="191">
        <f t="shared" si="66"/>
        <v>32.57</v>
      </c>
      <c r="I316" s="599">
        <f t="shared" si="67"/>
        <v>5080.92</v>
      </c>
    </row>
    <row r="317" spans="1:9" s="26" customFormat="1" ht="14.25" x14ac:dyDescent="0.2">
      <c r="A317" s="320" t="s">
        <v>2220</v>
      </c>
      <c r="B317" s="226" t="s">
        <v>66</v>
      </c>
      <c r="C317" s="226"/>
      <c r="D317" s="148" t="s">
        <v>1205</v>
      </c>
      <c r="E317" s="154" t="s">
        <v>18</v>
      </c>
      <c r="F317" s="191">
        <v>7.2</v>
      </c>
      <c r="G317" s="190">
        <v>560</v>
      </c>
      <c r="H317" s="191">
        <f t="shared" si="66"/>
        <v>560</v>
      </c>
      <c r="I317" s="599">
        <f t="shared" si="67"/>
        <v>4032</v>
      </c>
    </row>
    <row r="318" spans="1:9" s="26" customFormat="1" thickBot="1" x14ac:dyDescent="0.25">
      <c r="A318" s="920" t="s">
        <v>2221</v>
      </c>
      <c r="B318" s="586" t="s">
        <v>66</v>
      </c>
      <c r="C318" s="586"/>
      <c r="D318" s="584" t="s">
        <v>1206</v>
      </c>
      <c r="E318" s="913" t="s">
        <v>19</v>
      </c>
      <c r="F318" s="1034">
        <v>2</v>
      </c>
      <c r="G318" s="928">
        <v>1360</v>
      </c>
      <c r="H318" s="1034">
        <f t="shared" si="66"/>
        <v>1360</v>
      </c>
      <c r="I318" s="1040">
        <f t="shared" si="67"/>
        <v>2720</v>
      </c>
    </row>
    <row r="319" spans="1:9" s="26" customFormat="1" ht="14.25" x14ac:dyDescent="0.2">
      <c r="A319" s="918" t="s">
        <v>2222</v>
      </c>
      <c r="B319" s="910" t="s">
        <v>66</v>
      </c>
      <c r="C319" s="910"/>
      <c r="D319" s="900" t="s">
        <v>1207</v>
      </c>
      <c r="E319" s="899" t="s">
        <v>19</v>
      </c>
      <c r="F319" s="1038">
        <v>12</v>
      </c>
      <c r="G319" s="932">
        <v>200</v>
      </c>
      <c r="H319" s="1038">
        <f t="shared" si="66"/>
        <v>200</v>
      </c>
      <c r="I319" s="1039">
        <f t="shared" si="67"/>
        <v>2400</v>
      </c>
    </row>
    <row r="320" spans="1:9" s="26" customFormat="1" ht="14.25" x14ac:dyDescent="0.2">
      <c r="A320" s="320" t="s">
        <v>2223</v>
      </c>
      <c r="B320" s="226" t="s">
        <v>66</v>
      </c>
      <c r="C320" s="226"/>
      <c r="D320" s="148" t="s">
        <v>1208</v>
      </c>
      <c r="E320" s="154" t="s">
        <v>19</v>
      </c>
      <c r="F320" s="191">
        <v>24</v>
      </c>
      <c r="G320" s="190">
        <v>510</v>
      </c>
      <c r="H320" s="191">
        <f t="shared" si="66"/>
        <v>510</v>
      </c>
      <c r="I320" s="599">
        <f t="shared" si="67"/>
        <v>12240</v>
      </c>
    </row>
    <row r="321" spans="1:9" s="26" customFormat="1" ht="14.25" x14ac:dyDescent="0.2">
      <c r="A321" s="320" t="s">
        <v>2224</v>
      </c>
      <c r="B321" s="226" t="s">
        <v>66</v>
      </c>
      <c r="C321" s="226"/>
      <c r="D321" s="148" t="s">
        <v>1209</v>
      </c>
      <c r="E321" s="154" t="s">
        <v>19</v>
      </c>
      <c r="F321" s="191">
        <v>24</v>
      </c>
      <c r="G321" s="190">
        <v>350</v>
      </c>
      <c r="H321" s="191">
        <f t="shared" si="66"/>
        <v>350</v>
      </c>
      <c r="I321" s="599">
        <f t="shared" si="67"/>
        <v>8400</v>
      </c>
    </row>
    <row r="322" spans="1:9" s="26" customFormat="1" ht="14.25" x14ac:dyDescent="0.2">
      <c r="A322" s="320" t="s">
        <v>2225</v>
      </c>
      <c r="B322" s="226" t="s">
        <v>66</v>
      </c>
      <c r="C322" s="226"/>
      <c r="D322" s="148" t="s">
        <v>1210</v>
      </c>
      <c r="E322" s="154" t="s">
        <v>19</v>
      </c>
      <c r="F322" s="191">
        <v>12</v>
      </c>
      <c r="G322" s="190">
        <v>1021</v>
      </c>
      <c r="H322" s="191">
        <f t="shared" si="66"/>
        <v>1021</v>
      </c>
      <c r="I322" s="599">
        <f t="shared" si="67"/>
        <v>12252</v>
      </c>
    </row>
    <row r="323" spans="1:9" s="26" customFormat="1" ht="14.25" x14ac:dyDescent="0.2">
      <c r="A323" s="320" t="s">
        <v>2226</v>
      </c>
      <c r="B323" s="226" t="s">
        <v>66</v>
      </c>
      <c r="C323" s="226"/>
      <c r="D323" s="148" t="s">
        <v>1211</v>
      </c>
      <c r="E323" s="154" t="s">
        <v>19</v>
      </c>
      <c r="F323" s="191">
        <v>12</v>
      </c>
      <c r="G323" s="190">
        <v>390</v>
      </c>
      <c r="H323" s="191">
        <f t="shared" si="66"/>
        <v>390</v>
      </c>
      <c r="I323" s="599">
        <f t="shared" si="67"/>
        <v>4680</v>
      </c>
    </row>
    <row r="324" spans="1:9" s="26" customFormat="1" ht="14.25" x14ac:dyDescent="0.2">
      <c r="A324" s="320" t="s">
        <v>2227</v>
      </c>
      <c r="B324" s="226" t="s">
        <v>66</v>
      </c>
      <c r="C324" s="226"/>
      <c r="D324" s="148" t="s">
        <v>1212</v>
      </c>
      <c r="E324" s="154" t="s">
        <v>19</v>
      </c>
      <c r="F324" s="191">
        <v>12</v>
      </c>
      <c r="G324" s="190">
        <v>248</v>
      </c>
      <c r="H324" s="191">
        <f t="shared" si="66"/>
        <v>248</v>
      </c>
      <c r="I324" s="599">
        <f t="shared" si="67"/>
        <v>2976</v>
      </c>
    </row>
    <row r="325" spans="1:9" s="26" customFormat="1" ht="14.25" x14ac:dyDescent="0.2">
      <c r="A325" s="320" t="s">
        <v>2228</v>
      </c>
      <c r="B325" s="226" t="s">
        <v>66</v>
      </c>
      <c r="C325" s="226"/>
      <c r="D325" s="148" t="s">
        <v>1213</v>
      </c>
      <c r="E325" s="154" t="s">
        <v>19</v>
      </c>
      <c r="F325" s="191">
        <v>12</v>
      </c>
      <c r="G325" s="190">
        <v>1100</v>
      </c>
      <c r="H325" s="191">
        <f t="shared" si="66"/>
        <v>1100</v>
      </c>
      <c r="I325" s="599">
        <f t="shared" si="67"/>
        <v>13200</v>
      </c>
    </row>
    <row r="326" spans="1:9" s="26" customFormat="1" ht="14.25" x14ac:dyDescent="0.2">
      <c r="A326" s="320" t="s">
        <v>2229</v>
      </c>
      <c r="B326" s="226" t="s">
        <v>66</v>
      </c>
      <c r="C326" s="226"/>
      <c r="D326" s="148" t="s">
        <v>1214</v>
      </c>
      <c r="E326" s="154" t="s">
        <v>19</v>
      </c>
      <c r="F326" s="191">
        <v>2</v>
      </c>
      <c r="G326" s="190">
        <v>110</v>
      </c>
      <c r="H326" s="191">
        <f t="shared" si="66"/>
        <v>110</v>
      </c>
      <c r="I326" s="599">
        <f t="shared" si="67"/>
        <v>220</v>
      </c>
    </row>
    <row r="327" spans="1:9" s="26" customFormat="1" ht="14.25" x14ac:dyDescent="0.2">
      <c r="A327" s="320" t="s">
        <v>2230</v>
      </c>
      <c r="B327" s="226" t="s">
        <v>66</v>
      </c>
      <c r="C327" s="226"/>
      <c r="D327" s="148" t="s">
        <v>1215</v>
      </c>
      <c r="E327" s="154" t="s">
        <v>19</v>
      </c>
      <c r="F327" s="191">
        <v>12</v>
      </c>
      <c r="G327" s="190">
        <v>590</v>
      </c>
      <c r="H327" s="191">
        <f t="shared" si="66"/>
        <v>590</v>
      </c>
      <c r="I327" s="599">
        <f t="shared" si="67"/>
        <v>7080</v>
      </c>
    </row>
    <row r="328" spans="1:9" s="26" customFormat="1" ht="14.25" x14ac:dyDescent="0.2">
      <c r="A328" s="320" t="s">
        <v>2231</v>
      </c>
      <c r="B328" s="226" t="s">
        <v>66</v>
      </c>
      <c r="C328" s="226"/>
      <c r="D328" s="148" t="s">
        <v>1216</v>
      </c>
      <c r="E328" s="154" t="s">
        <v>19</v>
      </c>
      <c r="F328" s="191">
        <v>10</v>
      </c>
      <c r="G328" s="190">
        <v>1820</v>
      </c>
      <c r="H328" s="191">
        <f t="shared" si="66"/>
        <v>1820</v>
      </c>
      <c r="I328" s="599">
        <f t="shared" si="67"/>
        <v>18200</v>
      </c>
    </row>
    <row r="329" spans="1:9" s="26" customFormat="1" ht="14.25" x14ac:dyDescent="0.2">
      <c r="A329" s="320" t="s">
        <v>2232</v>
      </c>
      <c r="B329" s="226" t="s">
        <v>66</v>
      </c>
      <c r="C329" s="226"/>
      <c r="D329" s="148" t="s">
        <v>1217</v>
      </c>
      <c r="E329" s="154" t="s">
        <v>19</v>
      </c>
      <c r="F329" s="191">
        <v>2</v>
      </c>
      <c r="G329" s="190">
        <v>345</v>
      </c>
      <c r="H329" s="191">
        <f t="shared" si="66"/>
        <v>345</v>
      </c>
      <c r="I329" s="599">
        <f t="shared" si="67"/>
        <v>690</v>
      </c>
    </row>
    <row r="330" spans="1:9" s="26" customFormat="1" ht="14.25" x14ac:dyDescent="0.2">
      <c r="A330" s="320" t="s">
        <v>2233</v>
      </c>
      <c r="B330" s="226" t="s">
        <v>66</v>
      </c>
      <c r="C330" s="226"/>
      <c r="D330" s="148" t="s">
        <v>1218</v>
      </c>
      <c r="E330" s="154" t="s">
        <v>19</v>
      </c>
      <c r="F330" s="191">
        <v>4</v>
      </c>
      <c r="G330" s="190">
        <v>520</v>
      </c>
      <c r="H330" s="191">
        <f t="shared" si="66"/>
        <v>520</v>
      </c>
      <c r="I330" s="599">
        <f t="shared" si="67"/>
        <v>2080</v>
      </c>
    </row>
    <row r="331" spans="1:9" s="26" customFormat="1" ht="14.25" x14ac:dyDescent="0.2">
      <c r="A331" s="320" t="s">
        <v>2234</v>
      </c>
      <c r="B331" s="226" t="s">
        <v>66</v>
      </c>
      <c r="C331" s="226"/>
      <c r="D331" s="148" t="s">
        <v>1219</v>
      </c>
      <c r="E331" s="154" t="s">
        <v>19</v>
      </c>
      <c r="F331" s="191">
        <v>12</v>
      </c>
      <c r="G331" s="190">
        <v>1786</v>
      </c>
      <c r="H331" s="191">
        <f t="shared" si="66"/>
        <v>1786</v>
      </c>
      <c r="I331" s="599">
        <f t="shared" si="67"/>
        <v>21432</v>
      </c>
    </row>
    <row r="332" spans="1:9" s="26" customFormat="1" ht="14.25" x14ac:dyDescent="0.2">
      <c r="A332" s="320" t="s">
        <v>2235</v>
      </c>
      <c r="B332" s="226" t="s">
        <v>66</v>
      </c>
      <c r="C332" s="226"/>
      <c r="D332" s="148" t="s">
        <v>1220</v>
      </c>
      <c r="E332" s="154" t="s">
        <v>19</v>
      </c>
      <c r="F332" s="191">
        <v>12</v>
      </c>
      <c r="G332" s="190">
        <v>86</v>
      </c>
      <c r="H332" s="191">
        <f t="shared" si="66"/>
        <v>86</v>
      </c>
      <c r="I332" s="599">
        <f t="shared" si="67"/>
        <v>1032</v>
      </c>
    </row>
    <row r="333" spans="1:9" s="26" customFormat="1" ht="14.25" x14ac:dyDescent="0.2">
      <c r="A333" s="320" t="s">
        <v>2236</v>
      </c>
      <c r="B333" s="226" t="s">
        <v>66</v>
      </c>
      <c r="C333" s="226"/>
      <c r="D333" s="148" t="s">
        <v>1221</v>
      </c>
      <c r="E333" s="154" t="s">
        <v>19</v>
      </c>
      <c r="F333" s="191">
        <v>2</v>
      </c>
      <c r="G333" s="190">
        <v>90</v>
      </c>
      <c r="H333" s="191">
        <f t="shared" si="66"/>
        <v>90</v>
      </c>
      <c r="I333" s="599">
        <f t="shared" si="67"/>
        <v>180</v>
      </c>
    </row>
    <row r="334" spans="1:9" s="26" customFormat="1" ht="14.25" x14ac:dyDescent="0.2">
      <c r="A334" s="320" t="s">
        <v>2237</v>
      </c>
      <c r="B334" s="226" t="s">
        <v>66</v>
      </c>
      <c r="C334" s="226"/>
      <c r="D334" s="148" t="s">
        <v>1222</v>
      </c>
      <c r="E334" s="154" t="s">
        <v>19</v>
      </c>
      <c r="F334" s="191">
        <v>24</v>
      </c>
      <c r="G334" s="190">
        <v>39</v>
      </c>
      <c r="H334" s="191">
        <f t="shared" si="66"/>
        <v>39</v>
      </c>
      <c r="I334" s="599">
        <f t="shared" si="67"/>
        <v>936</v>
      </c>
    </row>
    <row r="335" spans="1:9" s="260" customFormat="1" ht="14.25" x14ac:dyDescent="0.2">
      <c r="A335" s="320" t="s">
        <v>2238</v>
      </c>
      <c r="B335" s="226" t="s">
        <v>46</v>
      </c>
      <c r="C335" s="226">
        <v>9860</v>
      </c>
      <c r="D335" s="148" t="s">
        <v>1850</v>
      </c>
      <c r="E335" s="154" t="s">
        <v>18</v>
      </c>
      <c r="F335" s="191">
        <v>8.8000000000000007</v>
      </c>
      <c r="G335" s="190">
        <v>30.12</v>
      </c>
      <c r="H335" s="191">
        <f t="shared" si="66"/>
        <v>30.12</v>
      </c>
      <c r="I335" s="599">
        <f t="shared" si="67"/>
        <v>265.05600000000004</v>
      </c>
    </row>
    <row r="336" spans="1:9" s="260" customFormat="1" ht="14.25" customHeight="1" x14ac:dyDescent="0.2">
      <c r="A336" s="320" t="s">
        <v>2239</v>
      </c>
      <c r="B336" s="226" t="s">
        <v>46</v>
      </c>
      <c r="C336" s="226">
        <v>11671</v>
      </c>
      <c r="D336" s="148" t="s">
        <v>1851</v>
      </c>
      <c r="E336" s="154" t="s">
        <v>19</v>
      </c>
      <c r="F336" s="191">
        <v>12</v>
      </c>
      <c r="G336" s="190">
        <v>64.14</v>
      </c>
      <c r="H336" s="191">
        <f t="shared" si="66"/>
        <v>64.14</v>
      </c>
      <c r="I336" s="599">
        <f t="shared" si="67"/>
        <v>769.68000000000006</v>
      </c>
    </row>
    <row r="337" spans="1:17" s="26" customFormat="1" ht="14.25" x14ac:dyDescent="0.2">
      <c r="A337" s="320" t="s">
        <v>2240</v>
      </c>
      <c r="B337" s="226" t="s">
        <v>66</v>
      </c>
      <c r="C337" s="226"/>
      <c r="D337" s="148" t="s">
        <v>1223</v>
      </c>
      <c r="E337" s="154" t="s">
        <v>19</v>
      </c>
      <c r="F337" s="191">
        <v>2</v>
      </c>
      <c r="G337" s="190">
        <v>4925</v>
      </c>
      <c r="H337" s="191">
        <f t="shared" si="66"/>
        <v>4925</v>
      </c>
      <c r="I337" s="599">
        <f t="shared" si="67"/>
        <v>9850</v>
      </c>
    </row>
    <row r="338" spans="1:17" s="260" customFormat="1" ht="14.25" x14ac:dyDescent="0.2">
      <c r="A338" s="320" t="s">
        <v>2241</v>
      </c>
      <c r="B338" s="226" t="s">
        <v>46</v>
      </c>
      <c r="C338" s="226">
        <v>11746</v>
      </c>
      <c r="D338" s="148" t="s">
        <v>1852</v>
      </c>
      <c r="E338" s="154" t="s">
        <v>19</v>
      </c>
      <c r="F338" s="191">
        <v>2</v>
      </c>
      <c r="G338" s="190">
        <v>42.04</v>
      </c>
      <c r="H338" s="191">
        <f t="shared" si="66"/>
        <v>42.04</v>
      </c>
      <c r="I338" s="599">
        <f t="shared" si="67"/>
        <v>84.08</v>
      </c>
    </row>
    <row r="339" spans="1:17" s="26" customFormat="1" ht="28.5" x14ac:dyDescent="0.2">
      <c r="A339" s="320" t="s">
        <v>2242</v>
      </c>
      <c r="B339" s="226" t="s">
        <v>66</v>
      </c>
      <c r="C339" s="226"/>
      <c r="D339" s="148" t="s">
        <v>1224</v>
      </c>
      <c r="E339" s="154" t="s">
        <v>19</v>
      </c>
      <c r="F339" s="191">
        <v>2</v>
      </c>
      <c r="G339" s="190">
        <v>210</v>
      </c>
      <c r="H339" s="191">
        <f t="shared" si="66"/>
        <v>210</v>
      </c>
      <c r="I339" s="599">
        <f t="shared" si="67"/>
        <v>420</v>
      </c>
    </row>
    <row r="340" spans="1:17" s="26" customFormat="1" ht="14.25" x14ac:dyDescent="0.2">
      <c r="A340" s="320" t="s">
        <v>2243</v>
      </c>
      <c r="B340" s="226" t="s">
        <v>66</v>
      </c>
      <c r="C340" s="226"/>
      <c r="D340" s="148" t="s">
        <v>1935</v>
      </c>
      <c r="E340" s="154" t="s">
        <v>19</v>
      </c>
      <c r="F340" s="191">
        <v>2</v>
      </c>
      <c r="G340" s="190">
        <v>5790</v>
      </c>
      <c r="H340" s="191">
        <f t="shared" si="66"/>
        <v>5790</v>
      </c>
      <c r="I340" s="599">
        <f t="shared" si="67"/>
        <v>11580</v>
      </c>
    </row>
    <row r="341" spans="1:17" s="26" customFormat="1" ht="28.5" x14ac:dyDescent="0.2">
      <c r="A341" s="320" t="s">
        <v>2244</v>
      </c>
      <c r="B341" s="226" t="s">
        <v>66</v>
      </c>
      <c r="C341" s="233"/>
      <c r="D341" s="148" t="s">
        <v>1225</v>
      </c>
      <c r="E341" s="154" t="s">
        <v>19</v>
      </c>
      <c r="F341" s="191">
        <v>2</v>
      </c>
      <c r="G341" s="190">
        <v>270</v>
      </c>
      <c r="H341" s="191">
        <f t="shared" si="66"/>
        <v>270</v>
      </c>
      <c r="I341" s="599">
        <f t="shared" si="67"/>
        <v>540</v>
      </c>
    </row>
    <row r="342" spans="1:17" s="26" customFormat="1" ht="14.25" x14ac:dyDescent="0.2">
      <c r="A342" s="320" t="s">
        <v>2245</v>
      </c>
      <c r="B342" s="226" t="s">
        <v>66</v>
      </c>
      <c r="C342" s="226"/>
      <c r="D342" s="148" t="s">
        <v>1226</v>
      </c>
      <c r="E342" s="154" t="s">
        <v>19</v>
      </c>
      <c r="F342" s="191">
        <v>2</v>
      </c>
      <c r="G342" s="190">
        <v>190</v>
      </c>
      <c r="H342" s="191">
        <f t="shared" si="66"/>
        <v>190</v>
      </c>
      <c r="I342" s="599">
        <f t="shared" si="67"/>
        <v>380</v>
      </c>
    </row>
    <row r="343" spans="1:17" s="260" customFormat="1" ht="28.5" x14ac:dyDescent="0.2">
      <c r="A343" s="320" t="s">
        <v>2246</v>
      </c>
      <c r="B343" s="226" t="s">
        <v>46</v>
      </c>
      <c r="C343" s="226">
        <v>10405</v>
      </c>
      <c r="D343" s="148" t="s">
        <v>1853</v>
      </c>
      <c r="E343" s="154" t="s">
        <v>19</v>
      </c>
      <c r="F343" s="191">
        <v>2</v>
      </c>
      <c r="G343" s="190">
        <v>225</v>
      </c>
      <c r="H343" s="191">
        <f t="shared" si="66"/>
        <v>225</v>
      </c>
      <c r="I343" s="599">
        <f t="shared" si="67"/>
        <v>450</v>
      </c>
    </row>
    <row r="344" spans="1:17" s="26" customFormat="1" ht="14.25" x14ac:dyDescent="0.2">
      <c r="A344" s="320" t="s">
        <v>2247</v>
      </c>
      <c r="B344" s="226" t="s">
        <v>66</v>
      </c>
      <c r="C344" s="153"/>
      <c r="D344" s="148" t="s">
        <v>1227</v>
      </c>
      <c r="E344" s="154" t="s">
        <v>19</v>
      </c>
      <c r="F344" s="191">
        <v>2</v>
      </c>
      <c r="G344" s="190">
        <v>1900</v>
      </c>
      <c r="H344" s="191">
        <f t="shared" si="66"/>
        <v>1900</v>
      </c>
      <c r="I344" s="599">
        <f t="shared" si="67"/>
        <v>3800</v>
      </c>
    </row>
    <row r="345" spans="1:17" s="26" customFormat="1" ht="14.25" x14ac:dyDescent="0.2">
      <c r="A345" s="320" t="s">
        <v>2248</v>
      </c>
      <c r="B345" s="226" t="s">
        <v>66</v>
      </c>
      <c r="C345" s="226"/>
      <c r="D345" s="148" t="s">
        <v>1228</v>
      </c>
      <c r="E345" s="154" t="s">
        <v>19</v>
      </c>
      <c r="F345" s="191">
        <v>2</v>
      </c>
      <c r="G345" s="190">
        <v>192</v>
      </c>
      <c r="H345" s="191">
        <f t="shared" si="66"/>
        <v>192</v>
      </c>
      <c r="I345" s="599">
        <f t="shared" si="67"/>
        <v>384</v>
      </c>
    </row>
    <row r="346" spans="1:17" s="26" customFormat="1" ht="14.25" x14ac:dyDescent="0.2">
      <c r="A346" s="320" t="s">
        <v>2249</v>
      </c>
      <c r="B346" s="226" t="s">
        <v>66</v>
      </c>
      <c r="C346" s="226"/>
      <c r="D346" s="148" t="s">
        <v>1229</v>
      </c>
      <c r="E346" s="154" t="s">
        <v>19</v>
      </c>
      <c r="F346" s="191">
        <v>7</v>
      </c>
      <c r="G346" s="190">
        <v>17.5</v>
      </c>
      <c r="H346" s="191">
        <f t="shared" si="66"/>
        <v>17.5</v>
      </c>
      <c r="I346" s="599">
        <f t="shared" si="67"/>
        <v>122.5</v>
      </c>
    </row>
    <row r="347" spans="1:17" s="26" customFormat="1" ht="14.25" x14ac:dyDescent="0.2">
      <c r="A347" s="320" t="s">
        <v>2250</v>
      </c>
      <c r="B347" s="226" t="s">
        <v>66</v>
      </c>
      <c r="C347" s="153"/>
      <c r="D347" s="148" t="s">
        <v>1230</v>
      </c>
      <c r="E347" s="154" t="s">
        <v>19</v>
      </c>
      <c r="F347" s="191">
        <v>26</v>
      </c>
      <c r="G347" s="190">
        <v>4.2</v>
      </c>
      <c r="H347" s="191">
        <f t="shared" si="66"/>
        <v>4.2</v>
      </c>
      <c r="I347" s="599">
        <f t="shared" si="67"/>
        <v>109.2</v>
      </c>
    </row>
    <row r="348" spans="1:17" s="26" customFormat="1" ht="14.25" x14ac:dyDescent="0.2">
      <c r="A348" s="320" t="s">
        <v>2251</v>
      </c>
      <c r="B348" s="226" t="s">
        <v>66</v>
      </c>
      <c r="C348" s="153"/>
      <c r="D348" s="148" t="s">
        <v>1231</v>
      </c>
      <c r="E348" s="154" t="s">
        <v>19</v>
      </c>
      <c r="F348" s="191">
        <v>60</v>
      </c>
      <c r="G348" s="190">
        <v>2.9</v>
      </c>
      <c r="H348" s="191">
        <f t="shared" si="66"/>
        <v>2.9</v>
      </c>
      <c r="I348" s="599">
        <f t="shared" si="67"/>
        <v>174</v>
      </c>
    </row>
    <row r="349" spans="1:17" s="26" customFormat="1" ht="14.25" x14ac:dyDescent="0.2">
      <c r="A349" s="320" t="s">
        <v>2252</v>
      </c>
      <c r="B349" s="226" t="s">
        <v>66</v>
      </c>
      <c r="C349" s="234"/>
      <c r="D349" s="148" t="s">
        <v>1232</v>
      </c>
      <c r="E349" s="154" t="s">
        <v>19</v>
      </c>
      <c r="F349" s="191">
        <v>480</v>
      </c>
      <c r="G349" s="190">
        <v>5.4</v>
      </c>
      <c r="H349" s="191">
        <f t="shared" si="66"/>
        <v>5.4</v>
      </c>
      <c r="I349" s="599">
        <f t="shared" si="67"/>
        <v>2592</v>
      </c>
    </row>
    <row r="350" spans="1:17" s="26" customFormat="1" ht="14.25" x14ac:dyDescent="0.2">
      <c r="A350" s="320" t="s">
        <v>2253</v>
      </c>
      <c r="B350" s="226" t="s">
        <v>66</v>
      </c>
      <c r="C350" s="226"/>
      <c r="D350" s="148" t="s">
        <v>1235</v>
      </c>
      <c r="E350" s="154" t="s">
        <v>19</v>
      </c>
      <c r="F350" s="191">
        <v>280</v>
      </c>
      <c r="G350" s="190">
        <v>7.6</v>
      </c>
      <c r="H350" s="191">
        <f t="shared" si="66"/>
        <v>7.6</v>
      </c>
      <c r="I350" s="599">
        <f t="shared" si="67"/>
        <v>2128</v>
      </c>
    </row>
    <row r="351" spans="1:17" s="26" customFormat="1" ht="14.25" x14ac:dyDescent="0.2">
      <c r="A351" s="320" t="s">
        <v>2254</v>
      </c>
      <c r="B351" s="226" t="s">
        <v>66</v>
      </c>
      <c r="C351" s="226"/>
      <c r="D351" s="372" t="s">
        <v>1233</v>
      </c>
      <c r="E351" s="154" t="s">
        <v>19</v>
      </c>
      <c r="F351" s="191">
        <v>40</v>
      </c>
      <c r="G351" s="190">
        <v>16.100000000000001</v>
      </c>
      <c r="H351" s="191">
        <f t="shared" si="66"/>
        <v>16.100000000000001</v>
      </c>
      <c r="I351" s="599">
        <f t="shared" si="67"/>
        <v>644</v>
      </c>
    </row>
    <row r="352" spans="1:17" s="26" customFormat="1" ht="14.25" x14ac:dyDescent="0.2">
      <c r="A352" s="320" t="s">
        <v>2255</v>
      </c>
      <c r="B352" s="226" t="s">
        <v>46</v>
      </c>
      <c r="C352" s="226">
        <v>88267</v>
      </c>
      <c r="D352" s="148" t="s">
        <v>795</v>
      </c>
      <c r="E352" s="226" t="s">
        <v>15</v>
      </c>
      <c r="F352" s="146">
        <v>300</v>
      </c>
      <c r="G352" s="236">
        <v>21.01</v>
      </c>
      <c r="H352" s="146">
        <f>ROUND((1+K$3)*G352,2)</f>
        <v>21.01</v>
      </c>
      <c r="I352" s="350">
        <f>ROUND(F352*H352,2)</f>
        <v>6303</v>
      </c>
      <c r="J352" s="27"/>
      <c r="K352" s="27"/>
      <c r="L352" s="27"/>
      <c r="M352" s="27"/>
      <c r="N352" s="27"/>
      <c r="O352" s="27"/>
      <c r="P352" s="27"/>
      <c r="Q352" s="27"/>
    </row>
    <row r="353" spans="1:18" s="26" customFormat="1" ht="14.25" customHeight="1" x14ac:dyDescent="0.2">
      <c r="A353" s="320" t="s">
        <v>2256</v>
      </c>
      <c r="B353" s="226" t="s">
        <v>46</v>
      </c>
      <c r="C353" s="226">
        <v>88248</v>
      </c>
      <c r="D353" s="148" t="s">
        <v>796</v>
      </c>
      <c r="E353" s="226" t="s">
        <v>15</v>
      </c>
      <c r="F353" s="146">
        <v>300</v>
      </c>
      <c r="G353" s="236">
        <v>16.87</v>
      </c>
      <c r="H353" s="146">
        <f>ROUND((1+K$3)*G353,2)</f>
        <v>16.87</v>
      </c>
      <c r="I353" s="350">
        <f>ROUND(F353*H353,2)</f>
        <v>5061</v>
      </c>
      <c r="J353" s="27"/>
      <c r="K353" s="27"/>
      <c r="L353" s="27"/>
      <c r="M353" s="27"/>
      <c r="N353" s="27"/>
      <c r="O353" s="27"/>
      <c r="P353" s="27"/>
      <c r="Q353" s="27"/>
    </row>
    <row r="354" spans="1:18" s="26" customFormat="1" ht="14.25" x14ac:dyDescent="0.2">
      <c r="A354" s="320" t="s">
        <v>2257</v>
      </c>
      <c r="B354" s="226" t="s">
        <v>46</v>
      </c>
      <c r="C354" s="226">
        <v>88316</v>
      </c>
      <c r="D354" s="148" t="s">
        <v>797</v>
      </c>
      <c r="E354" s="226" t="s">
        <v>15</v>
      </c>
      <c r="F354" s="146">
        <v>300</v>
      </c>
      <c r="G354" s="236">
        <v>16.64</v>
      </c>
      <c r="H354" s="146">
        <f>ROUND((1+K$3)*G354,2)</f>
        <v>16.64</v>
      </c>
      <c r="I354" s="350">
        <f>ROUND(F354*H354,2)</f>
        <v>4992</v>
      </c>
      <c r="J354" s="27"/>
      <c r="K354" s="27"/>
      <c r="L354" s="27"/>
      <c r="M354" s="27"/>
      <c r="N354" s="27"/>
      <c r="O354" s="27"/>
      <c r="P354" s="27"/>
      <c r="Q354" s="27"/>
    </row>
    <row r="355" spans="1:18" thickBot="1" x14ac:dyDescent="0.25">
      <c r="A355" s="1005"/>
      <c r="B355" s="586"/>
      <c r="C355" s="1006"/>
      <c r="D355" s="1036"/>
      <c r="E355" s="1006"/>
      <c r="F355" s="1041"/>
      <c r="G355" s="585"/>
      <c r="H355" s="585"/>
      <c r="I355" s="606"/>
      <c r="J355" s="29"/>
      <c r="K355" s="29"/>
      <c r="L355" s="29"/>
      <c r="M355" s="29"/>
      <c r="N355" s="29"/>
      <c r="O355" s="29"/>
      <c r="P355" s="29"/>
      <c r="Q355" s="29"/>
    </row>
    <row r="356" spans="1:18" s="7" customFormat="1" ht="45" x14ac:dyDescent="0.2">
      <c r="A356" s="1019">
        <v>29</v>
      </c>
      <c r="B356" s="1020" t="s">
        <v>336</v>
      </c>
      <c r="C356" s="1021" t="s">
        <v>358</v>
      </c>
      <c r="D356" s="1022" t="s">
        <v>1709</v>
      </c>
      <c r="E356" s="1020" t="s">
        <v>19</v>
      </c>
      <c r="F356" s="1023"/>
      <c r="G356" s="1024"/>
      <c r="H356" s="1024"/>
      <c r="I356" s="1025">
        <f>SUM(I357:I362)</f>
        <v>15936.32</v>
      </c>
      <c r="J356" s="6"/>
      <c r="K356" s="6"/>
      <c r="L356" s="6"/>
      <c r="M356" s="6"/>
      <c r="N356" s="6"/>
      <c r="O356" s="6"/>
      <c r="P356" s="6"/>
      <c r="Q356" s="6"/>
    </row>
    <row r="357" spans="1:18" s="26" customFormat="1" ht="57" x14ac:dyDescent="0.2">
      <c r="A357" s="334" t="s">
        <v>438</v>
      </c>
      <c r="B357" s="154" t="s">
        <v>46</v>
      </c>
      <c r="C357" s="226">
        <v>5824</v>
      </c>
      <c r="D357" s="147" t="s">
        <v>839</v>
      </c>
      <c r="E357" s="154" t="s">
        <v>840</v>
      </c>
      <c r="F357" s="146">
        <v>16</v>
      </c>
      <c r="G357" s="146">
        <v>106.76</v>
      </c>
      <c r="H357" s="146">
        <f t="shared" ref="H357:H362" si="68">G357</f>
        <v>106.76</v>
      </c>
      <c r="I357" s="350">
        <f t="shared" ref="I357:I362" si="69">ROUND(F357*H357,2)</f>
        <v>1708.16</v>
      </c>
      <c r="J357" s="262"/>
      <c r="K357" s="25"/>
      <c r="L357" s="132"/>
      <c r="M357" s="25"/>
      <c r="N357" s="25"/>
      <c r="O357" s="25"/>
      <c r="P357" s="25"/>
      <c r="R357" s="25"/>
    </row>
    <row r="358" spans="1:18" s="26" customFormat="1" ht="14.25" x14ac:dyDescent="0.2">
      <c r="A358" s="334" t="s">
        <v>439</v>
      </c>
      <c r="B358" s="154" t="s">
        <v>46</v>
      </c>
      <c r="C358" s="226">
        <v>88285</v>
      </c>
      <c r="D358" s="147" t="s">
        <v>846</v>
      </c>
      <c r="E358" s="154" t="s">
        <v>15</v>
      </c>
      <c r="F358" s="146">
        <f>F357</f>
        <v>16</v>
      </c>
      <c r="G358" s="146">
        <v>18.440000000000001</v>
      </c>
      <c r="H358" s="146">
        <f t="shared" si="68"/>
        <v>18.440000000000001</v>
      </c>
      <c r="I358" s="350">
        <f t="shared" si="69"/>
        <v>295.04000000000002</v>
      </c>
      <c r="J358" s="262"/>
      <c r="K358" s="25"/>
      <c r="L358" s="132"/>
      <c r="M358" s="25"/>
      <c r="N358" s="25"/>
      <c r="O358" s="25"/>
      <c r="P358" s="25"/>
      <c r="R358" s="25"/>
    </row>
    <row r="359" spans="1:18" s="26" customFormat="1" ht="31.5" customHeight="1" x14ac:dyDescent="0.2">
      <c r="A359" s="334" t="s">
        <v>440</v>
      </c>
      <c r="B359" s="154" t="s">
        <v>46</v>
      </c>
      <c r="C359" s="226">
        <v>89272</v>
      </c>
      <c r="D359" s="147" t="s">
        <v>845</v>
      </c>
      <c r="E359" s="154" t="s">
        <v>840</v>
      </c>
      <c r="F359" s="146">
        <v>16</v>
      </c>
      <c r="G359" s="146">
        <v>144.16999999999999</v>
      </c>
      <c r="H359" s="146">
        <f t="shared" si="68"/>
        <v>144.16999999999999</v>
      </c>
      <c r="I359" s="350">
        <f t="shared" si="69"/>
        <v>2306.7199999999998</v>
      </c>
      <c r="J359" s="262"/>
      <c r="K359" s="25"/>
      <c r="L359" s="132"/>
      <c r="M359" s="25"/>
      <c r="N359" s="25"/>
      <c r="O359" s="25"/>
      <c r="P359" s="25"/>
      <c r="R359" s="25"/>
    </row>
    <row r="360" spans="1:18" s="26" customFormat="1" ht="14.25" x14ac:dyDescent="0.2">
      <c r="A360" s="334" t="s">
        <v>441</v>
      </c>
      <c r="B360" s="154" t="s">
        <v>46</v>
      </c>
      <c r="C360" s="226">
        <v>88296</v>
      </c>
      <c r="D360" s="147" t="s">
        <v>847</v>
      </c>
      <c r="E360" s="154" t="s">
        <v>15</v>
      </c>
      <c r="F360" s="146">
        <f>F359</f>
        <v>16</v>
      </c>
      <c r="G360" s="146">
        <v>25.37</v>
      </c>
      <c r="H360" s="146">
        <f t="shared" si="68"/>
        <v>25.37</v>
      </c>
      <c r="I360" s="350">
        <f t="shared" si="69"/>
        <v>405.92</v>
      </c>
      <c r="J360" s="262"/>
      <c r="K360" s="25"/>
      <c r="L360" s="132"/>
      <c r="M360" s="25"/>
      <c r="N360" s="25"/>
      <c r="O360" s="25"/>
      <c r="P360" s="25"/>
      <c r="R360" s="25"/>
    </row>
    <row r="361" spans="1:18" s="26" customFormat="1" ht="57" x14ac:dyDescent="0.2">
      <c r="A361" s="334" t="s">
        <v>648</v>
      </c>
      <c r="B361" s="154" t="s">
        <v>46</v>
      </c>
      <c r="C361" s="226">
        <v>89202</v>
      </c>
      <c r="D361" s="147" t="s">
        <v>1705</v>
      </c>
      <c r="E361" s="154" t="s">
        <v>18</v>
      </c>
      <c r="F361" s="146">
        <v>176</v>
      </c>
      <c r="G361" s="146">
        <v>62.24</v>
      </c>
      <c r="H361" s="146">
        <f t="shared" si="68"/>
        <v>62.24</v>
      </c>
      <c r="I361" s="350">
        <f t="shared" si="69"/>
        <v>10954.24</v>
      </c>
      <c r="J361" s="262"/>
      <c r="K361" s="25"/>
      <c r="L361" s="132"/>
      <c r="M361" s="25"/>
      <c r="N361" s="25"/>
      <c r="O361" s="25"/>
      <c r="P361" s="25"/>
      <c r="R361" s="25"/>
    </row>
    <row r="362" spans="1:18" ht="14.25" x14ac:dyDescent="0.2">
      <c r="A362" s="334" t="s">
        <v>649</v>
      </c>
      <c r="B362" s="154" t="s">
        <v>46</v>
      </c>
      <c r="C362" s="227">
        <v>88316</v>
      </c>
      <c r="D362" s="178" t="s">
        <v>829</v>
      </c>
      <c r="E362" s="227" t="s">
        <v>15</v>
      </c>
      <c r="F362" s="146">
        <v>16</v>
      </c>
      <c r="G362" s="146">
        <v>16.64</v>
      </c>
      <c r="H362" s="146">
        <f t="shared" si="68"/>
        <v>16.64</v>
      </c>
      <c r="I362" s="350">
        <f t="shared" si="69"/>
        <v>266.24</v>
      </c>
      <c r="J362" s="29"/>
      <c r="K362" s="29"/>
      <c r="L362" s="29"/>
      <c r="M362" s="29"/>
      <c r="N362" s="29"/>
      <c r="O362" s="29"/>
      <c r="P362" s="29"/>
      <c r="Q362" s="29"/>
    </row>
    <row r="363" spans="1:18" s="26" customFormat="1" ht="14.25" x14ac:dyDescent="0.2">
      <c r="A363" s="320"/>
      <c r="B363" s="46"/>
      <c r="C363" s="46"/>
      <c r="D363" s="46"/>
      <c r="E363" s="195"/>
      <c r="F363" s="196"/>
      <c r="G363" s="196"/>
      <c r="H363" s="196"/>
      <c r="I363" s="602"/>
    </row>
    <row r="364" spans="1:18" s="26" customFormat="1" ht="30" x14ac:dyDescent="0.2">
      <c r="A364" s="594">
        <v>30</v>
      </c>
      <c r="B364" s="298" t="s">
        <v>336</v>
      </c>
      <c r="C364" s="324" t="s">
        <v>1589</v>
      </c>
      <c r="D364" s="325" t="str">
        <f>ORÇAMENTO!D445</f>
        <v xml:space="preserve">FORNECIMENTO E APLICAÇÃO DO MATERIAL HIDRÁULICO DO FILTRO PERCOLADOR </v>
      </c>
      <c r="E364" s="298"/>
      <c r="F364" s="363"/>
      <c r="G364" s="364"/>
      <c r="H364" s="364"/>
      <c r="I364" s="595">
        <f>SUM(I365:I385)</f>
        <v>63747.6</v>
      </c>
    </row>
    <row r="365" spans="1:18" s="26" customFormat="1" ht="14.25" x14ac:dyDescent="0.2">
      <c r="A365" s="320" t="s">
        <v>1585</v>
      </c>
      <c r="B365" s="226" t="s">
        <v>66</v>
      </c>
      <c r="C365" s="153"/>
      <c r="D365" s="148" t="s">
        <v>1236</v>
      </c>
      <c r="E365" s="154" t="s">
        <v>19</v>
      </c>
      <c r="F365" s="191">
        <v>2</v>
      </c>
      <c r="G365" s="236">
        <v>1047</v>
      </c>
      <c r="H365" s="191">
        <f>G365</f>
        <v>1047</v>
      </c>
      <c r="I365" s="599">
        <f t="shared" ref="I365" si="70">F365*H365</f>
        <v>2094</v>
      </c>
    </row>
    <row r="366" spans="1:18" s="26" customFormat="1" ht="14.25" x14ac:dyDescent="0.2">
      <c r="A366" s="320" t="s">
        <v>1586</v>
      </c>
      <c r="B366" s="226" t="s">
        <v>66</v>
      </c>
      <c r="C366" s="226"/>
      <c r="D366" s="148" t="s">
        <v>1237</v>
      </c>
      <c r="E366" s="154" t="s">
        <v>19</v>
      </c>
      <c r="F366" s="191">
        <v>1</v>
      </c>
      <c r="G366" s="236">
        <v>1600</v>
      </c>
      <c r="H366" s="191">
        <f t="shared" ref="H366:H382" si="71">G366</f>
        <v>1600</v>
      </c>
      <c r="I366" s="599">
        <f t="shared" ref="I366:I382" si="72">F366*H366</f>
        <v>1600</v>
      </c>
    </row>
    <row r="367" spans="1:18" s="26" customFormat="1" ht="14.25" x14ac:dyDescent="0.2">
      <c r="A367" s="320" t="s">
        <v>1587</v>
      </c>
      <c r="B367" s="226" t="s">
        <v>66</v>
      </c>
      <c r="C367" s="153"/>
      <c r="D367" s="148" t="s">
        <v>1273</v>
      </c>
      <c r="E367" s="154" t="s">
        <v>19</v>
      </c>
      <c r="F367" s="191">
        <v>2</v>
      </c>
      <c r="G367" s="236">
        <v>5150</v>
      </c>
      <c r="H367" s="191">
        <f t="shared" si="71"/>
        <v>5150</v>
      </c>
      <c r="I367" s="599">
        <f t="shared" si="72"/>
        <v>10300</v>
      </c>
    </row>
    <row r="368" spans="1:18" s="26" customFormat="1" ht="14.25" x14ac:dyDescent="0.2">
      <c r="A368" s="320" t="s">
        <v>1588</v>
      </c>
      <c r="B368" s="226" t="s">
        <v>66</v>
      </c>
      <c r="C368" s="226"/>
      <c r="D368" s="148" t="s">
        <v>1236</v>
      </c>
      <c r="E368" s="154" t="s">
        <v>19</v>
      </c>
      <c r="F368" s="191">
        <v>1</v>
      </c>
      <c r="G368" s="236">
        <v>1047</v>
      </c>
      <c r="H368" s="191">
        <f t="shared" si="71"/>
        <v>1047</v>
      </c>
      <c r="I368" s="599">
        <f t="shared" si="72"/>
        <v>1047</v>
      </c>
    </row>
    <row r="369" spans="1:17" s="26" customFormat="1" ht="14.25" x14ac:dyDescent="0.2">
      <c r="A369" s="320" t="s">
        <v>1628</v>
      </c>
      <c r="B369" s="226" t="s">
        <v>66</v>
      </c>
      <c r="C369" s="153"/>
      <c r="D369" s="148" t="s">
        <v>1238</v>
      </c>
      <c r="E369" s="154" t="s">
        <v>19</v>
      </c>
      <c r="F369" s="191">
        <v>1</v>
      </c>
      <c r="G369" s="236">
        <v>1600</v>
      </c>
      <c r="H369" s="191">
        <f t="shared" si="71"/>
        <v>1600</v>
      </c>
      <c r="I369" s="599">
        <f t="shared" si="72"/>
        <v>1600</v>
      </c>
    </row>
    <row r="370" spans="1:17" s="26" customFormat="1" ht="14.25" x14ac:dyDescent="0.2">
      <c r="A370" s="320" t="s">
        <v>1629</v>
      </c>
      <c r="B370" s="226" t="s">
        <v>66</v>
      </c>
      <c r="C370" s="153"/>
      <c r="D370" s="148" t="s">
        <v>1239</v>
      </c>
      <c r="E370" s="154" t="s">
        <v>19</v>
      </c>
      <c r="F370" s="191">
        <v>1</v>
      </c>
      <c r="G370" s="236">
        <v>8947</v>
      </c>
      <c r="H370" s="191">
        <f t="shared" si="71"/>
        <v>8947</v>
      </c>
      <c r="I370" s="599">
        <f t="shared" si="72"/>
        <v>8947</v>
      </c>
    </row>
    <row r="371" spans="1:17" s="26" customFormat="1" ht="14.25" x14ac:dyDescent="0.2">
      <c r="A371" s="320" t="s">
        <v>2258</v>
      </c>
      <c r="B371" s="226" t="s">
        <v>66</v>
      </c>
      <c r="C371" s="153"/>
      <c r="D371" s="148" t="s">
        <v>1191</v>
      </c>
      <c r="E371" s="154" t="s">
        <v>19</v>
      </c>
      <c r="F371" s="191">
        <v>1</v>
      </c>
      <c r="G371" s="236">
        <v>1320</v>
      </c>
      <c r="H371" s="191">
        <f t="shared" si="71"/>
        <v>1320</v>
      </c>
      <c r="I371" s="599">
        <f t="shared" si="72"/>
        <v>1320</v>
      </c>
    </row>
    <row r="372" spans="1:17" s="26" customFormat="1" ht="14.25" x14ac:dyDescent="0.2">
      <c r="A372" s="320" t="s">
        <v>2259</v>
      </c>
      <c r="B372" s="226" t="s">
        <v>66</v>
      </c>
      <c r="C372" s="226"/>
      <c r="D372" s="147" t="s">
        <v>1240</v>
      </c>
      <c r="E372" s="154" t="s">
        <v>19</v>
      </c>
      <c r="F372" s="191">
        <v>1</v>
      </c>
      <c r="G372" s="236">
        <v>2840</v>
      </c>
      <c r="H372" s="191">
        <f t="shared" si="71"/>
        <v>2840</v>
      </c>
      <c r="I372" s="599">
        <f t="shared" si="72"/>
        <v>2840</v>
      </c>
    </row>
    <row r="373" spans="1:17" s="26" customFormat="1" ht="14.25" x14ac:dyDescent="0.2">
      <c r="A373" s="320" t="s">
        <v>2260</v>
      </c>
      <c r="B373" s="226" t="s">
        <v>66</v>
      </c>
      <c r="C373" s="226"/>
      <c r="D373" s="156" t="s">
        <v>1241</v>
      </c>
      <c r="E373" s="226" t="s">
        <v>18</v>
      </c>
      <c r="F373" s="146">
        <v>15</v>
      </c>
      <c r="G373" s="236">
        <v>560</v>
      </c>
      <c r="H373" s="191">
        <f t="shared" si="71"/>
        <v>560</v>
      </c>
      <c r="I373" s="599">
        <f t="shared" si="72"/>
        <v>8400</v>
      </c>
    </row>
    <row r="374" spans="1:17" s="26" customFormat="1" ht="14.25" x14ac:dyDescent="0.2">
      <c r="A374" s="320" t="s">
        <v>2261</v>
      </c>
      <c r="B374" s="226" t="s">
        <v>66</v>
      </c>
      <c r="C374" s="226"/>
      <c r="D374" s="148" t="s">
        <v>1206</v>
      </c>
      <c r="E374" s="154" t="s">
        <v>19</v>
      </c>
      <c r="F374" s="191">
        <v>1</v>
      </c>
      <c r="G374" s="236">
        <v>1360</v>
      </c>
      <c r="H374" s="191">
        <f t="shared" si="71"/>
        <v>1360</v>
      </c>
      <c r="I374" s="599">
        <f t="shared" si="72"/>
        <v>1360</v>
      </c>
    </row>
    <row r="375" spans="1:17" s="26" customFormat="1" ht="14.25" x14ac:dyDescent="0.2">
      <c r="A375" s="320" t="s">
        <v>2262</v>
      </c>
      <c r="B375" s="226" t="s">
        <v>66</v>
      </c>
      <c r="C375" s="226"/>
      <c r="D375" s="148" t="s">
        <v>1242</v>
      </c>
      <c r="E375" s="154" t="s">
        <v>19</v>
      </c>
      <c r="F375" s="191">
        <v>1</v>
      </c>
      <c r="G375" s="236">
        <v>11200</v>
      </c>
      <c r="H375" s="191">
        <f t="shared" si="71"/>
        <v>11200</v>
      </c>
      <c r="I375" s="599">
        <f t="shared" si="72"/>
        <v>11200</v>
      </c>
    </row>
    <row r="376" spans="1:17" s="26" customFormat="1" ht="14.25" x14ac:dyDescent="0.2">
      <c r="A376" s="320" t="s">
        <v>2263</v>
      </c>
      <c r="B376" s="226" t="s">
        <v>66</v>
      </c>
      <c r="C376" s="226"/>
      <c r="D376" s="148" t="s">
        <v>1243</v>
      </c>
      <c r="E376" s="154" t="s">
        <v>19</v>
      </c>
      <c r="F376" s="191">
        <v>1</v>
      </c>
      <c r="G376" s="236">
        <v>870</v>
      </c>
      <c r="H376" s="191">
        <f t="shared" si="71"/>
        <v>870</v>
      </c>
      <c r="I376" s="599">
        <f t="shared" si="72"/>
        <v>870</v>
      </c>
    </row>
    <row r="377" spans="1:17" s="26" customFormat="1" ht="14.25" x14ac:dyDescent="0.2">
      <c r="A377" s="320" t="s">
        <v>2264</v>
      </c>
      <c r="B377" s="226" t="s">
        <v>66</v>
      </c>
      <c r="C377" s="226"/>
      <c r="D377" s="148" t="s">
        <v>1244</v>
      </c>
      <c r="E377" s="154" t="s">
        <v>19</v>
      </c>
      <c r="F377" s="191">
        <v>1</v>
      </c>
      <c r="G377" s="236">
        <v>410</v>
      </c>
      <c r="H377" s="191">
        <f t="shared" si="71"/>
        <v>410</v>
      </c>
      <c r="I377" s="599">
        <f t="shared" si="72"/>
        <v>410</v>
      </c>
    </row>
    <row r="378" spans="1:17" s="26" customFormat="1" ht="14.25" x14ac:dyDescent="0.2">
      <c r="A378" s="320" t="s">
        <v>2265</v>
      </c>
      <c r="B378" s="226" t="s">
        <v>66</v>
      </c>
      <c r="C378" s="226"/>
      <c r="D378" s="148" t="s">
        <v>1234</v>
      </c>
      <c r="E378" s="154" t="s">
        <v>19</v>
      </c>
      <c r="F378" s="191">
        <v>1</v>
      </c>
      <c r="G378" s="236">
        <v>2200</v>
      </c>
      <c r="H378" s="191">
        <f t="shared" si="71"/>
        <v>2200</v>
      </c>
      <c r="I378" s="599">
        <f t="shared" si="72"/>
        <v>2200</v>
      </c>
    </row>
    <row r="379" spans="1:17" s="26" customFormat="1" ht="28.5" x14ac:dyDescent="0.2">
      <c r="A379" s="320" t="s">
        <v>2266</v>
      </c>
      <c r="B379" s="226" t="s">
        <v>46</v>
      </c>
      <c r="C379" s="226">
        <v>9833</v>
      </c>
      <c r="D379" s="148" t="s">
        <v>1247</v>
      </c>
      <c r="E379" s="154" t="s">
        <v>18</v>
      </c>
      <c r="F379" s="191">
        <v>35</v>
      </c>
      <c r="G379" s="236">
        <v>8.44</v>
      </c>
      <c r="H379" s="191">
        <f t="shared" si="71"/>
        <v>8.44</v>
      </c>
      <c r="I379" s="599">
        <f t="shared" si="72"/>
        <v>295.39999999999998</v>
      </c>
    </row>
    <row r="380" spans="1:17" s="26" customFormat="1" ht="14.25" x14ac:dyDescent="0.2">
      <c r="A380" s="320" t="s">
        <v>2267</v>
      </c>
      <c r="B380" s="226" t="s">
        <v>66</v>
      </c>
      <c r="C380" s="226"/>
      <c r="D380" s="148" t="s">
        <v>1245</v>
      </c>
      <c r="E380" s="154" t="s">
        <v>19</v>
      </c>
      <c r="F380" s="191">
        <v>1</v>
      </c>
      <c r="G380" s="236">
        <v>3160</v>
      </c>
      <c r="H380" s="191">
        <f t="shared" si="71"/>
        <v>3160</v>
      </c>
      <c r="I380" s="599">
        <f t="shared" si="72"/>
        <v>3160</v>
      </c>
    </row>
    <row r="381" spans="1:17" s="26" customFormat="1" ht="14.25" x14ac:dyDescent="0.2">
      <c r="A381" s="320" t="s">
        <v>2268</v>
      </c>
      <c r="B381" s="226" t="s">
        <v>66</v>
      </c>
      <c r="C381" s="226"/>
      <c r="D381" s="148" t="s">
        <v>1229</v>
      </c>
      <c r="E381" s="154" t="s">
        <v>19</v>
      </c>
      <c r="F381" s="191">
        <v>6</v>
      </c>
      <c r="G381" s="236">
        <v>17.5</v>
      </c>
      <c r="H381" s="191">
        <f t="shared" si="71"/>
        <v>17.5</v>
      </c>
      <c r="I381" s="599">
        <f t="shared" si="72"/>
        <v>105</v>
      </c>
    </row>
    <row r="382" spans="1:17" s="26" customFormat="1" ht="14.25" x14ac:dyDescent="0.2">
      <c r="A382" s="320" t="s">
        <v>2269</v>
      </c>
      <c r="B382" s="226" t="s">
        <v>66</v>
      </c>
      <c r="C382" s="226"/>
      <c r="D382" s="148" t="s">
        <v>1246</v>
      </c>
      <c r="E382" s="154" t="s">
        <v>18</v>
      </c>
      <c r="F382" s="191">
        <v>72</v>
      </c>
      <c r="G382" s="236">
        <v>7.6</v>
      </c>
      <c r="H382" s="191">
        <f t="shared" si="71"/>
        <v>7.6</v>
      </c>
      <c r="I382" s="599">
        <f t="shared" si="72"/>
        <v>547.19999999999993</v>
      </c>
    </row>
    <row r="383" spans="1:17" s="26" customFormat="1" ht="14.25" x14ac:dyDescent="0.2">
      <c r="A383" s="320" t="s">
        <v>2270</v>
      </c>
      <c r="B383" s="226" t="s">
        <v>46</v>
      </c>
      <c r="C383" s="226">
        <v>88267</v>
      </c>
      <c r="D383" s="148" t="s">
        <v>795</v>
      </c>
      <c r="E383" s="226" t="s">
        <v>15</v>
      </c>
      <c r="F383" s="146">
        <v>100</v>
      </c>
      <c r="G383" s="236">
        <v>21.01</v>
      </c>
      <c r="H383" s="146">
        <f>ROUND((1+K$3)*G383,2)</f>
        <v>21.01</v>
      </c>
      <c r="I383" s="350">
        <f>ROUND(F383*H383,2)</f>
        <v>2101</v>
      </c>
      <c r="J383" s="27"/>
      <c r="K383" s="27"/>
      <c r="L383" s="27"/>
      <c r="M383" s="27"/>
      <c r="N383" s="27"/>
      <c r="O383" s="27"/>
      <c r="P383" s="27"/>
      <c r="Q383" s="27"/>
    </row>
    <row r="384" spans="1:17" s="26" customFormat="1" ht="14.25" customHeight="1" thickBot="1" x14ac:dyDescent="0.25">
      <c r="A384" s="920" t="s">
        <v>2271</v>
      </c>
      <c r="B384" s="586" t="s">
        <v>46</v>
      </c>
      <c r="C384" s="586">
        <v>88248</v>
      </c>
      <c r="D384" s="584" t="s">
        <v>796</v>
      </c>
      <c r="E384" s="586" t="s">
        <v>15</v>
      </c>
      <c r="F384" s="585">
        <v>100</v>
      </c>
      <c r="G384" s="1016">
        <v>16.87</v>
      </c>
      <c r="H384" s="585">
        <f>ROUND((1+K$3)*G384,2)</f>
        <v>16.87</v>
      </c>
      <c r="I384" s="606">
        <f>ROUND(F384*H384,2)</f>
        <v>1687</v>
      </c>
      <c r="J384" s="27"/>
      <c r="K384" s="27"/>
      <c r="L384" s="27"/>
      <c r="M384" s="27"/>
      <c r="N384" s="27"/>
      <c r="O384" s="27"/>
      <c r="P384" s="27"/>
      <c r="Q384" s="27"/>
    </row>
    <row r="385" spans="1:18" s="26" customFormat="1" ht="14.25" x14ac:dyDescent="0.2">
      <c r="A385" s="918" t="s">
        <v>2272</v>
      </c>
      <c r="B385" s="910" t="s">
        <v>46</v>
      </c>
      <c r="C385" s="910">
        <v>88316</v>
      </c>
      <c r="D385" s="900" t="s">
        <v>797</v>
      </c>
      <c r="E385" s="910" t="s">
        <v>15</v>
      </c>
      <c r="F385" s="901">
        <v>100</v>
      </c>
      <c r="G385" s="1015">
        <v>16.64</v>
      </c>
      <c r="H385" s="901">
        <f>ROUND((1+K$3)*G385,2)</f>
        <v>16.64</v>
      </c>
      <c r="I385" s="1018">
        <f>ROUND(F385*H385,2)</f>
        <v>1664</v>
      </c>
      <c r="J385" s="27"/>
      <c r="K385" s="27"/>
      <c r="L385" s="27"/>
      <c r="M385" s="27"/>
      <c r="N385" s="27"/>
      <c r="O385" s="27"/>
      <c r="P385" s="27"/>
      <c r="Q385" s="27"/>
    </row>
    <row r="386" spans="1:18" ht="14.25" x14ac:dyDescent="0.2">
      <c r="A386" s="311"/>
      <c r="B386" s="226"/>
      <c r="C386" s="227"/>
      <c r="D386" s="178"/>
      <c r="E386" s="227"/>
      <c r="F386" s="157"/>
      <c r="G386" s="146"/>
      <c r="H386" s="146"/>
      <c r="I386" s="350"/>
      <c r="J386" s="29"/>
      <c r="K386" s="29"/>
      <c r="L386" s="29"/>
      <c r="M386" s="29"/>
      <c r="N386" s="29"/>
      <c r="O386" s="29"/>
      <c r="P386" s="29"/>
      <c r="Q386" s="29"/>
    </row>
    <row r="387" spans="1:18" s="7" customFormat="1" ht="45" x14ac:dyDescent="0.2">
      <c r="A387" s="594">
        <v>31</v>
      </c>
      <c r="B387" s="298" t="s">
        <v>336</v>
      </c>
      <c r="C387" s="324" t="s">
        <v>369</v>
      </c>
      <c r="D387" s="325" t="s">
        <v>1716</v>
      </c>
      <c r="E387" s="298" t="s">
        <v>19</v>
      </c>
      <c r="F387" s="363"/>
      <c r="G387" s="364"/>
      <c r="H387" s="364"/>
      <c r="I387" s="595">
        <f>SUM(I388:I393)</f>
        <v>6266.84</v>
      </c>
      <c r="J387" s="6"/>
      <c r="K387" s="6"/>
      <c r="L387" s="6"/>
      <c r="M387" s="6"/>
      <c r="N387" s="6"/>
      <c r="O387" s="6"/>
      <c r="P387" s="6"/>
      <c r="Q387" s="6"/>
    </row>
    <row r="388" spans="1:18" s="26" customFormat="1" ht="57" x14ac:dyDescent="0.2">
      <c r="A388" s="334" t="s">
        <v>650</v>
      </c>
      <c r="B388" s="154" t="s">
        <v>46</v>
      </c>
      <c r="C388" s="226">
        <v>5824</v>
      </c>
      <c r="D388" s="147" t="s">
        <v>839</v>
      </c>
      <c r="E388" s="154" t="s">
        <v>840</v>
      </c>
      <c r="F388" s="146">
        <v>8</v>
      </c>
      <c r="G388" s="146">
        <v>106.76</v>
      </c>
      <c r="H388" s="146">
        <f t="shared" ref="H388:H393" si="73">G388</f>
        <v>106.76</v>
      </c>
      <c r="I388" s="350">
        <f t="shared" ref="I388:I393" si="74">ROUND(F388*H388,2)</f>
        <v>854.08</v>
      </c>
      <c r="J388" s="262"/>
      <c r="K388" s="25"/>
      <c r="L388" s="132"/>
      <c r="M388" s="25"/>
      <c r="N388" s="25"/>
      <c r="O388" s="25"/>
      <c r="P388" s="25"/>
      <c r="R388" s="25"/>
    </row>
    <row r="389" spans="1:18" s="26" customFormat="1" ht="14.25" x14ac:dyDescent="0.2">
      <c r="A389" s="334" t="s">
        <v>651</v>
      </c>
      <c r="B389" s="154" t="s">
        <v>46</v>
      </c>
      <c r="C389" s="226">
        <v>88285</v>
      </c>
      <c r="D389" s="147" t="s">
        <v>846</v>
      </c>
      <c r="E389" s="154" t="s">
        <v>15</v>
      </c>
      <c r="F389" s="146">
        <f>F388</f>
        <v>8</v>
      </c>
      <c r="G389" s="146">
        <v>18.440000000000001</v>
      </c>
      <c r="H389" s="146">
        <f t="shared" si="73"/>
        <v>18.440000000000001</v>
      </c>
      <c r="I389" s="350">
        <f t="shared" si="74"/>
        <v>147.52000000000001</v>
      </c>
      <c r="J389" s="262"/>
      <c r="K389" s="25"/>
      <c r="L389" s="132"/>
      <c r="M389" s="25"/>
      <c r="N389" s="25"/>
      <c r="O389" s="25"/>
      <c r="P389" s="25"/>
      <c r="R389" s="25"/>
    </row>
    <row r="390" spans="1:18" s="26" customFormat="1" ht="31.5" customHeight="1" x14ac:dyDescent="0.2">
      <c r="A390" s="334" t="s">
        <v>652</v>
      </c>
      <c r="B390" s="154" t="s">
        <v>46</v>
      </c>
      <c r="C390" s="226">
        <v>89272</v>
      </c>
      <c r="D390" s="147" t="s">
        <v>845</v>
      </c>
      <c r="E390" s="154" t="s">
        <v>840</v>
      </c>
      <c r="F390" s="146">
        <v>8</v>
      </c>
      <c r="G390" s="146">
        <v>144.16999999999999</v>
      </c>
      <c r="H390" s="146">
        <f t="shared" si="73"/>
        <v>144.16999999999999</v>
      </c>
      <c r="I390" s="350">
        <f t="shared" si="74"/>
        <v>1153.3599999999999</v>
      </c>
      <c r="J390" s="262"/>
      <c r="K390" s="25"/>
      <c r="L390" s="132"/>
      <c r="M390" s="25"/>
      <c r="N390" s="25"/>
      <c r="O390" s="25"/>
      <c r="P390" s="25"/>
      <c r="R390" s="25"/>
    </row>
    <row r="391" spans="1:18" s="26" customFormat="1" ht="14.25" x14ac:dyDescent="0.2">
      <c r="A391" s="334" t="s">
        <v>653</v>
      </c>
      <c r="B391" s="154" t="s">
        <v>46</v>
      </c>
      <c r="C391" s="226">
        <v>88296</v>
      </c>
      <c r="D391" s="147" t="s">
        <v>847</v>
      </c>
      <c r="E391" s="154" t="s">
        <v>15</v>
      </c>
      <c r="F391" s="146">
        <f>F390</f>
        <v>8</v>
      </c>
      <c r="G391" s="146">
        <v>25.37</v>
      </c>
      <c r="H391" s="146">
        <f t="shared" si="73"/>
        <v>25.37</v>
      </c>
      <c r="I391" s="350">
        <f t="shared" si="74"/>
        <v>202.96</v>
      </c>
      <c r="J391" s="262"/>
      <c r="K391" s="25"/>
      <c r="L391" s="132"/>
      <c r="M391" s="25"/>
      <c r="N391" s="25"/>
      <c r="O391" s="25"/>
      <c r="P391" s="25"/>
      <c r="R391" s="25"/>
    </row>
    <row r="392" spans="1:18" s="26" customFormat="1" ht="57" x14ac:dyDescent="0.2">
      <c r="A392" s="334" t="s">
        <v>1809</v>
      </c>
      <c r="B392" s="154" t="s">
        <v>46</v>
      </c>
      <c r="C392" s="226">
        <v>89198</v>
      </c>
      <c r="D392" s="147" t="s">
        <v>1319</v>
      </c>
      <c r="E392" s="154" t="s">
        <v>18</v>
      </c>
      <c r="F392" s="146">
        <v>60</v>
      </c>
      <c r="G392" s="146">
        <v>62.93</v>
      </c>
      <c r="H392" s="146">
        <f t="shared" si="73"/>
        <v>62.93</v>
      </c>
      <c r="I392" s="350">
        <f t="shared" si="74"/>
        <v>3775.8</v>
      </c>
      <c r="J392" s="262"/>
      <c r="K392" s="25"/>
      <c r="L392" s="132"/>
      <c r="M392" s="25"/>
      <c r="N392" s="25"/>
      <c r="O392" s="25"/>
      <c r="P392" s="25"/>
      <c r="R392" s="25"/>
    </row>
    <row r="393" spans="1:18" ht="14.25" x14ac:dyDescent="0.2">
      <c r="A393" s="334" t="s">
        <v>1810</v>
      </c>
      <c r="B393" s="154" t="s">
        <v>46</v>
      </c>
      <c r="C393" s="227">
        <v>88316</v>
      </c>
      <c r="D393" s="147" t="s">
        <v>829</v>
      </c>
      <c r="E393" s="226" t="s">
        <v>15</v>
      </c>
      <c r="F393" s="146">
        <v>8</v>
      </c>
      <c r="G393" s="146">
        <v>16.64</v>
      </c>
      <c r="H393" s="146">
        <f t="shared" si="73"/>
        <v>16.64</v>
      </c>
      <c r="I393" s="350">
        <f t="shared" si="74"/>
        <v>133.12</v>
      </c>
      <c r="J393" s="29"/>
      <c r="K393" s="29"/>
      <c r="L393" s="29"/>
      <c r="M393" s="29"/>
      <c r="N393" s="29"/>
      <c r="O393" s="29"/>
      <c r="P393" s="29"/>
      <c r="Q393" s="29"/>
    </row>
    <row r="394" spans="1:18" s="26" customFormat="1" ht="14.25" x14ac:dyDescent="0.2">
      <c r="A394" s="320"/>
      <c r="B394" s="227"/>
      <c r="C394" s="227"/>
      <c r="D394" s="178"/>
      <c r="E394" s="227"/>
      <c r="F394" s="189"/>
      <c r="G394" s="189"/>
      <c r="H394" s="189"/>
      <c r="I394" s="600"/>
    </row>
    <row r="395" spans="1:18" s="26" customFormat="1" ht="45" x14ac:dyDescent="0.2">
      <c r="A395" s="594">
        <v>32</v>
      </c>
      <c r="B395" s="298" t="s">
        <v>336</v>
      </c>
      <c r="C395" s="324" t="s">
        <v>370</v>
      </c>
      <c r="D395" s="325" t="s">
        <v>190</v>
      </c>
      <c r="E395" s="298"/>
      <c r="F395" s="363"/>
      <c r="G395" s="364"/>
      <c r="H395" s="364"/>
      <c r="I395" s="595">
        <f>SUM(I396:I399)</f>
        <v>328.75</v>
      </c>
    </row>
    <row r="396" spans="1:18" s="26" customFormat="1" ht="14.25" x14ac:dyDescent="0.2">
      <c r="A396" s="320" t="s">
        <v>654</v>
      </c>
      <c r="B396" s="227" t="s">
        <v>46</v>
      </c>
      <c r="C396" s="226">
        <v>11125</v>
      </c>
      <c r="D396" s="147" t="s">
        <v>715</v>
      </c>
      <c r="E396" s="226" t="s">
        <v>170</v>
      </c>
      <c r="F396" s="190">
        <f>48*0.54*0.58</f>
        <v>15.0336</v>
      </c>
      <c r="G396" s="190">
        <v>14.43</v>
      </c>
      <c r="H396" s="189">
        <f>G396</f>
        <v>14.43</v>
      </c>
      <c r="I396" s="600">
        <f>ROUND(F396*H396,2)</f>
        <v>216.93</v>
      </c>
    </row>
    <row r="397" spans="1:18" s="26" customFormat="1" ht="14.25" x14ac:dyDescent="0.2">
      <c r="A397" s="320" t="s">
        <v>655</v>
      </c>
      <c r="B397" s="227" t="s">
        <v>46</v>
      </c>
      <c r="C397" s="226">
        <v>585</v>
      </c>
      <c r="D397" s="147" t="s">
        <v>252</v>
      </c>
      <c r="E397" s="226" t="s">
        <v>170</v>
      </c>
      <c r="F397" s="190">
        <v>1.35</v>
      </c>
      <c r="G397" s="190">
        <v>18.79</v>
      </c>
      <c r="H397" s="189">
        <f>G397</f>
        <v>18.79</v>
      </c>
      <c r="I397" s="600">
        <f>ROUND(F397*H397,2)</f>
        <v>25.37</v>
      </c>
    </row>
    <row r="398" spans="1:18" s="26" customFormat="1" ht="14.25" x14ac:dyDescent="0.2">
      <c r="A398" s="320" t="s">
        <v>656</v>
      </c>
      <c r="B398" s="227" t="s">
        <v>46</v>
      </c>
      <c r="C398" s="226">
        <v>252</v>
      </c>
      <c r="D398" s="147" t="s">
        <v>774</v>
      </c>
      <c r="E398" s="226" t="s">
        <v>15</v>
      </c>
      <c r="F398" s="190">
        <v>5</v>
      </c>
      <c r="G398" s="190">
        <v>10.38</v>
      </c>
      <c r="H398" s="189">
        <f>G398</f>
        <v>10.38</v>
      </c>
      <c r="I398" s="600">
        <f>ROUND(F398*H398,2)</f>
        <v>51.9</v>
      </c>
    </row>
    <row r="399" spans="1:18" s="26" customFormat="1" ht="14.25" x14ac:dyDescent="0.2">
      <c r="A399" s="320" t="s">
        <v>657</v>
      </c>
      <c r="B399" s="227" t="s">
        <v>46</v>
      </c>
      <c r="C399" s="226">
        <v>6110</v>
      </c>
      <c r="D399" s="147" t="s">
        <v>246</v>
      </c>
      <c r="E399" s="226" t="s">
        <v>15</v>
      </c>
      <c r="F399" s="190">
        <v>2.5</v>
      </c>
      <c r="G399" s="190">
        <v>13.82</v>
      </c>
      <c r="H399" s="189">
        <f>G399</f>
        <v>13.82</v>
      </c>
      <c r="I399" s="600">
        <f>ROUND(F399*H399,2)</f>
        <v>34.549999999999997</v>
      </c>
    </row>
    <row r="400" spans="1:18" s="26" customFormat="1" ht="14.25" x14ac:dyDescent="0.2">
      <c r="A400" s="320"/>
      <c r="B400" s="226"/>
      <c r="C400" s="226"/>
      <c r="D400" s="148"/>
      <c r="E400" s="154"/>
      <c r="F400" s="191"/>
      <c r="G400" s="192"/>
      <c r="H400" s="191"/>
      <c r="I400" s="599"/>
    </row>
    <row r="401" spans="1:9" s="26" customFormat="1" x14ac:dyDescent="0.2">
      <c r="A401" s="594">
        <v>33</v>
      </c>
      <c r="B401" s="298" t="s">
        <v>336</v>
      </c>
      <c r="C401" s="324" t="s">
        <v>1590</v>
      </c>
      <c r="D401" s="325" t="str">
        <f>ORÇAMENTO!D471</f>
        <v>FORNECIMENTO E APLICAÇÃO DO MATERIAL HIDRÁULICO DO DECANTADOR</v>
      </c>
      <c r="E401" s="298"/>
      <c r="F401" s="363"/>
      <c r="G401" s="364"/>
      <c r="H401" s="364"/>
      <c r="I401" s="595">
        <f>SUM(I402:I423)</f>
        <v>66884.160000000003</v>
      </c>
    </row>
    <row r="402" spans="1:9" s="26" customFormat="1" ht="14.25" x14ac:dyDescent="0.2">
      <c r="A402" s="320" t="s">
        <v>1591</v>
      </c>
      <c r="B402" s="226" t="s">
        <v>66</v>
      </c>
      <c r="C402" s="153"/>
      <c r="D402" s="148" t="s">
        <v>1271</v>
      </c>
      <c r="E402" s="154" t="s">
        <v>19</v>
      </c>
      <c r="F402" s="191">
        <v>1</v>
      </c>
      <c r="G402" s="190">
        <v>572</v>
      </c>
      <c r="H402" s="191">
        <f>G402</f>
        <v>572</v>
      </c>
      <c r="I402" s="599">
        <f t="shared" ref="I402" si="75">F402*H402</f>
        <v>572</v>
      </c>
    </row>
    <row r="403" spans="1:9" s="26" customFormat="1" ht="14.25" x14ac:dyDescent="0.2">
      <c r="A403" s="320" t="s">
        <v>1592</v>
      </c>
      <c r="B403" s="226" t="s">
        <v>66</v>
      </c>
      <c r="C403" s="153"/>
      <c r="D403" s="148" t="s">
        <v>1272</v>
      </c>
      <c r="E403" s="154" t="s">
        <v>19</v>
      </c>
      <c r="F403" s="191">
        <v>1</v>
      </c>
      <c r="G403" s="190">
        <v>2380</v>
      </c>
      <c r="H403" s="191">
        <f t="shared" ref="H403:H420" si="76">G403</f>
        <v>2380</v>
      </c>
      <c r="I403" s="599">
        <f t="shared" ref="I403:I420" si="77">F403*H403</f>
        <v>2380</v>
      </c>
    </row>
    <row r="404" spans="1:9" s="26" customFormat="1" ht="14.25" x14ac:dyDescent="0.2">
      <c r="A404" s="320" t="s">
        <v>1593</v>
      </c>
      <c r="B404" s="226" t="s">
        <v>66</v>
      </c>
      <c r="C404" s="226"/>
      <c r="D404" s="148" t="s">
        <v>1273</v>
      </c>
      <c r="E404" s="154" t="s">
        <v>19</v>
      </c>
      <c r="F404" s="191">
        <v>2</v>
      </c>
      <c r="G404" s="190">
        <v>5150</v>
      </c>
      <c r="H404" s="191">
        <f t="shared" si="76"/>
        <v>5150</v>
      </c>
      <c r="I404" s="599">
        <f t="shared" si="77"/>
        <v>10300</v>
      </c>
    </row>
    <row r="405" spans="1:9" s="26" customFormat="1" ht="14.25" x14ac:dyDescent="0.2">
      <c r="A405" s="320" t="s">
        <v>1594</v>
      </c>
      <c r="B405" s="226" t="s">
        <v>66</v>
      </c>
      <c r="C405" s="226"/>
      <c r="D405" s="148" t="s">
        <v>1274</v>
      </c>
      <c r="E405" s="154" t="s">
        <v>19</v>
      </c>
      <c r="F405" s="191">
        <v>1</v>
      </c>
      <c r="G405" s="190">
        <v>600</v>
      </c>
      <c r="H405" s="191">
        <f t="shared" si="76"/>
        <v>600</v>
      </c>
      <c r="I405" s="599">
        <f t="shared" si="77"/>
        <v>600</v>
      </c>
    </row>
    <row r="406" spans="1:9" s="26" customFormat="1" ht="14.25" x14ac:dyDescent="0.2">
      <c r="A406" s="320" t="s">
        <v>2273</v>
      </c>
      <c r="B406" s="226" t="s">
        <v>66</v>
      </c>
      <c r="C406" s="226"/>
      <c r="D406" s="148" t="s">
        <v>1275</v>
      </c>
      <c r="E406" s="154" t="s">
        <v>19</v>
      </c>
      <c r="F406" s="191">
        <v>1</v>
      </c>
      <c r="G406" s="190">
        <v>1710</v>
      </c>
      <c r="H406" s="191">
        <f t="shared" si="76"/>
        <v>1710</v>
      </c>
      <c r="I406" s="599">
        <f t="shared" si="77"/>
        <v>1710</v>
      </c>
    </row>
    <row r="407" spans="1:9" s="26" customFormat="1" ht="14.25" x14ac:dyDescent="0.2">
      <c r="A407" s="320" t="s">
        <v>2274</v>
      </c>
      <c r="B407" s="226" t="s">
        <v>66</v>
      </c>
      <c r="C407" s="153"/>
      <c r="D407" s="148" t="s">
        <v>1276</v>
      </c>
      <c r="E407" s="154" t="s">
        <v>19</v>
      </c>
      <c r="F407" s="191">
        <v>1</v>
      </c>
      <c r="G407" s="190">
        <v>580</v>
      </c>
      <c r="H407" s="191">
        <f t="shared" si="76"/>
        <v>580</v>
      </c>
      <c r="I407" s="599">
        <f t="shared" si="77"/>
        <v>580</v>
      </c>
    </row>
    <row r="408" spans="1:9" s="26" customFormat="1" ht="14.25" x14ac:dyDescent="0.2">
      <c r="A408" s="320" t="s">
        <v>2275</v>
      </c>
      <c r="B408" s="226" t="s">
        <v>66</v>
      </c>
      <c r="C408" s="154"/>
      <c r="D408" s="148" t="s">
        <v>1206</v>
      </c>
      <c r="E408" s="154" t="s">
        <v>19</v>
      </c>
      <c r="F408" s="191">
        <v>5</v>
      </c>
      <c r="G408" s="190">
        <v>1360</v>
      </c>
      <c r="H408" s="191">
        <f t="shared" si="76"/>
        <v>1360</v>
      </c>
      <c r="I408" s="599">
        <f t="shared" si="77"/>
        <v>6800</v>
      </c>
    </row>
    <row r="409" spans="1:9" s="26" customFormat="1" ht="14.25" x14ac:dyDescent="0.2">
      <c r="A409" s="320" t="s">
        <v>2276</v>
      </c>
      <c r="B409" s="154" t="s">
        <v>46</v>
      </c>
      <c r="C409" s="226">
        <v>9827</v>
      </c>
      <c r="D409" s="148" t="s">
        <v>1280</v>
      </c>
      <c r="E409" s="154" t="s">
        <v>18</v>
      </c>
      <c r="F409" s="191">
        <v>15</v>
      </c>
      <c r="G409" s="190">
        <v>254.44</v>
      </c>
      <c r="H409" s="191">
        <f t="shared" si="76"/>
        <v>254.44</v>
      </c>
      <c r="I409" s="599">
        <f t="shared" si="77"/>
        <v>3816.6</v>
      </c>
    </row>
    <row r="410" spans="1:9" s="26" customFormat="1" ht="14.25" x14ac:dyDescent="0.2">
      <c r="A410" s="320" t="s">
        <v>2277</v>
      </c>
      <c r="B410" s="154" t="s">
        <v>46</v>
      </c>
      <c r="C410" s="226">
        <v>9828</v>
      </c>
      <c r="D410" s="148" t="s">
        <v>1281</v>
      </c>
      <c r="E410" s="154" t="s">
        <v>18</v>
      </c>
      <c r="F410" s="191">
        <v>14</v>
      </c>
      <c r="G410" s="190">
        <v>66.290000000000006</v>
      </c>
      <c r="H410" s="191">
        <f t="shared" si="76"/>
        <v>66.290000000000006</v>
      </c>
      <c r="I410" s="599">
        <f t="shared" si="77"/>
        <v>928.06000000000006</v>
      </c>
    </row>
    <row r="411" spans="1:9" s="26" customFormat="1" ht="14.25" x14ac:dyDescent="0.2">
      <c r="A411" s="320" t="s">
        <v>2278</v>
      </c>
      <c r="B411" s="226" t="s">
        <v>66</v>
      </c>
      <c r="C411" s="226"/>
      <c r="D411" s="148" t="s">
        <v>1218</v>
      </c>
      <c r="E411" s="154" t="s">
        <v>19</v>
      </c>
      <c r="F411" s="191">
        <v>2</v>
      </c>
      <c r="G411" s="190">
        <v>520</v>
      </c>
      <c r="H411" s="191">
        <f t="shared" si="76"/>
        <v>520</v>
      </c>
      <c r="I411" s="599">
        <f t="shared" si="77"/>
        <v>1040</v>
      </c>
    </row>
    <row r="412" spans="1:9" s="26" customFormat="1" ht="14.25" x14ac:dyDescent="0.2">
      <c r="A412" s="320" t="s">
        <v>2279</v>
      </c>
      <c r="B412" s="226" t="s">
        <v>66</v>
      </c>
      <c r="C412" s="226"/>
      <c r="D412" s="148" t="s">
        <v>1277</v>
      </c>
      <c r="E412" s="154" t="s">
        <v>19</v>
      </c>
      <c r="F412" s="191">
        <v>1</v>
      </c>
      <c r="G412" s="190">
        <v>640</v>
      </c>
      <c r="H412" s="191">
        <f t="shared" si="76"/>
        <v>640</v>
      </c>
      <c r="I412" s="599">
        <f t="shared" si="77"/>
        <v>640</v>
      </c>
    </row>
    <row r="413" spans="1:9" s="26" customFormat="1" thickBot="1" x14ac:dyDescent="0.25">
      <c r="A413" s="920" t="s">
        <v>2280</v>
      </c>
      <c r="B413" s="586" t="s">
        <v>66</v>
      </c>
      <c r="C413" s="586"/>
      <c r="D413" s="584" t="s">
        <v>1278</v>
      </c>
      <c r="E413" s="913" t="s">
        <v>19</v>
      </c>
      <c r="F413" s="1034">
        <v>1</v>
      </c>
      <c r="G413" s="928">
        <v>390</v>
      </c>
      <c r="H413" s="1034">
        <f t="shared" si="76"/>
        <v>390</v>
      </c>
      <c r="I413" s="1040">
        <f t="shared" si="77"/>
        <v>390</v>
      </c>
    </row>
    <row r="414" spans="1:9" s="26" customFormat="1" ht="14.25" x14ac:dyDescent="0.2">
      <c r="A414" s="918" t="s">
        <v>2281</v>
      </c>
      <c r="B414" s="910" t="s">
        <v>66</v>
      </c>
      <c r="C414" s="910"/>
      <c r="D414" s="900" t="s">
        <v>1279</v>
      </c>
      <c r="E414" s="899" t="s">
        <v>19</v>
      </c>
      <c r="F414" s="1038">
        <v>2</v>
      </c>
      <c r="G414" s="932">
        <v>340</v>
      </c>
      <c r="H414" s="1038">
        <f t="shared" si="76"/>
        <v>340</v>
      </c>
      <c r="I414" s="1039">
        <f t="shared" si="77"/>
        <v>680</v>
      </c>
    </row>
    <row r="415" spans="1:9" s="26" customFormat="1" ht="14.25" x14ac:dyDescent="0.2">
      <c r="A415" s="320" t="s">
        <v>2282</v>
      </c>
      <c r="B415" s="226" t="s">
        <v>66</v>
      </c>
      <c r="C415" s="226"/>
      <c r="D415" s="148" t="s">
        <v>1364</v>
      </c>
      <c r="E415" s="154" t="s">
        <v>19</v>
      </c>
      <c r="F415" s="191">
        <v>2</v>
      </c>
      <c r="G415" s="190">
        <v>250</v>
      </c>
      <c r="H415" s="191">
        <f t="shared" si="76"/>
        <v>250</v>
      </c>
      <c r="I415" s="599">
        <f t="shared" si="77"/>
        <v>500</v>
      </c>
    </row>
    <row r="416" spans="1:9" s="26" customFormat="1" ht="14.25" x14ac:dyDescent="0.2">
      <c r="A416" s="320" t="s">
        <v>2283</v>
      </c>
      <c r="B416" s="226" t="s">
        <v>66</v>
      </c>
      <c r="C416" s="226"/>
      <c r="D416" s="148" t="s">
        <v>1365</v>
      </c>
      <c r="E416" s="154" t="s">
        <v>19</v>
      </c>
      <c r="F416" s="191">
        <v>2</v>
      </c>
      <c r="G416" s="190">
        <v>1405</v>
      </c>
      <c r="H416" s="191">
        <f t="shared" si="76"/>
        <v>1405</v>
      </c>
      <c r="I416" s="599">
        <f t="shared" si="77"/>
        <v>2810</v>
      </c>
    </row>
    <row r="417" spans="1:18" s="26" customFormat="1" ht="14.25" x14ac:dyDescent="0.2">
      <c r="A417" s="320" t="s">
        <v>2284</v>
      </c>
      <c r="B417" s="226" t="s">
        <v>66</v>
      </c>
      <c r="C417" s="226"/>
      <c r="D417" s="148" t="s">
        <v>1369</v>
      </c>
      <c r="E417" s="154" t="s">
        <v>19</v>
      </c>
      <c r="F417" s="191">
        <v>1</v>
      </c>
      <c r="G417" s="190">
        <v>27950</v>
      </c>
      <c r="H417" s="191">
        <f t="shared" si="76"/>
        <v>27950</v>
      </c>
      <c r="I417" s="599">
        <f t="shared" si="77"/>
        <v>27950</v>
      </c>
    </row>
    <row r="418" spans="1:18" s="26" customFormat="1" ht="14.25" x14ac:dyDescent="0.2">
      <c r="A418" s="320" t="s">
        <v>2285</v>
      </c>
      <c r="B418" s="226" t="s">
        <v>66</v>
      </c>
      <c r="C418" s="226"/>
      <c r="D418" s="148" t="s">
        <v>1230</v>
      </c>
      <c r="E418" s="154" t="s">
        <v>19</v>
      </c>
      <c r="F418" s="191">
        <v>1</v>
      </c>
      <c r="G418" s="190">
        <v>4.2</v>
      </c>
      <c r="H418" s="191">
        <f t="shared" si="76"/>
        <v>4.2</v>
      </c>
      <c r="I418" s="599">
        <f t="shared" si="77"/>
        <v>4.2</v>
      </c>
    </row>
    <row r="419" spans="1:18" s="26" customFormat="1" ht="14.25" x14ac:dyDescent="0.2">
      <c r="A419" s="320" t="s">
        <v>2286</v>
      </c>
      <c r="B419" s="226" t="s">
        <v>66</v>
      </c>
      <c r="C419" s="226"/>
      <c r="D419" s="148" t="s">
        <v>1229</v>
      </c>
      <c r="E419" s="154" t="s">
        <v>19</v>
      </c>
      <c r="F419" s="191">
        <v>7</v>
      </c>
      <c r="G419" s="190">
        <v>17.5</v>
      </c>
      <c r="H419" s="191">
        <f t="shared" si="76"/>
        <v>17.5</v>
      </c>
      <c r="I419" s="599">
        <f t="shared" si="77"/>
        <v>122.5</v>
      </c>
    </row>
    <row r="420" spans="1:18" s="26" customFormat="1" ht="14.25" x14ac:dyDescent="0.2">
      <c r="A420" s="320" t="s">
        <v>2287</v>
      </c>
      <c r="B420" s="226" t="s">
        <v>66</v>
      </c>
      <c r="C420" s="226"/>
      <c r="D420" s="148" t="s">
        <v>1235</v>
      </c>
      <c r="E420" s="154" t="s">
        <v>19</v>
      </c>
      <c r="F420" s="191">
        <v>92</v>
      </c>
      <c r="G420" s="190">
        <v>7.6</v>
      </c>
      <c r="H420" s="191">
        <f t="shared" si="76"/>
        <v>7.6</v>
      </c>
      <c r="I420" s="599">
        <f t="shared" si="77"/>
        <v>699.19999999999993</v>
      </c>
    </row>
    <row r="421" spans="1:18" s="26" customFormat="1" ht="14.25" x14ac:dyDescent="0.2">
      <c r="A421" s="320" t="s">
        <v>2288</v>
      </c>
      <c r="B421" s="226" t="s">
        <v>46</v>
      </c>
      <c r="C421" s="226">
        <v>88267</v>
      </c>
      <c r="D421" s="148" t="s">
        <v>795</v>
      </c>
      <c r="E421" s="226" t="s">
        <v>15</v>
      </c>
      <c r="F421" s="146">
        <v>80</v>
      </c>
      <c r="G421" s="190">
        <v>21.01</v>
      </c>
      <c r="H421" s="146">
        <f>ROUND((1+K$3)*G421,2)</f>
        <v>21.01</v>
      </c>
      <c r="I421" s="350">
        <f>ROUND(F421*H421,2)</f>
        <v>1680.8</v>
      </c>
      <c r="J421" s="27"/>
      <c r="K421" s="27"/>
      <c r="L421" s="27"/>
      <c r="M421" s="27"/>
      <c r="N421" s="27"/>
      <c r="O421" s="27"/>
      <c r="P421" s="27"/>
      <c r="Q421" s="27"/>
    </row>
    <row r="422" spans="1:18" s="26" customFormat="1" ht="14.25" customHeight="1" x14ac:dyDescent="0.2">
      <c r="A422" s="320" t="s">
        <v>2289</v>
      </c>
      <c r="B422" s="226" t="s">
        <v>46</v>
      </c>
      <c r="C422" s="226">
        <v>88248</v>
      </c>
      <c r="D422" s="148" t="s">
        <v>796</v>
      </c>
      <c r="E422" s="226" t="s">
        <v>15</v>
      </c>
      <c r="F422" s="146">
        <v>80</v>
      </c>
      <c r="G422" s="190">
        <v>16.87</v>
      </c>
      <c r="H422" s="146">
        <f>ROUND((1+K$3)*G422,2)</f>
        <v>16.87</v>
      </c>
      <c r="I422" s="350">
        <f>ROUND(F422*H422,2)</f>
        <v>1349.6</v>
      </c>
      <c r="J422" s="27"/>
      <c r="K422" s="27"/>
      <c r="L422" s="27"/>
      <c r="M422" s="27"/>
      <c r="N422" s="27"/>
      <c r="O422" s="27"/>
      <c r="P422" s="27"/>
      <c r="Q422" s="27"/>
    </row>
    <row r="423" spans="1:18" s="26" customFormat="1" ht="14.25" x14ac:dyDescent="0.2">
      <c r="A423" s="320" t="s">
        <v>2290</v>
      </c>
      <c r="B423" s="226" t="s">
        <v>46</v>
      </c>
      <c r="C423" s="226">
        <v>88316</v>
      </c>
      <c r="D423" s="148" t="s">
        <v>797</v>
      </c>
      <c r="E423" s="226" t="s">
        <v>15</v>
      </c>
      <c r="F423" s="146">
        <v>80</v>
      </c>
      <c r="G423" s="190">
        <v>16.64</v>
      </c>
      <c r="H423" s="146">
        <f>ROUND((1+K$3)*G423,2)</f>
        <v>16.64</v>
      </c>
      <c r="I423" s="350">
        <f>ROUND(F423*H423,2)</f>
        <v>1331.2</v>
      </c>
      <c r="J423" s="27"/>
      <c r="K423" s="27"/>
      <c r="L423" s="27"/>
      <c r="M423" s="27"/>
      <c r="N423" s="27"/>
      <c r="O423" s="27"/>
      <c r="P423" s="27"/>
      <c r="Q423" s="27"/>
    </row>
    <row r="424" spans="1:18" s="26" customFormat="1" ht="14.25" x14ac:dyDescent="0.2">
      <c r="A424" s="320"/>
      <c r="B424" s="227"/>
      <c r="C424" s="226"/>
      <c r="D424" s="147"/>
      <c r="E424" s="226"/>
      <c r="F424" s="190"/>
      <c r="G424" s="190"/>
      <c r="H424" s="189"/>
      <c r="I424" s="600"/>
    </row>
    <row r="425" spans="1:18" s="7" customFormat="1" ht="45" x14ac:dyDescent="0.2">
      <c r="A425" s="594">
        <v>34</v>
      </c>
      <c r="B425" s="298" t="s">
        <v>336</v>
      </c>
      <c r="C425" s="324" t="s">
        <v>371</v>
      </c>
      <c r="D425" s="325" t="s">
        <v>1976</v>
      </c>
      <c r="E425" s="298" t="s">
        <v>19</v>
      </c>
      <c r="F425" s="363"/>
      <c r="G425" s="364"/>
      <c r="H425" s="364"/>
      <c r="I425" s="595">
        <f>SUM(I426:I431)</f>
        <v>5008.24</v>
      </c>
      <c r="J425" s="6"/>
      <c r="K425" s="6"/>
      <c r="L425" s="6"/>
      <c r="M425" s="6"/>
      <c r="N425" s="6"/>
      <c r="O425" s="6"/>
      <c r="P425" s="6"/>
      <c r="Q425" s="6"/>
    </row>
    <row r="426" spans="1:18" s="26" customFormat="1" ht="57" x14ac:dyDescent="0.2">
      <c r="A426" s="334" t="s">
        <v>658</v>
      </c>
      <c r="B426" s="154" t="s">
        <v>46</v>
      </c>
      <c r="C426" s="226">
        <v>5824</v>
      </c>
      <c r="D426" s="147" t="s">
        <v>839</v>
      </c>
      <c r="E426" s="154" t="s">
        <v>840</v>
      </c>
      <c r="F426" s="146">
        <v>8</v>
      </c>
      <c r="G426" s="146">
        <v>106.76</v>
      </c>
      <c r="H426" s="146">
        <f t="shared" ref="H426:H431" si="78">G426</f>
        <v>106.76</v>
      </c>
      <c r="I426" s="350">
        <f t="shared" ref="I426:I431" si="79">ROUND(F426*H426,2)</f>
        <v>854.08</v>
      </c>
      <c r="J426" s="262"/>
      <c r="K426" s="25"/>
      <c r="L426" s="132"/>
      <c r="M426" s="25"/>
      <c r="N426" s="25"/>
      <c r="O426" s="25"/>
      <c r="P426" s="25"/>
      <c r="R426" s="25"/>
    </row>
    <row r="427" spans="1:18" s="26" customFormat="1" ht="14.25" x14ac:dyDescent="0.2">
      <c r="A427" s="334" t="s">
        <v>659</v>
      </c>
      <c r="B427" s="154" t="s">
        <v>46</v>
      </c>
      <c r="C427" s="226">
        <v>88285</v>
      </c>
      <c r="D427" s="147" t="s">
        <v>846</v>
      </c>
      <c r="E427" s="154" t="s">
        <v>15</v>
      </c>
      <c r="F427" s="146">
        <f>F426</f>
        <v>8</v>
      </c>
      <c r="G427" s="146">
        <v>18.440000000000001</v>
      </c>
      <c r="H427" s="146">
        <f t="shared" si="78"/>
        <v>18.440000000000001</v>
      </c>
      <c r="I427" s="350">
        <f t="shared" si="79"/>
        <v>147.52000000000001</v>
      </c>
      <c r="J427" s="262"/>
      <c r="K427" s="25"/>
      <c r="L427" s="132"/>
      <c r="M427" s="25"/>
      <c r="N427" s="25"/>
      <c r="O427" s="25"/>
      <c r="P427" s="25"/>
      <c r="R427" s="25"/>
    </row>
    <row r="428" spans="1:18" s="26" customFormat="1" ht="31.5" customHeight="1" x14ac:dyDescent="0.2">
      <c r="A428" s="334" t="s">
        <v>660</v>
      </c>
      <c r="B428" s="154" t="s">
        <v>46</v>
      </c>
      <c r="C428" s="226">
        <v>89272</v>
      </c>
      <c r="D428" s="147" t="s">
        <v>845</v>
      </c>
      <c r="E428" s="154" t="s">
        <v>840</v>
      </c>
      <c r="F428" s="146">
        <v>8</v>
      </c>
      <c r="G428" s="146">
        <v>144.16999999999999</v>
      </c>
      <c r="H428" s="146">
        <f t="shared" si="78"/>
        <v>144.16999999999999</v>
      </c>
      <c r="I428" s="350">
        <f t="shared" si="79"/>
        <v>1153.3599999999999</v>
      </c>
      <c r="J428" s="262"/>
      <c r="K428" s="25"/>
      <c r="L428" s="132"/>
      <c r="M428" s="25"/>
      <c r="N428" s="25"/>
      <c r="O428" s="25"/>
      <c r="P428" s="25"/>
      <c r="R428" s="25"/>
    </row>
    <row r="429" spans="1:18" s="26" customFormat="1" ht="14.25" x14ac:dyDescent="0.2">
      <c r="A429" s="334" t="s">
        <v>661</v>
      </c>
      <c r="B429" s="154" t="s">
        <v>46</v>
      </c>
      <c r="C429" s="226">
        <v>88296</v>
      </c>
      <c r="D429" s="147" t="s">
        <v>847</v>
      </c>
      <c r="E429" s="154" t="s">
        <v>15</v>
      </c>
      <c r="F429" s="146">
        <f>F428</f>
        <v>8</v>
      </c>
      <c r="G429" s="146">
        <v>25.37</v>
      </c>
      <c r="H429" s="146">
        <f t="shared" si="78"/>
        <v>25.37</v>
      </c>
      <c r="I429" s="350">
        <f t="shared" si="79"/>
        <v>202.96</v>
      </c>
      <c r="J429" s="262"/>
      <c r="K429" s="25"/>
      <c r="L429" s="132"/>
      <c r="M429" s="25"/>
      <c r="N429" s="25"/>
      <c r="O429" s="25"/>
      <c r="P429" s="25"/>
      <c r="R429" s="25"/>
    </row>
    <row r="430" spans="1:18" s="26" customFormat="1" ht="57" x14ac:dyDescent="0.2">
      <c r="A430" s="334" t="s">
        <v>1811</v>
      </c>
      <c r="B430" s="154" t="s">
        <v>46</v>
      </c>
      <c r="C430" s="226">
        <v>89198</v>
      </c>
      <c r="D430" s="147" t="s">
        <v>1319</v>
      </c>
      <c r="E430" s="154" t="s">
        <v>18</v>
      </c>
      <c r="F430" s="146">
        <v>40</v>
      </c>
      <c r="G430" s="146">
        <v>62.93</v>
      </c>
      <c r="H430" s="146">
        <f t="shared" si="78"/>
        <v>62.93</v>
      </c>
      <c r="I430" s="350">
        <f t="shared" si="79"/>
        <v>2517.1999999999998</v>
      </c>
      <c r="J430" s="262"/>
      <c r="K430" s="25"/>
      <c r="L430" s="132"/>
      <c r="M430" s="25"/>
      <c r="N430" s="25"/>
      <c r="O430" s="25"/>
      <c r="P430" s="25"/>
      <c r="R430" s="25"/>
    </row>
    <row r="431" spans="1:18" ht="14.25" x14ac:dyDescent="0.2">
      <c r="A431" s="334" t="s">
        <v>1812</v>
      </c>
      <c r="B431" s="154" t="s">
        <v>46</v>
      </c>
      <c r="C431" s="227">
        <v>88316</v>
      </c>
      <c r="D431" s="178" t="s">
        <v>829</v>
      </c>
      <c r="E431" s="227" t="s">
        <v>15</v>
      </c>
      <c r="F431" s="146">
        <v>8</v>
      </c>
      <c r="G431" s="146">
        <v>16.64</v>
      </c>
      <c r="H431" s="146">
        <f t="shared" si="78"/>
        <v>16.64</v>
      </c>
      <c r="I431" s="350">
        <f t="shared" si="79"/>
        <v>133.12</v>
      </c>
      <c r="J431" s="29"/>
      <c r="K431" s="29"/>
      <c r="L431" s="29"/>
      <c r="M431" s="29"/>
      <c r="N431" s="29"/>
      <c r="O431" s="29"/>
      <c r="P431" s="29"/>
      <c r="Q431" s="29"/>
    </row>
    <row r="432" spans="1:18" s="26" customFormat="1" ht="14.25" x14ac:dyDescent="0.2">
      <c r="A432" s="320"/>
      <c r="B432" s="46"/>
      <c r="C432" s="46"/>
      <c r="D432" s="46"/>
      <c r="E432" s="195"/>
      <c r="F432" s="235"/>
      <c r="G432" s="235"/>
      <c r="H432" s="196"/>
      <c r="I432" s="602"/>
    </row>
    <row r="433" spans="1:17" s="7" customFormat="1" ht="30" x14ac:dyDescent="0.2">
      <c r="A433" s="594">
        <v>35</v>
      </c>
      <c r="B433" s="298" t="s">
        <v>336</v>
      </c>
      <c r="C433" s="324" t="s">
        <v>372</v>
      </c>
      <c r="D433" s="325" t="s">
        <v>1388</v>
      </c>
      <c r="E433" s="298"/>
      <c r="F433" s="363"/>
      <c r="G433" s="364"/>
      <c r="H433" s="364"/>
      <c r="I433" s="595">
        <f>SUM(I434:I438)</f>
        <v>6478.87</v>
      </c>
      <c r="J433" s="6"/>
      <c r="K433" s="6"/>
      <c r="L433" s="6"/>
      <c r="M433" s="6"/>
      <c r="N433" s="6"/>
      <c r="O433" s="6"/>
      <c r="P433" s="6"/>
      <c r="Q433" s="6"/>
    </row>
    <row r="434" spans="1:17" s="26" customFormat="1" ht="14.25" x14ac:dyDescent="0.2">
      <c r="A434" s="334" t="s">
        <v>2291</v>
      </c>
      <c r="B434" s="226" t="s">
        <v>46</v>
      </c>
      <c r="C434" s="226">
        <v>4773</v>
      </c>
      <c r="D434" s="147" t="s">
        <v>713</v>
      </c>
      <c r="E434" s="226" t="s">
        <v>18</v>
      </c>
      <c r="F434" s="190">
        <f>3.3*2+3.11+3.2*4</f>
        <v>22.509999999999998</v>
      </c>
      <c r="G434" s="190">
        <v>173.59</v>
      </c>
      <c r="H434" s="190">
        <f>G434</f>
        <v>173.59</v>
      </c>
      <c r="I434" s="600">
        <f>ROUND(F434*H434,2)</f>
        <v>3907.51</v>
      </c>
      <c r="J434" s="27"/>
      <c r="K434" s="27"/>
      <c r="L434" s="27"/>
      <c r="M434" s="27"/>
      <c r="N434" s="27"/>
      <c r="O434" s="27"/>
      <c r="P434" s="27"/>
      <c r="Q434" s="27"/>
    </row>
    <row r="435" spans="1:17" s="26" customFormat="1" ht="14.25" x14ac:dyDescent="0.2">
      <c r="A435" s="334" t="s">
        <v>2292</v>
      </c>
      <c r="B435" s="226" t="s">
        <v>46</v>
      </c>
      <c r="C435" s="226">
        <v>6160</v>
      </c>
      <c r="D435" s="147" t="s">
        <v>244</v>
      </c>
      <c r="E435" s="226" t="s">
        <v>15</v>
      </c>
      <c r="F435" s="190">
        <v>44</v>
      </c>
      <c r="G435" s="190">
        <v>23.46</v>
      </c>
      <c r="H435" s="190">
        <f>G435</f>
        <v>23.46</v>
      </c>
      <c r="I435" s="600">
        <f>ROUND(F435*G435,2)</f>
        <v>1032.24</v>
      </c>
      <c r="J435" s="27"/>
      <c r="K435" s="27"/>
      <c r="L435" s="27"/>
      <c r="M435" s="27"/>
      <c r="N435" s="27"/>
      <c r="O435" s="27"/>
      <c r="P435" s="27"/>
      <c r="Q435" s="27"/>
    </row>
    <row r="436" spans="1:17" s="26" customFormat="1" ht="14.25" x14ac:dyDescent="0.2">
      <c r="A436" s="334" t="s">
        <v>2293</v>
      </c>
      <c r="B436" s="226" t="s">
        <v>46</v>
      </c>
      <c r="C436" s="226">
        <v>6121</v>
      </c>
      <c r="D436" s="147" t="s">
        <v>245</v>
      </c>
      <c r="E436" s="226" t="s">
        <v>15</v>
      </c>
      <c r="F436" s="190">
        <v>44</v>
      </c>
      <c r="G436" s="190">
        <v>10.78</v>
      </c>
      <c r="H436" s="190">
        <f>G436</f>
        <v>10.78</v>
      </c>
      <c r="I436" s="600">
        <f>ROUND(F436*G436,2)</f>
        <v>474.32</v>
      </c>
      <c r="J436" s="27"/>
      <c r="K436" s="27"/>
      <c r="L436" s="27"/>
      <c r="M436" s="27"/>
      <c r="N436" s="27"/>
      <c r="O436" s="27"/>
      <c r="P436" s="27"/>
      <c r="Q436" s="27"/>
    </row>
    <row r="437" spans="1:17" s="26" customFormat="1" ht="14.25" x14ac:dyDescent="0.2">
      <c r="A437" s="334" t="s">
        <v>2294</v>
      </c>
      <c r="B437" s="226" t="s">
        <v>46</v>
      </c>
      <c r="C437" s="226">
        <v>6110</v>
      </c>
      <c r="D437" s="147" t="s">
        <v>246</v>
      </c>
      <c r="E437" s="226" t="s">
        <v>15</v>
      </c>
      <c r="F437" s="190">
        <v>44</v>
      </c>
      <c r="G437" s="190">
        <v>13.82</v>
      </c>
      <c r="H437" s="190">
        <f>G437</f>
        <v>13.82</v>
      </c>
      <c r="I437" s="600">
        <f>ROUND(F437*G437,2)</f>
        <v>608.08000000000004</v>
      </c>
      <c r="J437" s="27"/>
      <c r="K437" s="27"/>
      <c r="L437" s="27"/>
      <c r="M437" s="27"/>
      <c r="N437" s="27"/>
      <c r="O437" s="27"/>
      <c r="P437" s="27"/>
      <c r="Q437" s="27"/>
    </row>
    <row r="438" spans="1:17" s="26" customFormat="1" ht="14.25" x14ac:dyDescent="0.2">
      <c r="A438" s="334" t="s">
        <v>2295</v>
      </c>
      <c r="B438" s="226" t="s">
        <v>46</v>
      </c>
      <c r="C438" s="226">
        <v>252</v>
      </c>
      <c r="D438" s="147" t="s">
        <v>774</v>
      </c>
      <c r="E438" s="226" t="s">
        <v>15</v>
      </c>
      <c r="F438" s="190">
        <v>44</v>
      </c>
      <c r="G438" s="190">
        <v>10.38</v>
      </c>
      <c r="H438" s="190">
        <f>G438</f>
        <v>10.38</v>
      </c>
      <c r="I438" s="600">
        <f>ROUND(F438*G438,2)</f>
        <v>456.72</v>
      </c>
      <c r="J438" s="27"/>
      <c r="K438" s="27"/>
      <c r="L438" s="27"/>
      <c r="M438" s="27"/>
      <c r="N438" s="27"/>
      <c r="O438" s="27"/>
      <c r="P438" s="27"/>
      <c r="Q438" s="27"/>
    </row>
    <row r="439" spans="1:17" s="26" customFormat="1" ht="14.25" x14ac:dyDescent="0.2">
      <c r="A439" s="334"/>
      <c r="B439" s="226"/>
      <c r="C439" s="226"/>
      <c r="D439" s="147"/>
      <c r="E439" s="226"/>
      <c r="F439" s="190"/>
      <c r="G439" s="190"/>
      <c r="H439" s="190"/>
      <c r="I439" s="600"/>
      <c r="J439" s="27"/>
      <c r="K439" s="27"/>
      <c r="L439" s="27"/>
      <c r="M439" s="27"/>
      <c r="N439" s="27"/>
      <c r="O439" s="27"/>
      <c r="P439" s="27"/>
      <c r="Q439" s="27"/>
    </row>
    <row r="440" spans="1:17" s="326" customFormat="1" ht="30" x14ac:dyDescent="0.2">
      <c r="A440" s="594">
        <v>36</v>
      </c>
      <c r="B440" s="298" t="s">
        <v>336</v>
      </c>
      <c r="C440" s="324" t="s">
        <v>373</v>
      </c>
      <c r="D440" s="325" t="s">
        <v>1390</v>
      </c>
      <c r="E440" s="298" t="s">
        <v>19</v>
      </c>
      <c r="F440" s="363"/>
      <c r="G440" s="364"/>
      <c r="H440" s="364"/>
      <c r="I440" s="595">
        <f>SUM(I441:I444)</f>
        <v>488.22</v>
      </c>
      <c r="J440" s="93"/>
      <c r="K440" s="93"/>
      <c r="L440" s="93"/>
      <c r="M440" s="93"/>
      <c r="N440" s="93"/>
      <c r="O440" s="93"/>
      <c r="P440" s="93"/>
      <c r="Q440" s="93"/>
    </row>
    <row r="441" spans="1:17" s="319" customFormat="1" ht="14.25" x14ac:dyDescent="0.2">
      <c r="A441" s="334" t="s">
        <v>662</v>
      </c>
      <c r="B441" s="226" t="s">
        <v>46</v>
      </c>
      <c r="C441" s="226">
        <v>11125</v>
      </c>
      <c r="D441" s="147" t="s">
        <v>715</v>
      </c>
      <c r="E441" s="226" t="s">
        <v>170</v>
      </c>
      <c r="F441" s="361">
        <f>13.5*1.3*0.9</f>
        <v>15.795000000000002</v>
      </c>
      <c r="G441" s="327">
        <v>14.43</v>
      </c>
      <c r="H441" s="327">
        <f t="shared" ref="H441:H444" si="80">G441</f>
        <v>14.43</v>
      </c>
      <c r="I441" s="362">
        <f>ROUND(F441*H441,2)</f>
        <v>227.92</v>
      </c>
      <c r="J441" s="328"/>
      <c r="K441" s="328"/>
      <c r="L441" s="328"/>
      <c r="M441" s="328"/>
      <c r="N441" s="328"/>
      <c r="O441" s="328"/>
      <c r="P441" s="328"/>
      <c r="Q441" s="328"/>
    </row>
    <row r="442" spans="1:17" s="319" customFormat="1" thickBot="1" x14ac:dyDescent="0.25">
      <c r="A442" s="933" t="s">
        <v>663</v>
      </c>
      <c r="B442" s="586" t="s">
        <v>46</v>
      </c>
      <c r="C442" s="586">
        <v>589</v>
      </c>
      <c r="D442" s="929" t="s">
        <v>716</v>
      </c>
      <c r="E442" s="586" t="s">
        <v>18</v>
      </c>
      <c r="F442" s="1013">
        <f>(1.3*2+0.9*2)</f>
        <v>4.4000000000000004</v>
      </c>
      <c r="G442" s="1008">
        <v>31.66</v>
      </c>
      <c r="H442" s="1008">
        <f t="shared" si="80"/>
        <v>31.66</v>
      </c>
      <c r="I442" s="1014">
        <f>ROUND(F442*H442,2)</f>
        <v>139.30000000000001</v>
      </c>
      <c r="J442" s="328"/>
      <c r="K442" s="328"/>
      <c r="L442" s="328"/>
      <c r="M442" s="328"/>
      <c r="N442" s="328"/>
      <c r="O442" s="328"/>
      <c r="P442" s="328"/>
      <c r="Q442" s="328"/>
    </row>
    <row r="443" spans="1:17" s="319" customFormat="1" ht="14.25" x14ac:dyDescent="0.2">
      <c r="A443" s="930" t="s">
        <v>664</v>
      </c>
      <c r="B443" s="910" t="s">
        <v>46</v>
      </c>
      <c r="C443" s="910">
        <v>252</v>
      </c>
      <c r="D443" s="900" t="s">
        <v>774</v>
      </c>
      <c r="E443" s="910" t="s">
        <v>15</v>
      </c>
      <c r="F443" s="1011">
        <v>5</v>
      </c>
      <c r="G443" s="932">
        <v>10.38</v>
      </c>
      <c r="H443" s="1002">
        <f t="shared" si="80"/>
        <v>10.38</v>
      </c>
      <c r="I443" s="1012">
        <f>ROUND(F443*H443,2)</f>
        <v>51.9</v>
      </c>
      <c r="J443" s="328"/>
      <c r="K443" s="328"/>
      <c r="L443" s="328"/>
      <c r="M443" s="328"/>
      <c r="N443" s="328"/>
      <c r="O443" s="328"/>
      <c r="P443" s="328"/>
      <c r="Q443" s="328"/>
    </row>
    <row r="444" spans="1:17" s="319" customFormat="1" ht="14.25" x14ac:dyDescent="0.2">
      <c r="A444" s="334" t="s">
        <v>665</v>
      </c>
      <c r="B444" s="226" t="s">
        <v>46</v>
      </c>
      <c r="C444" s="226">
        <v>6110</v>
      </c>
      <c r="D444" s="147" t="s">
        <v>246</v>
      </c>
      <c r="E444" s="226" t="s">
        <v>15</v>
      </c>
      <c r="F444" s="361">
        <v>5</v>
      </c>
      <c r="G444" s="190">
        <v>13.82</v>
      </c>
      <c r="H444" s="327">
        <f t="shared" si="80"/>
        <v>13.82</v>
      </c>
      <c r="I444" s="362">
        <f>ROUND(F444*H444,2)</f>
        <v>69.099999999999994</v>
      </c>
      <c r="J444" s="328"/>
      <c r="K444" s="328"/>
      <c r="L444" s="328"/>
      <c r="M444" s="328"/>
      <c r="N444" s="328"/>
      <c r="O444" s="328"/>
      <c r="P444" s="328"/>
      <c r="Q444" s="328"/>
    </row>
    <row r="445" spans="1:17" s="26" customFormat="1" ht="14.25" x14ac:dyDescent="0.2">
      <c r="A445" s="320"/>
      <c r="B445" s="154"/>
      <c r="C445" s="153"/>
      <c r="D445" s="148"/>
      <c r="E445" s="154"/>
      <c r="F445" s="191"/>
      <c r="G445" s="192"/>
      <c r="H445" s="191"/>
      <c r="I445" s="599"/>
    </row>
    <row r="446" spans="1:17" s="26" customFormat="1" x14ac:dyDescent="0.2">
      <c r="A446" s="594">
        <v>37</v>
      </c>
      <c r="B446" s="298" t="s">
        <v>336</v>
      </c>
      <c r="C446" s="324" t="s">
        <v>374</v>
      </c>
      <c r="D446" s="325" t="s">
        <v>1722</v>
      </c>
      <c r="E446" s="298"/>
      <c r="F446" s="363"/>
      <c r="G446" s="364"/>
      <c r="H446" s="364"/>
      <c r="I446" s="595">
        <f>SUM(I447:I476)</f>
        <v>27498.780000000006</v>
      </c>
    </row>
    <row r="447" spans="1:17" s="319" customFormat="1" ht="15.95" customHeight="1" x14ac:dyDescent="0.2">
      <c r="A447" s="334" t="s">
        <v>666</v>
      </c>
      <c r="B447" s="226" t="s">
        <v>46</v>
      </c>
      <c r="C447" s="226">
        <v>93358</v>
      </c>
      <c r="D447" s="147" t="s">
        <v>776</v>
      </c>
      <c r="E447" s="226" t="s">
        <v>17</v>
      </c>
      <c r="F447" s="146">
        <f>6.6*2.9*1</f>
        <v>19.139999999999997</v>
      </c>
      <c r="G447" s="236">
        <v>65.819999999999993</v>
      </c>
      <c r="H447" s="327">
        <f t="shared" ref="H447:H456" si="81">G447</f>
        <v>65.819999999999993</v>
      </c>
      <c r="I447" s="313">
        <f t="shared" ref="I447:I456" si="82">ROUND(F447*H447,2)</f>
        <v>1259.79</v>
      </c>
      <c r="J447" s="328"/>
      <c r="K447" s="328"/>
      <c r="L447" s="328"/>
      <c r="M447" s="328"/>
      <c r="N447" s="328"/>
      <c r="O447" s="328"/>
      <c r="P447" s="328"/>
      <c r="Q447" s="328"/>
    </row>
    <row r="448" spans="1:17" s="319" customFormat="1" ht="28.5" x14ac:dyDescent="0.2">
      <c r="A448" s="334" t="s">
        <v>667</v>
      </c>
      <c r="B448" s="226" t="s">
        <v>46</v>
      </c>
      <c r="C448" s="226">
        <v>94097</v>
      </c>
      <c r="D448" s="147" t="s">
        <v>735</v>
      </c>
      <c r="E448" s="226" t="s">
        <v>16</v>
      </c>
      <c r="F448" s="146">
        <f>6.6*2.9</f>
        <v>19.139999999999997</v>
      </c>
      <c r="G448" s="236">
        <v>4.91</v>
      </c>
      <c r="H448" s="327">
        <f t="shared" si="81"/>
        <v>4.91</v>
      </c>
      <c r="I448" s="313">
        <f t="shared" si="82"/>
        <v>93.98</v>
      </c>
      <c r="J448" s="328"/>
      <c r="K448" s="328"/>
      <c r="L448" s="328"/>
      <c r="M448" s="328"/>
      <c r="N448" s="328"/>
      <c r="O448" s="328"/>
      <c r="P448" s="328"/>
      <c r="Q448" s="328"/>
    </row>
    <row r="449" spans="1:18" s="319" customFormat="1" ht="15.95" customHeight="1" x14ac:dyDescent="0.2">
      <c r="A449" s="334" t="s">
        <v>668</v>
      </c>
      <c r="B449" s="226" t="s">
        <v>46</v>
      </c>
      <c r="C449" s="226">
        <v>88039</v>
      </c>
      <c r="D449" s="156" t="s">
        <v>717</v>
      </c>
      <c r="E449" s="226" t="s">
        <v>17</v>
      </c>
      <c r="F449" s="146">
        <f>F448</f>
        <v>19.139999999999997</v>
      </c>
      <c r="G449" s="236">
        <v>69.37</v>
      </c>
      <c r="H449" s="327">
        <f t="shared" si="81"/>
        <v>69.37</v>
      </c>
      <c r="I449" s="313">
        <f t="shared" si="82"/>
        <v>1327.74</v>
      </c>
      <c r="J449" s="328"/>
      <c r="K449" s="328"/>
      <c r="L449" s="328"/>
      <c r="M449" s="328"/>
      <c r="N449" s="328"/>
      <c r="O449" s="328"/>
      <c r="P449" s="328"/>
      <c r="Q449" s="328"/>
    </row>
    <row r="450" spans="1:18" s="26" customFormat="1" ht="57" x14ac:dyDescent="0.2">
      <c r="A450" s="334" t="s">
        <v>669</v>
      </c>
      <c r="B450" s="154" t="s">
        <v>46</v>
      </c>
      <c r="C450" s="226">
        <v>5824</v>
      </c>
      <c r="D450" s="147" t="s">
        <v>1723</v>
      </c>
      <c r="E450" s="154" t="s">
        <v>840</v>
      </c>
      <c r="F450" s="146">
        <v>8</v>
      </c>
      <c r="G450" s="146">
        <v>106.76</v>
      </c>
      <c r="H450" s="146">
        <f t="shared" si="81"/>
        <v>106.76</v>
      </c>
      <c r="I450" s="350">
        <f t="shared" si="82"/>
        <v>854.08</v>
      </c>
      <c r="J450" s="262"/>
      <c r="K450" s="25"/>
      <c r="L450" s="132"/>
      <c r="M450" s="25"/>
      <c r="N450" s="25"/>
      <c r="O450" s="25"/>
      <c r="P450" s="25"/>
      <c r="R450" s="25"/>
    </row>
    <row r="451" spans="1:18" s="26" customFormat="1" ht="14.25" x14ac:dyDescent="0.2">
      <c r="A451" s="334" t="s">
        <v>2296</v>
      </c>
      <c r="B451" s="154" t="s">
        <v>46</v>
      </c>
      <c r="C451" s="226">
        <v>88285</v>
      </c>
      <c r="D451" s="147" t="s">
        <v>1724</v>
      </c>
      <c r="E451" s="154" t="s">
        <v>15</v>
      </c>
      <c r="F451" s="146">
        <v>8</v>
      </c>
      <c r="G451" s="146">
        <v>18.440000000000001</v>
      </c>
      <c r="H451" s="146">
        <f t="shared" si="81"/>
        <v>18.440000000000001</v>
      </c>
      <c r="I451" s="350">
        <f t="shared" si="82"/>
        <v>147.52000000000001</v>
      </c>
      <c r="J451" s="262"/>
      <c r="K451" s="25"/>
      <c r="L451" s="132"/>
      <c r="M451" s="25"/>
      <c r="N451" s="25"/>
      <c r="O451" s="25"/>
      <c r="P451" s="25"/>
      <c r="R451" s="25"/>
    </row>
    <row r="452" spans="1:18" s="26" customFormat="1" ht="31.5" customHeight="1" x14ac:dyDescent="0.2">
      <c r="A452" s="334" t="s">
        <v>2297</v>
      </c>
      <c r="B452" s="154" t="s">
        <v>46</v>
      </c>
      <c r="C452" s="226">
        <v>89272</v>
      </c>
      <c r="D452" s="147" t="s">
        <v>1725</v>
      </c>
      <c r="E452" s="154" t="s">
        <v>840</v>
      </c>
      <c r="F452" s="146">
        <v>8</v>
      </c>
      <c r="G452" s="146">
        <v>144.16999999999999</v>
      </c>
      <c r="H452" s="146">
        <f t="shared" si="81"/>
        <v>144.16999999999999</v>
      </c>
      <c r="I452" s="350">
        <f t="shared" si="82"/>
        <v>1153.3599999999999</v>
      </c>
      <c r="J452" s="262"/>
      <c r="K452" s="25"/>
      <c r="L452" s="132"/>
      <c r="M452" s="25"/>
      <c r="N452" s="25"/>
      <c r="O452" s="25"/>
      <c r="P452" s="25"/>
      <c r="R452" s="25"/>
    </row>
    <row r="453" spans="1:18" s="26" customFormat="1" ht="14.25" x14ac:dyDescent="0.2">
      <c r="A453" s="334" t="s">
        <v>2298</v>
      </c>
      <c r="B453" s="154" t="s">
        <v>46</v>
      </c>
      <c r="C453" s="226">
        <v>88296</v>
      </c>
      <c r="D453" s="147" t="s">
        <v>1726</v>
      </c>
      <c r="E453" s="154" t="s">
        <v>15</v>
      </c>
      <c r="F453" s="146">
        <v>8</v>
      </c>
      <c r="G453" s="146">
        <v>25.37</v>
      </c>
      <c r="H453" s="146">
        <f t="shared" si="81"/>
        <v>25.37</v>
      </c>
      <c r="I453" s="350">
        <f t="shared" si="82"/>
        <v>202.96</v>
      </c>
      <c r="J453" s="262"/>
      <c r="K453" s="25"/>
      <c r="L453" s="132"/>
      <c r="M453" s="25"/>
      <c r="N453" s="25"/>
      <c r="O453" s="25"/>
      <c r="P453" s="25"/>
      <c r="R453" s="25"/>
    </row>
    <row r="454" spans="1:18" s="26" customFormat="1" ht="57" x14ac:dyDescent="0.2">
      <c r="A454" s="334" t="s">
        <v>2299</v>
      </c>
      <c r="B454" s="154" t="s">
        <v>46</v>
      </c>
      <c r="C454" s="226">
        <v>89202</v>
      </c>
      <c r="D454" s="147" t="s">
        <v>1727</v>
      </c>
      <c r="E454" s="154" t="s">
        <v>18</v>
      </c>
      <c r="F454" s="146">
        <f>4*8</f>
        <v>32</v>
      </c>
      <c r="G454" s="146">
        <v>62.24</v>
      </c>
      <c r="H454" s="146">
        <f t="shared" si="81"/>
        <v>62.24</v>
      </c>
      <c r="I454" s="350">
        <f t="shared" si="82"/>
        <v>1991.68</v>
      </c>
      <c r="J454" s="262"/>
      <c r="K454" s="25"/>
      <c r="L454" s="132"/>
      <c r="M454" s="25"/>
      <c r="N454" s="25"/>
      <c r="O454" s="25"/>
      <c r="P454" s="25"/>
      <c r="R454" s="25"/>
    </row>
    <row r="455" spans="1:18" ht="14.25" x14ac:dyDescent="0.2">
      <c r="A455" s="334" t="s">
        <v>2300</v>
      </c>
      <c r="B455" s="154" t="s">
        <v>46</v>
      </c>
      <c r="C455" s="226">
        <v>88316</v>
      </c>
      <c r="D455" s="147" t="s">
        <v>1728</v>
      </c>
      <c r="E455" s="226" t="s">
        <v>15</v>
      </c>
      <c r="F455" s="146">
        <v>8</v>
      </c>
      <c r="G455" s="146">
        <v>16.64</v>
      </c>
      <c r="H455" s="146">
        <f t="shared" si="81"/>
        <v>16.64</v>
      </c>
      <c r="I455" s="350">
        <f t="shared" si="82"/>
        <v>133.12</v>
      </c>
      <c r="J455" s="29"/>
      <c r="K455" s="29"/>
      <c r="L455" s="29"/>
      <c r="M455" s="29"/>
      <c r="N455" s="29"/>
      <c r="O455" s="29"/>
      <c r="P455" s="29"/>
      <c r="Q455" s="29"/>
    </row>
    <row r="456" spans="1:18" s="26" customFormat="1" ht="28.5" x14ac:dyDescent="0.2">
      <c r="A456" s="334" t="s">
        <v>2301</v>
      </c>
      <c r="B456" s="226" t="s">
        <v>46</v>
      </c>
      <c r="C456" s="226">
        <v>95241</v>
      </c>
      <c r="D456" s="156" t="s">
        <v>706</v>
      </c>
      <c r="E456" s="226" t="s">
        <v>16</v>
      </c>
      <c r="F456" s="146">
        <f>F448</f>
        <v>19.139999999999997</v>
      </c>
      <c r="G456" s="236">
        <v>19.88</v>
      </c>
      <c r="H456" s="327">
        <f t="shared" si="81"/>
        <v>19.88</v>
      </c>
      <c r="I456" s="313">
        <f t="shared" si="82"/>
        <v>380.5</v>
      </c>
      <c r="J456" s="27"/>
      <c r="K456" s="27"/>
      <c r="L456" s="27"/>
      <c r="M456" s="27"/>
      <c r="N456" s="27"/>
      <c r="O456" s="27"/>
      <c r="P456" s="27"/>
      <c r="Q456" s="27"/>
    </row>
    <row r="457" spans="1:18" s="336" customFormat="1" ht="14.25" x14ac:dyDescent="0.2">
      <c r="A457" s="334" t="s">
        <v>2302</v>
      </c>
      <c r="B457" s="154" t="s">
        <v>46</v>
      </c>
      <c r="C457" s="226">
        <v>6454</v>
      </c>
      <c r="D457" s="156" t="s">
        <v>1691</v>
      </c>
      <c r="E457" s="154" t="s">
        <v>17</v>
      </c>
      <c r="F457" s="146">
        <f>F447</f>
        <v>19.139999999999997</v>
      </c>
      <c r="G457" s="146">
        <v>155.35</v>
      </c>
      <c r="H457" s="146">
        <f t="shared" ref="H457" si="83">ROUND((1+$L$16)*G457,2)</f>
        <v>155.35</v>
      </c>
      <c r="I457" s="313">
        <f>ROUND(F457*H457,2)</f>
        <v>2973.4</v>
      </c>
      <c r="J457" s="335"/>
      <c r="K457" s="335"/>
      <c r="L457" s="335"/>
      <c r="M457" s="335"/>
      <c r="N457" s="335"/>
      <c r="O457" s="335"/>
    </row>
    <row r="458" spans="1:18" s="26" customFormat="1" ht="14.25" x14ac:dyDescent="0.2">
      <c r="A458" s="334" t="s">
        <v>2303</v>
      </c>
      <c r="B458" s="226" t="s">
        <v>46</v>
      </c>
      <c r="C458" s="226">
        <v>25071</v>
      </c>
      <c r="D458" s="156" t="s">
        <v>1710</v>
      </c>
      <c r="E458" s="226" t="s">
        <v>19</v>
      </c>
      <c r="F458" s="146">
        <v>482</v>
      </c>
      <c r="G458" s="236">
        <v>1.53</v>
      </c>
      <c r="H458" s="327">
        <f t="shared" ref="H458:H466" si="84">G458</f>
        <v>1.53</v>
      </c>
      <c r="I458" s="313">
        <f t="shared" ref="I458:I466" si="85">ROUND(F458*H458,2)</f>
        <v>737.46</v>
      </c>
      <c r="J458" s="27"/>
      <c r="K458" s="27"/>
      <c r="L458" s="27"/>
      <c r="M458" s="27"/>
      <c r="N458" s="27"/>
      <c r="O458" s="27"/>
      <c r="P458" s="27"/>
      <c r="Q458" s="27"/>
    </row>
    <row r="459" spans="1:18" s="26" customFormat="1" ht="14.25" x14ac:dyDescent="0.2">
      <c r="A459" s="334" t="s">
        <v>2304</v>
      </c>
      <c r="B459" s="226" t="s">
        <v>46</v>
      </c>
      <c r="C459" s="226">
        <v>38591</v>
      </c>
      <c r="D459" s="156" t="s">
        <v>1711</v>
      </c>
      <c r="E459" s="226" t="s">
        <v>19</v>
      </c>
      <c r="F459" s="146">
        <v>139</v>
      </c>
      <c r="G459" s="236">
        <v>2.21</v>
      </c>
      <c r="H459" s="327">
        <f t="shared" si="84"/>
        <v>2.21</v>
      </c>
      <c r="I459" s="313">
        <f t="shared" si="85"/>
        <v>307.19</v>
      </c>
      <c r="J459" s="27"/>
      <c r="K459" s="27"/>
      <c r="L459" s="27"/>
      <c r="M459" s="27"/>
      <c r="N459" s="27"/>
      <c r="O459" s="27"/>
      <c r="P459" s="27"/>
      <c r="Q459" s="27"/>
    </row>
    <row r="460" spans="1:18" s="26" customFormat="1" ht="14.25" x14ac:dyDescent="0.2">
      <c r="A460" s="334" t="s">
        <v>2305</v>
      </c>
      <c r="B460" s="226" t="s">
        <v>46</v>
      </c>
      <c r="C460" s="226">
        <v>38593</v>
      </c>
      <c r="D460" s="156" t="s">
        <v>1712</v>
      </c>
      <c r="E460" s="226" t="s">
        <v>19</v>
      </c>
      <c r="F460" s="146">
        <v>115</v>
      </c>
      <c r="G460" s="236">
        <v>1.9</v>
      </c>
      <c r="H460" s="327">
        <f t="shared" si="84"/>
        <v>1.9</v>
      </c>
      <c r="I460" s="313">
        <f t="shared" si="85"/>
        <v>218.5</v>
      </c>
      <c r="J460" s="27"/>
      <c r="K460" s="27"/>
      <c r="L460" s="27"/>
      <c r="M460" s="27"/>
      <c r="N460" s="27"/>
      <c r="O460" s="27"/>
      <c r="P460" s="27"/>
      <c r="Q460" s="27"/>
    </row>
    <row r="461" spans="1:18" s="26" customFormat="1" ht="14.25" x14ac:dyDescent="0.2">
      <c r="A461" s="334" t="s">
        <v>2306</v>
      </c>
      <c r="B461" s="226" t="s">
        <v>46</v>
      </c>
      <c r="C461" s="226">
        <v>38598</v>
      </c>
      <c r="D461" s="156" t="s">
        <v>1713</v>
      </c>
      <c r="E461" s="226" t="s">
        <v>19</v>
      </c>
      <c r="F461" s="236">
        <f>64+86</f>
        <v>150</v>
      </c>
      <c r="G461" s="236">
        <v>1.96</v>
      </c>
      <c r="H461" s="327">
        <f t="shared" si="84"/>
        <v>1.96</v>
      </c>
      <c r="I461" s="313">
        <f t="shared" si="85"/>
        <v>294</v>
      </c>
      <c r="J461" s="27"/>
      <c r="K461" s="27"/>
      <c r="L461" s="27"/>
      <c r="M461" s="27"/>
      <c r="N461" s="27"/>
      <c r="O461" s="27"/>
      <c r="P461" s="27"/>
      <c r="Q461" s="27"/>
    </row>
    <row r="462" spans="1:18" s="26" customFormat="1" ht="14.25" x14ac:dyDescent="0.2">
      <c r="A462" s="334" t="s">
        <v>2307</v>
      </c>
      <c r="B462" s="226" t="s">
        <v>46</v>
      </c>
      <c r="C462" s="226">
        <v>34452</v>
      </c>
      <c r="D462" s="156" t="s">
        <v>1714</v>
      </c>
      <c r="E462" s="226" t="s">
        <v>170</v>
      </c>
      <c r="F462" s="236">
        <v>1</v>
      </c>
      <c r="G462" s="236">
        <v>3.7</v>
      </c>
      <c r="H462" s="327">
        <f t="shared" si="84"/>
        <v>3.7</v>
      </c>
      <c r="I462" s="313">
        <f t="shared" si="85"/>
        <v>3.7</v>
      </c>
      <c r="J462" s="27"/>
      <c r="K462" s="27"/>
      <c r="L462" s="27"/>
      <c r="M462" s="27"/>
      <c r="N462" s="27"/>
      <c r="O462" s="27"/>
      <c r="P462" s="27"/>
      <c r="Q462" s="27"/>
    </row>
    <row r="463" spans="1:18" s="26" customFormat="1" ht="14.25" customHeight="1" x14ac:dyDescent="0.2">
      <c r="A463" s="334" t="s">
        <v>2308</v>
      </c>
      <c r="B463" s="226" t="s">
        <v>46</v>
      </c>
      <c r="C463" s="226">
        <v>34456</v>
      </c>
      <c r="D463" s="156" t="s">
        <v>1715</v>
      </c>
      <c r="E463" s="226" t="s">
        <v>170</v>
      </c>
      <c r="F463" s="236">
        <v>48</v>
      </c>
      <c r="G463" s="236">
        <v>3.7</v>
      </c>
      <c r="H463" s="327">
        <f t="shared" si="84"/>
        <v>3.7</v>
      </c>
      <c r="I463" s="313">
        <f t="shared" si="85"/>
        <v>177.6</v>
      </c>
      <c r="J463" s="27"/>
      <c r="K463" s="27"/>
      <c r="L463" s="27"/>
      <c r="M463" s="27"/>
      <c r="N463" s="27"/>
      <c r="O463" s="27"/>
      <c r="P463" s="27"/>
      <c r="Q463" s="27"/>
    </row>
    <row r="464" spans="1:18" s="26" customFormat="1" ht="14.25" customHeight="1" x14ac:dyDescent="0.2">
      <c r="A464" s="334" t="s">
        <v>2309</v>
      </c>
      <c r="B464" s="226" t="s">
        <v>46</v>
      </c>
      <c r="C464" s="226">
        <v>34449</v>
      </c>
      <c r="D464" s="156" t="s">
        <v>844</v>
      </c>
      <c r="E464" s="226" t="s">
        <v>170</v>
      </c>
      <c r="F464" s="236">
        <v>21</v>
      </c>
      <c r="G464" s="236">
        <v>4.18</v>
      </c>
      <c r="H464" s="327">
        <f t="shared" si="84"/>
        <v>4.18</v>
      </c>
      <c r="I464" s="313">
        <f t="shared" si="85"/>
        <v>87.78</v>
      </c>
      <c r="J464" s="27"/>
      <c r="K464" s="27"/>
      <c r="L464" s="27"/>
      <c r="M464" s="27"/>
      <c r="N464" s="27"/>
      <c r="O464" s="27"/>
      <c r="P464" s="27"/>
      <c r="Q464" s="27"/>
    </row>
    <row r="465" spans="1:17" s="26" customFormat="1" ht="14.25" x14ac:dyDescent="0.2">
      <c r="A465" s="334" t="s">
        <v>2310</v>
      </c>
      <c r="B465" s="226" t="s">
        <v>46</v>
      </c>
      <c r="C465" s="226">
        <v>33</v>
      </c>
      <c r="D465" s="156" t="s">
        <v>772</v>
      </c>
      <c r="E465" s="226" t="s">
        <v>170</v>
      </c>
      <c r="F465" s="236">
        <v>39</v>
      </c>
      <c r="G465" s="236">
        <v>4.1900000000000004</v>
      </c>
      <c r="H465" s="327">
        <f t="shared" si="84"/>
        <v>4.1900000000000004</v>
      </c>
      <c r="I465" s="313">
        <f t="shared" si="85"/>
        <v>163.41</v>
      </c>
      <c r="J465" s="27"/>
      <c r="K465" s="27"/>
      <c r="L465" s="27"/>
      <c r="M465" s="27"/>
      <c r="N465" s="27"/>
      <c r="O465" s="27"/>
      <c r="P465" s="27"/>
      <c r="Q465" s="27"/>
    </row>
    <row r="466" spans="1:17" s="26" customFormat="1" ht="14.25" x14ac:dyDescent="0.2">
      <c r="A466" s="334" t="s">
        <v>2311</v>
      </c>
      <c r="B466" s="226" t="s">
        <v>46</v>
      </c>
      <c r="C466" s="226">
        <v>34439</v>
      </c>
      <c r="D466" s="156" t="s">
        <v>771</v>
      </c>
      <c r="E466" s="226" t="s">
        <v>170</v>
      </c>
      <c r="F466" s="236">
        <v>78</v>
      </c>
      <c r="G466" s="236">
        <v>4</v>
      </c>
      <c r="H466" s="327">
        <f t="shared" si="84"/>
        <v>4</v>
      </c>
      <c r="I466" s="313">
        <f t="shared" si="85"/>
        <v>312</v>
      </c>
      <c r="J466" s="27"/>
      <c r="K466" s="27"/>
      <c r="L466" s="27"/>
      <c r="M466" s="27"/>
      <c r="N466" s="27"/>
      <c r="O466" s="27"/>
      <c r="P466" s="27"/>
      <c r="Q466" s="27"/>
    </row>
    <row r="467" spans="1:17" s="26" customFormat="1" ht="14.25" x14ac:dyDescent="0.2">
      <c r="A467" s="334" t="s">
        <v>2312</v>
      </c>
      <c r="B467" s="226" t="s">
        <v>46</v>
      </c>
      <c r="C467" s="226">
        <v>34441</v>
      </c>
      <c r="D467" s="156" t="s">
        <v>1352</v>
      </c>
      <c r="E467" s="226" t="s">
        <v>170</v>
      </c>
      <c r="F467" s="236">
        <v>63</v>
      </c>
      <c r="G467" s="236">
        <v>3.8</v>
      </c>
      <c r="H467" s="327">
        <f t="shared" ref="H467:H471" si="86">G467</f>
        <v>3.8</v>
      </c>
      <c r="I467" s="313">
        <f t="shared" ref="I467:I471" si="87">ROUND(F467*H467,2)</f>
        <v>239.4</v>
      </c>
      <c r="J467" s="27"/>
      <c r="K467" s="27"/>
      <c r="L467" s="27"/>
      <c r="M467" s="27"/>
      <c r="N467" s="27"/>
      <c r="O467" s="27"/>
      <c r="P467" s="27"/>
      <c r="Q467" s="27"/>
    </row>
    <row r="468" spans="1:17" s="26" customFormat="1" ht="28.5" x14ac:dyDescent="0.2">
      <c r="A468" s="334" t="s">
        <v>2313</v>
      </c>
      <c r="B468" s="226" t="s">
        <v>46</v>
      </c>
      <c r="C468" s="226">
        <v>94973</v>
      </c>
      <c r="D468" s="156" t="s">
        <v>707</v>
      </c>
      <c r="E468" s="226" t="s">
        <v>17</v>
      </c>
      <c r="F468" s="146">
        <v>3.3</v>
      </c>
      <c r="G468" s="236">
        <v>318.3</v>
      </c>
      <c r="H468" s="327">
        <f t="shared" si="86"/>
        <v>318.3</v>
      </c>
      <c r="I468" s="313">
        <f t="shared" si="87"/>
        <v>1050.3900000000001</v>
      </c>
      <c r="J468" s="27"/>
      <c r="K468" s="27"/>
      <c r="L468" s="27"/>
      <c r="M468" s="27"/>
      <c r="N468" s="27"/>
      <c r="O468" s="27"/>
      <c r="P468" s="27"/>
      <c r="Q468" s="27"/>
    </row>
    <row r="469" spans="1:17" s="26" customFormat="1" ht="14.25" x14ac:dyDescent="0.2">
      <c r="A469" s="334" t="s">
        <v>2314</v>
      </c>
      <c r="B469" s="226" t="s">
        <v>46</v>
      </c>
      <c r="C469" s="226">
        <v>38124</v>
      </c>
      <c r="D469" s="156" t="s">
        <v>1730</v>
      </c>
      <c r="E469" s="226" t="s">
        <v>19</v>
      </c>
      <c r="F469" s="146">
        <v>2</v>
      </c>
      <c r="G469" s="236">
        <v>29.7</v>
      </c>
      <c r="H469" s="327">
        <f t="shared" si="86"/>
        <v>29.7</v>
      </c>
      <c r="I469" s="313">
        <f t="shared" si="87"/>
        <v>59.4</v>
      </c>
      <c r="J469" s="27"/>
      <c r="K469" s="27"/>
      <c r="L469" s="27"/>
      <c r="M469" s="27"/>
      <c r="N469" s="27"/>
      <c r="O469" s="27"/>
      <c r="P469" s="27"/>
      <c r="Q469" s="27"/>
    </row>
    <row r="470" spans="1:17" s="26" customFormat="1" ht="43.5" thickBot="1" x14ac:dyDescent="0.25">
      <c r="A470" s="933" t="s">
        <v>2315</v>
      </c>
      <c r="B470" s="586" t="s">
        <v>46</v>
      </c>
      <c r="C470" s="913">
        <v>92541</v>
      </c>
      <c r="D470" s="584" t="s">
        <v>1720</v>
      </c>
      <c r="E470" s="586" t="s">
        <v>16</v>
      </c>
      <c r="F470" s="585">
        <f>7.6*3.9</f>
        <v>29.639999999999997</v>
      </c>
      <c r="G470" s="1016">
        <v>44.87</v>
      </c>
      <c r="H470" s="1008">
        <f t="shared" si="86"/>
        <v>44.87</v>
      </c>
      <c r="I470" s="915">
        <f t="shared" si="87"/>
        <v>1329.95</v>
      </c>
      <c r="J470" s="27"/>
      <c r="K470" s="27"/>
      <c r="L470" s="27"/>
      <c r="M470" s="27"/>
      <c r="N470" s="27"/>
      <c r="O470" s="27"/>
      <c r="P470" s="27"/>
      <c r="Q470" s="27"/>
    </row>
    <row r="471" spans="1:17" s="26" customFormat="1" ht="28.5" x14ac:dyDescent="0.2">
      <c r="A471" s="930" t="s">
        <v>2316</v>
      </c>
      <c r="B471" s="910" t="s">
        <v>46</v>
      </c>
      <c r="C471" s="899">
        <v>94201</v>
      </c>
      <c r="D471" s="900" t="s">
        <v>1721</v>
      </c>
      <c r="E471" s="910" t="s">
        <v>16</v>
      </c>
      <c r="F471" s="901">
        <f>F470</f>
        <v>29.639999999999997</v>
      </c>
      <c r="G471" s="1015">
        <v>44.75</v>
      </c>
      <c r="H471" s="1002">
        <f t="shared" si="86"/>
        <v>44.75</v>
      </c>
      <c r="I471" s="919">
        <f t="shared" si="87"/>
        <v>1326.39</v>
      </c>
      <c r="J471" s="27"/>
      <c r="K471" s="27"/>
      <c r="L471" s="27"/>
      <c r="M471" s="27"/>
      <c r="N471" s="27"/>
      <c r="O471" s="27"/>
      <c r="P471" s="27"/>
      <c r="Q471" s="27"/>
    </row>
    <row r="472" spans="1:17" s="26" customFormat="1" ht="28.5" customHeight="1" x14ac:dyDescent="0.2">
      <c r="A472" s="334" t="s">
        <v>2317</v>
      </c>
      <c r="B472" s="226" t="s">
        <v>46</v>
      </c>
      <c r="C472" s="226">
        <v>87878</v>
      </c>
      <c r="D472" s="147" t="s">
        <v>719</v>
      </c>
      <c r="E472" s="226" t="s">
        <v>16</v>
      </c>
      <c r="F472" s="146">
        <f>((3.3*6.55-1.5*1.2*2)+6.5*3.3+(6.5*2.85-0.8*2.1)*2+2.85*3.3)*2</f>
        <v>165.12</v>
      </c>
      <c r="G472" s="236">
        <v>3.13</v>
      </c>
      <c r="H472" s="327">
        <f t="shared" ref="H472:H476" si="88">G472</f>
        <v>3.13</v>
      </c>
      <c r="I472" s="313">
        <f t="shared" ref="I472:I476" si="89">ROUND(F472*H472,2)</f>
        <v>516.83000000000004</v>
      </c>
      <c r="J472" s="27"/>
      <c r="K472" s="27"/>
      <c r="L472" s="27"/>
      <c r="M472" s="27"/>
      <c r="N472" s="27"/>
      <c r="O472" s="27"/>
      <c r="P472" s="27"/>
      <c r="Q472" s="27"/>
    </row>
    <row r="473" spans="1:17" s="26" customFormat="1" ht="57" x14ac:dyDescent="0.2">
      <c r="A473" s="334" t="s">
        <v>2318</v>
      </c>
      <c r="B473" s="226" t="s">
        <v>46</v>
      </c>
      <c r="C473" s="226">
        <v>87561</v>
      </c>
      <c r="D473" s="156" t="s">
        <v>777</v>
      </c>
      <c r="E473" s="226" t="s">
        <v>16</v>
      </c>
      <c r="F473" s="146">
        <f>F472</f>
        <v>165.12</v>
      </c>
      <c r="G473" s="236">
        <v>23.88</v>
      </c>
      <c r="H473" s="327">
        <f t="shared" si="88"/>
        <v>23.88</v>
      </c>
      <c r="I473" s="313">
        <f t="shared" si="89"/>
        <v>3943.07</v>
      </c>
      <c r="J473" s="27"/>
      <c r="K473" s="27"/>
      <c r="L473" s="27"/>
      <c r="M473" s="27"/>
      <c r="N473" s="27"/>
      <c r="O473" s="27"/>
      <c r="P473" s="27"/>
      <c r="Q473" s="27"/>
    </row>
    <row r="474" spans="1:17" s="26" customFormat="1" ht="28.5" x14ac:dyDescent="0.2">
      <c r="A474" s="334" t="s">
        <v>2319</v>
      </c>
      <c r="B474" s="226" t="s">
        <v>46</v>
      </c>
      <c r="C474" s="226">
        <v>91341</v>
      </c>
      <c r="D474" s="156" t="s">
        <v>1719</v>
      </c>
      <c r="E474" s="226" t="s">
        <v>16</v>
      </c>
      <c r="F474" s="146">
        <f>0.8*2.1*2</f>
        <v>3.3600000000000003</v>
      </c>
      <c r="G474" s="236">
        <v>695.38</v>
      </c>
      <c r="H474" s="327">
        <f t="shared" si="88"/>
        <v>695.38</v>
      </c>
      <c r="I474" s="313">
        <f t="shared" si="89"/>
        <v>2336.48</v>
      </c>
      <c r="J474" s="27"/>
      <c r="K474" s="27"/>
      <c r="L474" s="27"/>
      <c r="M474" s="27"/>
      <c r="N474" s="27"/>
      <c r="O474" s="27"/>
      <c r="P474" s="27"/>
      <c r="Q474" s="27"/>
    </row>
    <row r="475" spans="1:17" s="26" customFormat="1" ht="28.5" x14ac:dyDescent="0.2">
      <c r="A475" s="334" t="s">
        <v>2320</v>
      </c>
      <c r="B475" s="226" t="s">
        <v>46</v>
      </c>
      <c r="C475" s="226">
        <v>94576</v>
      </c>
      <c r="D475" s="156" t="s">
        <v>1729</v>
      </c>
      <c r="E475" s="226" t="s">
        <v>16</v>
      </c>
      <c r="F475" s="146">
        <f>1.5*1.2*2</f>
        <v>3.5999999999999996</v>
      </c>
      <c r="G475" s="236">
        <v>520.70000000000005</v>
      </c>
      <c r="H475" s="327">
        <f t="shared" si="88"/>
        <v>520.70000000000005</v>
      </c>
      <c r="I475" s="313">
        <f t="shared" si="89"/>
        <v>1874.52</v>
      </c>
      <c r="J475" s="27"/>
      <c r="K475" s="27"/>
      <c r="L475" s="27"/>
      <c r="M475" s="27"/>
      <c r="N475" s="27"/>
      <c r="O475" s="27"/>
      <c r="P475" s="27"/>
      <c r="Q475" s="27"/>
    </row>
    <row r="476" spans="1:17" s="26" customFormat="1" ht="28.5" x14ac:dyDescent="0.2">
      <c r="A476" s="334" t="s">
        <v>2321</v>
      </c>
      <c r="B476" s="226" t="s">
        <v>46</v>
      </c>
      <c r="C476" s="226">
        <v>88487</v>
      </c>
      <c r="D476" s="156" t="s">
        <v>720</v>
      </c>
      <c r="E476" s="226" t="s">
        <v>16</v>
      </c>
      <c r="F476" s="146">
        <f>F472*1.6</f>
        <v>264.19200000000001</v>
      </c>
      <c r="G476" s="236">
        <v>7.58</v>
      </c>
      <c r="H476" s="327">
        <f t="shared" si="88"/>
        <v>7.58</v>
      </c>
      <c r="I476" s="313">
        <f t="shared" si="89"/>
        <v>2002.58</v>
      </c>
      <c r="J476" s="27"/>
      <c r="K476" s="27"/>
      <c r="L476" s="27"/>
      <c r="M476" s="27"/>
      <c r="N476" s="27"/>
      <c r="O476" s="27"/>
      <c r="P476" s="27"/>
      <c r="Q476" s="27"/>
    </row>
    <row r="477" spans="1:17" s="319" customFormat="1" ht="14.25" x14ac:dyDescent="0.2">
      <c r="A477" s="334"/>
      <c r="B477" s="226"/>
      <c r="C477" s="226"/>
      <c r="D477" s="147" t="s">
        <v>1731</v>
      </c>
      <c r="E477" s="226"/>
      <c r="F477" s="361"/>
      <c r="G477" s="190"/>
      <c r="H477" s="327"/>
      <c r="I477" s="362"/>
      <c r="J477" s="328"/>
      <c r="K477" s="328"/>
      <c r="L477" s="328"/>
      <c r="M477" s="328"/>
      <c r="N477" s="328"/>
      <c r="O477" s="328"/>
      <c r="P477" s="328"/>
      <c r="Q477" s="328"/>
    </row>
    <row r="478" spans="1:17" s="319" customFormat="1" ht="14.25" x14ac:dyDescent="0.2">
      <c r="A478" s="334"/>
      <c r="B478" s="226"/>
      <c r="C478" s="226"/>
      <c r="D478" s="147"/>
      <c r="E478" s="226"/>
      <c r="F478" s="361"/>
      <c r="G478" s="190"/>
      <c r="H478" s="327"/>
      <c r="I478" s="362"/>
      <c r="J478" s="328"/>
      <c r="K478" s="328"/>
      <c r="L478" s="328"/>
      <c r="M478" s="328"/>
      <c r="N478" s="328"/>
      <c r="O478" s="328"/>
      <c r="P478" s="328"/>
      <c r="Q478" s="328"/>
    </row>
    <row r="479" spans="1:17" s="26" customFormat="1" ht="30" x14ac:dyDescent="0.2">
      <c r="A479" s="594">
        <v>38</v>
      </c>
      <c r="B479" s="298" t="s">
        <v>336</v>
      </c>
      <c r="C479" s="324" t="s">
        <v>1641</v>
      </c>
      <c r="D479" s="325" t="str">
        <f>ORÇAMENTO!D496</f>
        <v>FORNECIMENTO E APLICAÇÃO DOS MATERIAIS HIDRÁULICOS DA ELEVATÓRIA DE RECIRCULAÇÃO</v>
      </c>
      <c r="E479" s="298"/>
      <c r="F479" s="363"/>
      <c r="G479" s="364"/>
      <c r="H479" s="364"/>
      <c r="I479" s="595">
        <f>SUM(I480:I501)</f>
        <v>18897.900000000001</v>
      </c>
    </row>
    <row r="480" spans="1:17" s="26" customFormat="1" ht="14.25" x14ac:dyDescent="0.2">
      <c r="A480" s="320" t="s">
        <v>1630</v>
      </c>
      <c r="B480" s="226" t="s">
        <v>66</v>
      </c>
      <c r="C480" s="226"/>
      <c r="D480" s="148" t="s">
        <v>1248</v>
      </c>
      <c r="E480" s="154" t="s">
        <v>19</v>
      </c>
      <c r="F480" s="191">
        <v>1</v>
      </c>
      <c r="G480" s="190">
        <v>426</v>
      </c>
      <c r="H480" s="191">
        <f t="shared" ref="H480:H498" si="90">G480</f>
        <v>426</v>
      </c>
      <c r="I480" s="599">
        <f t="shared" ref="I480" si="91">F480*H480</f>
        <v>426</v>
      </c>
    </row>
    <row r="481" spans="1:9" s="26" customFormat="1" ht="14.25" x14ac:dyDescent="0.2">
      <c r="A481" s="320" t="s">
        <v>1631</v>
      </c>
      <c r="B481" s="226" t="s">
        <v>66</v>
      </c>
      <c r="C481" s="226"/>
      <c r="D481" s="148" t="s">
        <v>1249</v>
      </c>
      <c r="E481" s="154" t="s">
        <v>19</v>
      </c>
      <c r="F481" s="191">
        <v>2</v>
      </c>
      <c r="G481" s="190">
        <v>680</v>
      </c>
      <c r="H481" s="191">
        <f t="shared" si="90"/>
        <v>680</v>
      </c>
      <c r="I481" s="599">
        <f t="shared" ref="I481:I498" si="92">F481*H481</f>
        <v>1360</v>
      </c>
    </row>
    <row r="482" spans="1:9" s="26" customFormat="1" ht="14.25" x14ac:dyDescent="0.2">
      <c r="A482" s="320" t="s">
        <v>1632</v>
      </c>
      <c r="B482" s="226" t="s">
        <v>66</v>
      </c>
      <c r="C482" s="226"/>
      <c r="D482" s="148" t="s">
        <v>939</v>
      </c>
      <c r="E482" s="154" t="s">
        <v>19</v>
      </c>
      <c r="F482" s="191">
        <v>3</v>
      </c>
      <c r="G482" s="190">
        <v>180</v>
      </c>
      <c r="H482" s="191">
        <f t="shared" si="90"/>
        <v>180</v>
      </c>
      <c r="I482" s="599">
        <f t="shared" si="92"/>
        <v>540</v>
      </c>
    </row>
    <row r="483" spans="1:9" s="26" customFormat="1" ht="14.25" x14ac:dyDescent="0.2">
      <c r="A483" s="320" t="s">
        <v>1633</v>
      </c>
      <c r="B483" s="226" t="s">
        <v>66</v>
      </c>
      <c r="C483" s="226"/>
      <c r="D483" s="148" t="s">
        <v>1250</v>
      </c>
      <c r="E483" s="154" t="s">
        <v>19</v>
      </c>
      <c r="F483" s="191">
        <v>2</v>
      </c>
      <c r="G483" s="190">
        <v>523</v>
      </c>
      <c r="H483" s="191">
        <f t="shared" si="90"/>
        <v>523</v>
      </c>
      <c r="I483" s="599">
        <f t="shared" si="92"/>
        <v>1046</v>
      </c>
    </row>
    <row r="484" spans="1:9" s="26" customFormat="1" ht="14.25" x14ac:dyDescent="0.2">
      <c r="A484" s="320" t="s">
        <v>1634</v>
      </c>
      <c r="B484" s="226" t="s">
        <v>66</v>
      </c>
      <c r="C484" s="226"/>
      <c r="D484" s="148" t="s">
        <v>1251</v>
      </c>
      <c r="E484" s="154" t="s">
        <v>19</v>
      </c>
      <c r="F484" s="191">
        <v>2</v>
      </c>
      <c r="G484" s="190">
        <v>1100</v>
      </c>
      <c r="H484" s="191">
        <f t="shared" si="90"/>
        <v>1100</v>
      </c>
      <c r="I484" s="599">
        <f t="shared" si="92"/>
        <v>2200</v>
      </c>
    </row>
    <row r="485" spans="1:9" s="26" customFormat="1" ht="14.25" x14ac:dyDescent="0.2">
      <c r="A485" s="320" t="s">
        <v>1635</v>
      </c>
      <c r="B485" s="226" t="s">
        <v>66</v>
      </c>
      <c r="C485" s="226"/>
      <c r="D485" s="148" t="s">
        <v>1252</v>
      </c>
      <c r="E485" s="154" t="s">
        <v>19</v>
      </c>
      <c r="F485" s="191">
        <v>3</v>
      </c>
      <c r="G485" s="190">
        <v>550</v>
      </c>
      <c r="H485" s="191">
        <f t="shared" si="90"/>
        <v>550</v>
      </c>
      <c r="I485" s="599">
        <f t="shared" si="92"/>
        <v>1650</v>
      </c>
    </row>
    <row r="486" spans="1:9" s="26" customFormat="1" ht="14.25" x14ac:dyDescent="0.2">
      <c r="A486" s="320" t="s">
        <v>1636</v>
      </c>
      <c r="B486" s="226" t="s">
        <v>66</v>
      </c>
      <c r="C486" s="226"/>
      <c r="D486" s="148" t="s">
        <v>1253</v>
      </c>
      <c r="E486" s="154" t="s">
        <v>19</v>
      </c>
      <c r="F486" s="191">
        <v>3</v>
      </c>
      <c r="G486" s="190">
        <v>1100</v>
      </c>
      <c r="H486" s="191">
        <f t="shared" si="90"/>
        <v>1100</v>
      </c>
      <c r="I486" s="599">
        <f t="shared" si="92"/>
        <v>3300</v>
      </c>
    </row>
    <row r="487" spans="1:9" s="26" customFormat="1" ht="14.25" x14ac:dyDescent="0.2">
      <c r="A487" s="320" t="s">
        <v>1637</v>
      </c>
      <c r="B487" s="226" t="s">
        <v>66</v>
      </c>
      <c r="C487" s="226"/>
      <c r="D487" s="148" t="s">
        <v>1254</v>
      </c>
      <c r="E487" s="154" t="s">
        <v>19</v>
      </c>
      <c r="F487" s="191">
        <v>2</v>
      </c>
      <c r="G487" s="190">
        <v>220</v>
      </c>
      <c r="H487" s="191">
        <f t="shared" si="90"/>
        <v>220</v>
      </c>
      <c r="I487" s="599">
        <f t="shared" si="92"/>
        <v>440</v>
      </c>
    </row>
    <row r="488" spans="1:9" s="26" customFormat="1" ht="14.25" x14ac:dyDescent="0.2">
      <c r="A488" s="320" t="s">
        <v>1638</v>
      </c>
      <c r="B488" s="226" t="s">
        <v>66</v>
      </c>
      <c r="C488" s="226"/>
      <c r="D488" s="148" t="s">
        <v>1255</v>
      </c>
      <c r="E488" s="154" t="s">
        <v>19</v>
      </c>
      <c r="F488" s="191">
        <v>2</v>
      </c>
      <c r="G488" s="190">
        <v>420</v>
      </c>
      <c r="H488" s="191">
        <f t="shared" si="90"/>
        <v>420</v>
      </c>
      <c r="I488" s="599">
        <f t="shared" si="92"/>
        <v>840</v>
      </c>
    </row>
    <row r="489" spans="1:9" s="26" customFormat="1" ht="14.25" x14ac:dyDescent="0.2">
      <c r="A489" s="320" t="s">
        <v>1639</v>
      </c>
      <c r="B489" s="226" t="s">
        <v>66</v>
      </c>
      <c r="C489" s="226"/>
      <c r="D489" s="148" t="s">
        <v>1256</v>
      </c>
      <c r="E489" s="154" t="s">
        <v>19</v>
      </c>
      <c r="F489" s="191">
        <v>1</v>
      </c>
      <c r="G489" s="190">
        <v>323</v>
      </c>
      <c r="H489" s="191">
        <f t="shared" si="90"/>
        <v>323</v>
      </c>
      <c r="I489" s="599">
        <f t="shared" si="92"/>
        <v>323</v>
      </c>
    </row>
    <row r="490" spans="1:9" s="26" customFormat="1" ht="14.25" x14ac:dyDescent="0.2">
      <c r="A490" s="320" t="s">
        <v>1640</v>
      </c>
      <c r="B490" s="226" t="s">
        <v>66</v>
      </c>
      <c r="C490" s="226"/>
      <c r="D490" s="148" t="s">
        <v>1257</v>
      </c>
      <c r="E490" s="154" t="s">
        <v>19</v>
      </c>
      <c r="F490" s="191">
        <v>1</v>
      </c>
      <c r="G490" s="190">
        <v>390</v>
      </c>
      <c r="H490" s="191">
        <f t="shared" si="90"/>
        <v>390</v>
      </c>
      <c r="I490" s="599">
        <f t="shared" si="92"/>
        <v>390</v>
      </c>
    </row>
    <row r="491" spans="1:9" s="26" customFormat="1" ht="14.25" x14ac:dyDescent="0.2">
      <c r="A491" s="320" t="s">
        <v>1813</v>
      </c>
      <c r="B491" s="226" t="s">
        <v>66</v>
      </c>
      <c r="C491" s="226"/>
      <c r="D491" s="148" t="s">
        <v>1258</v>
      </c>
      <c r="E491" s="154" t="s">
        <v>19</v>
      </c>
      <c r="F491" s="191">
        <v>1</v>
      </c>
      <c r="G491" s="190">
        <v>120</v>
      </c>
      <c r="H491" s="191">
        <f t="shared" si="90"/>
        <v>120</v>
      </c>
      <c r="I491" s="599">
        <f t="shared" si="92"/>
        <v>120</v>
      </c>
    </row>
    <row r="492" spans="1:9" s="26" customFormat="1" ht="13.5" customHeight="1" x14ac:dyDescent="0.2">
      <c r="A492" s="320" t="s">
        <v>1814</v>
      </c>
      <c r="B492" s="226" t="s">
        <v>66</v>
      </c>
      <c r="C492" s="226"/>
      <c r="D492" s="148" t="s">
        <v>1259</v>
      </c>
      <c r="E492" s="154" t="s">
        <v>19</v>
      </c>
      <c r="F492" s="191">
        <v>1</v>
      </c>
      <c r="G492" s="190">
        <v>340</v>
      </c>
      <c r="H492" s="191">
        <f t="shared" si="90"/>
        <v>340</v>
      </c>
      <c r="I492" s="599">
        <f t="shared" si="92"/>
        <v>340</v>
      </c>
    </row>
    <row r="493" spans="1:9" s="26" customFormat="1" ht="14.25" x14ac:dyDescent="0.2">
      <c r="A493" s="320" t="s">
        <v>1815</v>
      </c>
      <c r="B493" s="226" t="s">
        <v>66</v>
      </c>
      <c r="C493" s="226"/>
      <c r="D493" s="148" t="s">
        <v>1261</v>
      </c>
      <c r="E493" s="154" t="s">
        <v>19</v>
      </c>
      <c r="F493" s="191">
        <v>1</v>
      </c>
      <c r="G493" s="190">
        <v>380</v>
      </c>
      <c r="H493" s="191">
        <f t="shared" si="90"/>
        <v>380</v>
      </c>
      <c r="I493" s="599">
        <f t="shared" si="92"/>
        <v>380</v>
      </c>
    </row>
    <row r="494" spans="1:9" s="26" customFormat="1" ht="14.25" x14ac:dyDescent="0.2">
      <c r="A494" s="320" t="s">
        <v>1816</v>
      </c>
      <c r="B494" s="226" t="s">
        <v>66</v>
      </c>
      <c r="C494" s="226"/>
      <c r="D494" s="148" t="s">
        <v>1262</v>
      </c>
      <c r="E494" s="154" t="s">
        <v>19</v>
      </c>
      <c r="F494" s="191">
        <v>1</v>
      </c>
      <c r="G494" s="190">
        <v>200</v>
      </c>
      <c r="H494" s="191">
        <f t="shared" si="90"/>
        <v>200</v>
      </c>
      <c r="I494" s="599">
        <f t="shared" si="92"/>
        <v>200</v>
      </c>
    </row>
    <row r="495" spans="1:9" s="26" customFormat="1" ht="14.25" x14ac:dyDescent="0.2">
      <c r="A495" s="320" t="s">
        <v>1817</v>
      </c>
      <c r="B495" s="226" t="s">
        <v>66</v>
      </c>
      <c r="C495" s="226"/>
      <c r="D495" s="148" t="s">
        <v>1260</v>
      </c>
      <c r="E495" s="154" t="s">
        <v>19</v>
      </c>
      <c r="F495" s="191">
        <v>2</v>
      </c>
      <c r="G495" s="190">
        <v>450</v>
      </c>
      <c r="H495" s="191">
        <f t="shared" si="90"/>
        <v>450</v>
      </c>
      <c r="I495" s="599">
        <f t="shared" si="92"/>
        <v>900</v>
      </c>
    </row>
    <row r="496" spans="1:9" s="26" customFormat="1" ht="14.25" x14ac:dyDescent="0.2">
      <c r="A496" s="320" t="s">
        <v>1818</v>
      </c>
      <c r="B496" s="226" t="s">
        <v>66</v>
      </c>
      <c r="C496" s="226"/>
      <c r="D496" s="148" t="s">
        <v>1263</v>
      </c>
      <c r="E496" s="154" t="s">
        <v>19</v>
      </c>
      <c r="F496" s="191">
        <v>2</v>
      </c>
      <c r="G496" s="190">
        <v>190</v>
      </c>
      <c r="H496" s="191">
        <f t="shared" si="90"/>
        <v>190</v>
      </c>
      <c r="I496" s="599">
        <f t="shared" si="92"/>
        <v>380</v>
      </c>
    </row>
    <row r="497" spans="1:18" s="26" customFormat="1" ht="14.25" x14ac:dyDescent="0.2">
      <c r="A497" s="320" t="s">
        <v>1819</v>
      </c>
      <c r="B497" s="226" t="s">
        <v>66</v>
      </c>
      <c r="C497" s="226"/>
      <c r="D497" s="148" t="s">
        <v>1231</v>
      </c>
      <c r="E497" s="154" t="s">
        <v>19</v>
      </c>
      <c r="F497" s="191">
        <v>29</v>
      </c>
      <c r="G497" s="190">
        <v>2.9</v>
      </c>
      <c r="H497" s="191">
        <f t="shared" si="90"/>
        <v>2.9</v>
      </c>
      <c r="I497" s="599">
        <f t="shared" si="92"/>
        <v>84.1</v>
      </c>
    </row>
    <row r="498" spans="1:18" s="26" customFormat="1" ht="14.25" x14ac:dyDescent="0.2">
      <c r="A498" s="320" t="s">
        <v>1820</v>
      </c>
      <c r="B498" s="226" t="s">
        <v>66</v>
      </c>
      <c r="C498" s="226"/>
      <c r="D498" s="148" t="s">
        <v>793</v>
      </c>
      <c r="E498" s="154" t="s">
        <v>19</v>
      </c>
      <c r="F498" s="191">
        <v>232</v>
      </c>
      <c r="G498" s="190">
        <v>5.4</v>
      </c>
      <c r="H498" s="191">
        <f t="shared" si="90"/>
        <v>5.4</v>
      </c>
      <c r="I498" s="599">
        <f t="shared" si="92"/>
        <v>1252.8000000000002</v>
      </c>
    </row>
    <row r="499" spans="1:18" s="26" customFormat="1" ht="14.25" x14ac:dyDescent="0.2">
      <c r="A499" s="320" t="s">
        <v>1821</v>
      </c>
      <c r="B499" s="226" t="s">
        <v>46</v>
      </c>
      <c r="C499" s="226">
        <v>88267</v>
      </c>
      <c r="D499" s="148" t="s">
        <v>795</v>
      </c>
      <c r="E499" s="226" t="s">
        <v>15</v>
      </c>
      <c r="F499" s="146">
        <v>50</v>
      </c>
      <c r="G499" s="236">
        <v>21.01</v>
      </c>
      <c r="H499" s="146">
        <f>ROUND((1+K$3)*G499,2)</f>
        <v>21.01</v>
      </c>
      <c r="I499" s="350">
        <f>ROUND(F499*H499,2)</f>
        <v>1050.5</v>
      </c>
      <c r="J499" s="27"/>
      <c r="K499" s="27"/>
      <c r="L499" s="27"/>
      <c r="M499" s="27"/>
      <c r="N499" s="27"/>
      <c r="O499" s="27"/>
      <c r="P499" s="27"/>
      <c r="Q499" s="27"/>
    </row>
    <row r="500" spans="1:18" s="26" customFormat="1" ht="14.25" customHeight="1" x14ac:dyDescent="0.2">
      <c r="A500" s="320" t="s">
        <v>1822</v>
      </c>
      <c r="B500" s="226" t="s">
        <v>46</v>
      </c>
      <c r="C500" s="226">
        <v>88248</v>
      </c>
      <c r="D500" s="148" t="s">
        <v>796</v>
      </c>
      <c r="E500" s="226" t="s">
        <v>15</v>
      </c>
      <c r="F500" s="146">
        <v>50</v>
      </c>
      <c r="G500" s="236">
        <v>16.87</v>
      </c>
      <c r="H500" s="146">
        <f>ROUND((1+K$3)*G500,2)</f>
        <v>16.87</v>
      </c>
      <c r="I500" s="350">
        <f>ROUND(F500*H500,2)</f>
        <v>843.5</v>
      </c>
      <c r="J500" s="27"/>
      <c r="K500" s="27"/>
      <c r="L500" s="27"/>
      <c r="M500" s="27"/>
      <c r="N500" s="27"/>
      <c r="O500" s="27"/>
      <c r="P500" s="27"/>
      <c r="Q500" s="27"/>
    </row>
    <row r="501" spans="1:18" s="26" customFormat="1" ht="14.25" x14ac:dyDescent="0.2">
      <c r="A501" s="320" t="s">
        <v>1823</v>
      </c>
      <c r="B501" s="226" t="s">
        <v>46</v>
      </c>
      <c r="C501" s="226">
        <v>88316</v>
      </c>
      <c r="D501" s="148" t="s">
        <v>797</v>
      </c>
      <c r="E501" s="226" t="s">
        <v>15</v>
      </c>
      <c r="F501" s="146">
        <v>50</v>
      </c>
      <c r="G501" s="236">
        <v>16.64</v>
      </c>
      <c r="H501" s="146">
        <f>ROUND((1+K$3)*G501,2)</f>
        <v>16.64</v>
      </c>
      <c r="I501" s="350">
        <f>ROUND(F501*H501,2)</f>
        <v>832</v>
      </c>
      <c r="J501" s="27"/>
      <c r="K501" s="27"/>
      <c r="L501" s="27"/>
      <c r="M501" s="27"/>
      <c r="N501" s="27"/>
      <c r="O501" s="27"/>
      <c r="P501" s="27"/>
      <c r="Q501" s="27"/>
    </row>
    <row r="502" spans="1:18" s="26" customFormat="1" thickBot="1" x14ac:dyDescent="0.25">
      <c r="A502" s="920"/>
      <c r="B502" s="586"/>
      <c r="C502" s="586"/>
      <c r="D502" s="584"/>
      <c r="E502" s="586"/>
      <c r="F502" s="585"/>
      <c r="G502" s="1016"/>
      <c r="H502" s="585"/>
      <c r="I502" s="606"/>
      <c r="J502" s="27"/>
      <c r="K502" s="27"/>
      <c r="L502" s="27"/>
      <c r="M502" s="27"/>
      <c r="N502" s="27"/>
      <c r="O502" s="27"/>
      <c r="P502" s="27"/>
      <c r="Q502" s="27"/>
    </row>
    <row r="503" spans="1:18" s="7" customFormat="1" ht="45" x14ac:dyDescent="0.2">
      <c r="A503" s="1019">
        <v>39</v>
      </c>
      <c r="B503" s="1020" t="s">
        <v>336</v>
      </c>
      <c r="C503" s="1021" t="s">
        <v>442</v>
      </c>
      <c r="D503" s="1022" t="s">
        <v>1709</v>
      </c>
      <c r="E503" s="1020" t="s">
        <v>19</v>
      </c>
      <c r="F503" s="1023"/>
      <c r="G503" s="1024"/>
      <c r="H503" s="1024"/>
      <c r="I503" s="1025">
        <f>SUM(I504:I509)</f>
        <v>4980.6400000000003</v>
      </c>
      <c r="J503" s="6"/>
      <c r="K503" s="6"/>
      <c r="L503" s="6"/>
      <c r="M503" s="6"/>
      <c r="N503" s="6"/>
      <c r="O503" s="6"/>
      <c r="P503" s="6"/>
      <c r="Q503" s="6"/>
    </row>
    <row r="504" spans="1:18" s="26" customFormat="1" ht="57" x14ac:dyDescent="0.2">
      <c r="A504" s="334" t="s">
        <v>670</v>
      </c>
      <c r="B504" s="154" t="s">
        <v>46</v>
      </c>
      <c r="C504" s="226">
        <v>5824</v>
      </c>
      <c r="D504" s="147" t="s">
        <v>839</v>
      </c>
      <c r="E504" s="154" t="s">
        <v>840</v>
      </c>
      <c r="F504" s="146">
        <v>8</v>
      </c>
      <c r="G504" s="146">
        <v>106.76</v>
      </c>
      <c r="H504" s="146">
        <f t="shared" ref="H504:H509" si="93">G504</f>
        <v>106.76</v>
      </c>
      <c r="I504" s="350">
        <f t="shared" ref="I504:I509" si="94">ROUND(F504*H504,2)</f>
        <v>854.08</v>
      </c>
      <c r="J504" s="262"/>
      <c r="K504" s="25"/>
      <c r="L504" s="132"/>
      <c r="M504" s="25"/>
      <c r="N504" s="25"/>
      <c r="O504" s="25"/>
      <c r="P504" s="25"/>
      <c r="R504" s="25"/>
    </row>
    <row r="505" spans="1:18" s="26" customFormat="1" ht="14.25" x14ac:dyDescent="0.2">
      <c r="A505" s="334" t="s">
        <v>671</v>
      </c>
      <c r="B505" s="154" t="s">
        <v>46</v>
      </c>
      <c r="C505" s="226">
        <v>88285</v>
      </c>
      <c r="D505" s="147" t="s">
        <v>846</v>
      </c>
      <c r="E505" s="154" t="s">
        <v>15</v>
      </c>
      <c r="F505" s="146">
        <v>8</v>
      </c>
      <c r="G505" s="146">
        <v>18.440000000000001</v>
      </c>
      <c r="H505" s="146">
        <f t="shared" si="93"/>
        <v>18.440000000000001</v>
      </c>
      <c r="I505" s="350">
        <f t="shared" si="94"/>
        <v>147.52000000000001</v>
      </c>
      <c r="J505" s="262"/>
      <c r="K505" s="25"/>
      <c r="L505" s="132"/>
      <c r="M505" s="25"/>
      <c r="N505" s="25"/>
      <c r="O505" s="25"/>
      <c r="P505" s="25"/>
      <c r="R505" s="25"/>
    </row>
    <row r="506" spans="1:18" s="26" customFormat="1" ht="31.5" customHeight="1" x14ac:dyDescent="0.2">
      <c r="A506" s="334" t="s">
        <v>1642</v>
      </c>
      <c r="B506" s="154" t="s">
        <v>46</v>
      </c>
      <c r="C506" s="226">
        <v>89272</v>
      </c>
      <c r="D506" s="147" t="s">
        <v>845</v>
      </c>
      <c r="E506" s="154" t="s">
        <v>840</v>
      </c>
      <c r="F506" s="146">
        <v>8</v>
      </c>
      <c r="G506" s="146">
        <v>144.16999999999999</v>
      </c>
      <c r="H506" s="146">
        <f t="shared" si="93"/>
        <v>144.16999999999999</v>
      </c>
      <c r="I506" s="350">
        <f t="shared" si="94"/>
        <v>1153.3599999999999</v>
      </c>
      <c r="J506" s="262"/>
      <c r="K506" s="25"/>
      <c r="L506" s="132"/>
      <c r="M506" s="25"/>
      <c r="N506" s="25"/>
      <c r="O506" s="25"/>
      <c r="P506" s="25"/>
      <c r="R506" s="25"/>
    </row>
    <row r="507" spans="1:18" s="26" customFormat="1" ht="14.25" x14ac:dyDescent="0.2">
      <c r="A507" s="334" t="s">
        <v>1643</v>
      </c>
      <c r="B507" s="154" t="s">
        <v>46</v>
      </c>
      <c r="C507" s="226">
        <v>88296</v>
      </c>
      <c r="D507" s="147" t="s">
        <v>847</v>
      </c>
      <c r="E507" s="154" t="s">
        <v>15</v>
      </c>
      <c r="F507" s="146">
        <v>8</v>
      </c>
      <c r="G507" s="146">
        <v>25.37</v>
      </c>
      <c r="H507" s="146">
        <f t="shared" si="93"/>
        <v>25.37</v>
      </c>
      <c r="I507" s="350">
        <f t="shared" si="94"/>
        <v>202.96</v>
      </c>
      <c r="J507" s="262"/>
      <c r="K507" s="25"/>
      <c r="L507" s="132"/>
      <c r="M507" s="25"/>
      <c r="N507" s="25"/>
      <c r="O507" s="25"/>
      <c r="P507" s="25"/>
      <c r="R507" s="25"/>
    </row>
    <row r="508" spans="1:18" s="26" customFormat="1" ht="57" x14ac:dyDescent="0.2">
      <c r="A508" s="334" t="s">
        <v>1824</v>
      </c>
      <c r="B508" s="154" t="s">
        <v>46</v>
      </c>
      <c r="C508" s="226">
        <v>89202</v>
      </c>
      <c r="D508" s="147" t="s">
        <v>1705</v>
      </c>
      <c r="E508" s="154" t="s">
        <v>18</v>
      </c>
      <c r="F508" s="146">
        <v>40</v>
      </c>
      <c r="G508" s="146">
        <v>62.24</v>
      </c>
      <c r="H508" s="146">
        <f t="shared" si="93"/>
        <v>62.24</v>
      </c>
      <c r="I508" s="350">
        <f t="shared" si="94"/>
        <v>2489.6</v>
      </c>
      <c r="J508" s="262"/>
      <c r="K508" s="25"/>
      <c r="L508" s="132"/>
      <c r="M508" s="25"/>
      <c r="N508" s="25"/>
      <c r="O508" s="25"/>
      <c r="P508" s="25"/>
      <c r="R508" s="25"/>
    </row>
    <row r="509" spans="1:18" ht="14.25" x14ac:dyDescent="0.2">
      <c r="A509" s="334" t="s">
        <v>1984</v>
      </c>
      <c r="B509" s="154" t="s">
        <v>46</v>
      </c>
      <c r="C509" s="227">
        <v>88316</v>
      </c>
      <c r="D509" s="178" t="s">
        <v>829</v>
      </c>
      <c r="E509" s="227" t="s">
        <v>15</v>
      </c>
      <c r="F509" s="146">
        <v>8</v>
      </c>
      <c r="G509" s="146">
        <v>16.64</v>
      </c>
      <c r="H509" s="146">
        <f t="shared" si="93"/>
        <v>16.64</v>
      </c>
      <c r="I509" s="350">
        <f t="shared" si="94"/>
        <v>133.12</v>
      </c>
      <c r="J509" s="29"/>
      <c r="K509" s="29"/>
      <c r="L509" s="29"/>
      <c r="M509" s="29"/>
      <c r="N509" s="29"/>
      <c r="O509" s="29"/>
      <c r="P509" s="29"/>
      <c r="Q509" s="29"/>
    </row>
    <row r="510" spans="1:18" s="26" customFormat="1" ht="14.25" x14ac:dyDescent="0.2">
      <c r="A510" s="320"/>
      <c r="B510" s="154"/>
      <c r="C510" s="153"/>
      <c r="D510" s="148"/>
      <c r="E510" s="154"/>
      <c r="F510" s="191"/>
      <c r="G510" s="192"/>
      <c r="H510" s="191"/>
      <c r="I510" s="599"/>
    </row>
    <row r="511" spans="1:18" s="7" customFormat="1" ht="30" x14ac:dyDescent="0.2">
      <c r="A511" s="594">
        <v>40</v>
      </c>
      <c r="B511" s="298" t="s">
        <v>336</v>
      </c>
      <c r="C511" s="324" t="s">
        <v>1648</v>
      </c>
      <c r="D511" s="325" t="str">
        <f>ORÇAMENTO!D513</f>
        <v>PÓRTICO PARA RETIRADA DAS BOMBAS EM PERFIS METÁLICOS, CONFORME PROJETO- (SANITIZAÇÃO)</v>
      </c>
      <c r="E511" s="298"/>
      <c r="F511" s="363"/>
      <c r="G511" s="364"/>
      <c r="H511" s="364"/>
      <c r="I511" s="595">
        <f>SUM(I512:I516)</f>
        <v>9217.5099999999984</v>
      </c>
      <c r="J511" s="6"/>
      <c r="K511" s="6"/>
      <c r="L511" s="6"/>
      <c r="M511" s="6"/>
      <c r="N511" s="6"/>
      <c r="O511" s="6"/>
      <c r="P511" s="6"/>
      <c r="Q511" s="6"/>
    </row>
    <row r="512" spans="1:18" s="26" customFormat="1" ht="14.25" x14ac:dyDescent="0.2">
      <c r="A512" s="334" t="s">
        <v>1644</v>
      </c>
      <c r="B512" s="226" t="s">
        <v>46</v>
      </c>
      <c r="C512" s="226">
        <v>4773</v>
      </c>
      <c r="D512" s="147" t="s">
        <v>713</v>
      </c>
      <c r="E512" s="226" t="s">
        <v>18</v>
      </c>
      <c r="F512" s="190">
        <f>3.2*2+6.1+3.6*4+1.5*4</f>
        <v>32.9</v>
      </c>
      <c r="G512" s="190">
        <v>173.59</v>
      </c>
      <c r="H512" s="190">
        <f>G512</f>
        <v>173.59</v>
      </c>
      <c r="I512" s="600">
        <f>ROUND(F512*H512,2)</f>
        <v>5711.11</v>
      </c>
      <c r="J512" s="27"/>
      <c r="K512" s="27"/>
      <c r="L512" s="27"/>
      <c r="M512" s="27"/>
      <c r="N512" s="27"/>
      <c r="O512" s="27"/>
      <c r="P512" s="27"/>
      <c r="Q512" s="27"/>
    </row>
    <row r="513" spans="1:17" s="26" customFormat="1" ht="14.25" x14ac:dyDescent="0.2">
      <c r="A513" s="334" t="s">
        <v>1645</v>
      </c>
      <c r="B513" s="226" t="s">
        <v>46</v>
      </c>
      <c r="C513" s="226">
        <v>6160</v>
      </c>
      <c r="D513" s="147" t="s">
        <v>244</v>
      </c>
      <c r="E513" s="226" t="s">
        <v>15</v>
      </c>
      <c r="F513" s="190">
        <v>60</v>
      </c>
      <c r="G513" s="190">
        <v>23.46</v>
      </c>
      <c r="H513" s="190">
        <f>G513</f>
        <v>23.46</v>
      </c>
      <c r="I513" s="600">
        <f>ROUND(F513*G513,2)</f>
        <v>1407.6</v>
      </c>
      <c r="J513" s="27"/>
      <c r="K513" s="27"/>
      <c r="L513" s="27"/>
      <c r="M513" s="27"/>
      <c r="N513" s="27"/>
      <c r="O513" s="27"/>
      <c r="P513" s="27"/>
      <c r="Q513" s="27"/>
    </row>
    <row r="514" spans="1:17" s="26" customFormat="1" ht="14.25" x14ac:dyDescent="0.2">
      <c r="A514" s="334" t="s">
        <v>1646</v>
      </c>
      <c r="B514" s="226" t="s">
        <v>46</v>
      </c>
      <c r="C514" s="226">
        <v>6121</v>
      </c>
      <c r="D514" s="147" t="s">
        <v>245</v>
      </c>
      <c r="E514" s="226" t="s">
        <v>15</v>
      </c>
      <c r="F514" s="190">
        <v>60</v>
      </c>
      <c r="G514" s="190">
        <v>10.78</v>
      </c>
      <c r="H514" s="190">
        <f>G514</f>
        <v>10.78</v>
      </c>
      <c r="I514" s="600">
        <f>ROUND(F514*G514,2)</f>
        <v>646.79999999999995</v>
      </c>
      <c r="J514" s="27"/>
      <c r="K514" s="27"/>
      <c r="L514" s="27"/>
      <c r="M514" s="27"/>
      <c r="N514" s="27"/>
      <c r="O514" s="27"/>
      <c r="P514" s="27"/>
      <c r="Q514" s="27"/>
    </row>
    <row r="515" spans="1:17" s="26" customFormat="1" ht="14.25" x14ac:dyDescent="0.2">
      <c r="A515" s="334" t="s">
        <v>1647</v>
      </c>
      <c r="B515" s="226" t="s">
        <v>46</v>
      </c>
      <c r="C515" s="226">
        <v>6110</v>
      </c>
      <c r="D515" s="147" t="s">
        <v>246</v>
      </c>
      <c r="E515" s="226" t="s">
        <v>15</v>
      </c>
      <c r="F515" s="190">
        <v>60</v>
      </c>
      <c r="G515" s="190">
        <v>13.82</v>
      </c>
      <c r="H515" s="190">
        <f>G515</f>
        <v>13.82</v>
      </c>
      <c r="I515" s="600">
        <f>ROUND(F515*G515,2)</f>
        <v>829.2</v>
      </c>
      <c r="J515" s="27"/>
      <c r="K515" s="27"/>
      <c r="L515" s="27"/>
      <c r="M515" s="27"/>
      <c r="N515" s="27"/>
      <c r="O515" s="27"/>
      <c r="P515" s="27"/>
      <c r="Q515" s="27"/>
    </row>
    <row r="516" spans="1:17" s="26" customFormat="1" ht="14.25" x14ac:dyDescent="0.2">
      <c r="A516" s="334" t="s">
        <v>1825</v>
      </c>
      <c r="B516" s="226" t="s">
        <v>46</v>
      </c>
      <c r="C516" s="226">
        <v>252</v>
      </c>
      <c r="D516" s="147" t="s">
        <v>774</v>
      </c>
      <c r="E516" s="226" t="s">
        <v>15</v>
      </c>
      <c r="F516" s="190">
        <v>60</v>
      </c>
      <c r="G516" s="190">
        <v>10.38</v>
      </c>
      <c r="H516" s="190">
        <f>G516</f>
        <v>10.38</v>
      </c>
      <c r="I516" s="600">
        <f>ROUND(F516*G516,2)</f>
        <v>622.79999999999995</v>
      </c>
      <c r="J516" s="27"/>
      <c r="K516" s="27"/>
      <c r="L516" s="27"/>
      <c r="M516" s="27"/>
      <c r="N516" s="27"/>
      <c r="O516" s="27"/>
      <c r="P516" s="27"/>
      <c r="Q516" s="27"/>
    </row>
    <row r="517" spans="1:17" s="26" customFormat="1" ht="14.25" x14ac:dyDescent="0.2">
      <c r="A517" s="334"/>
      <c r="B517" s="226"/>
      <c r="C517" s="226"/>
      <c r="D517" s="147"/>
      <c r="E517" s="226"/>
      <c r="F517" s="190"/>
      <c r="G517" s="190"/>
      <c r="H517" s="190"/>
      <c r="I517" s="600"/>
      <c r="J517" s="27"/>
      <c r="K517" s="27"/>
      <c r="L517" s="27"/>
      <c r="M517" s="27"/>
      <c r="N517" s="27"/>
      <c r="O517" s="27"/>
      <c r="P517" s="27"/>
      <c r="Q517" s="27"/>
    </row>
    <row r="518" spans="1:17" s="26" customFormat="1" x14ac:dyDescent="0.2">
      <c r="A518" s="594">
        <v>41</v>
      </c>
      <c r="B518" s="298" t="s">
        <v>336</v>
      </c>
      <c r="C518" s="324" t="s">
        <v>1655</v>
      </c>
      <c r="D518" s="325" t="s">
        <v>1550</v>
      </c>
      <c r="E518" s="298"/>
      <c r="F518" s="363"/>
      <c r="G518" s="364"/>
      <c r="H518" s="364"/>
      <c r="I518" s="595">
        <f>SUM(I519:I531)</f>
        <v>15699.2</v>
      </c>
    </row>
    <row r="519" spans="1:17" s="26" customFormat="1" ht="14.25" x14ac:dyDescent="0.2">
      <c r="A519" s="320" t="s">
        <v>1649</v>
      </c>
      <c r="B519" s="226" t="s">
        <v>66</v>
      </c>
      <c r="C519" s="153"/>
      <c r="D519" s="148" t="s">
        <v>1933</v>
      </c>
      <c r="E519" s="154" t="s">
        <v>19</v>
      </c>
      <c r="F519" s="191">
        <v>1</v>
      </c>
      <c r="G519" s="190">
        <v>655</v>
      </c>
      <c r="H519" s="190">
        <f>G519</f>
        <v>655</v>
      </c>
      <c r="I519" s="600">
        <f>ROUND(F519*H519,2)</f>
        <v>655</v>
      </c>
    </row>
    <row r="520" spans="1:17" s="26" customFormat="1" ht="14.25" x14ac:dyDescent="0.2">
      <c r="A520" s="320" t="s">
        <v>1650</v>
      </c>
      <c r="B520" s="226" t="s">
        <v>66</v>
      </c>
      <c r="C520" s="153"/>
      <c r="D520" s="148" t="s">
        <v>1927</v>
      </c>
      <c r="E520" s="154" t="s">
        <v>19</v>
      </c>
      <c r="F520" s="191">
        <v>1</v>
      </c>
      <c r="G520" s="190">
        <v>6590</v>
      </c>
      <c r="H520" s="190">
        <f t="shared" ref="H520:H525" si="95">G520</f>
        <v>6590</v>
      </c>
      <c r="I520" s="600">
        <f t="shared" ref="I520:I525" si="96">ROUND(F520*H520,2)</f>
        <v>6590</v>
      </c>
    </row>
    <row r="521" spans="1:17" s="26" customFormat="1" ht="14.25" x14ac:dyDescent="0.2">
      <c r="A521" s="320" t="s">
        <v>1651</v>
      </c>
      <c r="B521" s="226" t="s">
        <v>66</v>
      </c>
      <c r="C521" s="153"/>
      <c r="D521" s="148" t="s">
        <v>1928</v>
      </c>
      <c r="E521" s="154" t="s">
        <v>19</v>
      </c>
      <c r="F521" s="191">
        <v>1</v>
      </c>
      <c r="G521" s="190">
        <v>422</v>
      </c>
      <c r="H521" s="190">
        <f t="shared" si="95"/>
        <v>422</v>
      </c>
      <c r="I521" s="600">
        <f t="shared" si="96"/>
        <v>422</v>
      </c>
    </row>
    <row r="522" spans="1:17" s="26" customFormat="1" ht="14.25" x14ac:dyDescent="0.2">
      <c r="A522" s="320" t="s">
        <v>1652</v>
      </c>
      <c r="B522" s="226" t="s">
        <v>66</v>
      </c>
      <c r="C522" s="153"/>
      <c r="D522" s="148" t="s">
        <v>1929</v>
      </c>
      <c r="E522" s="154" t="s">
        <v>19</v>
      </c>
      <c r="F522" s="191">
        <v>1</v>
      </c>
      <c r="G522" s="190">
        <v>820</v>
      </c>
      <c r="H522" s="190">
        <f t="shared" si="95"/>
        <v>820</v>
      </c>
      <c r="I522" s="600">
        <f t="shared" si="96"/>
        <v>820</v>
      </c>
    </row>
    <row r="523" spans="1:17" s="26" customFormat="1" ht="14.25" x14ac:dyDescent="0.2">
      <c r="A523" s="320" t="s">
        <v>1653</v>
      </c>
      <c r="B523" s="226" t="s">
        <v>66</v>
      </c>
      <c r="C523" s="153"/>
      <c r="D523" s="148" t="s">
        <v>1370</v>
      </c>
      <c r="E523" s="154" t="s">
        <v>19</v>
      </c>
      <c r="F523" s="191">
        <v>1</v>
      </c>
      <c r="G523" s="190">
        <v>260</v>
      </c>
      <c r="H523" s="190">
        <f t="shared" si="95"/>
        <v>260</v>
      </c>
      <c r="I523" s="600">
        <f t="shared" si="96"/>
        <v>260</v>
      </c>
    </row>
    <row r="524" spans="1:17" s="26" customFormat="1" ht="14.25" x14ac:dyDescent="0.2">
      <c r="A524" s="320" t="s">
        <v>1654</v>
      </c>
      <c r="B524" s="226" t="s">
        <v>66</v>
      </c>
      <c r="C524" s="153"/>
      <c r="D524" s="148" t="s">
        <v>1371</v>
      </c>
      <c r="E524" s="154" t="s">
        <v>19</v>
      </c>
      <c r="F524" s="191">
        <v>1</v>
      </c>
      <c r="G524" s="190">
        <v>258</v>
      </c>
      <c r="H524" s="190">
        <f t="shared" si="95"/>
        <v>258</v>
      </c>
      <c r="I524" s="600">
        <f t="shared" si="96"/>
        <v>258</v>
      </c>
    </row>
    <row r="525" spans="1:17" s="26" customFormat="1" ht="14.25" x14ac:dyDescent="0.2">
      <c r="A525" s="320" t="s">
        <v>2322</v>
      </c>
      <c r="B525" s="226" t="s">
        <v>66</v>
      </c>
      <c r="C525" s="153"/>
      <c r="D525" s="148" t="s">
        <v>1372</v>
      </c>
      <c r="E525" s="154" t="s">
        <v>19</v>
      </c>
      <c r="F525" s="191">
        <v>1</v>
      </c>
      <c r="G525" s="190">
        <v>1100</v>
      </c>
      <c r="H525" s="190">
        <f t="shared" si="95"/>
        <v>1100</v>
      </c>
      <c r="I525" s="600">
        <f t="shared" si="96"/>
        <v>1100</v>
      </c>
    </row>
    <row r="526" spans="1:17" s="26" customFormat="1" ht="14.25" x14ac:dyDescent="0.2">
      <c r="A526" s="320" t="s">
        <v>2323</v>
      </c>
      <c r="B526" s="226" t="s">
        <v>66</v>
      </c>
      <c r="C526" s="153"/>
      <c r="D526" s="148" t="s">
        <v>1373</v>
      </c>
      <c r="E526" s="154" t="s">
        <v>19</v>
      </c>
      <c r="F526" s="191">
        <v>1</v>
      </c>
      <c r="G526" s="190">
        <v>426</v>
      </c>
      <c r="H526" s="190">
        <f t="shared" ref="H526:H528" si="97">G526</f>
        <v>426</v>
      </c>
      <c r="I526" s="600">
        <f t="shared" ref="I526:I528" si="98">ROUND(F526*H526,2)</f>
        <v>426</v>
      </c>
    </row>
    <row r="527" spans="1:17" s="26" customFormat="1" ht="14.25" x14ac:dyDescent="0.2">
      <c r="A527" s="320" t="s">
        <v>2324</v>
      </c>
      <c r="B527" s="226" t="s">
        <v>66</v>
      </c>
      <c r="C527" s="153"/>
      <c r="D527" s="148" t="s">
        <v>1931</v>
      </c>
      <c r="E527" s="154" t="s">
        <v>19</v>
      </c>
      <c r="F527" s="191">
        <v>1</v>
      </c>
      <c r="G527" s="190">
        <v>1047</v>
      </c>
      <c r="H527" s="190">
        <f t="shared" si="97"/>
        <v>1047</v>
      </c>
      <c r="I527" s="600">
        <f t="shared" si="98"/>
        <v>1047</v>
      </c>
    </row>
    <row r="528" spans="1:17" s="26" customFormat="1" ht="14.25" x14ac:dyDescent="0.2">
      <c r="A528" s="320" t="s">
        <v>2325</v>
      </c>
      <c r="B528" s="226" t="s">
        <v>66</v>
      </c>
      <c r="C528" s="153"/>
      <c r="D528" s="148" t="s">
        <v>1932</v>
      </c>
      <c r="E528" s="154" t="s">
        <v>19</v>
      </c>
      <c r="F528" s="191">
        <v>1</v>
      </c>
      <c r="G528" s="190">
        <v>850</v>
      </c>
      <c r="H528" s="190">
        <f t="shared" si="97"/>
        <v>850</v>
      </c>
      <c r="I528" s="600">
        <f t="shared" si="98"/>
        <v>850</v>
      </c>
    </row>
    <row r="529" spans="1:18" s="26" customFormat="1" ht="14.25" x14ac:dyDescent="0.2">
      <c r="A529" s="320" t="s">
        <v>2326</v>
      </c>
      <c r="B529" s="226" t="s">
        <v>46</v>
      </c>
      <c r="C529" s="226">
        <v>88267</v>
      </c>
      <c r="D529" s="148" t="s">
        <v>795</v>
      </c>
      <c r="E529" s="226" t="s">
        <v>15</v>
      </c>
      <c r="F529" s="146">
        <v>60</v>
      </c>
      <c r="G529" s="190">
        <v>21.01</v>
      </c>
      <c r="H529" s="146">
        <f>ROUND((1+K$3)*G529,2)</f>
        <v>21.01</v>
      </c>
      <c r="I529" s="350">
        <f>ROUND(F529*H529,2)</f>
        <v>1260.5999999999999</v>
      </c>
      <c r="J529" s="27"/>
      <c r="K529" s="27"/>
      <c r="L529" s="27"/>
      <c r="M529" s="27"/>
      <c r="N529" s="27"/>
      <c r="O529" s="27"/>
      <c r="P529" s="27"/>
      <c r="Q529" s="27"/>
    </row>
    <row r="530" spans="1:18" s="26" customFormat="1" ht="14.25" customHeight="1" x14ac:dyDescent="0.2">
      <c r="A530" s="320" t="s">
        <v>2327</v>
      </c>
      <c r="B530" s="226" t="s">
        <v>46</v>
      </c>
      <c r="C530" s="226">
        <v>88248</v>
      </c>
      <c r="D530" s="148" t="s">
        <v>796</v>
      </c>
      <c r="E530" s="226" t="s">
        <v>15</v>
      </c>
      <c r="F530" s="146">
        <v>60</v>
      </c>
      <c r="G530" s="236">
        <v>16.87</v>
      </c>
      <c r="H530" s="146">
        <f>ROUND((1+K$3)*G530,2)</f>
        <v>16.87</v>
      </c>
      <c r="I530" s="350">
        <f>ROUND(F530*H530,2)</f>
        <v>1012.2</v>
      </c>
      <c r="J530" s="27"/>
      <c r="K530" s="27"/>
      <c r="L530" s="27"/>
      <c r="M530" s="27"/>
      <c r="N530" s="27"/>
      <c r="O530" s="27"/>
      <c r="P530" s="27"/>
      <c r="Q530" s="27"/>
    </row>
    <row r="531" spans="1:18" s="26" customFormat="1" ht="14.25" x14ac:dyDescent="0.2">
      <c r="A531" s="320" t="s">
        <v>2328</v>
      </c>
      <c r="B531" s="226" t="s">
        <v>46</v>
      </c>
      <c r="C531" s="226">
        <v>88316</v>
      </c>
      <c r="D531" s="148" t="s">
        <v>797</v>
      </c>
      <c r="E531" s="226" t="s">
        <v>15</v>
      </c>
      <c r="F531" s="146">
        <v>60</v>
      </c>
      <c r="G531" s="236">
        <v>16.64</v>
      </c>
      <c r="H531" s="146">
        <f>ROUND((1+K$3)*G531,2)</f>
        <v>16.64</v>
      </c>
      <c r="I531" s="350">
        <f>ROUND(F531*H531,2)</f>
        <v>998.4</v>
      </c>
      <c r="J531" s="27"/>
      <c r="K531" s="27"/>
      <c r="L531" s="27"/>
      <c r="M531" s="27"/>
      <c r="N531" s="27"/>
      <c r="O531" s="27"/>
      <c r="P531" s="27"/>
      <c r="Q531" s="27"/>
    </row>
    <row r="532" spans="1:18" thickBot="1" x14ac:dyDescent="0.25">
      <c r="A532" s="1005"/>
      <c r="B532" s="586"/>
      <c r="C532" s="1006"/>
      <c r="D532" s="1036"/>
      <c r="E532" s="1006"/>
      <c r="F532" s="1041"/>
      <c r="G532" s="585"/>
      <c r="H532" s="585"/>
      <c r="I532" s="606"/>
      <c r="J532" s="29"/>
      <c r="K532" s="29"/>
      <c r="L532" s="29"/>
      <c r="M532" s="29"/>
      <c r="N532" s="29"/>
      <c r="O532" s="29"/>
      <c r="P532" s="29"/>
      <c r="Q532" s="29"/>
    </row>
    <row r="533" spans="1:18" s="7" customFormat="1" ht="45" x14ac:dyDescent="0.2">
      <c r="A533" s="1019">
        <v>42</v>
      </c>
      <c r="B533" s="1020" t="s">
        <v>336</v>
      </c>
      <c r="C533" s="1021" t="s">
        <v>1660</v>
      </c>
      <c r="D533" s="1022" t="s">
        <v>1716</v>
      </c>
      <c r="E533" s="1020" t="s">
        <v>19</v>
      </c>
      <c r="F533" s="1023"/>
      <c r="G533" s="1024"/>
      <c r="H533" s="1024"/>
      <c r="I533" s="1025">
        <f>SUM(I534:I539)</f>
        <v>8154.74</v>
      </c>
      <c r="J533" s="6"/>
      <c r="K533" s="6"/>
      <c r="L533" s="6"/>
      <c r="M533" s="6"/>
      <c r="N533" s="6"/>
      <c r="O533" s="6"/>
      <c r="P533" s="6"/>
      <c r="Q533" s="6"/>
    </row>
    <row r="534" spans="1:18" s="26" customFormat="1" ht="57" x14ac:dyDescent="0.2">
      <c r="A534" s="334" t="s">
        <v>1656</v>
      </c>
      <c r="B534" s="154" t="s">
        <v>46</v>
      </c>
      <c r="C534" s="226">
        <v>5824</v>
      </c>
      <c r="D534" s="147" t="s">
        <v>839</v>
      </c>
      <c r="E534" s="154" t="s">
        <v>840</v>
      </c>
      <c r="F534" s="146">
        <v>8</v>
      </c>
      <c r="G534" s="146">
        <v>106.76</v>
      </c>
      <c r="H534" s="146">
        <f t="shared" ref="H534:H539" si="99">G534</f>
        <v>106.76</v>
      </c>
      <c r="I534" s="350">
        <f t="shared" ref="I534:I539" si="100">ROUND(F534*H534,2)</f>
        <v>854.08</v>
      </c>
      <c r="J534" s="262"/>
      <c r="K534" s="25"/>
      <c r="L534" s="132"/>
      <c r="M534" s="25"/>
      <c r="N534" s="25"/>
      <c r="O534" s="25"/>
      <c r="P534" s="25"/>
      <c r="R534" s="25"/>
    </row>
    <row r="535" spans="1:18" s="26" customFormat="1" ht="14.25" x14ac:dyDescent="0.2">
      <c r="A535" s="334" t="s">
        <v>1657</v>
      </c>
      <c r="B535" s="154" t="s">
        <v>46</v>
      </c>
      <c r="C535" s="226">
        <v>88285</v>
      </c>
      <c r="D535" s="147" t="s">
        <v>846</v>
      </c>
      <c r="E535" s="154" t="s">
        <v>15</v>
      </c>
      <c r="F535" s="146">
        <f>F534</f>
        <v>8</v>
      </c>
      <c r="G535" s="146">
        <v>18.440000000000001</v>
      </c>
      <c r="H535" s="146">
        <f t="shared" si="99"/>
        <v>18.440000000000001</v>
      </c>
      <c r="I535" s="350">
        <f t="shared" si="100"/>
        <v>147.52000000000001</v>
      </c>
      <c r="J535" s="262"/>
      <c r="K535" s="25"/>
      <c r="L535" s="132"/>
      <c r="M535" s="25"/>
      <c r="N535" s="25"/>
      <c r="O535" s="25"/>
      <c r="P535" s="25"/>
      <c r="R535" s="25"/>
    </row>
    <row r="536" spans="1:18" s="26" customFormat="1" ht="31.5" customHeight="1" x14ac:dyDescent="0.2">
      <c r="A536" s="334" t="s">
        <v>1658</v>
      </c>
      <c r="B536" s="154" t="s">
        <v>46</v>
      </c>
      <c r="C536" s="226">
        <v>89272</v>
      </c>
      <c r="D536" s="147" t="s">
        <v>845</v>
      </c>
      <c r="E536" s="154" t="s">
        <v>840</v>
      </c>
      <c r="F536" s="146">
        <v>8</v>
      </c>
      <c r="G536" s="146">
        <v>144.16999999999999</v>
      </c>
      <c r="H536" s="146">
        <f t="shared" si="99"/>
        <v>144.16999999999999</v>
      </c>
      <c r="I536" s="350">
        <f t="shared" si="100"/>
        <v>1153.3599999999999</v>
      </c>
      <c r="J536" s="262"/>
      <c r="K536" s="25"/>
      <c r="L536" s="132"/>
      <c r="M536" s="25"/>
      <c r="N536" s="25"/>
      <c r="O536" s="25"/>
      <c r="P536" s="25"/>
      <c r="R536" s="25"/>
    </row>
    <row r="537" spans="1:18" s="26" customFormat="1" ht="14.25" x14ac:dyDescent="0.2">
      <c r="A537" s="334" t="s">
        <v>1659</v>
      </c>
      <c r="B537" s="154" t="s">
        <v>46</v>
      </c>
      <c r="C537" s="226">
        <v>88296</v>
      </c>
      <c r="D537" s="147" t="s">
        <v>847</v>
      </c>
      <c r="E537" s="154" t="s">
        <v>15</v>
      </c>
      <c r="F537" s="146">
        <f>F536</f>
        <v>8</v>
      </c>
      <c r="G537" s="146">
        <v>25.37</v>
      </c>
      <c r="H537" s="146">
        <f t="shared" si="99"/>
        <v>25.37</v>
      </c>
      <c r="I537" s="350">
        <f t="shared" si="100"/>
        <v>202.96</v>
      </c>
      <c r="J537" s="262"/>
      <c r="K537" s="25"/>
      <c r="L537" s="132"/>
      <c r="M537" s="25"/>
      <c r="N537" s="25"/>
      <c r="O537" s="25"/>
      <c r="P537" s="25"/>
      <c r="R537" s="25"/>
    </row>
    <row r="538" spans="1:18" s="26" customFormat="1" ht="57" x14ac:dyDescent="0.2">
      <c r="A538" s="334" t="s">
        <v>1985</v>
      </c>
      <c r="B538" s="154" t="s">
        <v>46</v>
      </c>
      <c r="C538" s="226">
        <v>89198</v>
      </c>
      <c r="D538" s="147" t="s">
        <v>1319</v>
      </c>
      <c r="E538" s="154" t="s">
        <v>18</v>
      </c>
      <c r="F538" s="146">
        <v>90</v>
      </c>
      <c r="G538" s="146">
        <v>62.93</v>
      </c>
      <c r="H538" s="146">
        <f t="shared" si="99"/>
        <v>62.93</v>
      </c>
      <c r="I538" s="350">
        <f t="shared" si="100"/>
        <v>5663.7</v>
      </c>
      <c r="J538" s="262"/>
      <c r="K538" s="25"/>
      <c r="L538" s="132"/>
      <c r="M538" s="25"/>
      <c r="N538" s="25"/>
      <c r="O538" s="25"/>
      <c r="P538" s="25"/>
      <c r="R538" s="25"/>
    </row>
    <row r="539" spans="1:18" ht="14.25" x14ac:dyDescent="0.2">
      <c r="A539" s="334" t="s">
        <v>1986</v>
      </c>
      <c r="B539" s="154" t="s">
        <v>46</v>
      </c>
      <c r="C539" s="227">
        <v>88316</v>
      </c>
      <c r="D539" s="178" t="s">
        <v>829</v>
      </c>
      <c r="E539" s="227" t="s">
        <v>15</v>
      </c>
      <c r="F539" s="146">
        <v>8</v>
      </c>
      <c r="G539" s="146">
        <v>16.64</v>
      </c>
      <c r="H539" s="146">
        <f t="shared" si="99"/>
        <v>16.64</v>
      </c>
      <c r="I539" s="350">
        <f t="shared" si="100"/>
        <v>133.12</v>
      </c>
      <c r="J539" s="29"/>
      <c r="K539" s="29"/>
      <c r="L539" s="29"/>
      <c r="M539" s="29"/>
      <c r="N539" s="29"/>
      <c r="O539" s="29"/>
      <c r="P539" s="29"/>
      <c r="Q539" s="29"/>
    </row>
    <row r="540" spans="1:18" s="26" customFormat="1" ht="14.25" x14ac:dyDescent="0.2">
      <c r="A540" s="320"/>
      <c r="B540" s="226"/>
      <c r="C540" s="226"/>
      <c r="D540" s="148"/>
      <c r="E540" s="226"/>
      <c r="F540" s="146"/>
      <c r="G540" s="236"/>
      <c r="H540" s="146"/>
      <c r="I540" s="350"/>
      <c r="J540" s="27"/>
      <c r="K540" s="27"/>
      <c r="L540" s="27"/>
      <c r="M540" s="27"/>
      <c r="N540" s="27"/>
      <c r="O540" s="27"/>
      <c r="P540" s="27"/>
      <c r="Q540" s="27"/>
    </row>
    <row r="541" spans="1:18" s="26" customFormat="1" ht="30" customHeight="1" x14ac:dyDescent="0.2">
      <c r="A541" s="594">
        <v>43</v>
      </c>
      <c r="B541" s="298" t="s">
        <v>336</v>
      </c>
      <c r="C541" s="324" t="s">
        <v>1665</v>
      </c>
      <c r="D541" s="325" t="s">
        <v>1384</v>
      </c>
      <c r="E541" s="298"/>
      <c r="F541" s="363"/>
      <c r="G541" s="364"/>
      <c r="H541" s="364"/>
      <c r="I541" s="595">
        <f>SUM(I542:I545)</f>
        <v>8492.24</v>
      </c>
    </row>
    <row r="542" spans="1:18" s="26" customFormat="1" ht="14.25" x14ac:dyDescent="0.2">
      <c r="A542" s="320" t="s">
        <v>1661</v>
      </c>
      <c r="B542" s="226" t="s">
        <v>46</v>
      </c>
      <c r="C542" s="281">
        <v>7258</v>
      </c>
      <c r="D542" s="285" t="s">
        <v>1383</v>
      </c>
      <c r="E542" s="281" t="s">
        <v>19</v>
      </c>
      <c r="F542" s="146">
        <f>(15*8.25*4-1.2*2.3)/(0.1*0.2)</f>
        <v>24611.999999999996</v>
      </c>
      <c r="G542" s="146">
        <v>0.28000000000000003</v>
      </c>
      <c r="H542" s="189">
        <f>G542</f>
        <v>0.28000000000000003</v>
      </c>
      <c r="I542" s="600">
        <f>ROUND(F542*H542,2)</f>
        <v>6891.36</v>
      </c>
    </row>
    <row r="543" spans="1:18" s="26" customFormat="1" ht="14.25" customHeight="1" x14ac:dyDescent="0.2">
      <c r="A543" s="320" t="s">
        <v>1662</v>
      </c>
      <c r="B543" s="226" t="s">
        <v>46</v>
      </c>
      <c r="C543" s="153">
        <v>366</v>
      </c>
      <c r="D543" s="148" t="s">
        <v>1385</v>
      </c>
      <c r="E543" s="154" t="s">
        <v>17</v>
      </c>
      <c r="F543" s="146">
        <f>(15*8.25*4-1.2*2.3)*0.01</f>
        <v>4.9224000000000006</v>
      </c>
      <c r="G543" s="192">
        <v>62.75</v>
      </c>
      <c r="H543" s="189">
        <f t="shared" ref="H543:H545" si="101">G543</f>
        <v>62.75</v>
      </c>
      <c r="I543" s="600">
        <f t="shared" ref="I543:I545" si="102">ROUND(F543*H543,2)</f>
        <v>308.88</v>
      </c>
    </row>
    <row r="544" spans="1:18" s="26" customFormat="1" ht="14.25" x14ac:dyDescent="0.2">
      <c r="A544" s="320" t="s">
        <v>1663</v>
      </c>
      <c r="B544" s="226" t="s">
        <v>46</v>
      </c>
      <c r="C544" s="153">
        <v>4759</v>
      </c>
      <c r="D544" s="148" t="s">
        <v>1386</v>
      </c>
      <c r="E544" s="154" t="s">
        <v>15</v>
      </c>
      <c r="F544" s="191">
        <v>50</v>
      </c>
      <c r="G544" s="192">
        <v>15.18</v>
      </c>
      <c r="H544" s="189">
        <f t="shared" si="101"/>
        <v>15.18</v>
      </c>
      <c r="I544" s="600">
        <f t="shared" si="102"/>
        <v>759</v>
      </c>
    </row>
    <row r="545" spans="1:9" s="26" customFormat="1" ht="14.25" x14ac:dyDescent="0.2">
      <c r="A545" s="320" t="s">
        <v>1664</v>
      </c>
      <c r="B545" s="226" t="s">
        <v>46</v>
      </c>
      <c r="C545" s="153">
        <v>6127</v>
      </c>
      <c r="D545" s="148" t="s">
        <v>430</v>
      </c>
      <c r="E545" s="154" t="s">
        <v>15</v>
      </c>
      <c r="F545" s="191">
        <v>50</v>
      </c>
      <c r="G545" s="192">
        <v>10.66</v>
      </c>
      <c r="H545" s="189">
        <f t="shared" si="101"/>
        <v>10.66</v>
      </c>
      <c r="I545" s="600">
        <f t="shared" si="102"/>
        <v>533</v>
      </c>
    </row>
    <row r="546" spans="1:9" s="26" customFormat="1" ht="14.25" x14ac:dyDescent="0.2">
      <c r="A546" s="320"/>
      <c r="B546" s="227"/>
      <c r="C546" s="227"/>
      <c r="D546" s="178"/>
      <c r="E546" s="227"/>
      <c r="F546" s="189"/>
      <c r="G546" s="189"/>
      <c r="H546" s="189"/>
      <c r="I546" s="600"/>
    </row>
    <row r="547" spans="1:9" s="26" customFormat="1" ht="45" x14ac:dyDescent="0.2">
      <c r="A547" s="594">
        <v>44</v>
      </c>
      <c r="B547" s="298" t="s">
        <v>336</v>
      </c>
      <c r="C547" s="324" t="s">
        <v>443</v>
      </c>
      <c r="D547" s="325" t="s">
        <v>271</v>
      </c>
      <c r="E547" s="298"/>
      <c r="F547" s="363"/>
      <c r="G547" s="364"/>
      <c r="H547" s="364"/>
      <c r="I547" s="595">
        <f>SUM(I548:I551)</f>
        <v>180.93</v>
      </c>
    </row>
    <row r="548" spans="1:9" s="26" customFormat="1" ht="14.25" x14ac:dyDescent="0.2">
      <c r="A548" s="320" t="s">
        <v>672</v>
      </c>
      <c r="B548" s="227" t="s">
        <v>46</v>
      </c>
      <c r="C548" s="227">
        <v>11125</v>
      </c>
      <c r="D548" s="149" t="s">
        <v>715</v>
      </c>
      <c r="E548" s="227" t="s">
        <v>170</v>
      </c>
      <c r="F548" s="189">
        <f>13.5*0.27*0.8</f>
        <v>2.9160000000000004</v>
      </c>
      <c r="G548" s="190">
        <v>14.43</v>
      </c>
      <c r="H548" s="189">
        <f>G548</f>
        <v>14.43</v>
      </c>
      <c r="I548" s="600">
        <f>ROUND(F548*H548,2)</f>
        <v>42.08</v>
      </c>
    </row>
    <row r="549" spans="1:9" s="26" customFormat="1" ht="14.25" x14ac:dyDescent="0.2">
      <c r="A549" s="320" t="s">
        <v>673</v>
      </c>
      <c r="B549" s="227" t="s">
        <v>46</v>
      </c>
      <c r="C549" s="227">
        <v>585</v>
      </c>
      <c r="D549" s="178" t="s">
        <v>252</v>
      </c>
      <c r="E549" s="227" t="s">
        <v>170</v>
      </c>
      <c r="F549" s="189">
        <v>0.95</v>
      </c>
      <c r="G549" s="190">
        <v>18.79</v>
      </c>
      <c r="H549" s="189">
        <f>G549</f>
        <v>18.79</v>
      </c>
      <c r="I549" s="600">
        <f>ROUND(F549*H549,2)</f>
        <v>17.850000000000001</v>
      </c>
    </row>
    <row r="550" spans="1:9" s="26" customFormat="1" ht="14.25" x14ac:dyDescent="0.2">
      <c r="A550" s="320" t="s">
        <v>674</v>
      </c>
      <c r="B550" s="227" t="s">
        <v>46</v>
      </c>
      <c r="C550" s="227">
        <v>252</v>
      </c>
      <c r="D550" s="178" t="s">
        <v>248</v>
      </c>
      <c r="E550" s="227" t="s">
        <v>15</v>
      </c>
      <c r="F550" s="189">
        <v>5</v>
      </c>
      <c r="G550" s="190">
        <v>10.38</v>
      </c>
      <c r="H550" s="189">
        <f>G550</f>
        <v>10.38</v>
      </c>
      <c r="I550" s="600">
        <f>ROUND(F550*H550,2)</f>
        <v>51.9</v>
      </c>
    </row>
    <row r="551" spans="1:9" s="26" customFormat="1" ht="14.25" x14ac:dyDescent="0.2">
      <c r="A551" s="320" t="s">
        <v>675</v>
      </c>
      <c r="B551" s="227" t="s">
        <v>46</v>
      </c>
      <c r="C551" s="227">
        <v>6110</v>
      </c>
      <c r="D551" s="178" t="s">
        <v>246</v>
      </c>
      <c r="E551" s="227" t="s">
        <v>15</v>
      </c>
      <c r="F551" s="189">
        <v>5</v>
      </c>
      <c r="G551" s="190">
        <v>13.82</v>
      </c>
      <c r="H551" s="189">
        <f>G551</f>
        <v>13.82</v>
      </c>
      <c r="I551" s="600">
        <f>ROUND(F551*H551,2)</f>
        <v>69.099999999999994</v>
      </c>
    </row>
    <row r="552" spans="1:9" s="26" customFormat="1" ht="14.25" x14ac:dyDescent="0.2">
      <c r="A552" s="320"/>
      <c r="B552" s="154"/>
      <c r="C552" s="153"/>
      <c r="D552" s="148"/>
      <c r="E552" s="154"/>
      <c r="F552" s="191"/>
      <c r="G552" s="192"/>
      <c r="H552" s="191"/>
      <c r="I552" s="599"/>
    </row>
    <row r="553" spans="1:9" s="26" customFormat="1" ht="30" x14ac:dyDescent="0.2">
      <c r="A553" s="594">
        <v>45</v>
      </c>
      <c r="B553" s="298" t="s">
        <v>336</v>
      </c>
      <c r="C553" s="324" t="s">
        <v>2198</v>
      </c>
      <c r="D553" s="325" t="str">
        <f>ORÇAMENTO!D556</f>
        <v>FORNECIMENTO E APLICAÇÃO DO  MATERIAL HIDRÁULICO DOS LEITOS DE SECAGEM</v>
      </c>
      <c r="E553" s="298"/>
      <c r="F553" s="363"/>
      <c r="G553" s="364"/>
      <c r="H553" s="364"/>
      <c r="I553" s="595">
        <f>SUM(I554:I566)</f>
        <v>13249.76</v>
      </c>
    </row>
    <row r="554" spans="1:9" s="26" customFormat="1" ht="14.25" x14ac:dyDescent="0.2">
      <c r="A554" s="320" t="s">
        <v>676</v>
      </c>
      <c r="B554" s="154" t="s">
        <v>46</v>
      </c>
      <c r="C554" s="153">
        <v>9833</v>
      </c>
      <c r="D554" s="148" t="s">
        <v>1264</v>
      </c>
      <c r="E554" s="154" t="s">
        <v>18</v>
      </c>
      <c r="F554" s="191">
        <f>148*2</f>
        <v>296</v>
      </c>
      <c r="G554" s="190">
        <v>8.44</v>
      </c>
      <c r="H554" s="191">
        <f t="shared" ref="H554" si="103">G554</f>
        <v>8.44</v>
      </c>
      <c r="I554" s="599">
        <f t="shared" ref="I554" si="104">F554*H554</f>
        <v>2498.2399999999998</v>
      </c>
    </row>
    <row r="555" spans="1:9" s="26" customFormat="1" ht="14.25" x14ac:dyDescent="0.2">
      <c r="A555" s="320" t="s">
        <v>677</v>
      </c>
      <c r="B555" s="154" t="s">
        <v>46</v>
      </c>
      <c r="C555" s="226">
        <v>36365</v>
      </c>
      <c r="D555" s="148" t="s">
        <v>1265</v>
      </c>
      <c r="E555" s="154" t="s">
        <v>18</v>
      </c>
      <c r="F555" s="191">
        <f>12*2</f>
        <v>24</v>
      </c>
      <c r="G555" s="190">
        <v>15.14</v>
      </c>
      <c r="H555" s="191">
        <f t="shared" ref="H555:H563" si="105">G555</f>
        <v>15.14</v>
      </c>
      <c r="I555" s="599">
        <f t="shared" ref="I555:I563" si="106">F555*H555</f>
        <v>363.36</v>
      </c>
    </row>
    <row r="556" spans="1:9" s="26" customFormat="1" ht="28.5" x14ac:dyDescent="0.2">
      <c r="A556" s="320" t="s">
        <v>678</v>
      </c>
      <c r="B556" s="154" t="s">
        <v>46</v>
      </c>
      <c r="C556" s="153">
        <v>40335</v>
      </c>
      <c r="D556" s="148" t="s">
        <v>1266</v>
      </c>
      <c r="E556" s="154" t="s">
        <v>18</v>
      </c>
      <c r="F556" s="191">
        <f>4*2</f>
        <v>8</v>
      </c>
      <c r="G556" s="190">
        <v>63.5</v>
      </c>
      <c r="H556" s="191">
        <f t="shared" si="105"/>
        <v>63.5</v>
      </c>
      <c r="I556" s="599">
        <f t="shared" si="106"/>
        <v>508</v>
      </c>
    </row>
    <row r="557" spans="1:9" s="26" customFormat="1" thickBot="1" x14ac:dyDescent="0.25">
      <c r="A557" s="920" t="s">
        <v>679</v>
      </c>
      <c r="B557" s="586" t="s">
        <v>66</v>
      </c>
      <c r="C557" s="586"/>
      <c r="D557" s="1042" t="s">
        <v>1267</v>
      </c>
      <c r="E557" s="913" t="s">
        <v>19</v>
      </c>
      <c r="F557" s="1034">
        <f>1*2</f>
        <v>2</v>
      </c>
      <c r="G557" s="928">
        <v>1710</v>
      </c>
      <c r="H557" s="1034">
        <f t="shared" si="105"/>
        <v>1710</v>
      </c>
      <c r="I557" s="1040">
        <f t="shared" si="106"/>
        <v>3420</v>
      </c>
    </row>
    <row r="558" spans="1:9" s="26" customFormat="1" ht="28.5" x14ac:dyDescent="0.2">
      <c r="A558" s="918" t="s">
        <v>2329</v>
      </c>
      <c r="B558" s="899" t="s">
        <v>46</v>
      </c>
      <c r="C558" s="910">
        <v>3653</v>
      </c>
      <c r="D558" s="900" t="s">
        <v>1268</v>
      </c>
      <c r="E558" s="899" t="s">
        <v>19</v>
      </c>
      <c r="F558" s="1038">
        <f>36*2</f>
        <v>72</v>
      </c>
      <c r="G558" s="932">
        <v>25.13</v>
      </c>
      <c r="H558" s="1038">
        <f t="shared" si="105"/>
        <v>25.13</v>
      </c>
      <c r="I558" s="1039">
        <f t="shared" si="106"/>
        <v>1809.36</v>
      </c>
    </row>
    <row r="559" spans="1:9" s="26" customFormat="1" ht="14.25" x14ac:dyDescent="0.2">
      <c r="A559" s="320" t="s">
        <v>2330</v>
      </c>
      <c r="B559" s="226" t="s">
        <v>66</v>
      </c>
      <c r="C559" s="226"/>
      <c r="D559" s="148" t="s">
        <v>1269</v>
      </c>
      <c r="E559" s="154" t="s">
        <v>19</v>
      </c>
      <c r="F559" s="191">
        <f>1*2</f>
        <v>2</v>
      </c>
      <c r="G559" s="190">
        <v>330</v>
      </c>
      <c r="H559" s="191">
        <f t="shared" si="105"/>
        <v>330</v>
      </c>
      <c r="I559" s="599">
        <f t="shared" si="106"/>
        <v>660</v>
      </c>
    </row>
    <row r="560" spans="1:9" s="26" customFormat="1" ht="14.25" x14ac:dyDescent="0.2">
      <c r="A560" s="320" t="s">
        <v>2331</v>
      </c>
      <c r="B560" s="226" t="s">
        <v>66</v>
      </c>
      <c r="C560" s="153"/>
      <c r="D560" s="148" t="s">
        <v>1218</v>
      </c>
      <c r="E560" s="154" t="s">
        <v>19</v>
      </c>
      <c r="F560" s="191">
        <f>1*2</f>
        <v>2</v>
      </c>
      <c r="G560" s="190">
        <v>520</v>
      </c>
      <c r="H560" s="191">
        <f t="shared" si="105"/>
        <v>520</v>
      </c>
      <c r="I560" s="599">
        <f t="shared" si="106"/>
        <v>1040</v>
      </c>
    </row>
    <row r="561" spans="1:18" s="26" customFormat="1" ht="14.25" x14ac:dyDescent="0.2">
      <c r="A561" s="320" t="s">
        <v>2332</v>
      </c>
      <c r="B561" s="226" t="s">
        <v>66</v>
      </c>
      <c r="C561" s="153"/>
      <c r="D561" s="148" t="s">
        <v>1270</v>
      </c>
      <c r="E561" s="154" t="s">
        <v>19</v>
      </c>
      <c r="F561" s="191">
        <f>1*2</f>
        <v>2</v>
      </c>
      <c r="G561" s="190">
        <v>320</v>
      </c>
      <c r="H561" s="191">
        <f t="shared" si="105"/>
        <v>320</v>
      </c>
      <c r="I561" s="599">
        <f t="shared" si="106"/>
        <v>640</v>
      </c>
    </row>
    <row r="562" spans="1:18" s="26" customFormat="1" ht="14.25" x14ac:dyDescent="0.2">
      <c r="A562" s="320" t="s">
        <v>2333</v>
      </c>
      <c r="B562" s="226" t="s">
        <v>66</v>
      </c>
      <c r="C562" s="153"/>
      <c r="D562" s="148" t="s">
        <v>1230</v>
      </c>
      <c r="E562" s="154" t="s">
        <v>19</v>
      </c>
      <c r="F562" s="191">
        <f>1*2</f>
        <v>2</v>
      </c>
      <c r="G562" s="190">
        <v>4.2</v>
      </c>
      <c r="H562" s="191">
        <f t="shared" si="105"/>
        <v>4.2</v>
      </c>
      <c r="I562" s="599">
        <f t="shared" si="106"/>
        <v>8.4</v>
      </c>
    </row>
    <row r="563" spans="1:18" s="26" customFormat="1" ht="14.25" x14ac:dyDescent="0.2">
      <c r="A563" s="320" t="s">
        <v>2334</v>
      </c>
      <c r="B563" s="226" t="s">
        <v>66</v>
      </c>
      <c r="C563" s="153"/>
      <c r="D563" s="148" t="s">
        <v>1235</v>
      </c>
      <c r="E563" s="154" t="s">
        <v>19</v>
      </c>
      <c r="F563" s="191">
        <f>8*2</f>
        <v>16</v>
      </c>
      <c r="G563" s="190">
        <v>7.6</v>
      </c>
      <c r="H563" s="191">
        <f t="shared" si="105"/>
        <v>7.6</v>
      </c>
      <c r="I563" s="599">
        <f t="shared" si="106"/>
        <v>121.6</v>
      </c>
    </row>
    <row r="564" spans="1:18" s="26" customFormat="1" ht="14.25" x14ac:dyDescent="0.2">
      <c r="A564" s="320" t="s">
        <v>2335</v>
      </c>
      <c r="B564" s="226" t="s">
        <v>46</v>
      </c>
      <c r="C564" s="226">
        <v>88267</v>
      </c>
      <c r="D564" s="148" t="s">
        <v>795</v>
      </c>
      <c r="E564" s="226" t="s">
        <v>15</v>
      </c>
      <c r="F564" s="146">
        <v>40</v>
      </c>
      <c r="G564" s="190">
        <v>21.01</v>
      </c>
      <c r="H564" s="146">
        <f>ROUND((1+K$3)*G564,2)</f>
        <v>21.01</v>
      </c>
      <c r="I564" s="350">
        <f>ROUND(F564*H564,2)</f>
        <v>840.4</v>
      </c>
      <c r="J564" s="27"/>
      <c r="K564" s="27"/>
      <c r="L564" s="27"/>
      <c r="M564" s="27"/>
      <c r="N564" s="27"/>
      <c r="O564" s="27"/>
      <c r="P564" s="27"/>
      <c r="Q564" s="27"/>
    </row>
    <row r="565" spans="1:18" s="26" customFormat="1" ht="14.25" customHeight="1" x14ac:dyDescent="0.2">
      <c r="A565" s="320" t="s">
        <v>2336</v>
      </c>
      <c r="B565" s="226" t="s">
        <v>46</v>
      </c>
      <c r="C565" s="226">
        <v>88248</v>
      </c>
      <c r="D565" s="148" t="s">
        <v>796</v>
      </c>
      <c r="E565" s="226" t="s">
        <v>15</v>
      </c>
      <c r="F565" s="146">
        <v>40</v>
      </c>
      <c r="G565" s="236">
        <v>16.87</v>
      </c>
      <c r="H565" s="146">
        <f>ROUND((1+K$3)*G565,2)</f>
        <v>16.87</v>
      </c>
      <c r="I565" s="350">
        <f>ROUND(F565*H565,2)</f>
        <v>674.8</v>
      </c>
      <c r="J565" s="27"/>
      <c r="K565" s="27"/>
      <c r="L565" s="27"/>
      <c r="M565" s="27"/>
      <c r="N565" s="27"/>
      <c r="O565" s="27"/>
      <c r="P565" s="27"/>
      <c r="Q565" s="27"/>
    </row>
    <row r="566" spans="1:18" s="26" customFormat="1" ht="14.25" x14ac:dyDescent="0.2">
      <c r="A566" s="320" t="s">
        <v>2337</v>
      </c>
      <c r="B566" s="226" t="s">
        <v>46</v>
      </c>
      <c r="C566" s="226">
        <v>88316</v>
      </c>
      <c r="D566" s="148" t="s">
        <v>797</v>
      </c>
      <c r="E566" s="226" t="s">
        <v>15</v>
      </c>
      <c r="F566" s="146">
        <v>40</v>
      </c>
      <c r="G566" s="236">
        <v>16.64</v>
      </c>
      <c r="H566" s="146">
        <f>ROUND((1+K$3)*G566,2)</f>
        <v>16.64</v>
      </c>
      <c r="I566" s="350">
        <f>ROUND(F566*H566,2)</f>
        <v>665.6</v>
      </c>
      <c r="J566" s="27"/>
      <c r="K566" s="27"/>
      <c r="L566" s="27"/>
      <c r="M566" s="27"/>
      <c r="N566" s="27"/>
      <c r="O566" s="27"/>
      <c r="P566" s="27"/>
      <c r="Q566" s="27"/>
    </row>
    <row r="567" spans="1:18" s="26" customFormat="1" ht="14.25" x14ac:dyDescent="0.2">
      <c r="A567" s="320"/>
      <c r="B567" s="226"/>
      <c r="C567" s="226"/>
      <c r="D567" s="148"/>
      <c r="E567" s="226"/>
      <c r="F567" s="146"/>
      <c r="G567" s="236"/>
      <c r="H567" s="146"/>
      <c r="I567" s="350"/>
      <c r="J567" s="27"/>
      <c r="K567" s="27"/>
      <c r="L567" s="27"/>
      <c r="M567" s="27"/>
      <c r="N567" s="27"/>
      <c r="O567" s="27"/>
      <c r="P567" s="27"/>
      <c r="Q567" s="27"/>
    </row>
    <row r="568" spans="1:18" s="7" customFormat="1" ht="45" x14ac:dyDescent="0.2">
      <c r="A568" s="594">
        <v>46</v>
      </c>
      <c r="B568" s="298" t="s">
        <v>336</v>
      </c>
      <c r="C568" s="324" t="s">
        <v>682</v>
      </c>
      <c r="D568" s="325" t="s">
        <v>1709</v>
      </c>
      <c r="E568" s="298" t="s">
        <v>19</v>
      </c>
      <c r="F568" s="363"/>
      <c r="G568" s="364"/>
      <c r="H568" s="364"/>
      <c r="I568" s="595">
        <f>SUM(I569:I574)</f>
        <v>5627.94</v>
      </c>
      <c r="J568" s="6"/>
      <c r="K568" s="6"/>
      <c r="L568" s="6"/>
      <c r="M568" s="6"/>
      <c r="N568" s="6"/>
      <c r="O568" s="6"/>
      <c r="P568" s="6"/>
      <c r="Q568" s="6"/>
    </row>
    <row r="569" spans="1:18" s="26" customFormat="1" ht="57" x14ac:dyDescent="0.2">
      <c r="A569" s="334" t="s">
        <v>680</v>
      </c>
      <c r="B569" s="154" t="s">
        <v>46</v>
      </c>
      <c r="C569" s="226">
        <v>5824</v>
      </c>
      <c r="D569" s="147" t="s">
        <v>839</v>
      </c>
      <c r="E569" s="154" t="s">
        <v>840</v>
      </c>
      <c r="F569" s="146">
        <v>8</v>
      </c>
      <c r="G569" s="146">
        <v>106.76</v>
      </c>
      <c r="H569" s="146">
        <f t="shared" ref="H569:H574" si="107">G569</f>
        <v>106.76</v>
      </c>
      <c r="I569" s="350">
        <f t="shared" ref="I569:I574" si="108">ROUND(F569*H569,2)</f>
        <v>854.08</v>
      </c>
      <c r="J569" s="262"/>
      <c r="K569" s="25"/>
      <c r="L569" s="132"/>
      <c r="M569" s="25"/>
      <c r="N569" s="25"/>
      <c r="O569" s="25"/>
      <c r="P569" s="25"/>
      <c r="R569" s="25"/>
    </row>
    <row r="570" spans="1:18" s="26" customFormat="1" ht="14.25" x14ac:dyDescent="0.2">
      <c r="A570" s="334" t="s">
        <v>681</v>
      </c>
      <c r="B570" s="154" t="s">
        <v>46</v>
      </c>
      <c r="C570" s="226">
        <v>88285</v>
      </c>
      <c r="D570" s="147" t="s">
        <v>846</v>
      </c>
      <c r="E570" s="154" t="s">
        <v>15</v>
      </c>
      <c r="F570" s="146">
        <f>F569</f>
        <v>8</v>
      </c>
      <c r="G570" s="146">
        <v>18.440000000000001</v>
      </c>
      <c r="H570" s="146">
        <f t="shared" si="107"/>
        <v>18.440000000000001</v>
      </c>
      <c r="I570" s="350">
        <f t="shared" si="108"/>
        <v>147.52000000000001</v>
      </c>
      <c r="J570" s="262"/>
      <c r="K570" s="25"/>
      <c r="L570" s="132"/>
      <c r="M570" s="25"/>
      <c r="N570" s="25"/>
      <c r="O570" s="25"/>
      <c r="P570" s="25"/>
      <c r="R570" s="25"/>
    </row>
    <row r="571" spans="1:18" s="26" customFormat="1" ht="31.5" customHeight="1" x14ac:dyDescent="0.2">
      <c r="A571" s="334" t="s">
        <v>1666</v>
      </c>
      <c r="B571" s="154" t="s">
        <v>46</v>
      </c>
      <c r="C571" s="226">
        <v>89272</v>
      </c>
      <c r="D571" s="147" t="s">
        <v>845</v>
      </c>
      <c r="E571" s="154" t="s">
        <v>840</v>
      </c>
      <c r="F571" s="146">
        <v>8</v>
      </c>
      <c r="G571" s="146">
        <v>144.16999999999999</v>
      </c>
      <c r="H571" s="146">
        <f t="shared" si="107"/>
        <v>144.16999999999999</v>
      </c>
      <c r="I571" s="350">
        <f t="shared" si="108"/>
        <v>1153.3599999999999</v>
      </c>
      <c r="J571" s="262"/>
      <c r="K571" s="25"/>
      <c r="L571" s="132"/>
      <c r="M571" s="25"/>
      <c r="N571" s="25"/>
      <c r="O571" s="25"/>
      <c r="P571" s="25"/>
      <c r="R571" s="25"/>
    </row>
    <row r="572" spans="1:18" s="26" customFormat="1" ht="14.25" x14ac:dyDescent="0.2">
      <c r="A572" s="334" t="s">
        <v>1667</v>
      </c>
      <c r="B572" s="154" t="s">
        <v>46</v>
      </c>
      <c r="C572" s="226">
        <v>88296</v>
      </c>
      <c r="D572" s="147" t="s">
        <v>847</v>
      </c>
      <c r="E572" s="154" t="s">
        <v>15</v>
      </c>
      <c r="F572" s="146">
        <f>F571</f>
        <v>8</v>
      </c>
      <c r="G572" s="146">
        <v>25.37</v>
      </c>
      <c r="H572" s="146">
        <f t="shared" si="107"/>
        <v>25.37</v>
      </c>
      <c r="I572" s="350">
        <f t="shared" si="108"/>
        <v>202.96</v>
      </c>
      <c r="J572" s="262"/>
      <c r="K572" s="25"/>
      <c r="L572" s="132"/>
      <c r="M572" s="25"/>
      <c r="N572" s="25"/>
      <c r="O572" s="25"/>
      <c r="P572" s="25"/>
      <c r="R572" s="25"/>
    </row>
    <row r="573" spans="1:18" s="26" customFormat="1" ht="57" x14ac:dyDescent="0.2">
      <c r="A573" s="334" t="s">
        <v>1668</v>
      </c>
      <c r="B573" s="154" t="s">
        <v>46</v>
      </c>
      <c r="C573" s="226">
        <v>89202</v>
      </c>
      <c r="D573" s="147" t="s">
        <v>1705</v>
      </c>
      <c r="E573" s="154" t="s">
        <v>18</v>
      </c>
      <c r="F573" s="146">
        <v>50.4</v>
      </c>
      <c r="G573" s="146">
        <v>62.24</v>
      </c>
      <c r="H573" s="146">
        <f t="shared" si="107"/>
        <v>62.24</v>
      </c>
      <c r="I573" s="350">
        <f t="shared" si="108"/>
        <v>3136.9</v>
      </c>
      <c r="J573" s="262"/>
      <c r="K573" s="25"/>
      <c r="L573" s="132"/>
      <c r="M573" s="25"/>
      <c r="N573" s="25"/>
      <c r="O573" s="25"/>
      <c r="P573" s="25"/>
      <c r="R573" s="25"/>
    </row>
    <row r="574" spans="1:18" ht="14.25" x14ac:dyDescent="0.2">
      <c r="A574" s="334" t="s">
        <v>1669</v>
      </c>
      <c r="B574" s="154" t="s">
        <v>46</v>
      </c>
      <c r="C574" s="227">
        <v>88316</v>
      </c>
      <c r="D574" s="178" t="s">
        <v>829</v>
      </c>
      <c r="E574" s="227" t="s">
        <v>15</v>
      </c>
      <c r="F574" s="146">
        <v>8</v>
      </c>
      <c r="G574" s="146">
        <v>16.64</v>
      </c>
      <c r="H574" s="146">
        <f t="shared" si="107"/>
        <v>16.64</v>
      </c>
      <c r="I574" s="350">
        <f t="shared" si="108"/>
        <v>133.12</v>
      </c>
      <c r="J574" s="29"/>
      <c r="K574" s="29"/>
      <c r="L574" s="29"/>
      <c r="M574" s="29"/>
      <c r="N574" s="29"/>
      <c r="O574" s="29"/>
      <c r="P574" s="29"/>
      <c r="Q574" s="29"/>
    </row>
    <row r="575" spans="1:18" s="26" customFormat="1" ht="14.25" x14ac:dyDescent="0.2">
      <c r="A575" s="320"/>
      <c r="B575" s="227"/>
      <c r="C575" s="227"/>
      <c r="D575" s="178"/>
      <c r="E575" s="227"/>
      <c r="F575" s="189"/>
      <c r="G575" s="189"/>
      <c r="H575" s="189"/>
      <c r="I575" s="600"/>
    </row>
    <row r="576" spans="1:18" s="26" customFormat="1" ht="30" x14ac:dyDescent="0.2">
      <c r="A576" s="594">
        <v>47</v>
      </c>
      <c r="B576" s="298" t="s">
        <v>336</v>
      </c>
      <c r="C576" s="324" t="s">
        <v>2190</v>
      </c>
      <c r="D576" s="325" t="s">
        <v>156</v>
      </c>
      <c r="E576" s="298"/>
      <c r="F576" s="363"/>
      <c r="G576" s="364"/>
      <c r="H576" s="364"/>
      <c r="I576" s="595">
        <f>SUM(I577:I586)</f>
        <v>888.99999999999989</v>
      </c>
    </row>
    <row r="577" spans="1:9" s="26" customFormat="1" ht="14.25" x14ac:dyDescent="0.2">
      <c r="A577" s="320" t="s">
        <v>683</v>
      </c>
      <c r="B577" s="227" t="s">
        <v>46</v>
      </c>
      <c r="C577" s="227">
        <v>1340</v>
      </c>
      <c r="D577" s="149" t="s">
        <v>1403</v>
      </c>
      <c r="E577" s="227" t="s">
        <v>16</v>
      </c>
      <c r="F577" s="189">
        <f>1.2*1.83</f>
        <v>2.1960000000000002</v>
      </c>
      <c r="G577" s="190">
        <v>30.82</v>
      </c>
      <c r="H577" s="189">
        <f t="shared" ref="H577:H586" si="109">G577</f>
        <v>30.82</v>
      </c>
      <c r="I577" s="600">
        <f t="shared" ref="I577:I586" si="110">ROUND(F577*H577,2)</f>
        <v>67.680000000000007</v>
      </c>
    </row>
    <row r="578" spans="1:9" s="26" customFormat="1" ht="41.25" customHeight="1" x14ac:dyDescent="0.2">
      <c r="A578" s="320" t="s">
        <v>684</v>
      </c>
      <c r="B578" s="226" t="s">
        <v>46</v>
      </c>
      <c r="C578" s="281">
        <v>87471</v>
      </c>
      <c r="D578" s="285" t="s">
        <v>1356</v>
      </c>
      <c r="E578" s="226" t="s">
        <v>16</v>
      </c>
      <c r="F578" s="190">
        <f>1.2*0.765</f>
        <v>0.91799999999999993</v>
      </c>
      <c r="G578" s="190">
        <v>35.33</v>
      </c>
      <c r="H578" s="190">
        <f t="shared" si="109"/>
        <v>35.33</v>
      </c>
      <c r="I578" s="600">
        <f t="shared" si="110"/>
        <v>32.43</v>
      </c>
    </row>
    <row r="579" spans="1:9" s="26" customFormat="1" ht="28.5" x14ac:dyDescent="0.2">
      <c r="A579" s="320" t="s">
        <v>685</v>
      </c>
      <c r="B579" s="226" t="s">
        <v>46</v>
      </c>
      <c r="C579" s="150">
        <v>94975</v>
      </c>
      <c r="D579" s="149" t="s">
        <v>1397</v>
      </c>
      <c r="E579" s="226" t="s">
        <v>17</v>
      </c>
      <c r="F579" s="190">
        <v>0.13</v>
      </c>
      <c r="G579" s="190">
        <v>354.87</v>
      </c>
      <c r="H579" s="190">
        <f t="shared" si="109"/>
        <v>354.87</v>
      </c>
      <c r="I579" s="600">
        <f t="shared" si="110"/>
        <v>46.13</v>
      </c>
    </row>
    <row r="580" spans="1:9" s="26" customFormat="1" ht="14.25" x14ac:dyDescent="0.2">
      <c r="A580" s="320" t="s">
        <v>686</v>
      </c>
      <c r="B580" s="227" t="s">
        <v>46</v>
      </c>
      <c r="C580" s="227">
        <v>13983</v>
      </c>
      <c r="D580" s="149" t="s">
        <v>272</v>
      </c>
      <c r="E580" s="227" t="s">
        <v>19</v>
      </c>
      <c r="F580" s="189">
        <v>1</v>
      </c>
      <c r="G580" s="190">
        <v>38.25</v>
      </c>
      <c r="H580" s="189">
        <f t="shared" si="109"/>
        <v>38.25</v>
      </c>
      <c r="I580" s="600">
        <f t="shared" si="110"/>
        <v>38.25</v>
      </c>
    </row>
    <row r="581" spans="1:9" s="26" customFormat="1" ht="14.25" x14ac:dyDescent="0.2">
      <c r="A581" s="320" t="s">
        <v>1670</v>
      </c>
      <c r="B581" s="227" t="s">
        <v>46</v>
      </c>
      <c r="C581" s="227">
        <v>1744</v>
      </c>
      <c r="D581" s="149" t="s">
        <v>273</v>
      </c>
      <c r="E581" s="227" t="s">
        <v>19</v>
      </c>
      <c r="F581" s="189">
        <v>1</v>
      </c>
      <c r="G581" s="190">
        <v>88.99</v>
      </c>
      <c r="H581" s="189">
        <f t="shared" si="109"/>
        <v>88.99</v>
      </c>
      <c r="I581" s="600">
        <f t="shared" si="110"/>
        <v>88.99</v>
      </c>
    </row>
    <row r="582" spans="1:9" s="26" customFormat="1" ht="14.25" x14ac:dyDescent="0.2">
      <c r="A582" s="320" t="s">
        <v>1671</v>
      </c>
      <c r="B582" s="227" t="s">
        <v>46</v>
      </c>
      <c r="C582" s="227">
        <v>6157</v>
      </c>
      <c r="D582" s="149" t="s">
        <v>274</v>
      </c>
      <c r="E582" s="227" t="s">
        <v>19</v>
      </c>
      <c r="F582" s="189">
        <v>1</v>
      </c>
      <c r="G582" s="190">
        <v>39.58</v>
      </c>
      <c r="H582" s="189">
        <f t="shared" si="109"/>
        <v>39.58</v>
      </c>
      <c r="I582" s="600">
        <f t="shared" si="110"/>
        <v>39.58</v>
      </c>
    </row>
    <row r="583" spans="1:9" s="26" customFormat="1" thickBot="1" x14ac:dyDescent="0.25">
      <c r="A583" s="920" t="s">
        <v>2338</v>
      </c>
      <c r="B583" s="1006" t="s">
        <v>46</v>
      </c>
      <c r="C583" s="1006">
        <v>4750</v>
      </c>
      <c r="D583" s="574" t="s">
        <v>275</v>
      </c>
      <c r="E583" s="1006" t="s">
        <v>15</v>
      </c>
      <c r="F583" s="1026">
        <v>6</v>
      </c>
      <c r="G583" s="928">
        <v>14.67</v>
      </c>
      <c r="H583" s="1026">
        <f t="shared" si="109"/>
        <v>14.67</v>
      </c>
      <c r="I583" s="1037">
        <f t="shared" si="110"/>
        <v>88.02</v>
      </c>
    </row>
    <row r="584" spans="1:9" s="26" customFormat="1" ht="14.25" x14ac:dyDescent="0.2">
      <c r="A584" s="918" t="s">
        <v>2339</v>
      </c>
      <c r="B584" s="1000" t="s">
        <v>46</v>
      </c>
      <c r="C584" s="1000">
        <v>6111</v>
      </c>
      <c r="D584" s="1043" t="s">
        <v>276</v>
      </c>
      <c r="E584" s="1000" t="s">
        <v>15</v>
      </c>
      <c r="F584" s="1044">
        <v>12</v>
      </c>
      <c r="G584" s="932">
        <v>12.02</v>
      </c>
      <c r="H584" s="1044">
        <f t="shared" si="109"/>
        <v>12.02</v>
      </c>
      <c r="I584" s="1045">
        <f t="shared" si="110"/>
        <v>144.24</v>
      </c>
    </row>
    <row r="585" spans="1:9" s="26" customFormat="1" ht="14.25" x14ac:dyDescent="0.2">
      <c r="A585" s="320" t="s">
        <v>2340</v>
      </c>
      <c r="B585" s="227" t="s">
        <v>46</v>
      </c>
      <c r="C585" s="227">
        <v>2696</v>
      </c>
      <c r="D585" s="149" t="s">
        <v>277</v>
      </c>
      <c r="E585" s="227" t="s">
        <v>15</v>
      </c>
      <c r="F585" s="189">
        <v>12</v>
      </c>
      <c r="G585" s="190">
        <v>16.36</v>
      </c>
      <c r="H585" s="189">
        <f t="shared" si="109"/>
        <v>16.36</v>
      </c>
      <c r="I585" s="600">
        <f t="shared" si="110"/>
        <v>196.32</v>
      </c>
    </row>
    <row r="586" spans="1:9" s="26" customFormat="1" ht="14.25" x14ac:dyDescent="0.2">
      <c r="A586" s="320" t="s">
        <v>2341</v>
      </c>
      <c r="B586" s="227" t="s">
        <v>46</v>
      </c>
      <c r="C586" s="227">
        <v>246</v>
      </c>
      <c r="D586" s="149" t="s">
        <v>278</v>
      </c>
      <c r="E586" s="227" t="s">
        <v>15</v>
      </c>
      <c r="F586" s="189">
        <v>12</v>
      </c>
      <c r="G586" s="190">
        <v>12.28</v>
      </c>
      <c r="H586" s="189">
        <f t="shared" si="109"/>
        <v>12.28</v>
      </c>
      <c r="I586" s="600">
        <f t="shared" si="110"/>
        <v>147.36000000000001</v>
      </c>
    </row>
    <row r="587" spans="1:9" s="26" customFormat="1" ht="14.25" x14ac:dyDescent="0.2">
      <c r="A587" s="320"/>
      <c r="B587" s="227"/>
      <c r="C587" s="227"/>
      <c r="D587" s="178"/>
      <c r="E587" s="227"/>
      <c r="F587" s="189"/>
      <c r="G587" s="189"/>
      <c r="H587" s="189"/>
      <c r="I587" s="600"/>
    </row>
    <row r="588" spans="1:9" s="26" customFormat="1" ht="30" x14ac:dyDescent="0.2">
      <c r="A588" s="594">
        <v>48</v>
      </c>
      <c r="B588" s="298" t="s">
        <v>336</v>
      </c>
      <c r="C588" s="324" t="s">
        <v>1830</v>
      </c>
      <c r="D588" s="325" t="s">
        <v>192</v>
      </c>
      <c r="E588" s="298"/>
      <c r="F588" s="363"/>
      <c r="G588" s="364"/>
      <c r="H588" s="364"/>
      <c r="I588" s="595">
        <f>SUM(I589:I597)</f>
        <v>899.7600000000001</v>
      </c>
    </row>
    <row r="589" spans="1:9" s="26" customFormat="1" ht="14.25" x14ac:dyDescent="0.2">
      <c r="A589" s="320" t="s">
        <v>1826</v>
      </c>
      <c r="B589" s="226" t="s">
        <v>46</v>
      </c>
      <c r="C589" s="226">
        <v>11692</v>
      </c>
      <c r="D589" s="147" t="s">
        <v>1404</v>
      </c>
      <c r="E589" s="226" t="s">
        <v>16</v>
      </c>
      <c r="F589" s="190">
        <v>1.31</v>
      </c>
      <c r="G589" s="190">
        <v>384.9</v>
      </c>
      <c r="H589" s="190">
        <f t="shared" ref="H589:H597" si="111">G589</f>
        <v>384.9</v>
      </c>
      <c r="I589" s="600">
        <f t="shared" ref="I589:I597" si="112">ROUND(F589*H589,2)</f>
        <v>504.22</v>
      </c>
    </row>
    <row r="590" spans="1:9" s="26" customFormat="1" ht="45" customHeight="1" x14ac:dyDescent="0.2">
      <c r="A590" s="320" t="s">
        <v>1827</v>
      </c>
      <c r="B590" s="227" t="s">
        <v>46</v>
      </c>
      <c r="C590" s="281">
        <v>87471</v>
      </c>
      <c r="D590" s="285" t="s">
        <v>1356</v>
      </c>
      <c r="E590" s="227" t="s">
        <v>16</v>
      </c>
      <c r="F590" s="189">
        <v>1.02</v>
      </c>
      <c r="G590" s="190">
        <v>35.33</v>
      </c>
      <c r="H590" s="189">
        <f t="shared" si="111"/>
        <v>35.33</v>
      </c>
      <c r="I590" s="598">
        <f t="shared" si="112"/>
        <v>36.04</v>
      </c>
    </row>
    <row r="591" spans="1:9" s="26" customFormat="1" ht="14.25" x14ac:dyDescent="0.2">
      <c r="A591" s="320" t="s">
        <v>1828</v>
      </c>
      <c r="B591" s="227" t="s">
        <v>46</v>
      </c>
      <c r="C591" s="227">
        <v>1744</v>
      </c>
      <c r="D591" s="149" t="s">
        <v>273</v>
      </c>
      <c r="E591" s="227" t="s">
        <v>19</v>
      </c>
      <c r="F591" s="189">
        <v>1</v>
      </c>
      <c r="G591" s="190">
        <v>88.99</v>
      </c>
      <c r="H591" s="189">
        <f t="shared" si="111"/>
        <v>88.99</v>
      </c>
      <c r="I591" s="598">
        <f t="shared" si="112"/>
        <v>88.99</v>
      </c>
    </row>
    <row r="592" spans="1:9" s="26" customFormat="1" ht="14.25" x14ac:dyDescent="0.2">
      <c r="A592" s="320" t="s">
        <v>1829</v>
      </c>
      <c r="B592" s="227" t="s">
        <v>46</v>
      </c>
      <c r="C592" s="227">
        <v>6157</v>
      </c>
      <c r="D592" s="149" t="s">
        <v>274</v>
      </c>
      <c r="E592" s="227" t="s">
        <v>19</v>
      </c>
      <c r="F592" s="189">
        <v>1</v>
      </c>
      <c r="G592" s="190">
        <v>39.58</v>
      </c>
      <c r="H592" s="189">
        <f t="shared" si="111"/>
        <v>39.58</v>
      </c>
      <c r="I592" s="598">
        <f t="shared" si="112"/>
        <v>39.58</v>
      </c>
    </row>
    <row r="593" spans="1:9" s="26" customFormat="1" ht="14.25" x14ac:dyDescent="0.2">
      <c r="A593" s="320" t="s">
        <v>1987</v>
      </c>
      <c r="B593" s="227" t="s">
        <v>46</v>
      </c>
      <c r="C593" s="227">
        <v>13983</v>
      </c>
      <c r="D593" s="149" t="s">
        <v>272</v>
      </c>
      <c r="E593" s="227" t="s">
        <v>19</v>
      </c>
      <c r="F593" s="189">
        <v>1</v>
      </c>
      <c r="G593" s="190">
        <v>38.25</v>
      </c>
      <c r="H593" s="189">
        <f t="shared" si="111"/>
        <v>38.25</v>
      </c>
      <c r="I593" s="598">
        <f t="shared" si="112"/>
        <v>38.25</v>
      </c>
    </row>
    <row r="594" spans="1:9" s="26" customFormat="1" ht="14.25" x14ac:dyDescent="0.2">
      <c r="A594" s="320" t="s">
        <v>1988</v>
      </c>
      <c r="B594" s="227" t="s">
        <v>46</v>
      </c>
      <c r="C594" s="227">
        <v>4750</v>
      </c>
      <c r="D594" s="149" t="s">
        <v>275</v>
      </c>
      <c r="E594" s="227" t="s">
        <v>15</v>
      </c>
      <c r="F594" s="189">
        <v>4</v>
      </c>
      <c r="G594" s="190">
        <v>14.67</v>
      </c>
      <c r="H594" s="189">
        <f t="shared" si="111"/>
        <v>14.67</v>
      </c>
      <c r="I594" s="598">
        <f t="shared" si="112"/>
        <v>58.68</v>
      </c>
    </row>
    <row r="595" spans="1:9" s="26" customFormat="1" ht="14.25" x14ac:dyDescent="0.2">
      <c r="A595" s="320" t="s">
        <v>1989</v>
      </c>
      <c r="B595" s="227" t="s">
        <v>46</v>
      </c>
      <c r="C595" s="227">
        <v>6111</v>
      </c>
      <c r="D595" s="149" t="s">
        <v>276</v>
      </c>
      <c r="E595" s="227" t="s">
        <v>15</v>
      </c>
      <c r="F595" s="189">
        <v>4</v>
      </c>
      <c r="G595" s="190">
        <v>12.02</v>
      </c>
      <c r="H595" s="189">
        <f t="shared" si="111"/>
        <v>12.02</v>
      </c>
      <c r="I595" s="598">
        <f t="shared" si="112"/>
        <v>48.08</v>
      </c>
    </row>
    <row r="596" spans="1:9" s="26" customFormat="1" ht="14.25" x14ac:dyDescent="0.2">
      <c r="A596" s="320" t="s">
        <v>1990</v>
      </c>
      <c r="B596" s="227" t="s">
        <v>46</v>
      </c>
      <c r="C596" s="227">
        <v>2696</v>
      </c>
      <c r="D596" s="149" t="s">
        <v>277</v>
      </c>
      <c r="E596" s="227" t="s">
        <v>15</v>
      </c>
      <c r="F596" s="189">
        <v>3</v>
      </c>
      <c r="G596" s="190">
        <v>16.36</v>
      </c>
      <c r="H596" s="189">
        <f t="shared" si="111"/>
        <v>16.36</v>
      </c>
      <c r="I596" s="598">
        <f t="shared" si="112"/>
        <v>49.08</v>
      </c>
    </row>
    <row r="597" spans="1:9" s="26" customFormat="1" ht="14.25" x14ac:dyDescent="0.2">
      <c r="A597" s="320" t="s">
        <v>1991</v>
      </c>
      <c r="B597" s="227" t="s">
        <v>46</v>
      </c>
      <c r="C597" s="227">
        <v>246</v>
      </c>
      <c r="D597" s="149" t="s">
        <v>278</v>
      </c>
      <c r="E597" s="227" t="s">
        <v>15</v>
      </c>
      <c r="F597" s="189">
        <v>3</v>
      </c>
      <c r="G597" s="190">
        <v>12.28</v>
      </c>
      <c r="H597" s="189">
        <f t="shared" si="111"/>
        <v>12.28</v>
      </c>
      <c r="I597" s="598">
        <f t="shared" si="112"/>
        <v>36.840000000000003</v>
      </c>
    </row>
    <row r="598" spans="1:9" s="26" customFormat="1" ht="14.25" x14ac:dyDescent="0.2">
      <c r="A598" s="320"/>
      <c r="B598" s="181"/>
      <c r="C598" s="181"/>
      <c r="D598" s="182"/>
      <c r="E598" s="181"/>
      <c r="F598" s="193"/>
      <c r="G598" s="194"/>
      <c r="H598" s="194"/>
      <c r="I598" s="602"/>
    </row>
    <row r="599" spans="1:9" s="26" customFormat="1" ht="21.75" customHeight="1" x14ac:dyDescent="0.2">
      <c r="A599" s="594">
        <v>49</v>
      </c>
      <c r="B599" s="298" t="s">
        <v>336</v>
      </c>
      <c r="C599" s="324" t="s">
        <v>1840</v>
      </c>
      <c r="D599" s="325" t="str">
        <f>ORÇAMENTO!D590</f>
        <v>FORNECIMENTO E APLICAÇÃO DOS MATERIAIS HIDRÁULICOS DA UNIDADE DE APOIO</v>
      </c>
      <c r="E599" s="298"/>
      <c r="F599" s="363"/>
      <c r="G599" s="364"/>
      <c r="H599" s="364"/>
      <c r="I599" s="595">
        <f>SUM(I600:I680)</f>
        <v>8201.7899999999991</v>
      </c>
    </row>
    <row r="600" spans="1:9" s="26" customFormat="1" ht="14.25" x14ac:dyDescent="0.2">
      <c r="A600" s="320" t="s">
        <v>1831</v>
      </c>
      <c r="B600" s="154" t="s">
        <v>46</v>
      </c>
      <c r="C600" s="153" t="s">
        <v>186</v>
      </c>
      <c r="D600" s="148" t="s">
        <v>141</v>
      </c>
      <c r="E600" s="154" t="s">
        <v>19</v>
      </c>
      <c r="F600" s="191">
        <v>19</v>
      </c>
      <c r="G600" s="192">
        <v>1.1399999999999999</v>
      </c>
      <c r="H600" s="191">
        <f>G600</f>
        <v>1.1399999999999999</v>
      </c>
      <c r="I600" s="599">
        <f t="shared" ref="I600" si="113">F600*H600</f>
        <v>21.659999999999997</v>
      </c>
    </row>
    <row r="601" spans="1:9" s="26" customFormat="1" ht="14.25" x14ac:dyDescent="0.2">
      <c r="A601" s="320" t="s">
        <v>1832</v>
      </c>
      <c r="B601" s="154" t="s">
        <v>46</v>
      </c>
      <c r="C601" s="153" t="s">
        <v>136</v>
      </c>
      <c r="D601" s="148" t="s">
        <v>1855</v>
      </c>
      <c r="E601" s="154" t="s">
        <v>19</v>
      </c>
      <c r="F601" s="191">
        <v>1</v>
      </c>
      <c r="G601" s="192">
        <v>5.59</v>
      </c>
      <c r="H601" s="191">
        <f t="shared" ref="H601:H665" si="114">G601</f>
        <v>5.59</v>
      </c>
      <c r="I601" s="599">
        <f t="shared" ref="I601:I618" si="115">F601*H601</f>
        <v>5.59</v>
      </c>
    </row>
    <row r="602" spans="1:9" s="26" customFormat="1" ht="14.25" x14ac:dyDescent="0.2">
      <c r="A602" s="320" t="s">
        <v>1833</v>
      </c>
      <c r="B602" s="155" t="s">
        <v>46</v>
      </c>
      <c r="C602" s="153" t="s">
        <v>174</v>
      </c>
      <c r="D602" s="148" t="s">
        <v>1854</v>
      </c>
      <c r="E602" s="154" t="s">
        <v>19</v>
      </c>
      <c r="F602" s="191">
        <v>2</v>
      </c>
      <c r="G602" s="192">
        <v>124.5</v>
      </c>
      <c r="H602" s="191">
        <f t="shared" si="114"/>
        <v>124.5</v>
      </c>
      <c r="I602" s="599">
        <f t="shared" si="115"/>
        <v>249</v>
      </c>
    </row>
    <row r="603" spans="1:9" s="26" customFormat="1" ht="14.25" x14ac:dyDescent="0.2">
      <c r="A603" s="320" t="s">
        <v>1834</v>
      </c>
      <c r="B603" s="155" t="s">
        <v>46</v>
      </c>
      <c r="C603" s="153" t="s">
        <v>175</v>
      </c>
      <c r="D603" s="148" t="s">
        <v>1856</v>
      </c>
      <c r="E603" s="154" t="s">
        <v>19</v>
      </c>
      <c r="F603" s="191">
        <v>4</v>
      </c>
      <c r="G603" s="192">
        <v>96.9</v>
      </c>
      <c r="H603" s="191">
        <f t="shared" si="114"/>
        <v>96.9</v>
      </c>
      <c r="I603" s="599">
        <f t="shared" si="115"/>
        <v>387.6</v>
      </c>
    </row>
    <row r="604" spans="1:9" s="26" customFormat="1" ht="28.5" x14ac:dyDescent="0.2">
      <c r="A604" s="320" t="s">
        <v>1835</v>
      </c>
      <c r="B604" s="155" t="s">
        <v>46</v>
      </c>
      <c r="C604" s="153" t="s">
        <v>176</v>
      </c>
      <c r="D604" s="148" t="s">
        <v>1857</v>
      </c>
      <c r="E604" s="154" t="s">
        <v>19</v>
      </c>
      <c r="F604" s="191">
        <v>8</v>
      </c>
      <c r="G604" s="192">
        <v>2.46</v>
      </c>
      <c r="H604" s="191">
        <f t="shared" si="114"/>
        <v>2.46</v>
      </c>
      <c r="I604" s="599">
        <f t="shared" si="115"/>
        <v>19.68</v>
      </c>
    </row>
    <row r="605" spans="1:9" s="26" customFormat="1" ht="14.25" x14ac:dyDescent="0.2">
      <c r="A605" s="320" t="s">
        <v>1836</v>
      </c>
      <c r="B605" s="154" t="s">
        <v>46</v>
      </c>
      <c r="C605" s="153" t="s">
        <v>177</v>
      </c>
      <c r="D605" s="148" t="s">
        <v>1858</v>
      </c>
      <c r="E605" s="154" t="s">
        <v>19</v>
      </c>
      <c r="F605" s="191">
        <v>1</v>
      </c>
      <c r="G605" s="192">
        <v>298.92</v>
      </c>
      <c r="H605" s="191">
        <f t="shared" si="114"/>
        <v>298.92</v>
      </c>
      <c r="I605" s="599">
        <f t="shared" si="115"/>
        <v>298.92</v>
      </c>
    </row>
    <row r="606" spans="1:9" s="26" customFormat="1" ht="28.5" x14ac:dyDescent="0.2">
      <c r="A606" s="320" t="s">
        <v>1837</v>
      </c>
      <c r="B606" s="154" t="s">
        <v>46</v>
      </c>
      <c r="C606" s="153" t="s">
        <v>178</v>
      </c>
      <c r="D606" s="148" t="s">
        <v>1859</v>
      </c>
      <c r="E606" s="154" t="s">
        <v>19</v>
      </c>
      <c r="F606" s="191">
        <v>3</v>
      </c>
      <c r="G606" s="192">
        <v>28.42</v>
      </c>
      <c r="H606" s="191">
        <f t="shared" si="114"/>
        <v>28.42</v>
      </c>
      <c r="I606" s="599">
        <f t="shared" si="115"/>
        <v>85.26</v>
      </c>
    </row>
    <row r="607" spans="1:9" s="26" customFormat="1" ht="14.25" x14ac:dyDescent="0.2">
      <c r="A607" s="320" t="s">
        <v>1838</v>
      </c>
      <c r="B607" s="154" t="s">
        <v>46</v>
      </c>
      <c r="C607" s="154" t="s">
        <v>179</v>
      </c>
      <c r="D607" s="148" t="s">
        <v>2</v>
      </c>
      <c r="E607" s="154" t="s">
        <v>18</v>
      </c>
      <c r="F607" s="191">
        <v>60</v>
      </c>
      <c r="G607" s="192">
        <v>1.87</v>
      </c>
      <c r="H607" s="191">
        <f t="shared" si="114"/>
        <v>1.87</v>
      </c>
      <c r="I607" s="599">
        <f t="shared" si="115"/>
        <v>112.2</v>
      </c>
    </row>
    <row r="608" spans="1:9" s="26" customFormat="1" ht="42.75" x14ac:dyDescent="0.2">
      <c r="A608" s="320" t="s">
        <v>1839</v>
      </c>
      <c r="B608" s="154" t="s">
        <v>46</v>
      </c>
      <c r="C608" s="154" t="s">
        <v>180</v>
      </c>
      <c r="D608" s="148" t="s">
        <v>1860</v>
      </c>
      <c r="E608" s="154" t="s">
        <v>19</v>
      </c>
      <c r="F608" s="191">
        <v>2</v>
      </c>
      <c r="G608" s="192">
        <v>55.45</v>
      </c>
      <c r="H608" s="191">
        <f t="shared" si="114"/>
        <v>55.45</v>
      </c>
      <c r="I608" s="599">
        <f t="shared" si="115"/>
        <v>110.9</v>
      </c>
    </row>
    <row r="609" spans="1:9" s="26" customFormat="1" ht="42.75" x14ac:dyDescent="0.2">
      <c r="A609" s="320" t="s">
        <v>2342</v>
      </c>
      <c r="B609" s="154" t="s">
        <v>46</v>
      </c>
      <c r="C609" s="153" t="s">
        <v>181</v>
      </c>
      <c r="D609" s="148" t="s">
        <v>1861</v>
      </c>
      <c r="E609" s="154" t="s">
        <v>19</v>
      </c>
      <c r="F609" s="191">
        <v>1</v>
      </c>
      <c r="G609" s="192">
        <v>41.49</v>
      </c>
      <c r="H609" s="191">
        <f t="shared" si="114"/>
        <v>41.49</v>
      </c>
      <c r="I609" s="599">
        <f t="shared" si="115"/>
        <v>41.49</v>
      </c>
    </row>
    <row r="610" spans="1:9" s="26" customFormat="1" ht="28.5" x14ac:dyDescent="0.2">
      <c r="A610" s="320" t="s">
        <v>2343</v>
      </c>
      <c r="B610" s="154" t="s">
        <v>46</v>
      </c>
      <c r="C610" s="153" t="s">
        <v>183</v>
      </c>
      <c r="D610" s="148" t="s">
        <v>1862</v>
      </c>
      <c r="E610" s="154" t="s">
        <v>19</v>
      </c>
      <c r="F610" s="191">
        <v>1</v>
      </c>
      <c r="G610" s="192">
        <v>8.7100000000000009</v>
      </c>
      <c r="H610" s="191">
        <f t="shared" si="114"/>
        <v>8.7100000000000009</v>
      </c>
      <c r="I610" s="599">
        <f t="shared" si="115"/>
        <v>8.7100000000000009</v>
      </c>
    </row>
    <row r="611" spans="1:9" s="26" customFormat="1" ht="14.25" x14ac:dyDescent="0.2">
      <c r="A611" s="320" t="s">
        <v>2344</v>
      </c>
      <c r="B611" s="154" t="s">
        <v>46</v>
      </c>
      <c r="C611" s="153" t="s">
        <v>133</v>
      </c>
      <c r="D611" s="148" t="s">
        <v>1863</v>
      </c>
      <c r="E611" s="154" t="s">
        <v>18</v>
      </c>
      <c r="F611" s="191">
        <v>6</v>
      </c>
      <c r="G611" s="192">
        <v>8.7100000000000009</v>
      </c>
      <c r="H611" s="191">
        <f t="shared" si="114"/>
        <v>8.7100000000000009</v>
      </c>
      <c r="I611" s="599">
        <f t="shared" si="115"/>
        <v>52.260000000000005</v>
      </c>
    </row>
    <row r="612" spans="1:9" s="26" customFormat="1" ht="14.25" x14ac:dyDescent="0.2">
      <c r="A612" s="320" t="s">
        <v>2345</v>
      </c>
      <c r="B612" s="154" t="s">
        <v>46</v>
      </c>
      <c r="C612" s="153" t="s">
        <v>184</v>
      </c>
      <c r="D612" s="148" t="s">
        <v>1864</v>
      </c>
      <c r="E612" s="154" t="s">
        <v>18</v>
      </c>
      <c r="F612" s="191">
        <v>22</v>
      </c>
      <c r="G612" s="192">
        <v>6.43</v>
      </c>
      <c r="H612" s="191">
        <f t="shared" si="114"/>
        <v>6.43</v>
      </c>
      <c r="I612" s="599">
        <f t="shared" si="115"/>
        <v>141.45999999999998</v>
      </c>
    </row>
    <row r="613" spans="1:9" s="26" customFormat="1" thickBot="1" x14ac:dyDescent="0.25">
      <c r="A613" s="920" t="s">
        <v>2346</v>
      </c>
      <c r="B613" s="913" t="s">
        <v>46</v>
      </c>
      <c r="C613" s="1046" t="s">
        <v>185</v>
      </c>
      <c r="D613" s="584" t="s">
        <v>1865</v>
      </c>
      <c r="E613" s="913" t="s">
        <v>18</v>
      </c>
      <c r="F613" s="1034">
        <v>15</v>
      </c>
      <c r="G613" s="1035">
        <v>3.7</v>
      </c>
      <c r="H613" s="1034">
        <f t="shared" si="114"/>
        <v>3.7</v>
      </c>
      <c r="I613" s="1040">
        <f t="shared" si="115"/>
        <v>55.5</v>
      </c>
    </row>
    <row r="614" spans="1:9" s="26" customFormat="1" ht="14.25" x14ac:dyDescent="0.2">
      <c r="A614" s="918" t="s">
        <v>2347</v>
      </c>
      <c r="B614" s="899" t="s">
        <v>46</v>
      </c>
      <c r="C614" s="949">
        <v>20157</v>
      </c>
      <c r="D614" s="900" t="s">
        <v>1283</v>
      </c>
      <c r="E614" s="899" t="s">
        <v>19</v>
      </c>
      <c r="F614" s="1038">
        <v>2</v>
      </c>
      <c r="G614" s="1038">
        <v>21.93</v>
      </c>
      <c r="H614" s="1038">
        <f t="shared" si="114"/>
        <v>21.93</v>
      </c>
      <c r="I614" s="1039">
        <f t="shared" si="115"/>
        <v>43.86</v>
      </c>
    </row>
    <row r="615" spans="1:9" s="26" customFormat="1" ht="14.25" x14ac:dyDescent="0.2">
      <c r="A615" s="320" t="s">
        <v>2348</v>
      </c>
      <c r="B615" s="154" t="s">
        <v>46</v>
      </c>
      <c r="C615" s="153">
        <v>6140</v>
      </c>
      <c r="D615" s="148" t="s">
        <v>1284</v>
      </c>
      <c r="E615" s="154" t="s">
        <v>19</v>
      </c>
      <c r="F615" s="191">
        <v>2</v>
      </c>
      <c r="G615" s="192">
        <v>2.6</v>
      </c>
      <c r="H615" s="191">
        <f t="shared" si="114"/>
        <v>2.6</v>
      </c>
      <c r="I615" s="599">
        <f t="shared" si="115"/>
        <v>5.2</v>
      </c>
    </row>
    <row r="616" spans="1:9" s="26" customFormat="1" ht="14.25" x14ac:dyDescent="0.2">
      <c r="A616" s="320" t="s">
        <v>2349</v>
      </c>
      <c r="B616" s="154" t="s">
        <v>46</v>
      </c>
      <c r="C616" s="153" t="s">
        <v>194</v>
      </c>
      <c r="D616" s="148" t="s">
        <v>1866</v>
      </c>
      <c r="E616" s="154" t="s">
        <v>19</v>
      </c>
      <c r="F616" s="191">
        <v>6</v>
      </c>
      <c r="G616" s="192">
        <v>1.87</v>
      </c>
      <c r="H616" s="191">
        <f t="shared" si="114"/>
        <v>1.87</v>
      </c>
      <c r="I616" s="599">
        <f t="shared" si="115"/>
        <v>11.22</v>
      </c>
    </row>
    <row r="617" spans="1:9" s="26" customFormat="1" ht="14.25" x14ac:dyDescent="0.2">
      <c r="A617" s="320" t="s">
        <v>2350</v>
      </c>
      <c r="B617" s="154" t="s">
        <v>46</v>
      </c>
      <c r="C617" s="153">
        <v>37949</v>
      </c>
      <c r="D617" s="148" t="s">
        <v>1285</v>
      </c>
      <c r="E617" s="154" t="s">
        <v>19</v>
      </c>
      <c r="F617" s="191">
        <v>11</v>
      </c>
      <c r="G617" s="191">
        <v>1.29</v>
      </c>
      <c r="H617" s="191">
        <f t="shared" si="114"/>
        <v>1.29</v>
      </c>
      <c r="I617" s="599">
        <f t="shared" si="115"/>
        <v>14.190000000000001</v>
      </c>
    </row>
    <row r="618" spans="1:9" s="26" customFormat="1" ht="14.25" x14ac:dyDescent="0.2">
      <c r="A618" s="320" t="s">
        <v>2351</v>
      </c>
      <c r="B618" s="154" t="s">
        <v>46</v>
      </c>
      <c r="C618" s="153" t="s">
        <v>147</v>
      </c>
      <c r="D618" s="148" t="s">
        <v>1867</v>
      </c>
      <c r="E618" s="154" t="s">
        <v>19</v>
      </c>
      <c r="F618" s="191">
        <v>2</v>
      </c>
      <c r="G618" s="192">
        <v>5.76</v>
      </c>
      <c r="H618" s="191">
        <f>G618</f>
        <v>5.76</v>
      </c>
      <c r="I618" s="599">
        <f t="shared" si="115"/>
        <v>11.52</v>
      </c>
    </row>
    <row r="619" spans="1:9" s="26" customFormat="1" ht="14.25" x14ac:dyDescent="0.2">
      <c r="A619" s="320" t="s">
        <v>2352</v>
      </c>
      <c r="B619" s="154" t="s">
        <v>46</v>
      </c>
      <c r="C619" s="153" t="s">
        <v>148</v>
      </c>
      <c r="D619" s="148" t="s">
        <v>1868</v>
      </c>
      <c r="E619" s="154" t="s">
        <v>19</v>
      </c>
      <c r="F619" s="191">
        <v>2</v>
      </c>
      <c r="G619" s="192">
        <v>10.9</v>
      </c>
      <c r="H619" s="191">
        <f t="shared" si="114"/>
        <v>10.9</v>
      </c>
      <c r="I619" s="599">
        <f t="shared" ref="I619:I642" si="116">F619*H619</f>
        <v>21.8</v>
      </c>
    </row>
    <row r="620" spans="1:9" s="26" customFormat="1" ht="14.25" x14ac:dyDescent="0.2">
      <c r="A620" s="320" t="s">
        <v>2353</v>
      </c>
      <c r="B620" s="154" t="s">
        <v>46</v>
      </c>
      <c r="C620" s="153" t="s">
        <v>135</v>
      </c>
      <c r="D620" s="148" t="s">
        <v>1869</v>
      </c>
      <c r="E620" s="154" t="s">
        <v>19</v>
      </c>
      <c r="F620" s="191">
        <v>1</v>
      </c>
      <c r="G620" s="192">
        <v>4.9400000000000004</v>
      </c>
      <c r="H620" s="191">
        <f t="shared" si="114"/>
        <v>4.9400000000000004</v>
      </c>
      <c r="I620" s="599">
        <f t="shared" si="116"/>
        <v>4.9400000000000004</v>
      </c>
    </row>
    <row r="621" spans="1:9" s="26" customFormat="1" ht="14.25" x14ac:dyDescent="0.2">
      <c r="A621" s="320" t="s">
        <v>2354</v>
      </c>
      <c r="B621" s="145" t="s">
        <v>46</v>
      </c>
      <c r="C621" s="154" t="s">
        <v>139</v>
      </c>
      <c r="D621" s="148" t="s">
        <v>1870</v>
      </c>
      <c r="E621" s="154" t="s">
        <v>19</v>
      </c>
      <c r="F621" s="191">
        <v>2</v>
      </c>
      <c r="G621" s="192">
        <v>34.15</v>
      </c>
      <c r="H621" s="191">
        <f t="shared" si="114"/>
        <v>34.15</v>
      </c>
      <c r="I621" s="599">
        <f t="shared" si="116"/>
        <v>68.3</v>
      </c>
    </row>
    <row r="622" spans="1:9" s="26" customFormat="1" ht="14.25" x14ac:dyDescent="0.2">
      <c r="A622" s="320" t="s">
        <v>2355</v>
      </c>
      <c r="B622" s="154" t="s">
        <v>46</v>
      </c>
      <c r="C622" s="153" t="s">
        <v>140</v>
      </c>
      <c r="D622" s="148" t="s">
        <v>1871</v>
      </c>
      <c r="E622" s="154" t="s">
        <v>19</v>
      </c>
      <c r="F622" s="191">
        <v>1</v>
      </c>
      <c r="G622" s="192">
        <v>39.29</v>
      </c>
      <c r="H622" s="191">
        <f t="shared" si="114"/>
        <v>39.29</v>
      </c>
      <c r="I622" s="599">
        <f t="shared" si="116"/>
        <v>39.29</v>
      </c>
    </row>
    <row r="623" spans="1:9" s="26" customFormat="1" ht="14.25" x14ac:dyDescent="0.2">
      <c r="A623" s="320" t="s">
        <v>2356</v>
      </c>
      <c r="B623" s="154" t="s">
        <v>46</v>
      </c>
      <c r="C623" s="153" t="s">
        <v>142</v>
      </c>
      <c r="D623" s="148" t="s">
        <v>1872</v>
      </c>
      <c r="E623" s="154" t="s">
        <v>19</v>
      </c>
      <c r="F623" s="191">
        <v>3</v>
      </c>
      <c r="G623" s="192">
        <v>10.84</v>
      </c>
      <c r="H623" s="191">
        <f t="shared" si="114"/>
        <v>10.84</v>
      </c>
      <c r="I623" s="599">
        <f t="shared" si="116"/>
        <v>32.519999999999996</v>
      </c>
    </row>
    <row r="624" spans="1:9" s="26" customFormat="1" ht="14.25" x14ac:dyDescent="0.2">
      <c r="A624" s="320" t="s">
        <v>2357</v>
      </c>
      <c r="B624" s="154" t="s">
        <v>46</v>
      </c>
      <c r="C624" s="153">
        <v>9874</v>
      </c>
      <c r="D624" s="148" t="s">
        <v>1282</v>
      </c>
      <c r="E624" s="154" t="s">
        <v>18</v>
      </c>
      <c r="F624" s="191">
        <v>4</v>
      </c>
      <c r="G624" s="192">
        <v>8.4700000000000006</v>
      </c>
      <c r="H624" s="191">
        <f t="shared" si="114"/>
        <v>8.4700000000000006</v>
      </c>
      <c r="I624" s="599">
        <f t="shared" si="116"/>
        <v>33.880000000000003</v>
      </c>
    </row>
    <row r="625" spans="1:9" s="26" customFormat="1" ht="14.25" x14ac:dyDescent="0.2">
      <c r="A625" s="320" t="s">
        <v>2358</v>
      </c>
      <c r="B625" s="154" t="s">
        <v>46</v>
      </c>
      <c r="C625" s="153" t="s">
        <v>102</v>
      </c>
      <c r="D625" s="148" t="s">
        <v>1873</v>
      </c>
      <c r="E625" s="154" t="s">
        <v>18</v>
      </c>
      <c r="F625" s="191">
        <v>15</v>
      </c>
      <c r="G625" s="192">
        <v>5.81</v>
      </c>
      <c r="H625" s="191">
        <f t="shared" si="114"/>
        <v>5.81</v>
      </c>
      <c r="I625" s="599">
        <f t="shared" si="116"/>
        <v>87.149999999999991</v>
      </c>
    </row>
    <row r="626" spans="1:9" s="26" customFormat="1" ht="14.25" x14ac:dyDescent="0.2">
      <c r="A626" s="320" t="s">
        <v>2359</v>
      </c>
      <c r="B626" s="154" t="s">
        <v>46</v>
      </c>
      <c r="C626" s="153" t="s">
        <v>104</v>
      </c>
      <c r="D626" s="148" t="s">
        <v>1874</v>
      </c>
      <c r="E626" s="154" t="s">
        <v>18</v>
      </c>
      <c r="F626" s="191">
        <v>33</v>
      </c>
      <c r="G626" s="192">
        <v>3.6</v>
      </c>
      <c r="H626" s="191">
        <f t="shared" si="114"/>
        <v>3.6</v>
      </c>
      <c r="I626" s="599">
        <f t="shared" si="116"/>
        <v>118.8</v>
      </c>
    </row>
    <row r="627" spans="1:9" s="26" customFormat="1" ht="14.25" x14ac:dyDescent="0.2">
      <c r="A627" s="320" t="s">
        <v>2360</v>
      </c>
      <c r="B627" s="154" t="s">
        <v>46</v>
      </c>
      <c r="C627" s="153" t="s">
        <v>105</v>
      </c>
      <c r="D627" s="148" t="s">
        <v>1875</v>
      </c>
      <c r="E627" s="154" t="s">
        <v>18</v>
      </c>
      <c r="F627" s="191">
        <v>4</v>
      </c>
      <c r="G627" s="192">
        <v>2.04</v>
      </c>
      <c r="H627" s="191">
        <f t="shared" si="114"/>
        <v>2.04</v>
      </c>
      <c r="I627" s="599">
        <f t="shared" si="116"/>
        <v>8.16</v>
      </c>
    </row>
    <row r="628" spans="1:9" s="26" customFormat="1" ht="14.25" x14ac:dyDescent="0.2">
      <c r="A628" s="320" t="s">
        <v>2361</v>
      </c>
      <c r="B628" s="154" t="s">
        <v>46</v>
      </c>
      <c r="C628" s="153">
        <v>3535</v>
      </c>
      <c r="D628" s="148" t="s">
        <v>1876</v>
      </c>
      <c r="E628" s="154" t="s">
        <v>19</v>
      </c>
      <c r="F628" s="191">
        <v>1</v>
      </c>
      <c r="G628" s="192">
        <v>3.6</v>
      </c>
      <c r="H628" s="191">
        <f t="shared" si="114"/>
        <v>3.6</v>
      </c>
      <c r="I628" s="599">
        <f t="shared" si="116"/>
        <v>3.6</v>
      </c>
    </row>
    <row r="629" spans="1:9" s="26" customFormat="1" ht="14.25" x14ac:dyDescent="0.2">
      <c r="A629" s="320" t="s">
        <v>2362</v>
      </c>
      <c r="B629" s="154" t="s">
        <v>46</v>
      </c>
      <c r="C629" s="153" t="s">
        <v>107</v>
      </c>
      <c r="D629" s="148" t="s">
        <v>1877</v>
      </c>
      <c r="E629" s="154" t="s">
        <v>19</v>
      </c>
      <c r="F629" s="191">
        <v>2</v>
      </c>
      <c r="G629" s="192">
        <v>2.37</v>
      </c>
      <c r="H629" s="191">
        <f t="shared" si="114"/>
        <v>2.37</v>
      </c>
      <c r="I629" s="599">
        <f t="shared" si="116"/>
        <v>4.74</v>
      </c>
    </row>
    <row r="630" spans="1:9" s="26" customFormat="1" ht="28.5" x14ac:dyDescent="0.2">
      <c r="A630" s="320" t="s">
        <v>2363</v>
      </c>
      <c r="B630" s="154" t="s">
        <v>46</v>
      </c>
      <c r="C630" s="153" t="s">
        <v>109</v>
      </c>
      <c r="D630" s="148" t="s">
        <v>1878</v>
      </c>
      <c r="E630" s="154" t="s">
        <v>19</v>
      </c>
      <c r="F630" s="191">
        <v>7</v>
      </c>
      <c r="G630" s="192">
        <v>0.67</v>
      </c>
      <c r="H630" s="191">
        <f t="shared" si="114"/>
        <v>0.67</v>
      </c>
      <c r="I630" s="599">
        <f t="shared" si="116"/>
        <v>4.6900000000000004</v>
      </c>
    </row>
    <row r="631" spans="1:9" s="26" customFormat="1" ht="28.5" x14ac:dyDescent="0.2">
      <c r="A631" s="320" t="s">
        <v>2364</v>
      </c>
      <c r="B631" s="154" t="s">
        <v>46</v>
      </c>
      <c r="C631" s="153" t="s">
        <v>110</v>
      </c>
      <c r="D631" s="148" t="s">
        <v>1879</v>
      </c>
      <c r="E631" s="154" t="s">
        <v>19</v>
      </c>
      <c r="F631" s="191">
        <v>2</v>
      </c>
      <c r="G631" s="192">
        <v>0.34</v>
      </c>
      <c r="H631" s="191">
        <f t="shared" si="114"/>
        <v>0.34</v>
      </c>
      <c r="I631" s="599">
        <f t="shared" si="116"/>
        <v>0.68</v>
      </c>
    </row>
    <row r="632" spans="1:9" s="26" customFormat="1" ht="14.25" customHeight="1" x14ac:dyDescent="0.2">
      <c r="A632" s="320" t="s">
        <v>2365</v>
      </c>
      <c r="B632" s="154" t="s">
        <v>46</v>
      </c>
      <c r="C632" s="153" t="s">
        <v>111</v>
      </c>
      <c r="D632" s="148" t="s">
        <v>1880</v>
      </c>
      <c r="E632" s="154" t="s">
        <v>19</v>
      </c>
      <c r="F632" s="191">
        <v>4</v>
      </c>
      <c r="G632" s="192">
        <v>2.2599999999999998</v>
      </c>
      <c r="H632" s="191">
        <f t="shared" si="114"/>
        <v>2.2599999999999998</v>
      </c>
      <c r="I632" s="599">
        <f t="shared" si="116"/>
        <v>9.0399999999999991</v>
      </c>
    </row>
    <row r="633" spans="1:9" s="26" customFormat="1" ht="14.25" x14ac:dyDescent="0.2">
      <c r="A633" s="320" t="s">
        <v>2366</v>
      </c>
      <c r="B633" s="154" t="s">
        <v>46</v>
      </c>
      <c r="C633" s="153" t="s">
        <v>112</v>
      </c>
      <c r="D633" s="148" t="s">
        <v>1881</v>
      </c>
      <c r="E633" s="154" t="s">
        <v>19</v>
      </c>
      <c r="F633" s="191">
        <v>5</v>
      </c>
      <c r="G633" s="192">
        <v>1.47</v>
      </c>
      <c r="H633" s="191">
        <f t="shared" si="114"/>
        <v>1.47</v>
      </c>
      <c r="I633" s="599">
        <f t="shared" si="116"/>
        <v>7.35</v>
      </c>
    </row>
    <row r="634" spans="1:9" s="26" customFormat="1" ht="14.25" x14ac:dyDescent="0.2">
      <c r="A634" s="320" t="s">
        <v>2367</v>
      </c>
      <c r="B634" s="154" t="s">
        <v>46</v>
      </c>
      <c r="C634" s="153" t="s">
        <v>113</v>
      </c>
      <c r="D634" s="148" t="s">
        <v>1882</v>
      </c>
      <c r="E634" s="154" t="s">
        <v>19</v>
      </c>
      <c r="F634" s="191">
        <v>15</v>
      </c>
      <c r="G634" s="192">
        <v>0.38</v>
      </c>
      <c r="H634" s="191">
        <f t="shared" si="114"/>
        <v>0.38</v>
      </c>
      <c r="I634" s="599">
        <f t="shared" si="116"/>
        <v>5.7</v>
      </c>
    </row>
    <row r="635" spans="1:9" s="26" customFormat="1" ht="14.25" x14ac:dyDescent="0.2">
      <c r="A635" s="320" t="s">
        <v>2368</v>
      </c>
      <c r="B635" s="154" t="s">
        <v>46</v>
      </c>
      <c r="C635" s="153" t="s">
        <v>114</v>
      </c>
      <c r="D635" s="148" t="s">
        <v>1883</v>
      </c>
      <c r="E635" s="154" t="s">
        <v>19</v>
      </c>
      <c r="F635" s="191">
        <v>5</v>
      </c>
      <c r="G635" s="192">
        <v>10</v>
      </c>
      <c r="H635" s="191">
        <f t="shared" si="114"/>
        <v>10</v>
      </c>
      <c r="I635" s="599">
        <f t="shared" si="116"/>
        <v>50</v>
      </c>
    </row>
    <row r="636" spans="1:9" s="26" customFormat="1" ht="28.5" x14ac:dyDescent="0.2">
      <c r="A636" s="320" t="s">
        <v>2369</v>
      </c>
      <c r="B636" s="154" t="s">
        <v>46</v>
      </c>
      <c r="C636" s="153">
        <v>3515</v>
      </c>
      <c r="D636" s="148" t="s">
        <v>1884</v>
      </c>
      <c r="E636" s="154" t="s">
        <v>19</v>
      </c>
      <c r="F636" s="191">
        <v>7</v>
      </c>
      <c r="G636" s="192">
        <v>4.25</v>
      </c>
      <c r="H636" s="191">
        <f t="shared" si="114"/>
        <v>4.25</v>
      </c>
      <c r="I636" s="599">
        <f t="shared" si="116"/>
        <v>29.75</v>
      </c>
    </row>
    <row r="637" spans="1:9" s="26" customFormat="1" ht="28.5" x14ac:dyDescent="0.2">
      <c r="A637" s="320" t="s">
        <v>2370</v>
      </c>
      <c r="B637" s="154" t="s">
        <v>46</v>
      </c>
      <c r="C637" s="153">
        <v>3524</v>
      </c>
      <c r="D637" s="148" t="s">
        <v>1885</v>
      </c>
      <c r="E637" s="154" t="s">
        <v>19</v>
      </c>
      <c r="F637" s="191">
        <v>5</v>
      </c>
      <c r="G637" s="192">
        <v>5.19</v>
      </c>
      <c r="H637" s="191">
        <f t="shared" si="114"/>
        <v>5.19</v>
      </c>
      <c r="I637" s="599">
        <f t="shared" si="116"/>
        <v>25.950000000000003</v>
      </c>
    </row>
    <row r="638" spans="1:9" s="26" customFormat="1" ht="14.25" customHeight="1" x14ac:dyDescent="0.2">
      <c r="A638" s="320" t="s">
        <v>2371</v>
      </c>
      <c r="B638" s="145" t="s">
        <v>46</v>
      </c>
      <c r="C638" s="153" t="s">
        <v>116</v>
      </c>
      <c r="D638" s="148" t="s">
        <v>1886</v>
      </c>
      <c r="E638" s="154" t="s">
        <v>19</v>
      </c>
      <c r="F638" s="191">
        <v>4</v>
      </c>
      <c r="G638" s="192">
        <v>1.58</v>
      </c>
      <c r="H638" s="191">
        <f t="shared" si="114"/>
        <v>1.58</v>
      </c>
      <c r="I638" s="599">
        <f t="shared" si="116"/>
        <v>6.32</v>
      </c>
    </row>
    <row r="639" spans="1:9" s="26" customFormat="1" ht="14.25" customHeight="1" x14ac:dyDescent="0.2">
      <c r="A639" s="320" t="s">
        <v>2372</v>
      </c>
      <c r="B639" s="183" t="s">
        <v>46</v>
      </c>
      <c r="C639" s="153" t="s">
        <v>117</v>
      </c>
      <c r="D639" s="148" t="s">
        <v>1887</v>
      </c>
      <c r="E639" s="154" t="s">
        <v>19</v>
      </c>
      <c r="F639" s="191">
        <v>8</v>
      </c>
      <c r="G639" s="192">
        <v>0.8</v>
      </c>
      <c r="H639" s="191">
        <f t="shared" si="114"/>
        <v>0.8</v>
      </c>
      <c r="I639" s="599">
        <f t="shared" si="116"/>
        <v>6.4</v>
      </c>
    </row>
    <row r="640" spans="1:9" s="26" customFormat="1" ht="28.5" x14ac:dyDescent="0.2">
      <c r="A640" s="320" t="s">
        <v>2373</v>
      </c>
      <c r="B640" s="145" t="s">
        <v>46</v>
      </c>
      <c r="C640" s="153">
        <v>6021</v>
      </c>
      <c r="D640" s="148" t="s">
        <v>1888</v>
      </c>
      <c r="E640" s="154" t="s">
        <v>19</v>
      </c>
      <c r="F640" s="191">
        <v>2</v>
      </c>
      <c r="G640" s="192">
        <v>42.26</v>
      </c>
      <c r="H640" s="191">
        <f t="shared" si="114"/>
        <v>42.26</v>
      </c>
      <c r="I640" s="599">
        <f t="shared" si="116"/>
        <v>84.52</v>
      </c>
    </row>
    <row r="641" spans="1:9" s="26" customFormat="1" ht="28.5" x14ac:dyDescent="0.2">
      <c r="A641" s="320" t="s">
        <v>2374</v>
      </c>
      <c r="B641" s="145" t="s">
        <v>46</v>
      </c>
      <c r="C641" s="153" t="s">
        <v>188</v>
      </c>
      <c r="D641" s="148" t="s">
        <v>1889</v>
      </c>
      <c r="E641" s="154" t="s">
        <v>19</v>
      </c>
      <c r="F641" s="191">
        <v>2</v>
      </c>
      <c r="G641" s="192">
        <v>56.7</v>
      </c>
      <c r="H641" s="191">
        <f t="shared" si="114"/>
        <v>56.7</v>
      </c>
      <c r="I641" s="599">
        <f t="shared" si="116"/>
        <v>113.4</v>
      </c>
    </row>
    <row r="642" spans="1:9" s="26" customFormat="1" ht="14.25" x14ac:dyDescent="0.2">
      <c r="A642" s="320" t="s">
        <v>2375</v>
      </c>
      <c r="B642" s="154" t="s">
        <v>46</v>
      </c>
      <c r="C642" s="153">
        <v>3874</v>
      </c>
      <c r="D642" s="148" t="s">
        <v>1890</v>
      </c>
      <c r="E642" s="154" t="s">
        <v>19</v>
      </c>
      <c r="F642" s="191">
        <v>2</v>
      </c>
      <c r="G642" s="192">
        <v>3.68</v>
      </c>
      <c r="H642" s="191">
        <f t="shared" si="114"/>
        <v>3.68</v>
      </c>
      <c r="I642" s="599">
        <f t="shared" si="116"/>
        <v>7.36</v>
      </c>
    </row>
    <row r="643" spans="1:9" s="26" customFormat="1" ht="28.5" x14ac:dyDescent="0.2">
      <c r="A643" s="320" t="s">
        <v>2376</v>
      </c>
      <c r="B643" s="154" t="s">
        <v>46</v>
      </c>
      <c r="C643" s="153" t="s">
        <v>118</v>
      </c>
      <c r="D643" s="148" t="s">
        <v>1891</v>
      </c>
      <c r="E643" s="154" t="s">
        <v>19</v>
      </c>
      <c r="F643" s="191">
        <v>1</v>
      </c>
      <c r="G643" s="192">
        <v>25.9</v>
      </c>
      <c r="H643" s="191">
        <f t="shared" si="114"/>
        <v>25.9</v>
      </c>
      <c r="I643" s="599">
        <f t="shared" ref="I643:I680" si="117">F643*H643</f>
        <v>25.9</v>
      </c>
    </row>
    <row r="644" spans="1:9" s="26" customFormat="1" ht="28.5" x14ac:dyDescent="0.2">
      <c r="A644" s="320" t="s">
        <v>2377</v>
      </c>
      <c r="B644" s="154" t="s">
        <v>46</v>
      </c>
      <c r="C644" s="153" t="s">
        <v>119</v>
      </c>
      <c r="D644" s="148" t="s">
        <v>1892</v>
      </c>
      <c r="E644" s="154" t="s">
        <v>19</v>
      </c>
      <c r="F644" s="191">
        <v>1</v>
      </c>
      <c r="G644" s="192">
        <v>15.97</v>
      </c>
      <c r="H644" s="191">
        <f t="shared" si="114"/>
        <v>15.97</v>
      </c>
      <c r="I644" s="599">
        <f t="shared" si="117"/>
        <v>15.97</v>
      </c>
    </row>
    <row r="645" spans="1:9" s="26" customFormat="1" ht="29.25" thickBot="1" x14ac:dyDescent="0.25">
      <c r="A645" s="920" t="s">
        <v>2378</v>
      </c>
      <c r="B645" s="913" t="s">
        <v>46</v>
      </c>
      <c r="C645" s="1046" t="s">
        <v>120</v>
      </c>
      <c r="D645" s="584" t="s">
        <v>1893</v>
      </c>
      <c r="E645" s="913" t="s">
        <v>19</v>
      </c>
      <c r="F645" s="1034">
        <v>2</v>
      </c>
      <c r="G645" s="1035">
        <v>12.68</v>
      </c>
      <c r="H645" s="1034">
        <f t="shared" si="114"/>
        <v>12.68</v>
      </c>
      <c r="I645" s="1040">
        <f t="shared" si="117"/>
        <v>25.36</v>
      </c>
    </row>
    <row r="646" spans="1:9" s="26" customFormat="1" ht="14.25" x14ac:dyDescent="0.2">
      <c r="A646" s="918" t="s">
        <v>2379</v>
      </c>
      <c r="B646" s="1047" t="s">
        <v>46</v>
      </c>
      <c r="C646" s="949" t="s">
        <v>121</v>
      </c>
      <c r="D646" s="900" t="s">
        <v>1894</v>
      </c>
      <c r="E646" s="899" t="s">
        <v>19</v>
      </c>
      <c r="F646" s="1038">
        <v>2</v>
      </c>
      <c r="G646" s="1048">
        <v>1.01</v>
      </c>
      <c r="H646" s="1038">
        <f t="shared" si="114"/>
        <v>1.01</v>
      </c>
      <c r="I646" s="1039">
        <f t="shared" si="117"/>
        <v>2.02</v>
      </c>
    </row>
    <row r="647" spans="1:9" s="26" customFormat="1" ht="14.25" x14ac:dyDescent="0.2">
      <c r="A647" s="320" t="s">
        <v>2380</v>
      </c>
      <c r="B647" s="145" t="s">
        <v>46</v>
      </c>
      <c r="C647" s="153" t="s">
        <v>122</v>
      </c>
      <c r="D647" s="148" t="s">
        <v>1895</v>
      </c>
      <c r="E647" s="154" t="s">
        <v>19</v>
      </c>
      <c r="F647" s="191">
        <v>1</v>
      </c>
      <c r="G647" s="192">
        <v>6.11</v>
      </c>
      <c r="H647" s="191">
        <f t="shared" si="114"/>
        <v>6.11</v>
      </c>
      <c r="I647" s="599">
        <f t="shared" si="117"/>
        <v>6.11</v>
      </c>
    </row>
    <row r="648" spans="1:9" s="26" customFormat="1" ht="28.5" x14ac:dyDescent="0.2">
      <c r="A648" s="320" t="s">
        <v>2381</v>
      </c>
      <c r="B648" s="145" t="s">
        <v>46</v>
      </c>
      <c r="C648" s="153" t="s">
        <v>123</v>
      </c>
      <c r="D648" s="148" t="s">
        <v>1896</v>
      </c>
      <c r="E648" s="154" t="s">
        <v>19</v>
      </c>
      <c r="F648" s="191">
        <v>4</v>
      </c>
      <c r="G648" s="192">
        <v>46.32</v>
      </c>
      <c r="H648" s="191">
        <f t="shared" si="114"/>
        <v>46.32</v>
      </c>
      <c r="I648" s="599">
        <f t="shared" si="117"/>
        <v>185.28</v>
      </c>
    </row>
    <row r="649" spans="1:9" s="26" customFormat="1" ht="28.5" x14ac:dyDescent="0.2">
      <c r="A649" s="320" t="s">
        <v>2382</v>
      </c>
      <c r="B649" s="145" t="s">
        <v>46</v>
      </c>
      <c r="C649" s="153" t="s">
        <v>124</v>
      </c>
      <c r="D649" s="148" t="s">
        <v>1897</v>
      </c>
      <c r="E649" s="154" t="s">
        <v>19</v>
      </c>
      <c r="F649" s="191">
        <v>1</v>
      </c>
      <c r="G649" s="192">
        <v>78.83</v>
      </c>
      <c r="H649" s="191">
        <f t="shared" si="114"/>
        <v>78.83</v>
      </c>
      <c r="I649" s="599">
        <f t="shared" si="117"/>
        <v>78.83</v>
      </c>
    </row>
    <row r="650" spans="1:9" s="26" customFormat="1" ht="14.25" customHeight="1" x14ac:dyDescent="0.2">
      <c r="A650" s="320" t="s">
        <v>2383</v>
      </c>
      <c r="B650" s="145" t="s">
        <v>46</v>
      </c>
      <c r="C650" s="153" t="s">
        <v>125</v>
      </c>
      <c r="D650" s="148" t="s">
        <v>1898</v>
      </c>
      <c r="E650" s="154" t="s">
        <v>19</v>
      </c>
      <c r="F650" s="191">
        <v>2</v>
      </c>
      <c r="G650" s="192">
        <v>2.85</v>
      </c>
      <c r="H650" s="191">
        <f>G650</f>
        <v>2.85</v>
      </c>
      <c r="I650" s="599">
        <f t="shared" si="117"/>
        <v>5.7</v>
      </c>
    </row>
    <row r="651" spans="1:9" s="26" customFormat="1" ht="14.25" x14ac:dyDescent="0.2">
      <c r="A651" s="320" t="s">
        <v>2384</v>
      </c>
      <c r="B651" s="154" t="s">
        <v>46</v>
      </c>
      <c r="C651" s="153" t="s">
        <v>126</v>
      </c>
      <c r="D651" s="148" t="s">
        <v>1899</v>
      </c>
      <c r="E651" s="154" t="s">
        <v>19</v>
      </c>
      <c r="F651" s="191">
        <v>1</v>
      </c>
      <c r="G651" s="192">
        <v>3.45</v>
      </c>
      <c r="H651" s="191">
        <f t="shared" si="114"/>
        <v>3.45</v>
      </c>
      <c r="I651" s="599">
        <f t="shared" si="117"/>
        <v>3.45</v>
      </c>
    </row>
    <row r="652" spans="1:9" s="26" customFormat="1" ht="14.25" x14ac:dyDescent="0.2">
      <c r="A652" s="320" t="s">
        <v>2385</v>
      </c>
      <c r="B652" s="154" t="s">
        <v>46</v>
      </c>
      <c r="C652" s="153" t="s">
        <v>128</v>
      </c>
      <c r="D652" s="148" t="s">
        <v>1900</v>
      </c>
      <c r="E652" s="154" t="s">
        <v>19</v>
      </c>
      <c r="F652" s="191">
        <v>1</v>
      </c>
      <c r="G652" s="192">
        <v>0.95</v>
      </c>
      <c r="H652" s="191">
        <f t="shared" si="114"/>
        <v>0.95</v>
      </c>
      <c r="I652" s="599">
        <f t="shared" si="117"/>
        <v>0.95</v>
      </c>
    </row>
    <row r="653" spans="1:9" s="26" customFormat="1" ht="28.5" x14ac:dyDescent="0.2">
      <c r="A653" s="320" t="s">
        <v>2386</v>
      </c>
      <c r="B653" s="154" t="s">
        <v>46</v>
      </c>
      <c r="C653" s="153" t="s">
        <v>183</v>
      </c>
      <c r="D653" s="148" t="s">
        <v>1901</v>
      </c>
      <c r="E653" s="154" t="s">
        <v>19</v>
      </c>
      <c r="F653" s="191">
        <v>1</v>
      </c>
      <c r="G653" s="192">
        <v>49.1</v>
      </c>
      <c r="H653" s="191">
        <f t="shared" si="114"/>
        <v>49.1</v>
      </c>
      <c r="I653" s="599">
        <f t="shared" si="117"/>
        <v>49.1</v>
      </c>
    </row>
    <row r="654" spans="1:9" s="26" customFormat="1" ht="14.25" x14ac:dyDescent="0.2">
      <c r="A654" s="320" t="s">
        <v>2387</v>
      </c>
      <c r="B654" s="154" t="s">
        <v>46</v>
      </c>
      <c r="C654" s="153">
        <v>3499</v>
      </c>
      <c r="D654" s="148" t="s">
        <v>1902</v>
      </c>
      <c r="E654" s="154" t="s">
        <v>19</v>
      </c>
      <c r="F654" s="191">
        <v>2</v>
      </c>
      <c r="G654" s="192">
        <v>0.57999999999999996</v>
      </c>
      <c r="H654" s="191">
        <f t="shared" si="114"/>
        <v>0.57999999999999996</v>
      </c>
      <c r="I654" s="599">
        <f t="shared" si="117"/>
        <v>1.1599999999999999</v>
      </c>
    </row>
    <row r="655" spans="1:9" s="26" customFormat="1" ht="28.5" x14ac:dyDescent="0.2">
      <c r="A655" s="320" t="s">
        <v>2388</v>
      </c>
      <c r="B655" s="154" t="s">
        <v>46</v>
      </c>
      <c r="C655" s="153" t="s">
        <v>182</v>
      </c>
      <c r="D655" s="148" t="s">
        <v>1888</v>
      </c>
      <c r="E655" s="154" t="s">
        <v>19</v>
      </c>
      <c r="F655" s="191">
        <v>1</v>
      </c>
      <c r="G655" s="192">
        <v>42.26</v>
      </c>
      <c r="H655" s="191">
        <f t="shared" si="114"/>
        <v>42.26</v>
      </c>
      <c r="I655" s="599">
        <f t="shared" si="117"/>
        <v>42.26</v>
      </c>
    </row>
    <row r="656" spans="1:9" s="26" customFormat="1" ht="14.25" customHeight="1" x14ac:dyDescent="0.2">
      <c r="A656" s="320" t="s">
        <v>2389</v>
      </c>
      <c r="B656" s="154" t="s">
        <v>46</v>
      </c>
      <c r="C656" s="153" t="s">
        <v>130</v>
      </c>
      <c r="D656" s="148" t="s">
        <v>1903</v>
      </c>
      <c r="E656" s="154" t="s">
        <v>19</v>
      </c>
      <c r="F656" s="191">
        <v>1</v>
      </c>
      <c r="G656" s="192">
        <v>0.71</v>
      </c>
      <c r="H656" s="191">
        <f t="shared" si="114"/>
        <v>0.71</v>
      </c>
      <c r="I656" s="599">
        <f t="shared" si="117"/>
        <v>0.71</v>
      </c>
    </row>
    <row r="657" spans="1:9" s="26" customFormat="1" ht="14.25" x14ac:dyDescent="0.2">
      <c r="A657" s="320" t="s">
        <v>2390</v>
      </c>
      <c r="B657" s="154" t="s">
        <v>46</v>
      </c>
      <c r="C657" s="153">
        <v>3861</v>
      </c>
      <c r="D657" s="148" t="s">
        <v>1904</v>
      </c>
      <c r="E657" s="154" t="s">
        <v>19</v>
      </c>
      <c r="F657" s="191">
        <v>1</v>
      </c>
      <c r="G657" s="192">
        <v>0.47</v>
      </c>
      <c r="H657" s="191">
        <f t="shared" si="114"/>
        <v>0.47</v>
      </c>
      <c r="I657" s="599">
        <f t="shared" si="117"/>
        <v>0.47</v>
      </c>
    </row>
    <row r="658" spans="1:9" s="26" customFormat="1" ht="14.25" x14ac:dyDescent="0.2">
      <c r="A658" s="320" t="s">
        <v>2391</v>
      </c>
      <c r="B658" s="145" t="s">
        <v>46</v>
      </c>
      <c r="C658" s="154" t="s">
        <v>131</v>
      </c>
      <c r="D658" s="148" t="s">
        <v>1905</v>
      </c>
      <c r="E658" s="154" t="s">
        <v>19</v>
      </c>
      <c r="F658" s="191">
        <v>1</v>
      </c>
      <c r="G658" s="192">
        <v>5.92</v>
      </c>
      <c r="H658" s="191">
        <f t="shared" si="114"/>
        <v>5.92</v>
      </c>
      <c r="I658" s="599">
        <f t="shared" si="117"/>
        <v>5.92</v>
      </c>
    </row>
    <row r="659" spans="1:9" s="26" customFormat="1" ht="14.25" x14ac:dyDescent="0.2">
      <c r="A659" s="320" t="s">
        <v>2392</v>
      </c>
      <c r="B659" s="154" t="s">
        <v>46</v>
      </c>
      <c r="C659" s="153" t="s">
        <v>132</v>
      </c>
      <c r="D659" s="148" t="s">
        <v>1906</v>
      </c>
      <c r="E659" s="154" t="s">
        <v>19</v>
      </c>
      <c r="F659" s="191">
        <v>1</v>
      </c>
      <c r="G659" s="192">
        <v>5.01</v>
      </c>
      <c r="H659" s="191">
        <f t="shared" si="114"/>
        <v>5.01</v>
      </c>
      <c r="I659" s="599">
        <f t="shared" si="117"/>
        <v>5.01</v>
      </c>
    </row>
    <row r="660" spans="1:9" s="26" customFormat="1" ht="28.5" x14ac:dyDescent="0.2">
      <c r="A660" s="320" t="s">
        <v>2393</v>
      </c>
      <c r="B660" s="154" t="s">
        <v>46</v>
      </c>
      <c r="C660" s="153">
        <v>7103</v>
      </c>
      <c r="D660" s="148" t="s">
        <v>1907</v>
      </c>
      <c r="E660" s="154" t="s">
        <v>19</v>
      </c>
      <c r="F660" s="191">
        <v>1</v>
      </c>
      <c r="G660" s="192">
        <v>12.33</v>
      </c>
      <c r="H660" s="191">
        <f t="shared" si="114"/>
        <v>12.33</v>
      </c>
      <c r="I660" s="599">
        <f t="shared" si="117"/>
        <v>12.33</v>
      </c>
    </row>
    <row r="661" spans="1:9" s="26" customFormat="1" ht="14.25" x14ac:dyDescent="0.2">
      <c r="A661" s="320" t="s">
        <v>2394</v>
      </c>
      <c r="B661" s="154" t="s">
        <v>46</v>
      </c>
      <c r="C661" s="153" t="s">
        <v>134</v>
      </c>
      <c r="D661" s="148" t="s">
        <v>1908</v>
      </c>
      <c r="E661" s="154" t="s">
        <v>19</v>
      </c>
      <c r="F661" s="191">
        <v>2</v>
      </c>
      <c r="G661" s="192">
        <v>14.32</v>
      </c>
      <c r="H661" s="191">
        <f t="shared" si="114"/>
        <v>14.32</v>
      </c>
      <c r="I661" s="599">
        <f t="shared" si="117"/>
        <v>28.64</v>
      </c>
    </row>
    <row r="662" spans="1:9" s="26" customFormat="1" ht="14.25" x14ac:dyDescent="0.2">
      <c r="A662" s="320" t="s">
        <v>2395</v>
      </c>
      <c r="B662" s="154" t="s">
        <v>46</v>
      </c>
      <c r="C662" s="153" t="s">
        <v>172</v>
      </c>
      <c r="D662" s="148" t="s">
        <v>1909</v>
      </c>
      <c r="E662" s="154" t="s">
        <v>19</v>
      </c>
      <c r="F662" s="191">
        <v>2</v>
      </c>
      <c r="G662" s="192">
        <v>1.71</v>
      </c>
      <c r="H662" s="191">
        <f t="shared" si="114"/>
        <v>1.71</v>
      </c>
      <c r="I662" s="599">
        <f t="shared" si="117"/>
        <v>3.42</v>
      </c>
    </row>
    <row r="663" spans="1:9" s="26" customFormat="1" ht="14.25" x14ac:dyDescent="0.2">
      <c r="A663" s="320" t="s">
        <v>2396</v>
      </c>
      <c r="B663" s="154" t="s">
        <v>66</v>
      </c>
      <c r="C663" s="153">
        <v>39319</v>
      </c>
      <c r="D663" s="148" t="s">
        <v>1910</v>
      </c>
      <c r="E663" s="154" t="s">
        <v>19</v>
      </c>
      <c r="F663" s="191">
        <v>1</v>
      </c>
      <c r="G663" s="192">
        <v>4.12</v>
      </c>
      <c r="H663" s="191">
        <f t="shared" si="114"/>
        <v>4.12</v>
      </c>
      <c r="I663" s="599">
        <f t="shared" si="117"/>
        <v>4.12</v>
      </c>
    </row>
    <row r="664" spans="1:9" s="26" customFormat="1" ht="14.25" x14ac:dyDescent="0.2">
      <c r="A664" s="320" t="s">
        <v>2397</v>
      </c>
      <c r="B664" s="154" t="s">
        <v>46</v>
      </c>
      <c r="C664" s="153" t="s">
        <v>137</v>
      </c>
      <c r="D664" s="148" t="s">
        <v>1911</v>
      </c>
      <c r="E664" s="154" t="s">
        <v>19</v>
      </c>
      <c r="F664" s="191">
        <v>4</v>
      </c>
      <c r="G664" s="192">
        <v>6.18</v>
      </c>
      <c r="H664" s="191">
        <f>G664</f>
        <v>6.18</v>
      </c>
      <c r="I664" s="599">
        <f t="shared" si="117"/>
        <v>24.72</v>
      </c>
    </row>
    <row r="665" spans="1:9" s="26" customFormat="1" ht="14.25" x14ac:dyDescent="0.2">
      <c r="A665" s="320" t="s">
        <v>2398</v>
      </c>
      <c r="B665" s="154" t="s">
        <v>46</v>
      </c>
      <c r="C665" s="153" t="s">
        <v>173</v>
      </c>
      <c r="D665" s="148" t="s">
        <v>1912</v>
      </c>
      <c r="E665" s="154" t="s">
        <v>19</v>
      </c>
      <c r="F665" s="191">
        <v>2</v>
      </c>
      <c r="G665" s="192">
        <v>7.94</v>
      </c>
      <c r="H665" s="191">
        <f t="shared" si="114"/>
        <v>7.94</v>
      </c>
      <c r="I665" s="599">
        <f t="shared" si="117"/>
        <v>15.88</v>
      </c>
    </row>
    <row r="666" spans="1:9" s="26" customFormat="1" ht="14.25" x14ac:dyDescent="0.2">
      <c r="A666" s="320" t="s">
        <v>2399</v>
      </c>
      <c r="B666" s="154" t="s">
        <v>46</v>
      </c>
      <c r="C666" s="153" t="s">
        <v>143</v>
      </c>
      <c r="D666" s="148" t="s">
        <v>1913</v>
      </c>
      <c r="E666" s="154" t="s">
        <v>19</v>
      </c>
      <c r="F666" s="191">
        <v>2</v>
      </c>
      <c r="G666" s="192">
        <v>6.61</v>
      </c>
      <c r="H666" s="191">
        <f t="shared" ref="H666:H680" si="118">G666</f>
        <v>6.61</v>
      </c>
      <c r="I666" s="599">
        <f t="shared" si="117"/>
        <v>13.22</v>
      </c>
    </row>
    <row r="667" spans="1:9" s="26" customFormat="1" ht="14.25" x14ac:dyDescent="0.2">
      <c r="A667" s="320" t="s">
        <v>2400</v>
      </c>
      <c r="B667" s="154" t="s">
        <v>46</v>
      </c>
      <c r="C667" s="153" t="s">
        <v>144</v>
      </c>
      <c r="D667" s="148" t="s">
        <v>1914</v>
      </c>
      <c r="E667" s="154" t="s">
        <v>19</v>
      </c>
      <c r="F667" s="191">
        <v>2</v>
      </c>
      <c r="G667" s="192">
        <v>10.17</v>
      </c>
      <c r="H667" s="191">
        <f t="shared" si="118"/>
        <v>10.17</v>
      </c>
      <c r="I667" s="599">
        <f t="shared" si="117"/>
        <v>20.34</v>
      </c>
    </row>
    <row r="668" spans="1:9" s="26" customFormat="1" ht="14.25" x14ac:dyDescent="0.2">
      <c r="A668" s="320" t="s">
        <v>2401</v>
      </c>
      <c r="B668" s="154" t="s">
        <v>46</v>
      </c>
      <c r="C668" s="153" t="s">
        <v>145</v>
      </c>
      <c r="D668" s="148" t="s">
        <v>1915</v>
      </c>
      <c r="E668" s="154" t="s">
        <v>19</v>
      </c>
      <c r="F668" s="191">
        <v>6</v>
      </c>
      <c r="G668" s="192">
        <v>12.12</v>
      </c>
      <c r="H668" s="191">
        <f t="shared" si="118"/>
        <v>12.12</v>
      </c>
      <c r="I668" s="599">
        <f t="shared" si="117"/>
        <v>72.72</v>
      </c>
    </row>
    <row r="669" spans="1:9" s="26" customFormat="1" ht="28.5" x14ac:dyDescent="0.2">
      <c r="A669" s="320" t="s">
        <v>2402</v>
      </c>
      <c r="B669" s="183" t="s">
        <v>46</v>
      </c>
      <c r="C669" s="153" t="s">
        <v>146</v>
      </c>
      <c r="D669" s="148" t="s">
        <v>1916</v>
      </c>
      <c r="E669" s="154" t="s">
        <v>19</v>
      </c>
      <c r="F669" s="191">
        <v>2</v>
      </c>
      <c r="G669" s="192">
        <v>2.4900000000000002</v>
      </c>
      <c r="H669" s="191">
        <f t="shared" si="118"/>
        <v>2.4900000000000002</v>
      </c>
      <c r="I669" s="599">
        <f t="shared" si="117"/>
        <v>4.9800000000000004</v>
      </c>
    </row>
    <row r="670" spans="1:9" s="26" customFormat="1" ht="14.25" x14ac:dyDescent="0.2">
      <c r="A670" s="320" t="s">
        <v>2403</v>
      </c>
      <c r="B670" s="154" t="s">
        <v>46</v>
      </c>
      <c r="C670" s="153">
        <v>6138</v>
      </c>
      <c r="D670" s="148" t="s">
        <v>1909</v>
      </c>
      <c r="E670" s="154" t="s">
        <v>19</v>
      </c>
      <c r="F670" s="191">
        <v>2</v>
      </c>
      <c r="G670" s="192">
        <v>1.71</v>
      </c>
      <c r="H670" s="191">
        <f t="shared" si="118"/>
        <v>1.71</v>
      </c>
      <c r="I670" s="599">
        <f t="shared" si="117"/>
        <v>3.42</v>
      </c>
    </row>
    <row r="671" spans="1:9" s="26" customFormat="1" ht="14.25" x14ac:dyDescent="0.2">
      <c r="A671" s="320" t="s">
        <v>2404</v>
      </c>
      <c r="B671" s="155" t="s">
        <v>46</v>
      </c>
      <c r="C671" s="153" t="s">
        <v>149</v>
      </c>
      <c r="D671" s="148" t="s">
        <v>1917</v>
      </c>
      <c r="E671" s="154" t="s">
        <v>19</v>
      </c>
      <c r="F671" s="191">
        <v>1</v>
      </c>
      <c r="G671" s="192">
        <v>11.12</v>
      </c>
      <c r="H671" s="191">
        <f t="shared" si="118"/>
        <v>11.12</v>
      </c>
      <c r="I671" s="599">
        <f t="shared" si="117"/>
        <v>11.12</v>
      </c>
    </row>
    <row r="672" spans="1:9" s="26" customFormat="1" ht="14.25" x14ac:dyDescent="0.2">
      <c r="A672" s="320" t="s">
        <v>2405</v>
      </c>
      <c r="B672" s="155" t="s">
        <v>46</v>
      </c>
      <c r="C672" s="153" t="s">
        <v>150</v>
      </c>
      <c r="D672" s="148" t="s">
        <v>1918</v>
      </c>
      <c r="E672" s="154" t="s">
        <v>19</v>
      </c>
      <c r="F672" s="191">
        <v>1</v>
      </c>
      <c r="G672" s="192">
        <v>10.5</v>
      </c>
      <c r="H672" s="191">
        <f t="shared" si="118"/>
        <v>10.5</v>
      </c>
      <c r="I672" s="599">
        <f t="shared" si="117"/>
        <v>10.5</v>
      </c>
    </row>
    <row r="673" spans="1:17" s="26" customFormat="1" ht="14.25" x14ac:dyDescent="0.2">
      <c r="A673" s="320" t="s">
        <v>2406</v>
      </c>
      <c r="B673" s="155" t="s">
        <v>46</v>
      </c>
      <c r="C673" s="153" t="s">
        <v>151</v>
      </c>
      <c r="D673" s="148" t="s">
        <v>1919</v>
      </c>
      <c r="E673" s="154" t="s">
        <v>19</v>
      </c>
      <c r="F673" s="191">
        <v>1</v>
      </c>
      <c r="G673" s="192">
        <v>32.909999999999997</v>
      </c>
      <c r="H673" s="191">
        <f t="shared" si="118"/>
        <v>32.909999999999997</v>
      </c>
      <c r="I673" s="599">
        <f t="shared" si="117"/>
        <v>32.909999999999997</v>
      </c>
    </row>
    <row r="674" spans="1:17" s="26" customFormat="1" ht="14.25" x14ac:dyDescent="0.2">
      <c r="A674" s="320" t="s">
        <v>2407</v>
      </c>
      <c r="B674" s="155" t="s">
        <v>46</v>
      </c>
      <c r="C674" s="153" t="s">
        <v>152</v>
      </c>
      <c r="D674" s="148" t="s">
        <v>1920</v>
      </c>
      <c r="E674" s="154" t="s">
        <v>19</v>
      </c>
      <c r="F674" s="191">
        <v>2</v>
      </c>
      <c r="G674" s="192">
        <v>6.13</v>
      </c>
      <c r="H674" s="191">
        <f t="shared" si="118"/>
        <v>6.13</v>
      </c>
      <c r="I674" s="599">
        <f t="shared" si="117"/>
        <v>12.26</v>
      </c>
    </row>
    <row r="675" spans="1:17" s="26" customFormat="1" ht="14.25" customHeight="1" x14ac:dyDescent="0.2">
      <c r="A675" s="320" t="s">
        <v>2408</v>
      </c>
      <c r="B675" s="155" t="s">
        <v>46</v>
      </c>
      <c r="C675" s="153">
        <v>1367</v>
      </c>
      <c r="D675" s="148" t="s">
        <v>1921</v>
      </c>
      <c r="E675" s="154" t="s">
        <v>19</v>
      </c>
      <c r="F675" s="191">
        <v>2</v>
      </c>
      <c r="G675" s="192">
        <v>155.91</v>
      </c>
      <c r="H675" s="191">
        <f t="shared" si="118"/>
        <v>155.91</v>
      </c>
      <c r="I675" s="599">
        <f t="shared" si="117"/>
        <v>311.82</v>
      </c>
    </row>
    <row r="676" spans="1:17" s="26" customFormat="1" ht="14.25" x14ac:dyDescent="0.2">
      <c r="A676" s="320" t="s">
        <v>2409</v>
      </c>
      <c r="B676" s="154" t="s">
        <v>46</v>
      </c>
      <c r="C676" s="153" t="s">
        <v>153</v>
      </c>
      <c r="D676" s="148" t="s">
        <v>1922</v>
      </c>
      <c r="E676" s="154" t="s">
        <v>19</v>
      </c>
      <c r="F676" s="191">
        <v>1</v>
      </c>
      <c r="G676" s="192">
        <v>283.02999999999997</v>
      </c>
      <c r="H676" s="191">
        <f t="shared" si="118"/>
        <v>283.02999999999997</v>
      </c>
      <c r="I676" s="599">
        <f t="shared" si="117"/>
        <v>283.02999999999997</v>
      </c>
    </row>
    <row r="677" spans="1:17" s="26" customFormat="1" ht="14.25" x14ac:dyDescent="0.2">
      <c r="A677" s="320" t="s">
        <v>2410</v>
      </c>
      <c r="B677" s="226" t="s">
        <v>46</v>
      </c>
      <c r="C677" s="226">
        <v>88267</v>
      </c>
      <c r="D677" s="148" t="s">
        <v>795</v>
      </c>
      <c r="E677" s="226" t="s">
        <v>15</v>
      </c>
      <c r="F677" s="146">
        <v>60</v>
      </c>
      <c r="G677" s="190">
        <v>21.01</v>
      </c>
      <c r="H677" s="191">
        <f t="shared" si="118"/>
        <v>21.01</v>
      </c>
      <c r="I677" s="599">
        <f t="shared" si="117"/>
        <v>1260.6000000000001</v>
      </c>
      <c r="J677" s="27"/>
      <c r="K677" s="27"/>
      <c r="L677" s="27"/>
      <c r="M677" s="27"/>
      <c r="N677" s="27"/>
      <c r="O677" s="27"/>
      <c r="P677" s="27"/>
      <c r="Q677" s="27"/>
    </row>
    <row r="678" spans="1:17" s="26" customFormat="1" ht="14.25" customHeight="1" x14ac:dyDescent="0.2">
      <c r="A678" s="320" t="s">
        <v>2411</v>
      </c>
      <c r="B678" s="226" t="s">
        <v>46</v>
      </c>
      <c r="C678" s="226">
        <v>88248</v>
      </c>
      <c r="D678" s="148" t="s">
        <v>796</v>
      </c>
      <c r="E678" s="226" t="s">
        <v>15</v>
      </c>
      <c r="F678" s="146">
        <v>60</v>
      </c>
      <c r="G678" s="236">
        <v>16.87</v>
      </c>
      <c r="H678" s="191">
        <f t="shared" si="118"/>
        <v>16.87</v>
      </c>
      <c r="I678" s="599">
        <f t="shared" si="117"/>
        <v>1012.2</v>
      </c>
      <c r="J678" s="27"/>
      <c r="K678" s="27"/>
      <c r="L678" s="27"/>
      <c r="M678" s="27"/>
      <c r="N678" s="27"/>
      <c r="O678" s="27"/>
      <c r="P678" s="27"/>
      <c r="Q678" s="27"/>
    </row>
    <row r="679" spans="1:17" s="26" customFormat="1" ht="14.25" x14ac:dyDescent="0.2">
      <c r="A679" s="320" t="s">
        <v>2412</v>
      </c>
      <c r="B679" s="227" t="s">
        <v>46</v>
      </c>
      <c r="C679" s="226">
        <v>88309</v>
      </c>
      <c r="D679" s="147" t="s">
        <v>1595</v>
      </c>
      <c r="E679" s="226" t="s">
        <v>15</v>
      </c>
      <c r="F679" s="146">
        <v>60</v>
      </c>
      <c r="G679" s="190">
        <v>19.34</v>
      </c>
      <c r="H679" s="191">
        <f t="shared" si="118"/>
        <v>19.34</v>
      </c>
      <c r="I679" s="599">
        <f t="shared" si="117"/>
        <v>1160.4000000000001</v>
      </c>
    </row>
    <row r="680" spans="1:17" s="26" customFormat="1" thickBot="1" x14ac:dyDescent="0.25">
      <c r="A680" s="920" t="s">
        <v>2413</v>
      </c>
      <c r="B680" s="586" t="s">
        <v>46</v>
      </c>
      <c r="C680" s="586">
        <v>88316</v>
      </c>
      <c r="D680" s="584" t="s">
        <v>797</v>
      </c>
      <c r="E680" s="586" t="s">
        <v>15</v>
      </c>
      <c r="F680" s="585">
        <v>60</v>
      </c>
      <c r="G680" s="1016">
        <v>16.64</v>
      </c>
      <c r="H680" s="1034">
        <f t="shared" si="118"/>
        <v>16.64</v>
      </c>
      <c r="I680" s="1040">
        <f t="shared" si="117"/>
        <v>998.40000000000009</v>
      </c>
      <c r="J680" s="27"/>
      <c r="K680" s="27"/>
      <c r="L680" s="27"/>
      <c r="M680" s="27"/>
      <c r="N680" s="27"/>
      <c r="O680" s="27"/>
      <c r="P680" s="27"/>
      <c r="Q680" s="27"/>
    </row>
    <row r="681" spans="1:17" s="126" customFormat="1" ht="14.25" x14ac:dyDescent="0.2">
      <c r="A681" s="918"/>
      <c r="B681" s="899"/>
      <c r="C681" s="949"/>
      <c r="D681" s="900"/>
      <c r="E681" s="899"/>
      <c r="F681" s="1038"/>
      <c r="G681" s="1048"/>
      <c r="H681" s="1038"/>
      <c r="I681" s="1039"/>
    </row>
    <row r="682" spans="1:17" s="26" customFormat="1" ht="15" customHeight="1" x14ac:dyDescent="0.2">
      <c r="A682" s="594">
        <v>50</v>
      </c>
      <c r="B682" s="298" t="s">
        <v>336</v>
      </c>
      <c r="C682" s="324" t="s">
        <v>1950</v>
      </c>
      <c r="D682" s="325" t="s">
        <v>419</v>
      </c>
      <c r="E682" s="298" t="s">
        <v>19</v>
      </c>
      <c r="F682" s="363"/>
      <c r="G682" s="364"/>
      <c r="H682" s="364"/>
      <c r="I682" s="595">
        <f>SUM(I683:I686)</f>
        <v>836.74</v>
      </c>
      <c r="J682" s="25"/>
      <c r="K682" s="25"/>
      <c r="L682" s="25"/>
      <c r="M682" s="25"/>
      <c r="N682" s="25"/>
      <c r="O682" s="25"/>
      <c r="Q682" s="25"/>
    </row>
    <row r="683" spans="1:17" s="26" customFormat="1" ht="14.25" x14ac:dyDescent="0.2">
      <c r="A683" s="320" t="s">
        <v>1841</v>
      </c>
      <c r="B683" s="154" t="s">
        <v>46</v>
      </c>
      <c r="C683" s="153" t="s">
        <v>424</v>
      </c>
      <c r="D683" s="148" t="s">
        <v>425</v>
      </c>
      <c r="E683" s="154" t="s">
        <v>19</v>
      </c>
      <c r="F683" s="191">
        <v>1</v>
      </c>
      <c r="G683" s="192">
        <v>57.44</v>
      </c>
      <c r="H683" s="191">
        <f t="shared" ref="H683:H686" si="119">G683</f>
        <v>57.44</v>
      </c>
      <c r="I683" s="599">
        <f t="shared" ref="I683:I686" si="120">F683*H683</f>
        <v>57.44</v>
      </c>
      <c r="J683" s="25"/>
      <c r="K683" s="25"/>
      <c r="L683" s="25"/>
      <c r="M683" s="25"/>
      <c r="N683" s="25"/>
      <c r="O683" s="25"/>
      <c r="Q683" s="25"/>
    </row>
    <row r="684" spans="1:17" s="26" customFormat="1" ht="14.25" x14ac:dyDescent="0.2">
      <c r="A684" s="320" t="s">
        <v>1842</v>
      </c>
      <c r="B684" s="154" t="s">
        <v>46</v>
      </c>
      <c r="C684" s="153">
        <v>95674</v>
      </c>
      <c r="D684" s="148" t="s">
        <v>1426</v>
      </c>
      <c r="E684" s="154" t="s">
        <v>19</v>
      </c>
      <c r="F684" s="191">
        <v>1</v>
      </c>
      <c r="G684" s="192">
        <v>103.2</v>
      </c>
      <c r="H684" s="191">
        <f t="shared" si="119"/>
        <v>103.2</v>
      </c>
      <c r="I684" s="599">
        <f t="shared" si="120"/>
        <v>103.2</v>
      </c>
      <c r="J684" s="25"/>
      <c r="K684" s="25"/>
      <c r="L684" s="25"/>
      <c r="M684" s="25"/>
      <c r="N684" s="25"/>
      <c r="O684" s="25"/>
      <c r="Q684" s="25"/>
    </row>
    <row r="685" spans="1:17" s="26" customFormat="1" ht="14.25" x14ac:dyDescent="0.2">
      <c r="A685" s="320" t="s">
        <v>1843</v>
      </c>
      <c r="B685" s="154" t="s">
        <v>46</v>
      </c>
      <c r="C685" s="153">
        <v>83878</v>
      </c>
      <c r="D685" s="148" t="s">
        <v>428</v>
      </c>
      <c r="E685" s="154" t="s">
        <v>19</v>
      </c>
      <c r="F685" s="191">
        <v>1</v>
      </c>
      <c r="G685" s="192">
        <v>46.35</v>
      </c>
      <c r="H685" s="191">
        <f t="shared" ref="H685" si="121">G685</f>
        <v>46.35</v>
      </c>
      <c r="I685" s="599">
        <f t="shared" ref="I685" si="122">F685*H685</f>
        <v>46.35</v>
      </c>
      <c r="J685" s="25"/>
      <c r="K685" s="25"/>
      <c r="L685" s="25"/>
      <c r="M685" s="25"/>
      <c r="N685" s="25"/>
      <c r="O685" s="25"/>
      <c r="Q685" s="25"/>
    </row>
    <row r="686" spans="1:17" s="26" customFormat="1" ht="28.5" x14ac:dyDescent="0.2">
      <c r="A686" s="320" t="s">
        <v>1844</v>
      </c>
      <c r="B686" s="154" t="s">
        <v>46</v>
      </c>
      <c r="C686" s="153" t="s">
        <v>426</v>
      </c>
      <c r="D686" s="148" t="s">
        <v>427</v>
      </c>
      <c r="E686" s="154" t="s">
        <v>18</v>
      </c>
      <c r="F686" s="191">
        <v>25</v>
      </c>
      <c r="G686" s="192">
        <v>25.19</v>
      </c>
      <c r="H686" s="191">
        <f t="shared" si="119"/>
        <v>25.19</v>
      </c>
      <c r="I686" s="599">
        <f t="shared" si="120"/>
        <v>629.75</v>
      </c>
      <c r="J686" s="25"/>
      <c r="K686" s="25"/>
      <c r="L686" s="25"/>
      <c r="M686" s="25"/>
      <c r="N686" s="25"/>
      <c r="O686" s="25"/>
      <c r="Q686" s="25"/>
    </row>
    <row r="687" spans="1:17" s="26" customFormat="1" ht="14.25" x14ac:dyDescent="0.2">
      <c r="A687" s="320"/>
      <c r="B687" s="154"/>
      <c r="C687" s="153"/>
      <c r="D687" s="148"/>
      <c r="E687" s="154"/>
      <c r="F687" s="191"/>
      <c r="G687" s="192"/>
      <c r="H687" s="191"/>
      <c r="I687" s="599"/>
    </row>
    <row r="688" spans="1:17" s="26" customFormat="1" ht="15" customHeight="1" x14ac:dyDescent="0.2">
      <c r="A688" s="594">
        <v>51</v>
      </c>
      <c r="B688" s="298" t="s">
        <v>336</v>
      </c>
      <c r="C688" s="324" t="s">
        <v>1970</v>
      </c>
      <c r="D688" s="325" t="s">
        <v>353</v>
      </c>
      <c r="E688" s="298" t="s">
        <v>19</v>
      </c>
      <c r="F688" s="363"/>
      <c r="G688" s="364"/>
      <c r="H688" s="364"/>
      <c r="I688" s="595">
        <f>SUM(I689:I698)</f>
        <v>1416.15</v>
      </c>
      <c r="J688" s="27"/>
      <c r="K688" s="28"/>
      <c r="L688" s="27"/>
      <c r="M688" s="27"/>
      <c r="N688" s="27"/>
      <c r="O688" s="27"/>
      <c r="P688" s="27"/>
      <c r="Q688" s="27"/>
    </row>
    <row r="689" spans="1:17" s="137" customFormat="1" ht="14.25" x14ac:dyDescent="0.2">
      <c r="A689" s="311" t="s">
        <v>1946</v>
      </c>
      <c r="B689" s="150" t="s">
        <v>46</v>
      </c>
      <c r="C689" s="281">
        <v>93358</v>
      </c>
      <c r="D689" s="285" t="s">
        <v>776</v>
      </c>
      <c r="E689" s="150" t="s">
        <v>17</v>
      </c>
      <c r="F689" s="146">
        <f>1.5*1.5*0.55+2*2*0.4</f>
        <v>2.8375000000000004</v>
      </c>
      <c r="G689" s="146">
        <v>65.819999999999993</v>
      </c>
      <c r="H689" s="146">
        <f>G689</f>
        <v>65.819999999999993</v>
      </c>
      <c r="I689" s="152">
        <f t="shared" ref="I689:I698" si="123">ROUND(F689*H689,2)</f>
        <v>186.76</v>
      </c>
      <c r="J689" s="136"/>
      <c r="K689" s="136"/>
      <c r="L689" s="136"/>
      <c r="M689" s="136"/>
      <c r="N689" s="136"/>
      <c r="O689" s="136"/>
      <c r="P689" s="136"/>
      <c r="Q689" s="136"/>
    </row>
    <row r="690" spans="1:17" s="26" customFormat="1" ht="61.5" customHeight="1" x14ac:dyDescent="0.2">
      <c r="A690" s="311" t="s">
        <v>1947</v>
      </c>
      <c r="B690" s="226" t="s">
        <v>46</v>
      </c>
      <c r="C690" s="226">
        <v>93379</v>
      </c>
      <c r="D690" s="156" t="s">
        <v>1427</v>
      </c>
      <c r="E690" s="226" t="s">
        <v>17</v>
      </c>
      <c r="F690" s="146">
        <v>0.28375000000000006</v>
      </c>
      <c r="G690" s="146">
        <v>13.31</v>
      </c>
      <c r="H690" s="146">
        <f t="shared" ref="H690:H697" si="124">ROUND((1+K$3)*G690,2)</f>
        <v>13.31</v>
      </c>
      <c r="I690" s="313">
        <f t="shared" si="123"/>
        <v>3.78</v>
      </c>
      <c r="J690" s="27"/>
      <c r="K690" s="28"/>
      <c r="L690" s="27"/>
      <c r="M690" s="27"/>
      <c r="N690" s="27"/>
      <c r="O690" s="27"/>
      <c r="P690" s="27"/>
      <c r="Q690" s="27"/>
    </row>
    <row r="691" spans="1:17" s="26" customFormat="1" ht="14.25" customHeight="1" x14ac:dyDescent="0.2">
      <c r="A691" s="311" t="s">
        <v>1948</v>
      </c>
      <c r="B691" s="226" t="s">
        <v>46</v>
      </c>
      <c r="C691" s="226">
        <v>88039</v>
      </c>
      <c r="D691" s="156" t="s">
        <v>717</v>
      </c>
      <c r="E691" s="226" t="s">
        <v>17</v>
      </c>
      <c r="F691" s="146">
        <v>2.5537500000000004</v>
      </c>
      <c r="G691" s="146">
        <v>69.37</v>
      </c>
      <c r="H691" s="146">
        <f t="shared" si="124"/>
        <v>69.37</v>
      </c>
      <c r="I691" s="313">
        <f t="shared" si="123"/>
        <v>177.15</v>
      </c>
      <c r="J691" s="27"/>
      <c r="K691" s="28"/>
      <c r="L691" s="27"/>
      <c r="M691" s="27"/>
      <c r="N691" s="27"/>
      <c r="O691" s="27"/>
      <c r="P691" s="27"/>
      <c r="Q691" s="27"/>
    </row>
    <row r="692" spans="1:17" s="26" customFormat="1" ht="14.25" x14ac:dyDescent="0.2">
      <c r="A692" s="311" t="s">
        <v>1949</v>
      </c>
      <c r="B692" s="226" t="s">
        <v>46</v>
      </c>
      <c r="C692" s="226">
        <v>83683</v>
      </c>
      <c r="D692" s="156" t="s">
        <v>826</v>
      </c>
      <c r="E692" s="226" t="s">
        <v>17</v>
      </c>
      <c r="F692" s="146">
        <v>0.22500000000000001</v>
      </c>
      <c r="G692" s="146">
        <v>104.94</v>
      </c>
      <c r="H692" s="146">
        <f t="shared" si="124"/>
        <v>104.94</v>
      </c>
      <c r="I692" s="313">
        <f t="shared" si="123"/>
        <v>23.61</v>
      </c>
      <c r="J692" s="27"/>
      <c r="K692" s="28"/>
      <c r="L692" s="27"/>
      <c r="M692" s="27"/>
      <c r="N692" s="27"/>
      <c r="O692" s="27"/>
      <c r="P692" s="27"/>
      <c r="Q692" s="27"/>
    </row>
    <row r="693" spans="1:17" s="26" customFormat="1" ht="28.5" x14ac:dyDescent="0.2">
      <c r="A693" s="311" t="s">
        <v>2414</v>
      </c>
      <c r="B693" s="226" t="s">
        <v>46</v>
      </c>
      <c r="C693" s="226">
        <v>95241</v>
      </c>
      <c r="D693" s="156" t="s">
        <v>706</v>
      </c>
      <c r="E693" s="226" t="s">
        <v>17</v>
      </c>
      <c r="F693" s="146">
        <v>6.7499999999999991</v>
      </c>
      <c r="G693" s="146">
        <v>19.88</v>
      </c>
      <c r="H693" s="146">
        <f t="shared" si="124"/>
        <v>19.88</v>
      </c>
      <c r="I693" s="313">
        <f t="shared" si="123"/>
        <v>134.19</v>
      </c>
      <c r="J693" s="27"/>
      <c r="K693" s="28"/>
      <c r="L693" s="27"/>
      <c r="M693" s="27"/>
      <c r="N693" s="27"/>
      <c r="O693" s="27"/>
      <c r="P693" s="27"/>
      <c r="Q693" s="27"/>
    </row>
    <row r="694" spans="1:17" s="26" customFormat="1" ht="57" x14ac:dyDescent="0.2">
      <c r="A694" s="311" t="s">
        <v>2415</v>
      </c>
      <c r="B694" s="226" t="s">
        <v>46</v>
      </c>
      <c r="C694" s="226">
        <v>87479</v>
      </c>
      <c r="D694" s="156" t="s">
        <v>718</v>
      </c>
      <c r="E694" s="226" t="s">
        <v>16</v>
      </c>
      <c r="F694" s="146">
        <v>2.4849999999999999</v>
      </c>
      <c r="G694" s="146">
        <v>44.94</v>
      </c>
      <c r="H694" s="146">
        <f t="shared" si="124"/>
        <v>44.94</v>
      </c>
      <c r="I694" s="313">
        <f t="shared" si="123"/>
        <v>111.68</v>
      </c>
      <c r="J694" s="27"/>
      <c r="K694" s="28"/>
      <c r="L694" s="27"/>
      <c r="M694" s="27"/>
      <c r="N694" s="27"/>
      <c r="O694" s="27"/>
      <c r="P694" s="27"/>
      <c r="Q694" s="27"/>
    </row>
    <row r="695" spans="1:17" s="26" customFormat="1" ht="57" x14ac:dyDescent="0.2">
      <c r="A695" s="311" t="s">
        <v>2416</v>
      </c>
      <c r="B695" s="226" t="s">
        <v>46</v>
      </c>
      <c r="C695" s="226">
        <v>92417</v>
      </c>
      <c r="D695" s="148" t="s">
        <v>1351</v>
      </c>
      <c r="E695" s="226" t="s">
        <v>16</v>
      </c>
      <c r="F695" s="146">
        <v>0.9</v>
      </c>
      <c r="G695" s="146">
        <v>96.25</v>
      </c>
      <c r="H695" s="146">
        <f t="shared" si="124"/>
        <v>96.25</v>
      </c>
      <c r="I695" s="313">
        <f t="shared" si="123"/>
        <v>86.63</v>
      </c>
      <c r="J695" s="27"/>
      <c r="K695" s="28"/>
      <c r="L695" s="27"/>
      <c r="M695" s="27"/>
      <c r="N695" s="27"/>
      <c r="O695" s="27"/>
      <c r="P695" s="27"/>
      <c r="Q695" s="27"/>
    </row>
    <row r="696" spans="1:17" s="26" customFormat="1" ht="14.25" x14ac:dyDescent="0.2">
      <c r="A696" s="311" t="s">
        <v>2417</v>
      </c>
      <c r="B696" s="226" t="s">
        <v>46</v>
      </c>
      <c r="C696" s="226">
        <v>73611</v>
      </c>
      <c r="D696" s="156" t="s">
        <v>354</v>
      </c>
      <c r="E696" s="226" t="s">
        <v>17</v>
      </c>
      <c r="F696" s="146">
        <v>1.6</v>
      </c>
      <c r="G696" s="146">
        <v>338.54</v>
      </c>
      <c r="H696" s="146">
        <f t="shared" si="124"/>
        <v>338.54</v>
      </c>
      <c r="I696" s="313">
        <f t="shared" si="123"/>
        <v>541.66</v>
      </c>
      <c r="J696" s="27"/>
      <c r="K696" s="28"/>
      <c r="L696" s="27"/>
      <c r="M696" s="27"/>
      <c r="N696" s="27"/>
      <c r="O696" s="27"/>
      <c r="P696" s="27"/>
      <c r="Q696" s="27"/>
    </row>
    <row r="697" spans="1:17" s="26" customFormat="1" ht="28.5" customHeight="1" x14ac:dyDescent="0.2">
      <c r="A697" s="311" t="s">
        <v>2418</v>
      </c>
      <c r="B697" s="226" t="s">
        <v>46</v>
      </c>
      <c r="C697" s="226">
        <v>87878</v>
      </c>
      <c r="D697" s="156" t="s">
        <v>719</v>
      </c>
      <c r="E697" s="226" t="s">
        <v>16</v>
      </c>
      <c r="F697" s="146">
        <v>4.97</v>
      </c>
      <c r="G697" s="146">
        <v>3.13</v>
      </c>
      <c r="H697" s="146">
        <f t="shared" si="124"/>
        <v>3.13</v>
      </c>
      <c r="I697" s="313">
        <f t="shared" si="123"/>
        <v>15.56</v>
      </c>
      <c r="J697" s="27"/>
      <c r="K697" s="28"/>
      <c r="L697" s="27"/>
      <c r="M697" s="27"/>
      <c r="N697" s="27"/>
      <c r="O697" s="27"/>
      <c r="P697" s="27"/>
      <c r="Q697" s="27"/>
    </row>
    <row r="698" spans="1:17" s="137" customFormat="1" ht="57" x14ac:dyDescent="0.2">
      <c r="A698" s="311" t="s">
        <v>2419</v>
      </c>
      <c r="B698" s="226" t="s">
        <v>46</v>
      </c>
      <c r="C698" s="226">
        <v>87527</v>
      </c>
      <c r="D698" s="156" t="s">
        <v>444</v>
      </c>
      <c r="E698" s="226" t="s">
        <v>16</v>
      </c>
      <c r="F698" s="146">
        <f>F694*2</f>
        <v>4.97</v>
      </c>
      <c r="G698" s="236">
        <v>27.19</v>
      </c>
      <c r="H698" s="146">
        <f t="shared" ref="H698" si="125">G698</f>
        <v>27.19</v>
      </c>
      <c r="I698" s="313">
        <f t="shared" si="123"/>
        <v>135.13</v>
      </c>
      <c r="J698" s="136"/>
      <c r="K698" s="136"/>
      <c r="L698" s="136"/>
      <c r="M698" s="136"/>
      <c r="N698" s="136"/>
      <c r="O698" s="136"/>
      <c r="P698" s="136"/>
      <c r="Q698" s="136"/>
    </row>
    <row r="699" spans="1:17" s="137" customFormat="1" ht="14.25" x14ac:dyDescent="0.2">
      <c r="A699" s="311"/>
      <c r="B699" s="226"/>
      <c r="C699" s="226"/>
      <c r="D699" s="156"/>
      <c r="E699" s="226"/>
      <c r="F699" s="146"/>
      <c r="G699" s="236"/>
      <c r="H699" s="146"/>
      <c r="I699" s="313"/>
      <c r="J699" s="136"/>
      <c r="K699" s="136"/>
      <c r="L699" s="136"/>
      <c r="M699" s="136"/>
      <c r="N699" s="136"/>
      <c r="O699" s="136"/>
      <c r="P699" s="136"/>
      <c r="Q699" s="136"/>
    </row>
    <row r="700" spans="1:17" s="26" customFormat="1" ht="30" x14ac:dyDescent="0.2">
      <c r="A700" s="594">
        <v>52</v>
      </c>
      <c r="B700" s="298" t="s">
        <v>336</v>
      </c>
      <c r="C700" s="324" t="s">
        <v>1969</v>
      </c>
      <c r="D700" s="325" t="str">
        <f>ORÇAMENTO!D607</f>
        <v>FORNECIMENTO E APLICAÇÃO DO MATERIAL HIDRÁULICO DAS INTERLIGAÇÕES DE PROCESSO, DRENAGEM E ÁGUA FRIA</v>
      </c>
      <c r="E700" s="298"/>
      <c r="F700" s="363"/>
      <c r="G700" s="364"/>
      <c r="H700" s="364"/>
      <c r="I700" s="595">
        <f>SUM(I702:I784)</f>
        <v>152990.76</v>
      </c>
    </row>
    <row r="701" spans="1:17" s="26" customFormat="1" x14ac:dyDescent="0.2">
      <c r="A701" s="603" t="s">
        <v>1957</v>
      </c>
      <c r="B701" s="254"/>
      <c r="C701" s="255"/>
      <c r="D701" s="256" t="s">
        <v>1286</v>
      </c>
      <c r="E701" s="254"/>
      <c r="F701" s="257"/>
      <c r="G701" s="258"/>
      <c r="H701" s="191"/>
      <c r="I701" s="599"/>
    </row>
    <row r="702" spans="1:17" s="26" customFormat="1" ht="14.25" x14ac:dyDescent="0.2">
      <c r="A702" s="320" t="s">
        <v>2420</v>
      </c>
      <c r="B702" s="154" t="s">
        <v>66</v>
      </c>
      <c r="C702" s="154"/>
      <c r="D702" s="148" t="s">
        <v>1299</v>
      </c>
      <c r="E702" s="154" t="s">
        <v>19</v>
      </c>
      <c r="F702" s="191">
        <v>1</v>
      </c>
      <c r="G702" s="236">
        <v>1320</v>
      </c>
      <c r="H702" s="146">
        <f t="shared" ref="H702" si="126">G702</f>
        <v>1320</v>
      </c>
      <c r="I702" s="313">
        <f t="shared" ref="I702" si="127">ROUND(F702*H702,2)</f>
        <v>1320</v>
      </c>
    </row>
    <row r="703" spans="1:17" s="26" customFormat="1" ht="14.25" x14ac:dyDescent="0.2">
      <c r="A703" s="320" t="s">
        <v>2421</v>
      </c>
      <c r="B703" s="154" t="s">
        <v>66</v>
      </c>
      <c r="C703" s="153"/>
      <c r="D703" s="148" t="s">
        <v>1300</v>
      </c>
      <c r="E703" s="154" t="s">
        <v>19</v>
      </c>
      <c r="F703" s="191">
        <v>2</v>
      </c>
      <c r="G703" s="236">
        <v>1480</v>
      </c>
      <c r="H703" s="146">
        <f t="shared" ref="H703:H766" si="128">G703</f>
        <v>1480</v>
      </c>
      <c r="I703" s="313">
        <f t="shared" ref="I703:I766" si="129">ROUND(F703*H703,2)</f>
        <v>2960</v>
      </c>
    </row>
    <row r="704" spans="1:17" s="26" customFormat="1" thickBot="1" x14ac:dyDescent="0.25">
      <c r="A704" s="920" t="s">
        <v>2422</v>
      </c>
      <c r="B704" s="913" t="s">
        <v>66</v>
      </c>
      <c r="C704" s="1046"/>
      <c r="D704" s="584" t="s">
        <v>1301</v>
      </c>
      <c r="E704" s="913" t="s">
        <v>19</v>
      </c>
      <c r="F704" s="1034">
        <v>1</v>
      </c>
      <c r="G704" s="1016">
        <v>4240</v>
      </c>
      <c r="H704" s="585">
        <f t="shared" si="128"/>
        <v>4240</v>
      </c>
      <c r="I704" s="915">
        <f t="shared" si="129"/>
        <v>4240</v>
      </c>
    </row>
    <row r="705" spans="1:9" s="26" customFormat="1" ht="14.25" x14ac:dyDescent="0.2">
      <c r="A705" s="918" t="s">
        <v>2423</v>
      </c>
      <c r="B705" s="899" t="s">
        <v>66</v>
      </c>
      <c r="C705" s="949"/>
      <c r="D705" s="900" t="s">
        <v>1302</v>
      </c>
      <c r="E705" s="899" t="s">
        <v>19</v>
      </c>
      <c r="F705" s="1038">
        <v>1</v>
      </c>
      <c r="G705" s="1015">
        <v>1486</v>
      </c>
      <c r="H705" s="901">
        <f t="shared" si="128"/>
        <v>1486</v>
      </c>
      <c r="I705" s="919">
        <f t="shared" si="129"/>
        <v>1486</v>
      </c>
    </row>
    <row r="706" spans="1:9" s="26" customFormat="1" ht="14.25" x14ac:dyDescent="0.2">
      <c r="A706" s="320" t="s">
        <v>2424</v>
      </c>
      <c r="B706" s="154" t="s">
        <v>66</v>
      </c>
      <c r="C706" s="153"/>
      <c r="D706" s="148" t="s">
        <v>1303</v>
      </c>
      <c r="E706" s="154" t="s">
        <v>19</v>
      </c>
      <c r="F706" s="191">
        <v>1</v>
      </c>
      <c r="G706" s="236">
        <v>2800</v>
      </c>
      <c r="H706" s="146">
        <f t="shared" si="128"/>
        <v>2800</v>
      </c>
      <c r="I706" s="313">
        <f t="shared" si="129"/>
        <v>2800</v>
      </c>
    </row>
    <row r="707" spans="1:9" s="26" customFormat="1" ht="14.25" x14ac:dyDescent="0.2">
      <c r="A707" s="320"/>
      <c r="B707" s="154"/>
      <c r="C707" s="153"/>
      <c r="D707" s="148"/>
      <c r="E707" s="154"/>
      <c r="F707" s="191"/>
      <c r="G707" s="192"/>
      <c r="H707" s="146"/>
      <c r="I707" s="313"/>
    </row>
    <row r="708" spans="1:9" s="26" customFormat="1" x14ac:dyDescent="0.2">
      <c r="A708" s="603" t="s">
        <v>1958</v>
      </c>
      <c r="B708" s="254"/>
      <c r="C708" s="255"/>
      <c r="D708" s="256" t="s">
        <v>1287</v>
      </c>
      <c r="E708" s="254"/>
      <c r="F708" s="257"/>
      <c r="G708" s="258"/>
      <c r="H708" s="191"/>
      <c r="I708" s="599"/>
    </row>
    <row r="709" spans="1:9" s="26" customFormat="1" ht="14.25" x14ac:dyDescent="0.2">
      <c r="A709" s="320" t="s">
        <v>2425</v>
      </c>
      <c r="B709" s="154" t="s">
        <v>46</v>
      </c>
      <c r="C709" s="153">
        <v>9827</v>
      </c>
      <c r="D709" s="148" t="s">
        <v>1304</v>
      </c>
      <c r="E709" s="154" t="s">
        <v>18</v>
      </c>
      <c r="F709" s="191">
        <v>27.5</v>
      </c>
      <c r="G709" s="192">
        <v>254.44</v>
      </c>
      <c r="H709" s="146"/>
      <c r="I709" s="313"/>
    </row>
    <row r="710" spans="1:9" s="26" customFormat="1" ht="14.25" x14ac:dyDescent="0.2">
      <c r="A710" s="320" t="s">
        <v>2426</v>
      </c>
      <c r="B710" s="154" t="s">
        <v>66</v>
      </c>
      <c r="C710" s="153"/>
      <c r="D710" s="148" t="s">
        <v>1305</v>
      </c>
      <c r="E710" s="154" t="s">
        <v>19</v>
      </c>
      <c r="F710" s="191">
        <v>2</v>
      </c>
      <c r="G710" s="236">
        <v>1360</v>
      </c>
      <c r="H710" s="146">
        <f t="shared" si="128"/>
        <v>1360</v>
      </c>
      <c r="I710" s="313">
        <f t="shared" si="129"/>
        <v>2720</v>
      </c>
    </row>
    <row r="711" spans="1:9" s="26" customFormat="1" ht="14.25" x14ac:dyDescent="0.2">
      <c r="A711" s="320" t="s">
        <v>2427</v>
      </c>
      <c r="B711" s="154" t="s">
        <v>66</v>
      </c>
      <c r="C711" s="226"/>
      <c r="D711" s="148" t="s">
        <v>1306</v>
      </c>
      <c r="E711" s="154" t="s">
        <v>19</v>
      </c>
      <c r="F711" s="191">
        <v>1</v>
      </c>
      <c r="G711" s="236">
        <v>1600</v>
      </c>
      <c r="H711" s="146">
        <f t="shared" si="128"/>
        <v>1600</v>
      </c>
      <c r="I711" s="313">
        <f t="shared" si="129"/>
        <v>1600</v>
      </c>
    </row>
    <row r="712" spans="1:9" s="26" customFormat="1" ht="14.25" x14ac:dyDescent="0.2">
      <c r="A712" s="320" t="s">
        <v>2428</v>
      </c>
      <c r="B712" s="154" t="s">
        <v>66</v>
      </c>
      <c r="C712" s="226"/>
      <c r="D712" s="148" t="s">
        <v>1307</v>
      </c>
      <c r="E712" s="154" t="s">
        <v>19</v>
      </c>
      <c r="F712" s="191">
        <v>1</v>
      </c>
      <c r="G712" s="236">
        <v>840</v>
      </c>
      <c r="H712" s="146">
        <f t="shared" si="128"/>
        <v>840</v>
      </c>
      <c r="I712" s="313">
        <f t="shared" si="129"/>
        <v>840</v>
      </c>
    </row>
    <row r="713" spans="1:9" s="26" customFormat="1" ht="14.25" x14ac:dyDescent="0.2">
      <c r="A713" s="320" t="s">
        <v>2429</v>
      </c>
      <c r="B713" s="154" t="s">
        <v>66</v>
      </c>
      <c r="C713" s="226"/>
      <c r="D713" s="148" t="s">
        <v>1308</v>
      </c>
      <c r="E713" s="154" t="s">
        <v>19</v>
      </c>
      <c r="F713" s="191">
        <v>1</v>
      </c>
      <c r="G713" s="236">
        <v>1100</v>
      </c>
      <c r="H713" s="146">
        <f t="shared" si="128"/>
        <v>1100</v>
      </c>
      <c r="I713" s="313">
        <f t="shared" si="129"/>
        <v>1100</v>
      </c>
    </row>
    <row r="714" spans="1:9" s="26" customFormat="1" ht="14.25" x14ac:dyDescent="0.2">
      <c r="A714" s="320"/>
      <c r="B714" s="226"/>
      <c r="C714" s="226"/>
      <c r="D714" s="148"/>
      <c r="E714" s="154"/>
      <c r="F714" s="191"/>
      <c r="G714" s="192"/>
      <c r="H714" s="146"/>
      <c r="I714" s="313"/>
    </row>
    <row r="715" spans="1:9" s="26" customFormat="1" x14ac:dyDescent="0.2">
      <c r="A715" s="603" t="s">
        <v>1959</v>
      </c>
      <c r="B715" s="254"/>
      <c r="C715" s="255"/>
      <c r="D715" s="256" t="s">
        <v>1288</v>
      </c>
      <c r="E715" s="254"/>
      <c r="F715" s="257"/>
      <c r="G715" s="258"/>
      <c r="H715" s="191"/>
      <c r="I715" s="599"/>
    </row>
    <row r="716" spans="1:9" s="26" customFormat="1" ht="14.25" x14ac:dyDescent="0.2">
      <c r="A716" s="320" t="s">
        <v>2430</v>
      </c>
      <c r="B716" s="154" t="s">
        <v>46</v>
      </c>
      <c r="C716" s="226">
        <v>9827</v>
      </c>
      <c r="D716" s="148" t="s">
        <v>1304</v>
      </c>
      <c r="E716" s="154" t="s">
        <v>18</v>
      </c>
      <c r="F716" s="191">
        <v>10.5</v>
      </c>
      <c r="G716" s="192">
        <v>254.44</v>
      </c>
      <c r="H716" s="146">
        <f t="shared" si="128"/>
        <v>254.44</v>
      </c>
      <c r="I716" s="313">
        <f t="shared" si="129"/>
        <v>2671.62</v>
      </c>
    </row>
    <row r="717" spans="1:9" s="26" customFormat="1" ht="14.25" x14ac:dyDescent="0.2">
      <c r="A717" s="320"/>
      <c r="B717" s="226"/>
      <c r="C717" s="226"/>
      <c r="D717" s="371"/>
      <c r="E717" s="154"/>
      <c r="F717" s="191"/>
      <c r="G717" s="192"/>
      <c r="H717" s="146"/>
      <c r="I717" s="313"/>
    </row>
    <row r="718" spans="1:9" s="26" customFormat="1" x14ac:dyDescent="0.2">
      <c r="A718" s="603" t="s">
        <v>1960</v>
      </c>
      <c r="B718" s="254"/>
      <c r="C718" s="255"/>
      <c r="D718" s="256" t="s">
        <v>1289</v>
      </c>
      <c r="E718" s="254"/>
      <c r="F718" s="257"/>
      <c r="G718" s="258"/>
      <c r="H718" s="191"/>
      <c r="I718" s="599"/>
    </row>
    <row r="719" spans="1:9" s="26" customFormat="1" ht="14.25" x14ac:dyDescent="0.2">
      <c r="A719" s="320" t="s">
        <v>2431</v>
      </c>
      <c r="B719" s="154" t="s">
        <v>46</v>
      </c>
      <c r="C719" s="153">
        <v>9828</v>
      </c>
      <c r="D719" s="148" t="s">
        <v>1309</v>
      </c>
      <c r="E719" s="154" t="s">
        <v>18</v>
      </c>
      <c r="F719" s="191">
        <v>48.2</v>
      </c>
      <c r="G719" s="192">
        <v>66.290000000000006</v>
      </c>
      <c r="H719" s="146"/>
      <c r="I719" s="313"/>
    </row>
    <row r="720" spans="1:9" s="26" customFormat="1" ht="14.25" x14ac:dyDescent="0.2">
      <c r="A720" s="320" t="s">
        <v>2432</v>
      </c>
      <c r="B720" s="154" t="s">
        <v>66</v>
      </c>
      <c r="C720" s="153"/>
      <c r="D720" s="148" t="s">
        <v>1218</v>
      </c>
      <c r="E720" s="154" t="s">
        <v>19</v>
      </c>
      <c r="F720" s="191">
        <v>2</v>
      </c>
      <c r="G720" s="236">
        <v>520</v>
      </c>
      <c r="H720" s="146">
        <f t="shared" si="128"/>
        <v>520</v>
      </c>
      <c r="I720" s="313">
        <f t="shared" si="129"/>
        <v>1040</v>
      </c>
    </row>
    <row r="721" spans="1:9" s="26" customFormat="1" ht="14.25" x14ac:dyDescent="0.2">
      <c r="A721" s="320" t="s">
        <v>2433</v>
      </c>
      <c r="B721" s="154" t="s">
        <v>66</v>
      </c>
      <c r="C721" s="153"/>
      <c r="D721" s="148" t="s">
        <v>1310</v>
      </c>
      <c r="E721" s="154" t="s">
        <v>19</v>
      </c>
      <c r="F721" s="191">
        <v>2</v>
      </c>
      <c r="G721" s="236">
        <v>540</v>
      </c>
      <c r="H721" s="146">
        <f t="shared" si="128"/>
        <v>540</v>
      </c>
      <c r="I721" s="313">
        <f t="shared" si="129"/>
        <v>1080</v>
      </c>
    </row>
    <row r="722" spans="1:9" s="26" customFormat="1" ht="14.25" x14ac:dyDescent="0.2">
      <c r="A722" s="320"/>
      <c r="B722" s="154"/>
      <c r="C722" s="153"/>
      <c r="D722" s="148"/>
      <c r="E722" s="154"/>
      <c r="F722" s="191"/>
      <c r="G722" s="192"/>
      <c r="H722" s="146"/>
      <c r="I722" s="313"/>
    </row>
    <row r="723" spans="1:9" s="26" customFormat="1" x14ac:dyDescent="0.2">
      <c r="A723" s="603" t="s">
        <v>1961</v>
      </c>
      <c r="B723" s="254"/>
      <c r="C723" s="255"/>
      <c r="D723" s="256" t="s">
        <v>1290</v>
      </c>
      <c r="E723" s="254"/>
      <c r="F723" s="257"/>
      <c r="G723" s="258"/>
      <c r="H723" s="191"/>
      <c r="I723" s="599"/>
    </row>
    <row r="724" spans="1:9" s="26" customFormat="1" ht="14.25" x14ac:dyDescent="0.2">
      <c r="A724" s="320" t="s">
        <v>2434</v>
      </c>
      <c r="B724" s="154" t="s">
        <v>46</v>
      </c>
      <c r="C724" s="226">
        <v>9827</v>
      </c>
      <c r="D724" s="148" t="s">
        <v>1304</v>
      </c>
      <c r="E724" s="154" t="s">
        <v>18</v>
      </c>
      <c r="F724" s="191">
        <v>18.5</v>
      </c>
      <c r="G724" s="192">
        <v>254.44</v>
      </c>
      <c r="H724" s="146">
        <f t="shared" si="128"/>
        <v>254.44</v>
      </c>
      <c r="I724" s="313">
        <f t="shared" si="129"/>
        <v>4707.1400000000003</v>
      </c>
    </row>
    <row r="725" spans="1:9" s="26" customFormat="1" ht="14.25" x14ac:dyDescent="0.2">
      <c r="A725" s="320" t="s">
        <v>2435</v>
      </c>
      <c r="B725" s="154" t="s">
        <v>66</v>
      </c>
      <c r="C725" s="153"/>
      <c r="D725" s="148" t="s">
        <v>1311</v>
      </c>
      <c r="E725" s="154" t="s">
        <v>19</v>
      </c>
      <c r="F725" s="191">
        <v>1</v>
      </c>
      <c r="G725" s="236">
        <v>820</v>
      </c>
      <c r="H725" s="146">
        <f t="shared" si="128"/>
        <v>820</v>
      </c>
      <c r="I725" s="313">
        <f t="shared" si="129"/>
        <v>820</v>
      </c>
    </row>
    <row r="726" spans="1:9" s="26" customFormat="1" ht="14.25" x14ac:dyDescent="0.2">
      <c r="A726" s="320"/>
      <c r="B726" s="154"/>
      <c r="C726" s="153"/>
      <c r="D726" s="148"/>
      <c r="E726" s="154"/>
      <c r="F726" s="191"/>
      <c r="G726" s="236"/>
      <c r="H726" s="146"/>
      <c r="I726" s="313"/>
    </row>
    <row r="727" spans="1:9" s="26" customFormat="1" ht="30" x14ac:dyDescent="0.2">
      <c r="A727" s="603" t="s">
        <v>1962</v>
      </c>
      <c r="B727" s="254"/>
      <c r="C727" s="255"/>
      <c r="D727" s="256" t="s">
        <v>1291</v>
      </c>
      <c r="E727" s="254"/>
      <c r="F727" s="257"/>
      <c r="G727" s="258"/>
      <c r="H727" s="191"/>
      <c r="I727" s="599"/>
    </row>
    <row r="728" spans="1:9" s="26" customFormat="1" ht="14.25" x14ac:dyDescent="0.2">
      <c r="A728" s="320" t="s">
        <v>2436</v>
      </c>
      <c r="B728" s="154" t="s">
        <v>46</v>
      </c>
      <c r="C728" s="226">
        <v>9827</v>
      </c>
      <c r="D728" s="148" t="s">
        <v>1304</v>
      </c>
      <c r="E728" s="154" t="s">
        <v>18</v>
      </c>
      <c r="F728" s="191">
        <v>10.5</v>
      </c>
      <c r="G728" s="192">
        <v>254.44</v>
      </c>
      <c r="H728" s="146">
        <f t="shared" si="128"/>
        <v>254.44</v>
      </c>
      <c r="I728" s="313">
        <f t="shared" si="129"/>
        <v>2671.62</v>
      </c>
    </row>
    <row r="729" spans="1:9" s="26" customFormat="1" ht="14.25" x14ac:dyDescent="0.2">
      <c r="A729" s="320"/>
      <c r="B729" s="154"/>
      <c r="C729" s="153"/>
      <c r="D729" s="148"/>
      <c r="E729" s="154"/>
      <c r="F729" s="191"/>
      <c r="G729" s="192"/>
      <c r="H729" s="146"/>
      <c r="I729" s="313"/>
    </row>
    <row r="730" spans="1:9" s="26" customFormat="1" x14ac:dyDescent="0.2">
      <c r="A730" s="603" t="s">
        <v>1963</v>
      </c>
      <c r="B730" s="254"/>
      <c r="C730" s="255"/>
      <c r="D730" s="256" t="s">
        <v>1292</v>
      </c>
      <c r="E730" s="254"/>
      <c r="F730" s="257"/>
      <c r="G730" s="258"/>
      <c r="H730" s="191"/>
      <c r="I730" s="599"/>
    </row>
    <row r="731" spans="1:9" s="26" customFormat="1" ht="14.25" x14ac:dyDescent="0.2">
      <c r="A731" s="320" t="s">
        <v>2191</v>
      </c>
      <c r="B731" s="154" t="s">
        <v>46</v>
      </c>
      <c r="C731" s="153">
        <v>41936</v>
      </c>
      <c r="D731" s="148" t="s">
        <v>1849</v>
      </c>
      <c r="E731" s="154" t="s">
        <v>18</v>
      </c>
      <c r="F731" s="191">
        <v>73</v>
      </c>
      <c r="G731" s="192">
        <v>32.57</v>
      </c>
      <c r="H731" s="146">
        <f t="shared" si="128"/>
        <v>32.57</v>
      </c>
      <c r="I731" s="313">
        <f t="shared" si="129"/>
        <v>2377.61</v>
      </c>
    </row>
    <row r="732" spans="1:9" s="26" customFormat="1" ht="14.25" x14ac:dyDescent="0.2">
      <c r="A732" s="320"/>
      <c r="B732" s="154"/>
      <c r="C732" s="153"/>
      <c r="D732" s="148"/>
      <c r="E732" s="154"/>
      <c r="F732" s="191"/>
      <c r="G732" s="192"/>
      <c r="H732" s="146"/>
      <c r="I732" s="313"/>
    </row>
    <row r="733" spans="1:9" s="26" customFormat="1" ht="21.75" customHeight="1" x14ac:dyDescent="0.2">
      <c r="A733" s="603" t="s">
        <v>1966</v>
      </c>
      <c r="B733" s="254"/>
      <c r="C733" s="255"/>
      <c r="D733" s="256" t="s">
        <v>1293</v>
      </c>
      <c r="E733" s="254"/>
      <c r="F733" s="257"/>
      <c r="G733" s="258"/>
      <c r="H733" s="191"/>
      <c r="I733" s="599"/>
    </row>
    <row r="734" spans="1:9" s="26" customFormat="1" ht="14.25" x14ac:dyDescent="0.2">
      <c r="A734" s="320" t="s">
        <v>2437</v>
      </c>
      <c r="B734" s="154" t="s">
        <v>46</v>
      </c>
      <c r="C734" s="153">
        <v>9828</v>
      </c>
      <c r="D734" s="148" t="s">
        <v>1309</v>
      </c>
      <c r="E734" s="154" t="s">
        <v>18</v>
      </c>
      <c r="F734" s="191">
        <v>56.5</v>
      </c>
      <c r="G734" s="192">
        <v>66.290000000000006</v>
      </c>
      <c r="H734" s="146"/>
      <c r="I734" s="313"/>
    </row>
    <row r="735" spans="1:9" s="26" customFormat="1" ht="14.25" x14ac:dyDescent="0.2">
      <c r="A735" s="320" t="s">
        <v>2438</v>
      </c>
      <c r="B735" s="154" t="s">
        <v>66</v>
      </c>
      <c r="C735" s="153"/>
      <c r="D735" s="148" t="s">
        <v>1218</v>
      </c>
      <c r="E735" s="154" t="s">
        <v>19</v>
      </c>
      <c r="F735" s="191">
        <v>1</v>
      </c>
      <c r="G735" s="236">
        <v>520</v>
      </c>
      <c r="H735" s="146">
        <f t="shared" si="128"/>
        <v>520</v>
      </c>
      <c r="I735" s="313">
        <f t="shared" si="129"/>
        <v>520</v>
      </c>
    </row>
    <row r="736" spans="1:9" s="26" customFormat="1" ht="14.25" x14ac:dyDescent="0.2">
      <c r="A736" s="320" t="s">
        <v>2439</v>
      </c>
      <c r="B736" s="154" t="s">
        <v>66</v>
      </c>
      <c r="C736" s="153"/>
      <c r="D736" s="148" t="s">
        <v>1279</v>
      </c>
      <c r="E736" s="154" t="s">
        <v>19</v>
      </c>
      <c r="F736" s="191">
        <v>2</v>
      </c>
      <c r="G736" s="236">
        <v>340</v>
      </c>
      <c r="H736" s="146">
        <f t="shared" si="128"/>
        <v>340</v>
      </c>
      <c r="I736" s="313">
        <f t="shared" si="129"/>
        <v>680</v>
      </c>
    </row>
    <row r="737" spans="1:9" s="26" customFormat="1" ht="14.25" x14ac:dyDescent="0.2">
      <c r="A737" s="320"/>
      <c r="B737" s="154"/>
      <c r="C737" s="153"/>
      <c r="D737" s="148"/>
      <c r="E737" s="154"/>
      <c r="F737" s="191"/>
      <c r="G737" s="192"/>
      <c r="H737" s="146"/>
      <c r="I737" s="313"/>
    </row>
    <row r="738" spans="1:9" s="26" customFormat="1" x14ac:dyDescent="0.2">
      <c r="A738" s="603" t="s">
        <v>1967</v>
      </c>
      <c r="B738" s="254"/>
      <c r="C738" s="255"/>
      <c r="D738" s="256" t="s">
        <v>1294</v>
      </c>
      <c r="E738" s="254"/>
      <c r="F738" s="257"/>
      <c r="G738" s="258"/>
      <c r="H738" s="191"/>
      <c r="I738" s="599"/>
    </row>
    <row r="739" spans="1:9" s="26" customFormat="1" ht="14.25" x14ac:dyDescent="0.2">
      <c r="A739" s="320" t="s">
        <v>2440</v>
      </c>
      <c r="B739" s="154" t="s">
        <v>46</v>
      </c>
      <c r="C739" s="153">
        <v>41932</v>
      </c>
      <c r="D739" s="148" t="s">
        <v>1923</v>
      </c>
      <c r="E739" s="154" t="s">
        <v>18</v>
      </c>
      <c r="F739" s="191">
        <v>1.5</v>
      </c>
      <c r="G739" s="192">
        <v>139.68</v>
      </c>
      <c r="H739" s="146">
        <f t="shared" si="128"/>
        <v>139.68</v>
      </c>
      <c r="I739" s="313">
        <f t="shared" si="129"/>
        <v>209.52</v>
      </c>
    </row>
    <row r="740" spans="1:9" s="26" customFormat="1" ht="14.25" x14ac:dyDescent="0.2">
      <c r="A740" s="320"/>
      <c r="B740" s="154"/>
      <c r="C740" s="153"/>
      <c r="D740" s="148"/>
      <c r="E740" s="154"/>
      <c r="F740" s="191"/>
      <c r="G740" s="192"/>
      <c r="H740" s="146"/>
      <c r="I740" s="313"/>
    </row>
    <row r="741" spans="1:9" s="26" customFormat="1" x14ac:dyDescent="0.2">
      <c r="A741" s="603" t="s">
        <v>1968</v>
      </c>
      <c r="B741" s="254"/>
      <c r="C741" s="255"/>
      <c r="D741" s="256" t="s">
        <v>1295</v>
      </c>
      <c r="E741" s="254"/>
      <c r="F741" s="257"/>
      <c r="G741" s="258"/>
      <c r="H741" s="191"/>
      <c r="I741" s="599"/>
    </row>
    <row r="742" spans="1:9" s="26" customFormat="1" ht="14.25" x14ac:dyDescent="0.2">
      <c r="A742" s="320" t="s">
        <v>2441</v>
      </c>
      <c r="B742" s="154" t="s">
        <v>46</v>
      </c>
      <c r="C742" s="153">
        <v>41932</v>
      </c>
      <c r="D742" s="148" t="s">
        <v>1923</v>
      </c>
      <c r="E742" s="154" t="s">
        <v>18</v>
      </c>
      <c r="F742" s="191">
        <v>350</v>
      </c>
      <c r="G742" s="192">
        <v>139.68</v>
      </c>
      <c r="H742" s="146">
        <f t="shared" si="128"/>
        <v>139.68</v>
      </c>
      <c r="I742" s="313">
        <f t="shared" si="129"/>
        <v>48888</v>
      </c>
    </row>
    <row r="743" spans="1:9" s="26" customFormat="1" thickBot="1" x14ac:dyDescent="0.25">
      <c r="A743" s="920"/>
      <c r="B743" s="913"/>
      <c r="C743" s="1046"/>
      <c r="D743" s="584"/>
      <c r="E743" s="913"/>
      <c r="F743" s="1034"/>
      <c r="G743" s="1035"/>
      <c r="H743" s="585"/>
      <c r="I743" s="915"/>
    </row>
    <row r="744" spans="1:9" s="26" customFormat="1" x14ac:dyDescent="0.2">
      <c r="A744" s="1049" t="s">
        <v>2442</v>
      </c>
      <c r="B744" s="1050"/>
      <c r="C744" s="1051"/>
      <c r="D744" s="1052" t="s">
        <v>1296</v>
      </c>
      <c r="E744" s="1050"/>
      <c r="F744" s="1053"/>
      <c r="G744" s="1054"/>
      <c r="H744" s="1038"/>
      <c r="I744" s="1039"/>
    </row>
    <row r="745" spans="1:9" s="26" customFormat="1" ht="14.25" x14ac:dyDescent="0.2">
      <c r="A745" s="320" t="s">
        <v>2443</v>
      </c>
      <c r="B745" s="154" t="s">
        <v>46</v>
      </c>
      <c r="C745" s="153">
        <v>36365</v>
      </c>
      <c r="D745" s="148" t="s">
        <v>1265</v>
      </c>
      <c r="E745" s="154" t="s">
        <v>18</v>
      </c>
      <c r="F745" s="191">
        <v>69</v>
      </c>
      <c r="G745" s="192">
        <v>15.14</v>
      </c>
      <c r="H745" s="146">
        <f t="shared" si="128"/>
        <v>15.14</v>
      </c>
      <c r="I745" s="313">
        <f t="shared" si="129"/>
        <v>1044.6600000000001</v>
      </c>
    </row>
    <row r="746" spans="1:9" s="26" customFormat="1" ht="28.5" x14ac:dyDescent="0.2">
      <c r="A746" s="320" t="s">
        <v>2444</v>
      </c>
      <c r="B746" s="154" t="s">
        <v>46</v>
      </c>
      <c r="C746" s="153">
        <v>1858</v>
      </c>
      <c r="D746" s="148" t="s">
        <v>1924</v>
      </c>
      <c r="E746" s="154" t="s">
        <v>19</v>
      </c>
      <c r="F746" s="191">
        <v>1</v>
      </c>
      <c r="G746" s="192">
        <v>16.2</v>
      </c>
      <c r="H746" s="146">
        <f t="shared" si="128"/>
        <v>16.2</v>
      </c>
      <c r="I746" s="313">
        <f t="shared" si="129"/>
        <v>16.2</v>
      </c>
    </row>
    <row r="747" spans="1:9" s="26" customFormat="1" ht="14.25" x14ac:dyDescent="0.2">
      <c r="A747" s="320"/>
      <c r="B747" s="154"/>
      <c r="C747" s="153"/>
      <c r="D747" s="148"/>
      <c r="E747" s="154"/>
      <c r="F747" s="191"/>
      <c r="G747" s="192"/>
      <c r="H747" s="146"/>
      <c r="I747" s="313"/>
    </row>
    <row r="748" spans="1:9" s="26" customFormat="1" x14ac:dyDescent="0.2">
      <c r="A748" s="603" t="s">
        <v>2445</v>
      </c>
      <c r="B748" s="254"/>
      <c r="C748" s="255"/>
      <c r="D748" s="256" t="s">
        <v>1312</v>
      </c>
      <c r="E748" s="254"/>
      <c r="F748" s="257"/>
      <c r="G748" s="258"/>
      <c r="H748" s="191"/>
      <c r="I748" s="599"/>
    </row>
    <row r="749" spans="1:9" s="26" customFormat="1" ht="14.25" x14ac:dyDescent="0.2">
      <c r="A749" s="320" t="s">
        <v>2446</v>
      </c>
      <c r="B749" s="154" t="s">
        <v>46</v>
      </c>
      <c r="C749" s="153">
        <v>36365</v>
      </c>
      <c r="D749" s="148" t="s">
        <v>1265</v>
      </c>
      <c r="E749" s="154" t="s">
        <v>18</v>
      </c>
      <c r="F749" s="191">
        <v>42</v>
      </c>
      <c r="G749" s="192">
        <v>15.14</v>
      </c>
      <c r="H749" s="146">
        <f t="shared" si="128"/>
        <v>15.14</v>
      </c>
      <c r="I749" s="313">
        <f t="shared" si="129"/>
        <v>635.88</v>
      </c>
    </row>
    <row r="750" spans="1:9" s="26" customFormat="1" ht="14.25" x14ac:dyDescent="0.2">
      <c r="A750" s="320"/>
      <c r="B750" s="154"/>
      <c r="C750" s="153"/>
      <c r="D750" s="148"/>
      <c r="E750" s="154"/>
      <c r="F750" s="191"/>
      <c r="G750" s="192"/>
      <c r="H750" s="146"/>
      <c r="I750" s="313"/>
    </row>
    <row r="751" spans="1:9" s="26" customFormat="1" x14ac:dyDescent="0.2">
      <c r="A751" s="603" t="s">
        <v>2447</v>
      </c>
      <c r="B751" s="254"/>
      <c r="C751" s="255"/>
      <c r="D751" s="256" t="s">
        <v>1297</v>
      </c>
      <c r="E751" s="254"/>
      <c r="F751" s="257"/>
      <c r="G751" s="258"/>
      <c r="H751" s="191"/>
      <c r="I751" s="599"/>
    </row>
    <row r="752" spans="1:9" s="26" customFormat="1" ht="28.5" x14ac:dyDescent="0.2">
      <c r="A752" s="320" t="s">
        <v>2448</v>
      </c>
      <c r="B752" s="154" t="s">
        <v>46</v>
      </c>
      <c r="C752" s="153">
        <v>40626</v>
      </c>
      <c r="D752" s="148" t="s">
        <v>1926</v>
      </c>
      <c r="E752" s="154" t="s">
        <v>18</v>
      </c>
      <c r="F752" s="191">
        <v>16.2</v>
      </c>
      <c r="G752" s="192">
        <v>18.059999999999999</v>
      </c>
      <c r="H752" s="146">
        <f t="shared" si="128"/>
        <v>18.059999999999999</v>
      </c>
      <c r="I752" s="313">
        <f t="shared" si="129"/>
        <v>292.57</v>
      </c>
    </row>
    <row r="753" spans="1:9" s="26" customFormat="1" ht="14.25" x14ac:dyDescent="0.2">
      <c r="A753" s="320" t="s">
        <v>2449</v>
      </c>
      <c r="B753" s="154" t="s">
        <v>46</v>
      </c>
      <c r="C753" s="153">
        <v>21148</v>
      </c>
      <c r="D753" s="148" t="s">
        <v>1925</v>
      </c>
      <c r="E753" s="154" t="s">
        <v>18</v>
      </c>
      <c r="F753" s="191">
        <v>40</v>
      </c>
      <c r="G753" s="192">
        <v>43.41</v>
      </c>
      <c r="H753" s="146">
        <f t="shared" si="128"/>
        <v>43.41</v>
      </c>
      <c r="I753" s="313">
        <f t="shared" si="129"/>
        <v>1736.4</v>
      </c>
    </row>
    <row r="754" spans="1:9" s="26" customFormat="1" ht="14.25" x14ac:dyDescent="0.2">
      <c r="A754" s="320" t="s">
        <v>2450</v>
      </c>
      <c r="B754" s="154" t="s">
        <v>66</v>
      </c>
      <c r="C754" s="153"/>
      <c r="D754" s="148" t="s">
        <v>1313</v>
      </c>
      <c r="E754" s="154" t="s">
        <v>19</v>
      </c>
      <c r="F754" s="191">
        <v>1</v>
      </c>
      <c r="G754" s="236">
        <v>92</v>
      </c>
      <c r="H754" s="146">
        <f t="shared" si="128"/>
        <v>92</v>
      </c>
      <c r="I754" s="313">
        <f t="shared" si="129"/>
        <v>92</v>
      </c>
    </row>
    <row r="755" spans="1:9" s="26" customFormat="1" ht="28.5" x14ac:dyDescent="0.2">
      <c r="A755" s="320" t="s">
        <v>2451</v>
      </c>
      <c r="B755" s="154" t="s">
        <v>66</v>
      </c>
      <c r="C755" s="153"/>
      <c r="D755" s="148" t="s">
        <v>1314</v>
      </c>
      <c r="E755" s="154" t="s">
        <v>19</v>
      </c>
      <c r="F755" s="191">
        <v>1</v>
      </c>
      <c r="G755" s="236">
        <v>188</v>
      </c>
      <c r="H755" s="146">
        <f t="shared" si="128"/>
        <v>188</v>
      </c>
      <c r="I755" s="313">
        <f t="shared" si="129"/>
        <v>188</v>
      </c>
    </row>
    <row r="756" spans="1:9" s="26" customFormat="1" ht="14.25" x14ac:dyDescent="0.2">
      <c r="A756" s="320" t="s">
        <v>2452</v>
      </c>
      <c r="B756" s="154" t="s">
        <v>66</v>
      </c>
      <c r="C756" s="153"/>
      <c r="D756" s="148" t="s">
        <v>1315</v>
      </c>
      <c r="E756" s="154" t="s">
        <v>19</v>
      </c>
      <c r="F756" s="191">
        <v>1</v>
      </c>
      <c r="G756" s="236">
        <v>120</v>
      </c>
      <c r="H756" s="146">
        <f t="shared" si="128"/>
        <v>120</v>
      </c>
      <c r="I756" s="313">
        <f t="shared" si="129"/>
        <v>120</v>
      </c>
    </row>
    <row r="757" spans="1:9" s="26" customFormat="1" ht="14.25" x14ac:dyDescent="0.2">
      <c r="A757" s="320"/>
      <c r="B757" s="154"/>
      <c r="C757" s="153"/>
      <c r="D757" s="148"/>
      <c r="E757" s="154"/>
      <c r="F757" s="191"/>
      <c r="G757" s="192"/>
      <c r="H757" s="146"/>
      <c r="I757" s="313"/>
    </row>
    <row r="758" spans="1:9" s="26" customFormat="1" x14ac:dyDescent="0.2">
      <c r="A758" s="603" t="s">
        <v>2453</v>
      </c>
      <c r="B758" s="254"/>
      <c r="C758" s="255"/>
      <c r="D758" s="256" t="s">
        <v>1298</v>
      </c>
      <c r="E758" s="254"/>
      <c r="F758" s="257"/>
      <c r="G758" s="258"/>
      <c r="H758" s="191"/>
      <c r="I758" s="599"/>
    </row>
    <row r="759" spans="1:9" s="26" customFormat="1" ht="14.25" x14ac:dyDescent="0.2">
      <c r="A759" s="320" t="s">
        <v>2454</v>
      </c>
      <c r="B759" s="154" t="s">
        <v>46</v>
      </c>
      <c r="C759" s="153">
        <v>41936</v>
      </c>
      <c r="D759" s="148" t="s">
        <v>1849</v>
      </c>
      <c r="E759" s="154" t="s">
        <v>18</v>
      </c>
      <c r="F759" s="191">
        <v>437</v>
      </c>
      <c r="G759" s="192">
        <v>32.57</v>
      </c>
      <c r="H759" s="146">
        <f t="shared" si="128"/>
        <v>32.57</v>
      </c>
      <c r="I759" s="313">
        <f t="shared" si="129"/>
        <v>14233.09</v>
      </c>
    </row>
    <row r="760" spans="1:9" s="26" customFormat="1" ht="14.25" x14ac:dyDescent="0.2">
      <c r="A760" s="320"/>
      <c r="B760" s="154"/>
      <c r="C760" s="153"/>
      <c r="D760" s="148"/>
      <c r="E760" s="154"/>
      <c r="F760" s="191"/>
      <c r="G760" s="192"/>
      <c r="H760" s="146">
        <f t="shared" si="128"/>
        <v>0</v>
      </c>
      <c r="I760" s="313">
        <f t="shared" si="129"/>
        <v>0</v>
      </c>
    </row>
    <row r="761" spans="1:9" s="26" customFormat="1" x14ac:dyDescent="0.2">
      <c r="A761" s="603" t="s">
        <v>2455</v>
      </c>
      <c r="B761" s="254"/>
      <c r="C761" s="255"/>
      <c r="D761" s="256" t="s">
        <v>1407</v>
      </c>
      <c r="E761" s="254"/>
      <c r="F761" s="257"/>
      <c r="G761" s="258"/>
      <c r="H761" s="191">
        <f t="shared" si="128"/>
        <v>0</v>
      </c>
      <c r="I761" s="599">
        <f t="shared" si="129"/>
        <v>0</v>
      </c>
    </row>
    <row r="762" spans="1:9" s="26" customFormat="1" ht="14.25" x14ac:dyDescent="0.2">
      <c r="A762" s="320" t="s">
        <v>2456</v>
      </c>
      <c r="B762" s="154" t="s">
        <v>46</v>
      </c>
      <c r="C762" s="153">
        <v>9869</v>
      </c>
      <c r="D762" s="148" t="s">
        <v>101</v>
      </c>
      <c r="E762" s="154" t="s">
        <v>18</v>
      </c>
      <c r="F762" s="191">
        <v>332</v>
      </c>
      <c r="G762" s="192">
        <v>5.81</v>
      </c>
      <c r="H762" s="146">
        <f t="shared" si="128"/>
        <v>5.81</v>
      </c>
      <c r="I762" s="313">
        <f t="shared" si="129"/>
        <v>1928.92</v>
      </c>
    </row>
    <row r="763" spans="1:9" s="26" customFormat="1" ht="14.25" x14ac:dyDescent="0.2">
      <c r="A763" s="320" t="s">
        <v>2457</v>
      </c>
      <c r="B763" s="154" t="s">
        <v>46</v>
      </c>
      <c r="C763" s="153">
        <v>9868</v>
      </c>
      <c r="D763" s="148" t="s">
        <v>103</v>
      </c>
      <c r="E763" s="154" t="s">
        <v>18</v>
      </c>
      <c r="F763" s="191">
        <v>222</v>
      </c>
      <c r="G763" s="192">
        <v>2.71</v>
      </c>
      <c r="H763" s="146">
        <f t="shared" si="128"/>
        <v>2.71</v>
      </c>
      <c r="I763" s="313">
        <f t="shared" si="129"/>
        <v>601.62</v>
      </c>
    </row>
    <row r="764" spans="1:9" s="26" customFormat="1" ht="14.25" x14ac:dyDescent="0.2">
      <c r="A764" s="320" t="s">
        <v>2458</v>
      </c>
      <c r="B764" s="154" t="s">
        <v>46</v>
      </c>
      <c r="C764" s="153">
        <v>1956</v>
      </c>
      <c r="D764" s="148" t="s">
        <v>92</v>
      </c>
      <c r="E764" s="154" t="s">
        <v>19</v>
      </c>
      <c r="F764" s="191">
        <v>1</v>
      </c>
      <c r="G764" s="192">
        <v>2.09</v>
      </c>
      <c r="H764" s="146">
        <f t="shared" si="128"/>
        <v>2.09</v>
      </c>
      <c r="I764" s="313">
        <f t="shared" si="129"/>
        <v>2.09</v>
      </c>
    </row>
    <row r="765" spans="1:9" s="26" customFormat="1" ht="14.25" x14ac:dyDescent="0.2">
      <c r="A765" s="320" t="s">
        <v>2459</v>
      </c>
      <c r="B765" s="154" t="s">
        <v>46</v>
      </c>
      <c r="C765" s="153">
        <v>1957</v>
      </c>
      <c r="D765" s="148" t="s">
        <v>1316</v>
      </c>
      <c r="E765" s="154" t="s">
        <v>19</v>
      </c>
      <c r="F765" s="191">
        <v>1</v>
      </c>
      <c r="G765" s="192">
        <v>4.2300000000000004</v>
      </c>
      <c r="H765" s="146">
        <f t="shared" si="128"/>
        <v>4.2300000000000004</v>
      </c>
      <c r="I765" s="313">
        <f t="shared" si="129"/>
        <v>4.2300000000000004</v>
      </c>
    </row>
    <row r="766" spans="1:9" s="26" customFormat="1" ht="14.25" x14ac:dyDescent="0.2">
      <c r="A766" s="320" t="s">
        <v>2460</v>
      </c>
      <c r="B766" s="154" t="s">
        <v>46</v>
      </c>
      <c r="C766" s="153">
        <v>1927</v>
      </c>
      <c r="D766" s="148" t="s">
        <v>1317</v>
      </c>
      <c r="E766" s="154" t="s">
        <v>19</v>
      </c>
      <c r="F766" s="191">
        <v>2</v>
      </c>
      <c r="G766" s="192">
        <v>1.67</v>
      </c>
      <c r="H766" s="146">
        <f t="shared" si="128"/>
        <v>1.67</v>
      </c>
      <c r="I766" s="313">
        <f t="shared" si="129"/>
        <v>3.34</v>
      </c>
    </row>
    <row r="767" spans="1:9" s="26" customFormat="1" ht="14.25" x14ac:dyDescent="0.2">
      <c r="A767" s="320" t="s">
        <v>2461</v>
      </c>
      <c r="B767" s="154" t="s">
        <v>46</v>
      </c>
      <c r="C767" s="153">
        <v>7140</v>
      </c>
      <c r="D767" s="148" t="s">
        <v>106</v>
      </c>
      <c r="E767" s="154" t="s">
        <v>19</v>
      </c>
      <c r="F767" s="191">
        <v>2</v>
      </c>
      <c r="G767" s="192">
        <v>2.37</v>
      </c>
      <c r="H767" s="146">
        <f t="shared" ref="H767:H778" si="130">G767</f>
        <v>2.37</v>
      </c>
      <c r="I767" s="313">
        <f t="shared" ref="I767:I778" si="131">ROUND(F767*H767,2)</f>
        <v>4.74</v>
      </c>
    </row>
    <row r="768" spans="1:9" s="26" customFormat="1" ht="14.25" x14ac:dyDescent="0.2">
      <c r="A768" s="320" t="s">
        <v>2462</v>
      </c>
      <c r="B768" s="154" t="s">
        <v>46</v>
      </c>
      <c r="C768" s="153">
        <v>7139</v>
      </c>
      <c r="D768" s="148" t="s">
        <v>127</v>
      </c>
      <c r="E768" s="154" t="s">
        <v>19</v>
      </c>
      <c r="F768" s="191">
        <v>3</v>
      </c>
      <c r="G768" s="192">
        <v>0.95</v>
      </c>
      <c r="H768" s="146">
        <f t="shared" si="130"/>
        <v>0.95</v>
      </c>
      <c r="I768" s="313">
        <f t="shared" si="131"/>
        <v>2.85</v>
      </c>
    </row>
    <row r="769" spans="1:9" s="26" customFormat="1" ht="14.25" x14ac:dyDescent="0.2">
      <c r="A769" s="320" t="s">
        <v>2463</v>
      </c>
      <c r="B769" s="154" t="s">
        <v>46</v>
      </c>
      <c r="C769" s="153">
        <v>7136</v>
      </c>
      <c r="D769" s="148" t="s">
        <v>408</v>
      </c>
      <c r="E769" s="154" t="s">
        <v>19</v>
      </c>
      <c r="F769" s="191">
        <v>2</v>
      </c>
      <c r="G769" s="192">
        <v>4.4000000000000004</v>
      </c>
      <c r="H769" s="146">
        <f t="shared" si="130"/>
        <v>4.4000000000000004</v>
      </c>
      <c r="I769" s="313">
        <f t="shared" si="131"/>
        <v>8.8000000000000007</v>
      </c>
    </row>
    <row r="770" spans="1:9" s="26" customFormat="1" ht="14.25" x14ac:dyDescent="0.2">
      <c r="A770" s="320" t="s">
        <v>2464</v>
      </c>
      <c r="B770" s="154" t="s">
        <v>46</v>
      </c>
      <c r="C770" s="154">
        <v>829</v>
      </c>
      <c r="D770" s="148" t="s">
        <v>108</v>
      </c>
      <c r="E770" s="154" t="s">
        <v>19</v>
      </c>
      <c r="F770" s="191">
        <v>2</v>
      </c>
      <c r="G770" s="192">
        <v>0.67</v>
      </c>
      <c r="H770" s="146">
        <f t="shared" si="130"/>
        <v>0.67</v>
      </c>
      <c r="I770" s="313">
        <f t="shared" si="131"/>
        <v>1.34</v>
      </c>
    </row>
    <row r="771" spans="1:9" s="26" customFormat="1" ht="14.25" x14ac:dyDescent="0.2">
      <c r="A771" s="320" t="s">
        <v>2465</v>
      </c>
      <c r="B771" s="154" t="s">
        <v>46</v>
      </c>
      <c r="C771" s="153">
        <v>107</v>
      </c>
      <c r="D771" s="148" t="s">
        <v>129</v>
      </c>
      <c r="E771" s="154" t="s">
        <v>19</v>
      </c>
      <c r="F771" s="191">
        <v>6</v>
      </c>
      <c r="G771" s="192">
        <v>0.71</v>
      </c>
      <c r="H771" s="146">
        <f t="shared" si="130"/>
        <v>0.71</v>
      </c>
      <c r="I771" s="313">
        <f t="shared" si="131"/>
        <v>4.26</v>
      </c>
    </row>
    <row r="772" spans="1:9" s="26" customFormat="1" ht="28.5" x14ac:dyDescent="0.2">
      <c r="A772" s="320" t="s">
        <v>2466</v>
      </c>
      <c r="B772" s="154" t="s">
        <v>46</v>
      </c>
      <c r="C772" s="153">
        <v>7691</v>
      </c>
      <c r="D772" s="148" t="s">
        <v>409</v>
      </c>
      <c r="E772" s="154" t="s">
        <v>18</v>
      </c>
      <c r="F772" s="191">
        <v>6</v>
      </c>
      <c r="G772" s="192">
        <v>9.73</v>
      </c>
      <c r="H772" s="146">
        <f t="shared" si="130"/>
        <v>9.73</v>
      </c>
      <c r="I772" s="313">
        <f t="shared" si="131"/>
        <v>58.38</v>
      </c>
    </row>
    <row r="773" spans="1:9" s="26" customFormat="1" ht="14.25" x14ac:dyDescent="0.2">
      <c r="A773" s="320" t="s">
        <v>2467</v>
      </c>
      <c r="B773" s="154" t="s">
        <v>46</v>
      </c>
      <c r="C773" s="153">
        <v>3450</v>
      </c>
      <c r="D773" s="148" t="s">
        <v>352</v>
      </c>
      <c r="E773" s="154" t="s">
        <v>19</v>
      </c>
      <c r="F773" s="191">
        <v>6</v>
      </c>
      <c r="G773" s="192">
        <v>5.4</v>
      </c>
      <c r="H773" s="146">
        <f t="shared" si="130"/>
        <v>5.4</v>
      </c>
      <c r="I773" s="313">
        <f t="shared" si="131"/>
        <v>32.4</v>
      </c>
    </row>
    <row r="774" spans="1:9" s="26" customFormat="1" ht="14.25" x14ac:dyDescent="0.2">
      <c r="A774" s="320" t="s">
        <v>2468</v>
      </c>
      <c r="B774" s="154" t="s">
        <v>46</v>
      </c>
      <c r="C774" s="154">
        <v>7602</v>
      </c>
      <c r="D774" s="148" t="s">
        <v>351</v>
      </c>
      <c r="E774" s="154" t="s">
        <v>19</v>
      </c>
      <c r="F774" s="191">
        <v>6</v>
      </c>
      <c r="G774" s="192">
        <v>11.68</v>
      </c>
      <c r="H774" s="146">
        <f t="shared" si="130"/>
        <v>11.68</v>
      </c>
      <c r="I774" s="313">
        <f t="shared" si="131"/>
        <v>70.08</v>
      </c>
    </row>
    <row r="775" spans="1:9" s="260" customFormat="1" ht="14.25" x14ac:dyDescent="0.2">
      <c r="A775" s="320" t="s">
        <v>2469</v>
      </c>
      <c r="B775" s="154" t="s">
        <v>46</v>
      </c>
      <c r="C775" s="153">
        <v>63</v>
      </c>
      <c r="D775" s="148" t="s">
        <v>411</v>
      </c>
      <c r="E775" s="154" t="s">
        <v>19</v>
      </c>
      <c r="F775" s="191">
        <v>1</v>
      </c>
      <c r="G775" s="192">
        <v>36.46</v>
      </c>
      <c r="H775" s="146">
        <f t="shared" si="130"/>
        <v>36.46</v>
      </c>
      <c r="I775" s="313">
        <f t="shared" si="131"/>
        <v>36.46</v>
      </c>
    </row>
    <row r="776" spans="1:9" s="260" customFormat="1" ht="14.25" x14ac:dyDescent="0.2">
      <c r="A776" s="320" t="s">
        <v>2470</v>
      </c>
      <c r="B776" s="154" t="s">
        <v>46</v>
      </c>
      <c r="C776" s="153">
        <v>4178</v>
      </c>
      <c r="D776" s="148" t="s">
        <v>410</v>
      </c>
      <c r="E776" s="154" t="s">
        <v>19</v>
      </c>
      <c r="F776" s="191">
        <v>1</v>
      </c>
      <c r="G776" s="192">
        <v>4.3600000000000003</v>
      </c>
      <c r="H776" s="146">
        <f t="shared" si="130"/>
        <v>4.3600000000000003</v>
      </c>
      <c r="I776" s="313">
        <f t="shared" si="131"/>
        <v>4.3600000000000003</v>
      </c>
    </row>
    <row r="777" spans="1:9" s="260" customFormat="1" ht="14.25" x14ac:dyDescent="0.2">
      <c r="A777" s="320" t="s">
        <v>2471</v>
      </c>
      <c r="B777" s="154" t="s">
        <v>46</v>
      </c>
      <c r="C777" s="153">
        <v>108</v>
      </c>
      <c r="D777" s="148" t="s">
        <v>115</v>
      </c>
      <c r="E777" s="154" t="s">
        <v>19</v>
      </c>
      <c r="F777" s="191">
        <v>1</v>
      </c>
      <c r="G777" s="192">
        <v>1.58</v>
      </c>
      <c r="H777" s="146">
        <f t="shared" si="130"/>
        <v>1.58</v>
      </c>
      <c r="I777" s="313">
        <f t="shared" si="131"/>
        <v>1.58</v>
      </c>
    </row>
    <row r="778" spans="1:9" s="260" customFormat="1" ht="29.25" thickBot="1" x14ac:dyDescent="0.25">
      <c r="A778" s="920" t="s">
        <v>2472</v>
      </c>
      <c r="B778" s="913" t="s">
        <v>46</v>
      </c>
      <c r="C778" s="1046">
        <v>7725</v>
      </c>
      <c r="D778" s="584" t="s">
        <v>1408</v>
      </c>
      <c r="E778" s="913" t="s">
        <v>18</v>
      </c>
      <c r="F778" s="1034">
        <v>190</v>
      </c>
      <c r="G778" s="1035">
        <v>83.5</v>
      </c>
      <c r="H778" s="585">
        <f t="shared" si="130"/>
        <v>83.5</v>
      </c>
      <c r="I778" s="915">
        <f t="shared" si="131"/>
        <v>15865</v>
      </c>
    </row>
    <row r="779" spans="1:9" s="260" customFormat="1" ht="14.25" x14ac:dyDescent="0.2">
      <c r="A779" s="918"/>
      <c r="B779" s="899"/>
      <c r="C779" s="949"/>
      <c r="D779" s="900"/>
      <c r="E779" s="899"/>
      <c r="F779" s="1038"/>
      <c r="G779" s="1048"/>
      <c r="H779" s="901"/>
      <c r="I779" s="919"/>
    </row>
    <row r="780" spans="1:9" s="26" customFormat="1" x14ac:dyDescent="0.2">
      <c r="A780" s="603" t="s">
        <v>2473</v>
      </c>
      <c r="B780" s="254"/>
      <c r="C780" s="255"/>
      <c r="D780" s="256" t="s">
        <v>1965</v>
      </c>
      <c r="E780" s="254"/>
      <c r="F780" s="257"/>
      <c r="G780" s="258"/>
      <c r="H780" s="191"/>
      <c r="I780" s="599"/>
    </row>
    <row r="781" spans="1:9" s="26" customFormat="1" ht="14.25" x14ac:dyDescent="0.2">
      <c r="A781" s="320" t="s">
        <v>2474</v>
      </c>
      <c r="B781" s="154" t="s">
        <v>46</v>
      </c>
      <c r="C781" s="153">
        <v>88246</v>
      </c>
      <c r="D781" s="148" t="s">
        <v>1024</v>
      </c>
      <c r="E781" s="154" t="s">
        <v>15</v>
      </c>
      <c r="F781" s="191">
        <v>400</v>
      </c>
      <c r="G781" s="192">
        <v>25.61</v>
      </c>
      <c r="H781" s="191">
        <f>G781</f>
        <v>25.61</v>
      </c>
      <c r="I781" s="599">
        <f>F781*H781</f>
        <v>10244</v>
      </c>
    </row>
    <row r="782" spans="1:9" s="26" customFormat="1" ht="14.25" x14ac:dyDescent="0.2">
      <c r="A782" s="320" t="s">
        <v>2475</v>
      </c>
      <c r="B782" s="154" t="s">
        <v>46</v>
      </c>
      <c r="C782" s="153">
        <v>88316</v>
      </c>
      <c r="D782" s="148" t="s">
        <v>797</v>
      </c>
      <c r="E782" s="154" t="s">
        <v>15</v>
      </c>
      <c r="F782" s="191">
        <v>200</v>
      </c>
      <c r="G782" s="192">
        <v>16.64</v>
      </c>
      <c r="H782" s="191">
        <f t="shared" ref="H782:H784" si="132">G782</f>
        <v>16.64</v>
      </c>
      <c r="I782" s="599">
        <f t="shared" ref="I782:I784" si="133">F782*H782</f>
        <v>3328</v>
      </c>
    </row>
    <row r="783" spans="1:9" s="26" customFormat="1" ht="14.25" x14ac:dyDescent="0.2">
      <c r="A783" s="320" t="s">
        <v>2476</v>
      </c>
      <c r="B783" s="154" t="s">
        <v>46</v>
      </c>
      <c r="C783" s="153">
        <v>88267</v>
      </c>
      <c r="D783" s="148" t="s">
        <v>795</v>
      </c>
      <c r="E783" s="154" t="s">
        <v>15</v>
      </c>
      <c r="F783" s="191">
        <v>200</v>
      </c>
      <c r="G783" s="192">
        <v>21.01</v>
      </c>
      <c r="H783" s="191">
        <f t="shared" si="132"/>
        <v>21.01</v>
      </c>
      <c r="I783" s="599">
        <f t="shared" si="133"/>
        <v>4202</v>
      </c>
    </row>
    <row r="784" spans="1:9" s="26" customFormat="1" ht="28.5" x14ac:dyDescent="0.2">
      <c r="A784" s="320" t="s">
        <v>2477</v>
      </c>
      <c r="B784" s="154" t="s">
        <v>46</v>
      </c>
      <c r="C784" s="153">
        <v>88248</v>
      </c>
      <c r="D784" s="148" t="s">
        <v>1406</v>
      </c>
      <c r="E784" s="154" t="s">
        <v>15</v>
      </c>
      <c r="F784" s="191">
        <v>800</v>
      </c>
      <c r="G784" s="192">
        <v>16.87</v>
      </c>
      <c r="H784" s="191">
        <f t="shared" si="132"/>
        <v>16.87</v>
      </c>
      <c r="I784" s="599">
        <f t="shared" si="133"/>
        <v>13496</v>
      </c>
    </row>
    <row r="785" spans="1:17" ht="14.25" x14ac:dyDescent="0.2">
      <c r="A785" s="320"/>
      <c r="B785" s="154"/>
      <c r="C785" s="153"/>
      <c r="D785" s="148"/>
      <c r="E785" s="154"/>
      <c r="F785" s="191"/>
      <c r="G785" s="192"/>
      <c r="H785" s="146"/>
      <c r="I785" s="313"/>
    </row>
    <row r="786" spans="1:17" s="376" customFormat="1" ht="16.5" customHeight="1" x14ac:dyDescent="0.2">
      <c r="A786" s="594">
        <v>53</v>
      </c>
      <c r="B786" s="298" t="s">
        <v>336</v>
      </c>
      <c r="C786" s="298" t="s">
        <v>2009</v>
      </c>
      <c r="D786" s="325" t="s">
        <v>1951</v>
      </c>
      <c r="E786" s="298" t="s">
        <v>19</v>
      </c>
      <c r="F786" s="363"/>
      <c r="G786" s="364"/>
      <c r="H786" s="364"/>
      <c r="I786" s="595">
        <f>SUM(I787:I794)</f>
        <v>832.24999999999989</v>
      </c>
      <c r="J786" s="375"/>
      <c r="K786" s="375"/>
      <c r="L786" s="375"/>
      <c r="M786" s="375"/>
      <c r="N786" s="375"/>
      <c r="O786" s="375"/>
      <c r="P786" s="375"/>
      <c r="Q786" s="375"/>
    </row>
    <row r="787" spans="1:17" s="378" customFormat="1" ht="14.25" x14ac:dyDescent="0.2">
      <c r="A787" s="597" t="s">
        <v>1992</v>
      </c>
      <c r="B787" s="226" t="s">
        <v>46</v>
      </c>
      <c r="C787" s="281">
        <v>93358</v>
      </c>
      <c r="D787" s="285" t="s">
        <v>776</v>
      </c>
      <c r="E787" s="226" t="s">
        <v>17</v>
      </c>
      <c r="F787" s="146">
        <f>0.95*1.45</f>
        <v>1.3774999999999999</v>
      </c>
      <c r="G787" s="235">
        <v>65.819999999999993</v>
      </c>
      <c r="H787" s="235">
        <f>G787</f>
        <v>65.819999999999993</v>
      </c>
      <c r="I787" s="350">
        <f t="shared" ref="I787" si="134">ROUND(F787*H787,2)</f>
        <v>90.67</v>
      </c>
      <c r="J787" s="377"/>
    </row>
    <row r="788" spans="1:17" s="378" customFormat="1" ht="28.5" x14ac:dyDescent="0.2">
      <c r="A788" s="597" t="s">
        <v>1993</v>
      </c>
      <c r="B788" s="226" t="s">
        <v>46</v>
      </c>
      <c r="C788" s="226" t="s">
        <v>1936</v>
      </c>
      <c r="D788" s="148" t="s">
        <v>1937</v>
      </c>
      <c r="E788" s="226" t="s">
        <v>17</v>
      </c>
      <c r="F788" s="146">
        <f>F787*1.3</f>
        <v>1.7907500000000001</v>
      </c>
      <c r="G788" s="235">
        <v>1.56</v>
      </c>
      <c r="H788" s="235">
        <f t="shared" ref="H788:H794" si="135">G788</f>
        <v>1.56</v>
      </c>
      <c r="I788" s="350">
        <f t="shared" ref="I788:I794" si="136">ROUND(F788*H788,2)</f>
        <v>2.79</v>
      </c>
      <c r="J788" s="379"/>
    </row>
    <row r="789" spans="1:17" s="378" customFormat="1" ht="28.5" x14ac:dyDescent="0.2">
      <c r="A789" s="597" t="s">
        <v>1994</v>
      </c>
      <c r="B789" s="226" t="s">
        <v>46</v>
      </c>
      <c r="C789" s="226" t="s">
        <v>1938</v>
      </c>
      <c r="D789" s="148" t="s">
        <v>1939</v>
      </c>
      <c r="E789" s="226" t="s">
        <v>17</v>
      </c>
      <c r="F789" s="146">
        <f>F788</f>
        <v>1.7907500000000001</v>
      </c>
      <c r="G789" s="235">
        <v>0.21</v>
      </c>
      <c r="H789" s="235">
        <f t="shared" si="135"/>
        <v>0.21</v>
      </c>
      <c r="I789" s="350">
        <f t="shared" si="136"/>
        <v>0.38</v>
      </c>
      <c r="J789" s="379"/>
    </row>
    <row r="790" spans="1:17" s="378" customFormat="1" ht="28.5" x14ac:dyDescent="0.2">
      <c r="A790" s="597" t="s">
        <v>1995</v>
      </c>
      <c r="B790" s="226" t="s">
        <v>46</v>
      </c>
      <c r="C790" s="226">
        <v>95241</v>
      </c>
      <c r="D790" s="156" t="s">
        <v>706</v>
      </c>
      <c r="E790" s="226" t="s">
        <v>16</v>
      </c>
      <c r="F790" s="146">
        <f>0.95</f>
        <v>0.95</v>
      </c>
      <c r="G790" s="236">
        <v>19.88</v>
      </c>
      <c r="H790" s="235">
        <f t="shared" si="135"/>
        <v>19.88</v>
      </c>
      <c r="I790" s="350">
        <f t="shared" si="136"/>
        <v>18.89</v>
      </c>
      <c r="J790" s="380"/>
    </row>
    <row r="791" spans="1:17" s="378" customFormat="1" ht="42.75" x14ac:dyDescent="0.2">
      <c r="A791" s="597" t="s">
        <v>1996</v>
      </c>
      <c r="B791" s="226" t="s">
        <v>46</v>
      </c>
      <c r="C791" s="226" t="s">
        <v>1940</v>
      </c>
      <c r="D791" s="148" t="s">
        <v>1941</v>
      </c>
      <c r="E791" s="226" t="s">
        <v>19</v>
      </c>
      <c r="F791" s="146">
        <v>1</v>
      </c>
      <c r="G791" s="235">
        <v>222.98</v>
      </c>
      <c r="H791" s="235">
        <f t="shared" si="135"/>
        <v>222.98</v>
      </c>
      <c r="I791" s="350">
        <f t="shared" si="136"/>
        <v>222.98</v>
      </c>
      <c r="J791" s="380"/>
    </row>
    <row r="792" spans="1:17" s="378" customFormat="1" ht="28.5" x14ac:dyDescent="0.2">
      <c r="A792" s="597" t="s">
        <v>1997</v>
      </c>
      <c r="B792" s="226" t="s">
        <v>46</v>
      </c>
      <c r="C792" s="226">
        <v>21090</v>
      </c>
      <c r="D792" s="148" t="s">
        <v>1942</v>
      </c>
      <c r="E792" s="226" t="s">
        <v>19</v>
      </c>
      <c r="F792" s="146">
        <v>1</v>
      </c>
      <c r="G792" s="235">
        <v>411.39</v>
      </c>
      <c r="H792" s="235">
        <f t="shared" si="135"/>
        <v>411.39</v>
      </c>
      <c r="I792" s="350">
        <f t="shared" si="136"/>
        <v>411.39</v>
      </c>
      <c r="J792" s="380"/>
    </row>
    <row r="793" spans="1:17" s="378" customFormat="1" ht="28.5" x14ac:dyDescent="0.2">
      <c r="A793" s="597" t="s">
        <v>1998</v>
      </c>
      <c r="B793" s="226" t="s">
        <v>46</v>
      </c>
      <c r="C793" s="226">
        <v>94963</v>
      </c>
      <c r="D793" s="148" t="s">
        <v>1943</v>
      </c>
      <c r="E793" s="226" t="s">
        <v>17</v>
      </c>
      <c r="F793" s="146">
        <v>0.32400000000000001</v>
      </c>
      <c r="G793" s="235">
        <v>260.83</v>
      </c>
      <c r="H793" s="235">
        <f t="shared" si="135"/>
        <v>260.83</v>
      </c>
      <c r="I793" s="350">
        <f t="shared" si="136"/>
        <v>84.51</v>
      </c>
      <c r="J793" s="380"/>
    </row>
    <row r="794" spans="1:17" s="378" customFormat="1" ht="14.25" x14ac:dyDescent="0.2">
      <c r="A794" s="597" t="s">
        <v>1999</v>
      </c>
      <c r="B794" s="226" t="s">
        <v>46</v>
      </c>
      <c r="C794" s="226" t="s">
        <v>1944</v>
      </c>
      <c r="D794" s="148" t="s">
        <v>1945</v>
      </c>
      <c r="E794" s="226" t="s">
        <v>17</v>
      </c>
      <c r="F794" s="146">
        <f>0.034*0.2</f>
        <v>6.8000000000000005E-3</v>
      </c>
      <c r="G794" s="235">
        <v>94.7</v>
      </c>
      <c r="H794" s="235">
        <f t="shared" si="135"/>
        <v>94.7</v>
      </c>
      <c r="I794" s="350">
        <f t="shared" si="136"/>
        <v>0.64</v>
      </c>
      <c r="J794" s="380"/>
    </row>
    <row r="795" spans="1:17" s="378" customFormat="1" ht="14.25" x14ac:dyDescent="0.2">
      <c r="A795" s="311"/>
      <c r="B795" s="227"/>
      <c r="C795" s="227"/>
      <c r="D795" s="178"/>
      <c r="E795" s="227"/>
      <c r="F795" s="157"/>
      <c r="G795" s="157"/>
      <c r="H795" s="157"/>
      <c r="I795" s="596"/>
      <c r="J795" s="380"/>
    </row>
    <row r="796" spans="1:17" s="378" customFormat="1" ht="24" customHeight="1" x14ac:dyDescent="0.2">
      <c r="A796" s="594">
        <v>54</v>
      </c>
      <c r="B796" s="298" t="s">
        <v>336</v>
      </c>
      <c r="C796" s="298" t="s">
        <v>2008</v>
      </c>
      <c r="D796" s="325" t="s">
        <v>1952</v>
      </c>
      <c r="E796" s="298" t="s">
        <v>19</v>
      </c>
      <c r="F796" s="363"/>
      <c r="G796" s="364"/>
      <c r="H796" s="364"/>
      <c r="I796" s="595">
        <f>SUM(I797:I807)</f>
        <v>3291.7599999999998</v>
      </c>
      <c r="J796" s="380"/>
    </row>
    <row r="797" spans="1:17" s="378" customFormat="1" ht="14.25" x14ac:dyDescent="0.2">
      <c r="A797" s="597" t="s">
        <v>2000</v>
      </c>
      <c r="B797" s="226" t="s">
        <v>66</v>
      </c>
      <c r="C797" s="281"/>
      <c r="D797" s="285" t="s">
        <v>1953</v>
      </c>
      <c r="E797" s="226" t="s">
        <v>19</v>
      </c>
      <c r="F797" s="146">
        <v>1</v>
      </c>
      <c r="G797" s="235">
        <v>850</v>
      </c>
      <c r="H797" s="235">
        <f>G797</f>
        <v>850</v>
      </c>
      <c r="I797" s="350">
        <f t="shared" ref="I797:I803" si="137">ROUND(F797*H797,2)</f>
        <v>850</v>
      </c>
      <c r="J797" s="380"/>
    </row>
    <row r="798" spans="1:17" s="378" customFormat="1" ht="14.25" x14ac:dyDescent="0.2">
      <c r="A798" s="597" t="s">
        <v>2001</v>
      </c>
      <c r="B798" s="226" t="s">
        <v>66</v>
      </c>
      <c r="C798" s="226"/>
      <c r="D798" s="148" t="s">
        <v>939</v>
      </c>
      <c r="E798" s="226" t="s">
        <v>19</v>
      </c>
      <c r="F798" s="146">
        <v>1</v>
      </c>
      <c r="G798" s="235">
        <v>260</v>
      </c>
      <c r="H798" s="235">
        <f t="shared" ref="H798:H803" si="138">G798</f>
        <v>260</v>
      </c>
      <c r="I798" s="350">
        <f t="shared" si="137"/>
        <v>260</v>
      </c>
      <c r="J798" s="380"/>
    </row>
    <row r="799" spans="1:17" s="378" customFormat="1" ht="14.25" x14ac:dyDescent="0.2">
      <c r="A799" s="597" t="s">
        <v>2002</v>
      </c>
      <c r="B799" s="226" t="s">
        <v>66</v>
      </c>
      <c r="C799" s="226"/>
      <c r="D799" s="148" t="s">
        <v>1954</v>
      </c>
      <c r="E799" s="226" t="s">
        <v>19</v>
      </c>
      <c r="F799" s="146">
        <v>1</v>
      </c>
      <c r="G799" s="235">
        <v>1100</v>
      </c>
      <c r="H799" s="235">
        <f t="shared" si="138"/>
        <v>1100</v>
      </c>
      <c r="I799" s="350">
        <f t="shared" si="137"/>
        <v>1100</v>
      </c>
      <c r="J799" s="380"/>
    </row>
    <row r="800" spans="1:17" s="378" customFormat="1" ht="14.25" x14ac:dyDescent="0.2">
      <c r="A800" s="597" t="s">
        <v>2003</v>
      </c>
      <c r="B800" s="226" t="s">
        <v>46</v>
      </c>
      <c r="C800" s="226">
        <v>3073</v>
      </c>
      <c r="D800" s="156" t="s">
        <v>1956</v>
      </c>
      <c r="E800" s="226" t="s">
        <v>19</v>
      </c>
      <c r="F800" s="146">
        <v>1</v>
      </c>
      <c r="G800" s="236">
        <v>104.62</v>
      </c>
      <c r="H800" s="235">
        <f t="shared" si="138"/>
        <v>104.62</v>
      </c>
      <c r="I800" s="350">
        <f t="shared" si="137"/>
        <v>104.62</v>
      </c>
      <c r="J800" s="380"/>
    </row>
    <row r="801" spans="1:10" s="378" customFormat="1" ht="28.5" x14ac:dyDescent="0.2">
      <c r="A801" s="597" t="s">
        <v>2004</v>
      </c>
      <c r="B801" s="226" t="s">
        <v>46</v>
      </c>
      <c r="C801" s="226">
        <v>20072</v>
      </c>
      <c r="D801" s="148" t="s">
        <v>1955</v>
      </c>
      <c r="E801" s="226" t="s">
        <v>18</v>
      </c>
      <c r="F801" s="146">
        <v>10</v>
      </c>
      <c r="G801" s="235">
        <v>19.78</v>
      </c>
      <c r="H801" s="235">
        <f t="shared" si="138"/>
        <v>19.78</v>
      </c>
      <c r="I801" s="350">
        <f t="shared" si="137"/>
        <v>197.8</v>
      </c>
      <c r="J801" s="380"/>
    </row>
    <row r="802" spans="1:10" s="378" customFormat="1" ht="14.25" x14ac:dyDescent="0.2">
      <c r="A802" s="597" t="s">
        <v>2005</v>
      </c>
      <c r="B802" s="226" t="s">
        <v>66</v>
      </c>
      <c r="C802" s="226"/>
      <c r="D802" s="148" t="s">
        <v>1231</v>
      </c>
      <c r="E802" s="226" t="s">
        <v>19</v>
      </c>
      <c r="F802" s="146">
        <v>3</v>
      </c>
      <c r="G802" s="235">
        <v>2.9</v>
      </c>
      <c r="H802" s="235">
        <f t="shared" si="138"/>
        <v>2.9</v>
      </c>
      <c r="I802" s="350">
        <f t="shared" si="137"/>
        <v>8.6999999999999993</v>
      </c>
      <c r="J802" s="380"/>
    </row>
    <row r="803" spans="1:10" s="378" customFormat="1" ht="14.25" x14ac:dyDescent="0.2">
      <c r="A803" s="597" t="s">
        <v>2006</v>
      </c>
      <c r="B803" s="226" t="s">
        <v>66</v>
      </c>
      <c r="C803" s="226"/>
      <c r="D803" s="148" t="s">
        <v>793</v>
      </c>
      <c r="E803" s="226" t="s">
        <v>19</v>
      </c>
      <c r="F803" s="146">
        <v>24</v>
      </c>
      <c r="G803" s="235">
        <v>5.4</v>
      </c>
      <c r="H803" s="235">
        <f t="shared" si="138"/>
        <v>5.4</v>
      </c>
      <c r="I803" s="350">
        <f t="shared" si="137"/>
        <v>129.6</v>
      </c>
      <c r="J803" s="380"/>
    </row>
    <row r="804" spans="1:10" s="26" customFormat="1" ht="14.25" x14ac:dyDescent="0.2">
      <c r="A804" s="597" t="s">
        <v>2007</v>
      </c>
      <c r="B804" s="154" t="s">
        <v>46</v>
      </c>
      <c r="C804" s="153">
        <v>88246</v>
      </c>
      <c r="D804" s="148" t="s">
        <v>1024</v>
      </c>
      <c r="E804" s="154" t="s">
        <v>15</v>
      </c>
      <c r="F804" s="191">
        <v>8</v>
      </c>
      <c r="G804" s="192">
        <v>25.61</v>
      </c>
      <c r="H804" s="191">
        <f>G804</f>
        <v>25.61</v>
      </c>
      <c r="I804" s="599">
        <f>F804*H804</f>
        <v>204.88</v>
      </c>
    </row>
    <row r="805" spans="1:10" s="26" customFormat="1" ht="14.25" x14ac:dyDescent="0.2">
      <c r="A805" s="597" t="s">
        <v>2478</v>
      </c>
      <c r="B805" s="154" t="s">
        <v>46</v>
      </c>
      <c r="C805" s="153">
        <v>88316</v>
      </c>
      <c r="D805" s="148" t="s">
        <v>797</v>
      </c>
      <c r="E805" s="154" t="s">
        <v>15</v>
      </c>
      <c r="F805" s="191">
        <v>8</v>
      </c>
      <c r="G805" s="192">
        <v>16.64</v>
      </c>
      <c r="H805" s="191">
        <f t="shared" ref="H805:H807" si="139">G805</f>
        <v>16.64</v>
      </c>
      <c r="I805" s="599">
        <f t="shared" ref="I805:I807" si="140">F805*H805</f>
        <v>133.12</v>
      </c>
    </row>
    <row r="806" spans="1:10" s="26" customFormat="1" ht="14.25" x14ac:dyDescent="0.2">
      <c r="A806" s="597" t="s">
        <v>2479</v>
      </c>
      <c r="B806" s="154" t="s">
        <v>46</v>
      </c>
      <c r="C806" s="153">
        <v>88267</v>
      </c>
      <c r="D806" s="148" t="s">
        <v>795</v>
      </c>
      <c r="E806" s="154" t="s">
        <v>15</v>
      </c>
      <c r="F806" s="191">
        <v>8</v>
      </c>
      <c r="G806" s="192">
        <v>21.01</v>
      </c>
      <c r="H806" s="191">
        <f t="shared" si="139"/>
        <v>21.01</v>
      </c>
      <c r="I806" s="599">
        <f t="shared" si="140"/>
        <v>168.08</v>
      </c>
    </row>
    <row r="807" spans="1:10" s="26" customFormat="1" ht="28.5" x14ac:dyDescent="0.2">
      <c r="A807" s="597" t="s">
        <v>2480</v>
      </c>
      <c r="B807" s="154" t="s">
        <v>46</v>
      </c>
      <c r="C807" s="153">
        <v>88248</v>
      </c>
      <c r="D807" s="148" t="s">
        <v>1406</v>
      </c>
      <c r="E807" s="154" t="s">
        <v>15</v>
      </c>
      <c r="F807" s="191">
        <v>8</v>
      </c>
      <c r="G807" s="192">
        <v>16.87</v>
      </c>
      <c r="H807" s="191">
        <f t="shared" si="139"/>
        <v>16.87</v>
      </c>
      <c r="I807" s="599">
        <f t="shared" si="140"/>
        <v>134.96</v>
      </c>
    </row>
    <row r="808" spans="1:10" s="378" customFormat="1" thickBot="1" x14ac:dyDescent="0.25">
      <c r="A808" s="604"/>
      <c r="B808" s="586"/>
      <c r="C808" s="586"/>
      <c r="D808" s="584"/>
      <c r="E808" s="586"/>
      <c r="F808" s="585"/>
      <c r="G808" s="605"/>
      <c r="H808" s="605"/>
      <c r="I808" s="606"/>
      <c r="J808" s="380"/>
    </row>
  </sheetData>
  <mergeCells count="9">
    <mergeCell ref="A1:I1"/>
    <mergeCell ref="B3:D3"/>
    <mergeCell ref="B5:D5"/>
    <mergeCell ref="A9:A11"/>
    <mergeCell ref="B9:B11"/>
    <mergeCell ref="C9:C11"/>
    <mergeCell ref="D9:D11"/>
    <mergeCell ref="E9:E11"/>
    <mergeCell ref="F9:F11"/>
  </mergeCells>
  <printOptions horizontalCentered="1"/>
  <pageMargins left="0.39370078740157483" right="0.43307086614173229" top="0.78740157480314965" bottom="0.59055118110236227" header="0.35433070866141736" footer="0.31496062992125984"/>
  <pageSetup paperSize="9" scale="67" orientation="landscape" r:id="rId1"/>
  <headerFooter alignWithMargins="0">
    <oddHeader>&amp;L&amp;G&amp;R&amp;G</oddHeader>
    <oddFooter>&amp;C&amp;K03+000
Rua Nilton Baldo, 744 – Bairro Jardim Paquetá - CEP 31.330-660 – Belo Horizonte / Minas Gerais.
Endereço Eletrônico: ottawaeng@terra.com.br – Telefax (31) 3418-2175 – CNPJ: 04.472.311/0001-04&amp;R&amp;K03+000Página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8"/>
  <sheetViews>
    <sheetView view="pageBreakPreview" zoomScale="90" zoomScaleNormal="100" zoomScaleSheetLayoutView="90" workbookViewId="0">
      <selection activeCell="G32" sqref="G32"/>
    </sheetView>
  </sheetViews>
  <sheetFormatPr defaultColWidth="0" defaultRowHeight="0" zeroHeight="1" x14ac:dyDescent="0.2"/>
  <cols>
    <col min="1" max="1" width="3" customWidth="1"/>
    <col min="2" max="2" width="21.5703125" customWidth="1"/>
    <col min="3" max="3" width="9.7109375" bestFit="1" customWidth="1"/>
    <col min="4" max="4" width="11.28515625" bestFit="1" customWidth="1"/>
    <col min="5" max="5" width="18.5703125" customWidth="1"/>
    <col min="6" max="10" width="9.140625" customWidth="1"/>
    <col min="11" max="11" width="7.28515625" customWidth="1"/>
    <col min="12" max="12" width="3.7109375" customWidth="1"/>
  </cols>
  <sheetData>
    <row r="1" spans="2:11" ht="13.5" thickBot="1" x14ac:dyDescent="0.25"/>
    <row r="2" spans="2:11" ht="12.75" x14ac:dyDescent="0.2">
      <c r="B2" s="783" t="s">
        <v>2481</v>
      </c>
      <c r="C2" s="784"/>
      <c r="D2" s="784"/>
      <c r="E2" s="784"/>
      <c r="F2" s="784"/>
      <c r="G2" s="784"/>
      <c r="H2" s="784"/>
      <c r="I2" s="784"/>
      <c r="J2" s="784"/>
      <c r="K2" s="785"/>
    </row>
    <row r="3" spans="2:11" ht="13.5" thickBot="1" x14ac:dyDescent="0.25">
      <c r="B3" s="786"/>
      <c r="C3" s="787"/>
      <c r="D3" s="787"/>
      <c r="E3" s="787"/>
      <c r="F3" s="787"/>
      <c r="G3" s="787"/>
      <c r="H3" s="787"/>
      <c r="I3" s="787"/>
      <c r="J3" s="787"/>
      <c r="K3" s="788"/>
    </row>
    <row r="4" spans="2:11" ht="12.75" x14ac:dyDescent="0.2">
      <c r="B4" s="85"/>
      <c r="C4" s="86"/>
      <c r="D4" s="86"/>
      <c r="E4" s="86"/>
      <c r="F4" s="86"/>
      <c r="G4" s="86"/>
      <c r="H4" s="86"/>
      <c r="I4" s="86"/>
      <c r="J4" s="86"/>
      <c r="K4" s="87"/>
    </row>
    <row r="5" spans="2:11" ht="12.75" x14ac:dyDescent="0.2">
      <c r="B5" s="85"/>
      <c r="C5" s="86"/>
      <c r="D5" s="86"/>
      <c r="E5" s="86"/>
      <c r="F5" s="86"/>
      <c r="G5" s="86"/>
      <c r="H5" s="86"/>
      <c r="I5" s="86"/>
      <c r="J5" s="86"/>
      <c r="K5" s="87"/>
    </row>
    <row r="6" spans="2:11" ht="12.75" x14ac:dyDescent="0.2">
      <c r="B6" s="85"/>
      <c r="C6" s="86"/>
      <c r="D6" s="86"/>
      <c r="E6" s="86"/>
      <c r="F6" s="86"/>
      <c r="G6" s="86"/>
      <c r="H6" s="86"/>
      <c r="I6" s="86"/>
      <c r="J6" s="86"/>
      <c r="K6" s="87"/>
    </row>
    <row r="7" spans="2:11" ht="12.75" x14ac:dyDescent="0.2">
      <c r="B7" s="85"/>
      <c r="C7" s="86"/>
      <c r="D7" s="86"/>
      <c r="E7" s="86"/>
      <c r="F7" s="86"/>
      <c r="G7" s="86"/>
      <c r="H7" s="86"/>
      <c r="I7" s="86"/>
      <c r="J7" s="86"/>
      <c r="K7" s="87"/>
    </row>
    <row r="8" spans="2:11" ht="12.75" x14ac:dyDescent="0.2">
      <c r="B8" s="85"/>
      <c r="C8" s="86"/>
      <c r="D8" s="86"/>
      <c r="E8" s="86"/>
      <c r="F8" s="86"/>
      <c r="G8" s="86"/>
      <c r="H8" s="86"/>
      <c r="I8" s="86"/>
      <c r="J8" s="86"/>
      <c r="K8" s="87"/>
    </row>
    <row r="9" spans="2:11" ht="12.75" x14ac:dyDescent="0.2">
      <c r="B9" s="85"/>
      <c r="C9" s="86"/>
      <c r="D9" s="86"/>
      <c r="E9" s="86"/>
      <c r="F9" s="86"/>
      <c r="G9" s="86"/>
      <c r="H9" s="86"/>
      <c r="I9" s="86"/>
      <c r="J9" s="86"/>
      <c r="K9" s="87"/>
    </row>
    <row r="10" spans="2:11" ht="12.75" x14ac:dyDescent="0.2">
      <c r="B10" s="85"/>
      <c r="C10" s="86"/>
      <c r="D10" s="86"/>
      <c r="E10" s="789"/>
      <c r="F10" s="790"/>
      <c r="G10" s="790"/>
      <c r="H10" s="790"/>
      <c r="I10" s="790"/>
      <c r="J10" s="790"/>
      <c r="K10" s="791"/>
    </row>
    <row r="11" spans="2:11" ht="12.75" x14ac:dyDescent="0.2">
      <c r="B11" s="792"/>
      <c r="C11" s="793"/>
      <c r="D11" s="794"/>
      <c r="E11" s="795"/>
      <c r="F11" s="796"/>
      <c r="G11" s="796"/>
      <c r="H11" s="796"/>
      <c r="I11" s="796"/>
      <c r="J11" s="796"/>
      <c r="K11" s="797"/>
    </row>
    <row r="12" spans="2:11" ht="12.75" x14ac:dyDescent="0.2">
      <c r="B12" s="798"/>
      <c r="C12" s="793"/>
      <c r="D12" s="799"/>
      <c r="E12" s="795"/>
      <c r="F12" s="796"/>
      <c r="G12" s="796"/>
      <c r="H12" s="796"/>
      <c r="I12" s="796"/>
      <c r="J12" s="796"/>
      <c r="K12" s="797"/>
    </row>
    <row r="13" spans="2:11" ht="12.75" x14ac:dyDescent="0.2">
      <c r="B13" s="798"/>
      <c r="C13" s="793"/>
      <c r="D13" s="799"/>
      <c r="E13" s="795"/>
      <c r="F13" s="796"/>
      <c r="G13" s="796"/>
      <c r="H13" s="796"/>
      <c r="I13" s="796"/>
      <c r="J13" s="796"/>
      <c r="K13" s="797"/>
    </row>
    <row r="14" spans="2:11" ht="12.75" x14ac:dyDescent="0.2">
      <c r="B14" s="798"/>
      <c r="C14" s="793"/>
      <c r="D14" s="799"/>
      <c r="E14" s="795"/>
      <c r="F14" s="796"/>
      <c r="G14" s="796"/>
      <c r="H14" s="796"/>
      <c r="I14" s="796"/>
      <c r="J14" s="796"/>
      <c r="K14" s="797"/>
    </row>
    <row r="15" spans="2:11" ht="12.75" x14ac:dyDescent="0.2">
      <c r="B15" s="792"/>
      <c r="C15" s="793"/>
      <c r="D15" s="799"/>
      <c r="E15" s="795"/>
      <c r="F15" s="796"/>
      <c r="G15" s="796"/>
      <c r="H15" s="796"/>
      <c r="I15" s="796"/>
      <c r="J15" s="796"/>
      <c r="K15" s="797"/>
    </row>
    <row r="16" spans="2:11" ht="12.75" customHeight="1" x14ac:dyDescent="0.2">
      <c r="B16" s="792"/>
      <c r="C16" s="793"/>
      <c r="D16" s="799"/>
      <c r="E16" s="795"/>
      <c r="F16" s="796"/>
      <c r="G16" s="796"/>
      <c r="H16" s="796"/>
      <c r="I16" s="796"/>
      <c r="J16" s="796"/>
      <c r="K16" s="797"/>
    </row>
    <row r="17" spans="2:11" ht="13.5" thickBot="1" x14ac:dyDescent="0.25">
      <c r="B17" s="792"/>
      <c r="C17" s="793"/>
      <c r="D17" s="799"/>
      <c r="E17" s="795"/>
      <c r="F17" s="796"/>
      <c r="G17" s="796"/>
      <c r="H17" s="796"/>
      <c r="I17" s="796"/>
      <c r="J17" s="796"/>
      <c r="K17" s="797"/>
    </row>
    <row r="18" spans="2:11" ht="13.5" thickBot="1" x14ac:dyDescent="0.25">
      <c r="B18" s="792"/>
      <c r="C18" s="793"/>
      <c r="D18" s="799"/>
      <c r="E18" s="452"/>
      <c r="F18" s="800" t="s">
        <v>2482</v>
      </c>
      <c r="G18" s="801"/>
      <c r="H18" s="801"/>
      <c r="I18" s="801"/>
      <c r="J18" s="801"/>
      <c r="K18" s="802"/>
    </row>
    <row r="19" spans="2:11" ht="13.5" thickBot="1" x14ac:dyDescent="0.25">
      <c r="B19" s="85"/>
      <c r="C19" s="86"/>
      <c r="D19" s="86"/>
      <c r="E19" s="86"/>
      <c r="F19" s="803" t="s">
        <v>2483</v>
      </c>
      <c r="G19" s="804"/>
      <c r="H19" s="804"/>
      <c r="I19" s="804"/>
      <c r="J19" s="804"/>
      <c r="K19" s="805"/>
    </row>
    <row r="20" spans="2:11" ht="13.5" thickBot="1" x14ac:dyDescent="0.25">
      <c r="B20" s="806" t="s">
        <v>2484</v>
      </c>
      <c r="C20" s="807"/>
      <c r="D20" s="807"/>
      <c r="E20" s="808"/>
      <c r="F20" s="809"/>
      <c r="G20" s="810"/>
      <c r="H20" s="810"/>
      <c r="I20" s="810"/>
      <c r="J20" s="810"/>
      <c r="K20" s="811"/>
    </row>
    <row r="21" spans="2:11" ht="12.75" x14ac:dyDescent="0.2">
      <c r="B21" s="812" t="s">
        <v>2485</v>
      </c>
      <c r="C21" s="813" t="s">
        <v>2486</v>
      </c>
      <c r="D21" s="814" t="s">
        <v>2487</v>
      </c>
      <c r="E21" s="815" t="s">
        <v>2488</v>
      </c>
      <c r="F21" s="809"/>
      <c r="G21" s="810"/>
      <c r="H21" s="810"/>
      <c r="I21" s="810"/>
      <c r="J21" s="810"/>
      <c r="K21" s="811"/>
    </row>
    <row r="22" spans="2:11" ht="50.1" customHeight="1" x14ac:dyDescent="0.2">
      <c r="B22" s="816" t="s">
        <v>2489</v>
      </c>
      <c r="C22" s="817">
        <v>4.9299999999999997E-2</v>
      </c>
      <c r="D22" s="818" t="str">
        <f>IF(C22&gt;0.0493,"FORA DO LIMITE",IF(C22&lt;=0.0493,"OK"))</f>
        <v>OK</v>
      </c>
      <c r="E22" s="819"/>
      <c r="F22" s="820"/>
      <c r="G22" s="821"/>
      <c r="H22" s="821"/>
      <c r="I22" s="821"/>
      <c r="J22" s="821"/>
      <c r="K22" s="822"/>
    </row>
    <row r="23" spans="2:11" ht="50.1" customHeight="1" x14ac:dyDescent="0.2">
      <c r="B23" s="816" t="s">
        <v>2490</v>
      </c>
      <c r="C23" s="817">
        <v>4.8999999999999998E-3</v>
      </c>
      <c r="D23" s="818" t="str">
        <f>IF(C23&gt;0.0049,"FORA DO LIMITE",IF(C23&lt;=0.0049,"OK"))</f>
        <v>OK</v>
      </c>
      <c r="E23" s="823"/>
      <c r="F23" s="824" t="s">
        <v>2491</v>
      </c>
      <c r="G23" s="825"/>
      <c r="H23" s="825"/>
      <c r="I23" s="825"/>
      <c r="J23" s="825"/>
      <c r="K23" s="826"/>
    </row>
    <row r="24" spans="2:11" ht="50.1" customHeight="1" x14ac:dyDescent="0.2">
      <c r="B24" s="816" t="s">
        <v>294</v>
      </c>
      <c r="C24" s="817">
        <v>1.3899999999999999E-2</v>
      </c>
      <c r="D24" s="818" t="str">
        <f>IF(C24&gt;0.0139,"FORA DO LIMITE",IF(C24&lt;=0.0139,"OK"))</f>
        <v>OK</v>
      </c>
      <c r="E24" s="827" t="str">
        <f>IF(D22="FORA DO LIMITE","VERIFICAR ITENS",IF(D23="FORA DO LIMITE","VERIFICAR ITENS",IF(D24="FORA DO LIMITE","VERIFICAR ITENS",IF(D25="FORA DO LIMITE","VERIFICAR ITENS",IF(D26="FORA DO LIMITE","VERIFICAR ITENS",IF(D29="FORA DO LIMITE","VERIFICAR ITENS",IF(C34&lt;0.2418,"",IF(C34&gt;0.2418,"JUSTIFICAR COMPOSIÇÃO DE BDI","OK"))))))))</f>
        <v/>
      </c>
      <c r="F24" s="828"/>
      <c r="G24" s="829"/>
      <c r="H24" s="829"/>
      <c r="I24" s="829"/>
      <c r="J24" s="829"/>
      <c r="K24" s="830"/>
    </row>
    <row r="25" spans="2:11" ht="50.1" customHeight="1" x14ac:dyDescent="0.2">
      <c r="B25" s="816" t="s">
        <v>295</v>
      </c>
      <c r="C25" s="817">
        <v>9.9000000000000008E-3</v>
      </c>
      <c r="D25" s="831" t="str">
        <f>IF(C25&gt;0.0099,"FORA DO LIMITE",IF(C25&lt;=0.0099,"OK"))</f>
        <v>OK</v>
      </c>
      <c r="E25" s="832" t="str">
        <f>IF(E24="VERIFICAR ITENS","BDI INCORRETO","BDI OK")</f>
        <v>BDI OK</v>
      </c>
      <c r="F25" s="833" t="s">
        <v>2492</v>
      </c>
      <c r="G25" s="833"/>
      <c r="H25" s="833"/>
      <c r="I25" s="833"/>
      <c r="J25" s="833"/>
      <c r="K25" s="834"/>
    </row>
    <row r="26" spans="2:11" ht="50.1" customHeight="1" x14ac:dyDescent="0.2">
      <c r="B26" s="816" t="s">
        <v>2493</v>
      </c>
      <c r="C26" s="817">
        <v>7.5800000000000006E-2</v>
      </c>
      <c r="D26" s="831" t="str">
        <f>IF(C26&gt;0.0804,"FORA DO LIMITE",IF(C26&lt;=0.0804,"OK"))</f>
        <v>OK</v>
      </c>
      <c r="E26" s="835"/>
      <c r="F26" s="833"/>
      <c r="G26" s="833"/>
      <c r="H26" s="833"/>
      <c r="I26" s="833"/>
      <c r="J26" s="833"/>
      <c r="K26" s="834"/>
    </row>
    <row r="27" spans="2:11" ht="50.1" customHeight="1" x14ac:dyDescent="0.2">
      <c r="B27" s="836" t="s">
        <v>2494</v>
      </c>
      <c r="C27" s="817">
        <v>3.6499999999999998E-2</v>
      </c>
      <c r="D27" s="831" t="s">
        <v>2495</v>
      </c>
      <c r="E27" s="837"/>
      <c r="F27" s="833"/>
      <c r="G27" s="833"/>
      <c r="H27" s="833"/>
      <c r="I27" s="833"/>
      <c r="J27" s="833"/>
      <c r="K27" s="834"/>
    </row>
    <row r="28" spans="2:11" ht="55.5" customHeight="1" x14ac:dyDescent="0.2">
      <c r="B28" s="838" t="s">
        <v>383</v>
      </c>
      <c r="C28" s="839">
        <v>0.02</v>
      </c>
      <c r="D28" s="840" t="s">
        <v>2495</v>
      </c>
      <c r="E28" s="835"/>
      <c r="F28" s="841"/>
      <c r="G28" s="841"/>
      <c r="H28" s="841"/>
      <c r="I28" s="841"/>
      <c r="J28" s="841"/>
      <c r="K28" s="842"/>
    </row>
    <row r="29" spans="2:11" ht="50.1" customHeight="1" x14ac:dyDescent="0.2">
      <c r="B29" s="836" t="s">
        <v>2496</v>
      </c>
      <c r="C29" s="817">
        <v>0.03</v>
      </c>
      <c r="D29" s="818" t="str">
        <f>IF(C29&lt;0.02,"FORA DO LIMITE",IF(C29&gt;0.05,"FORA DO LIMITE","OK"))</f>
        <v>OK</v>
      </c>
      <c r="E29" s="843"/>
      <c r="F29" s="824" t="s">
        <v>2497</v>
      </c>
      <c r="G29" s="844"/>
      <c r="H29" s="844"/>
      <c r="I29" s="844"/>
      <c r="J29" s="844"/>
      <c r="K29" s="845"/>
    </row>
    <row r="30" spans="2:11" ht="50.1" customHeight="1" thickBot="1" x14ac:dyDescent="0.25">
      <c r="B30" s="846" t="s">
        <v>2498</v>
      </c>
      <c r="C30" s="847">
        <v>0.3</v>
      </c>
      <c r="D30" s="848" t="str">
        <f>IF(C30&lt;0,"FORA DO LIMITE",IF(C30&gt;1,"FORA DO LIMITE","OK"))</f>
        <v>OK</v>
      </c>
      <c r="E30" s="849"/>
      <c r="F30" s="850"/>
      <c r="G30" s="851"/>
      <c r="H30" s="851"/>
      <c r="I30" s="851"/>
      <c r="J30" s="851"/>
      <c r="K30" s="852"/>
    </row>
    <row r="31" spans="2:11" ht="16.5" thickBot="1" x14ac:dyDescent="0.25">
      <c r="B31" s="853" t="s">
        <v>2499</v>
      </c>
      <c r="C31" s="854"/>
      <c r="D31" s="855"/>
      <c r="E31" s="12"/>
      <c r="F31" s="856"/>
      <c r="G31" s="856"/>
      <c r="H31" s="86"/>
      <c r="I31" s="86"/>
      <c r="J31" s="86"/>
      <c r="K31" s="86"/>
    </row>
    <row r="32" spans="2:11" ht="18.75" thickBot="1" x14ac:dyDescent="0.25">
      <c r="B32" s="857" t="s">
        <v>2500</v>
      </c>
      <c r="C32" s="858">
        <f>((1+C22+C23+C24)*(1+C25)*(1+C26))/(1-(C27+C29*C30))-1</f>
        <v>0.21575452446516508</v>
      </c>
      <c r="D32" s="859"/>
      <c r="E32" s="11"/>
      <c r="F32" s="11"/>
      <c r="G32" s="11"/>
      <c r="H32" s="86"/>
      <c r="I32" s="86"/>
      <c r="J32" s="86"/>
      <c r="K32" s="86"/>
    </row>
    <row r="33" spans="2:11" ht="13.5" thickBot="1" x14ac:dyDescent="0.25">
      <c r="B33" s="853" t="s">
        <v>2501</v>
      </c>
      <c r="C33" s="854"/>
      <c r="D33" s="855"/>
      <c r="E33" s="12"/>
      <c r="F33" s="860"/>
      <c r="G33" s="86"/>
      <c r="H33" s="86"/>
      <c r="I33" s="86"/>
      <c r="J33" s="86"/>
      <c r="K33" s="86"/>
    </row>
    <row r="34" spans="2:11" ht="18.75" thickBot="1" x14ac:dyDescent="0.25">
      <c r="B34" s="857" t="s">
        <v>2500</v>
      </c>
      <c r="C34" s="858">
        <f>((1+C22+C23+C24)*(1+C25)*(1+C26))/(1-(C27+C28+C29*C30))-1</f>
        <v>0.24177388293418933</v>
      </c>
      <c r="D34" s="859"/>
      <c r="E34" s="861"/>
      <c r="F34" s="860"/>
      <c r="G34" s="86"/>
      <c r="H34" s="86"/>
      <c r="I34" s="86"/>
      <c r="J34" s="86"/>
      <c r="K34" s="86"/>
    </row>
    <row r="35" spans="2:11" ht="12.75" x14ac:dyDescent="0.2">
      <c r="B35" s="862"/>
      <c r="C35" s="863"/>
      <c r="D35" s="862"/>
    </row>
    <row r="36" spans="2:11" ht="12.75" hidden="1" x14ac:dyDescent="0.2"/>
    <row r="37" spans="2:11" ht="12.75" hidden="1" x14ac:dyDescent="0.2"/>
    <row r="38" spans="2:11" ht="12.75" hidden="1" x14ac:dyDescent="0.2"/>
  </sheetData>
  <mergeCells count="20">
    <mergeCell ref="F29:K30"/>
    <mergeCell ref="B31:D31"/>
    <mergeCell ref="C32:D32"/>
    <mergeCell ref="B33:D33"/>
    <mergeCell ref="C34:D34"/>
    <mergeCell ref="B18:C18"/>
    <mergeCell ref="F18:K18"/>
    <mergeCell ref="F19:K22"/>
    <mergeCell ref="B20:E20"/>
    <mergeCell ref="F23:K24"/>
    <mergeCell ref="F25:K28"/>
    <mergeCell ref="B2:K3"/>
    <mergeCell ref="F10:K17"/>
    <mergeCell ref="B11:C11"/>
    <mergeCell ref="B12:C12"/>
    <mergeCell ref="B13:C13"/>
    <mergeCell ref="B14:C14"/>
    <mergeCell ref="B15:C15"/>
    <mergeCell ref="B16:C16"/>
    <mergeCell ref="B17:C17"/>
  </mergeCells>
  <conditionalFormatting sqref="D35 D22:D27 D29:D30">
    <cfRule type="cellIs" dxfId="27" priority="11" stopIfTrue="1" operator="equal">
      <formula>"OK"</formula>
    </cfRule>
    <cfRule type="cellIs" dxfId="26" priority="12" stopIfTrue="1" operator="equal">
      <formula>"FORA DO LIMITE"</formula>
    </cfRule>
  </conditionalFormatting>
  <conditionalFormatting sqref="E24">
    <cfRule type="expression" dxfId="25" priority="1">
      <formula>$E$24="VERIFICAR VALOR DO BDI SEM CPRB"</formula>
    </cfRule>
    <cfRule type="cellIs" dxfId="24" priority="4" operator="equal">
      <formula>"JUSTIFICAR COMPOSIÇÃO DE BDI"</formula>
    </cfRule>
    <cfRule type="cellIs" dxfId="23" priority="6" operator="equal">
      <formula>"VERIFICAR ITENS"</formula>
    </cfRule>
  </conditionalFormatting>
  <conditionalFormatting sqref="E25">
    <cfRule type="cellIs" dxfId="22" priority="5" operator="equal">
      <formula>"BDI OK"</formula>
    </cfRule>
    <cfRule type="containsText" dxfId="21" priority="7" operator="containsText" text="BDI INCORRETO">
      <formula>NOT(ISERROR(SEARCH("BDI INCORRETO",E25)))</formula>
    </cfRule>
  </conditionalFormatting>
  <conditionalFormatting sqref="F31">
    <cfRule type="cellIs" dxfId="20" priority="8" stopIfTrue="1" operator="equal">
      <formula>"OK"</formula>
    </cfRule>
    <cfRule type="cellIs" dxfId="19" priority="9" stopIfTrue="1" operator="equal">
      <formula>"FORA DA FAIXA"</formula>
    </cfRule>
    <cfRule type="cellIs" dxfId="18" priority="10" stopIfTrue="1" operator="equal">
      <formula>"VERIFICAR ITENS"</formula>
    </cfRule>
  </conditionalFormatting>
  <conditionalFormatting sqref="C32:D32 C34">
    <cfRule type="expression" dxfId="17" priority="2">
      <formula>$E$25="BDI INCORRETO"</formula>
    </cfRule>
    <cfRule type="expression" dxfId="16" priority="3">
      <formula>$E$25="BDI OK"</formula>
    </cfRule>
  </conditionalFormatting>
  <printOptions horizontalCentered="1" verticalCentered="1"/>
  <pageMargins left="0.51181102362204722" right="0.51181102362204722" top="0.78740157480314965" bottom="0.78740157480314965" header="0.31496062992125984" footer="0.31496062992125984"/>
  <pageSetup paperSize="9" scale="79" orientation="portrait" r:id="rId1"/>
  <headerFooter>
    <oddHeader>&amp;L&amp;G&amp;R&amp;G</oddHeader>
    <oddFooter xml:space="preserve">&amp;C&amp;K03+000Rua Nilton Baldo, 744 – Bairro Jardim Paquetá - CEP 31.330-660 – Belo Horizonte / Minas Gerais.
Endereço Eletrônico: ottawaeng@terra.com.br – Telefax (31) 3418-2175 – CNPJ: 04.472.311/0001-04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5"/>
  <sheetViews>
    <sheetView view="pageBreakPreview" zoomScaleNormal="100" zoomScaleSheetLayoutView="100" workbookViewId="0">
      <selection activeCell="F24" sqref="F24:K27"/>
    </sheetView>
  </sheetViews>
  <sheetFormatPr defaultColWidth="0" defaultRowHeight="0" zeroHeight="1" x14ac:dyDescent="0.2"/>
  <cols>
    <col min="1" max="1" width="3" customWidth="1"/>
    <col min="2" max="2" width="21.5703125" customWidth="1"/>
    <col min="3" max="3" width="8.140625" bestFit="1" customWidth="1"/>
    <col min="4" max="4" width="11.28515625" bestFit="1" customWidth="1"/>
    <col min="5" max="5" width="18.5703125" customWidth="1"/>
    <col min="6" max="10" width="9.140625" customWidth="1"/>
    <col min="11" max="11" width="7.28515625" customWidth="1"/>
    <col min="12" max="12" width="3.7109375" customWidth="1"/>
  </cols>
  <sheetData>
    <row r="1" spans="2:11" ht="13.5" thickBot="1" x14ac:dyDescent="0.25"/>
    <row r="2" spans="2:11" ht="12.75" x14ac:dyDescent="0.2">
      <c r="B2" s="783" t="s">
        <v>2481</v>
      </c>
      <c r="C2" s="784"/>
      <c r="D2" s="784"/>
      <c r="E2" s="784"/>
      <c r="F2" s="784"/>
      <c r="G2" s="784"/>
      <c r="H2" s="784"/>
      <c r="I2" s="784"/>
      <c r="J2" s="784"/>
      <c r="K2" s="785"/>
    </row>
    <row r="3" spans="2:11" ht="13.5" thickBot="1" x14ac:dyDescent="0.25">
      <c r="B3" s="786"/>
      <c r="C3" s="787"/>
      <c r="D3" s="787"/>
      <c r="E3" s="787"/>
      <c r="F3" s="787"/>
      <c r="G3" s="787"/>
      <c r="H3" s="787"/>
      <c r="I3" s="787"/>
      <c r="J3" s="787"/>
      <c r="K3" s="788"/>
    </row>
    <row r="4" spans="2:11" ht="12.75" x14ac:dyDescent="0.2">
      <c r="B4" s="85"/>
      <c r="C4" s="86"/>
      <c r="D4" s="86"/>
      <c r="E4" s="86"/>
      <c r="F4" s="86"/>
      <c r="G4" s="86"/>
      <c r="H4" s="86"/>
      <c r="I4" s="86"/>
      <c r="J4" s="86"/>
      <c r="K4" s="87"/>
    </row>
    <row r="5" spans="2:11" ht="12.75" x14ac:dyDescent="0.2">
      <c r="B5" s="85"/>
      <c r="C5" s="86"/>
      <c r="D5" s="86"/>
      <c r="E5" s="86"/>
      <c r="F5" s="86"/>
      <c r="G5" s="86"/>
      <c r="H5" s="86"/>
      <c r="I5" s="86"/>
      <c r="J5" s="86"/>
      <c r="K5" s="87"/>
    </row>
    <row r="6" spans="2:11" ht="12.75" x14ac:dyDescent="0.2">
      <c r="B6" s="85"/>
      <c r="C6" s="86"/>
      <c r="D6" s="86"/>
      <c r="E6" s="86"/>
      <c r="F6" s="86"/>
      <c r="G6" s="86"/>
      <c r="H6" s="86"/>
      <c r="I6" s="86"/>
      <c r="J6" s="86"/>
      <c r="K6" s="87"/>
    </row>
    <row r="7" spans="2:11" ht="12.75" x14ac:dyDescent="0.2">
      <c r="B7" s="85"/>
      <c r="C7" s="86"/>
      <c r="D7" s="86"/>
      <c r="E7" s="86"/>
      <c r="F7" s="86"/>
      <c r="G7" s="86"/>
      <c r="H7" s="86"/>
      <c r="I7" s="86"/>
      <c r="J7" s="86"/>
      <c r="K7" s="87"/>
    </row>
    <row r="8" spans="2:11" ht="12.75" x14ac:dyDescent="0.2">
      <c r="B8" s="85"/>
      <c r="C8" s="86"/>
      <c r="D8" s="86"/>
      <c r="E8" s="86"/>
      <c r="F8" s="86"/>
      <c r="G8" s="86"/>
      <c r="H8" s="86"/>
      <c r="I8" s="86"/>
      <c r="J8" s="86"/>
      <c r="K8" s="87"/>
    </row>
    <row r="9" spans="2:11" ht="12.75" x14ac:dyDescent="0.2">
      <c r="B9" s="85"/>
      <c r="C9" s="86"/>
      <c r="D9" s="86"/>
      <c r="E9" s="86"/>
      <c r="F9" s="86"/>
      <c r="G9" s="86"/>
      <c r="H9" s="86"/>
      <c r="I9" s="86"/>
      <c r="J9" s="86"/>
      <c r="K9" s="87"/>
    </row>
    <row r="10" spans="2:11" ht="12.75" x14ac:dyDescent="0.2">
      <c r="B10" s="85"/>
      <c r="C10" s="86"/>
      <c r="D10" s="86"/>
      <c r="E10" s="86"/>
      <c r="F10" s="864"/>
      <c r="G10" s="790"/>
      <c r="H10" s="790"/>
      <c r="I10" s="790"/>
      <c r="J10" s="790"/>
      <c r="K10" s="791"/>
    </row>
    <row r="11" spans="2:11" ht="12.75" x14ac:dyDescent="0.2">
      <c r="B11" s="865"/>
      <c r="C11" s="866"/>
      <c r="D11" s="867"/>
      <c r="E11" s="86"/>
      <c r="F11" s="868"/>
      <c r="G11" s="796"/>
      <c r="H11" s="796"/>
      <c r="I11" s="796"/>
      <c r="J11" s="796"/>
      <c r="K11" s="797"/>
    </row>
    <row r="12" spans="2:11" ht="12.75" x14ac:dyDescent="0.2">
      <c r="B12" s="869"/>
      <c r="C12" s="866"/>
      <c r="D12" s="861"/>
      <c r="E12" s="86"/>
      <c r="F12" s="868"/>
      <c r="G12" s="796"/>
      <c r="H12" s="796"/>
      <c r="I12" s="796"/>
      <c r="J12" s="796"/>
      <c r="K12" s="797"/>
    </row>
    <row r="13" spans="2:11" ht="12.75" x14ac:dyDescent="0.2">
      <c r="B13" s="869"/>
      <c r="C13" s="866"/>
      <c r="D13" s="861"/>
      <c r="E13" s="86"/>
      <c r="F13" s="868"/>
      <c r="G13" s="796"/>
      <c r="H13" s="796"/>
      <c r="I13" s="796"/>
      <c r="J13" s="796"/>
      <c r="K13" s="797"/>
    </row>
    <row r="14" spans="2:11" ht="12.75" x14ac:dyDescent="0.2">
      <c r="B14" s="869"/>
      <c r="C14" s="866"/>
      <c r="D14" s="861"/>
      <c r="E14" s="86"/>
      <c r="F14" s="868"/>
      <c r="G14" s="796"/>
      <c r="H14" s="796"/>
      <c r="I14" s="796"/>
      <c r="J14" s="796"/>
      <c r="K14" s="797"/>
    </row>
    <row r="15" spans="2:11" ht="12.75" x14ac:dyDescent="0.2">
      <c r="B15" s="865"/>
      <c r="C15" s="866"/>
      <c r="D15" s="799"/>
      <c r="E15" s="86"/>
      <c r="F15" s="868"/>
      <c r="G15" s="796"/>
      <c r="H15" s="796"/>
      <c r="I15" s="796"/>
      <c r="J15" s="796"/>
      <c r="K15" s="797"/>
    </row>
    <row r="16" spans="2:11" ht="12.75" x14ac:dyDescent="0.2">
      <c r="B16" s="865"/>
      <c r="C16" s="866"/>
      <c r="D16" s="799"/>
      <c r="E16" s="86"/>
      <c r="F16" s="868"/>
      <c r="G16" s="796"/>
      <c r="H16" s="796"/>
      <c r="I16" s="796"/>
      <c r="J16" s="796"/>
      <c r="K16" s="797"/>
    </row>
    <row r="17" spans="2:11" ht="13.5" thickBot="1" x14ac:dyDescent="0.25">
      <c r="B17" s="865"/>
      <c r="C17" s="866"/>
      <c r="D17" s="799"/>
      <c r="E17" s="86"/>
      <c r="F17" s="868"/>
      <c r="G17" s="796"/>
      <c r="H17" s="796"/>
      <c r="I17" s="796"/>
      <c r="J17" s="796"/>
      <c r="K17" s="797"/>
    </row>
    <row r="18" spans="2:11" ht="13.5" thickBot="1" x14ac:dyDescent="0.25">
      <c r="B18" s="865"/>
      <c r="C18" s="866"/>
      <c r="D18" s="861"/>
      <c r="E18" s="86"/>
      <c r="F18" s="800" t="s">
        <v>2482</v>
      </c>
      <c r="G18" s="801"/>
      <c r="H18" s="801"/>
      <c r="I18" s="801"/>
      <c r="J18" s="801"/>
      <c r="K18" s="802"/>
    </row>
    <row r="19" spans="2:11" ht="13.5" thickBot="1" x14ac:dyDescent="0.25">
      <c r="B19" s="870"/>
      <c r="C19" s="91"/>
      <c r="D19" s="86"/>
      <c r="E19" s="86"/>
      <c r="F19" s="871" t="s">
        <v>2483</v>
      </c>
      <c r="G19" s="872"/>
      <c r="H19" s="872"/>
      <c r="I19" s="872"/>
      <c r="J19" s="872"/>
      <c r="K19" s="873"/>
    </row>
    <row r="20" spans="2:11" ht="12.75" x14ac:dyDescent="0.2">
      <c r="B20" s="812" t="s">
        <v>2485</v>
      </c>
      <c r="C20" s="813" t="s">
        <v>2486</v>
      </c>
      <c r="D20" s="874" t="s">
        <v>2487</v>
      </c>
      <c r="E20" s="875" t="s">
        <v>2488</v>
      </c>
      <c r="F20" s="876"/>
      <c r="G20" s="877"/>
      <c r="H20" s="877"/>
      <c r="I20" s="877"/>
      <c r="J20" s="877"/>
      <c r="K20" s="878"/>
    </row>
    <row r="21" spans="2:11" ht="50.1" customHeight="1" x14ac:dyDescent="0.2">
      <c r="B21" s="816" t="s">
        <v>2489</v>
      </c>
      <c r="C21" s="817">
        <v>2.35E-2</v>
      </c>
      <c r="D21" s="818" t="str">
        <f>IF(C21&gt;0.0345,"FORA DO LIMITE",IF(C21&lt;=0.0345,"OK"))</f>
        <v>OK</v>
      </c>
      <c r="E21" s="819"/>
      <c r="F21" s="876"/>
      <c r="G21" s="877"/>
      <c r="H21" s="877"/>
      <c r="I21" s="877"/>
      <c r="J21" s="877"/>
      <c r="K21" s="878"/>
    </row>
    <row r="22" spans="2:11" ht="50.1" customHeight="1" x14ac:dyDescent="0.2">
      <c r="B22" s="816" t="s">
        <v>2490</v>
      </c>
      <c r="C22" s="817">
        <v>3.0000000000000001E-3</v>
      </c>
      <c r="D22" s="818" t="str">
        <f>IF(C22&gt;0.0048,"FORA DO LIMITE",IF(C22&lt;=0.0048,"OK"))</f>
        <v>OK</v>
      </c>
      <c r="E22" s="823"/>
      <c r="F22" s="879" t="s">
        <v>2491</v>
      </c>
      <c r="G22" s="825"/>
      <c r="H22" s="825"/>
      <c r="I22" s="825"/>
      <c r="J22" s="825"/>
      <c r="K22" s="826"/>
    </row>
    <row r="23" spans="2:11" ht="50.1" customHeight="1" x14ac:dyDescent="0.2">
      <c r="B23" s="816" t="s">
        <v>294</v>
      </c>
      <c r="C23" s="817">
        <v>4.1000000000000003E-3</v>
      </c>
      <c r="D23" s="818" t="str">
        <f>IF(C23&gt;0.0085,"FORA DO LIMITE",IF(C23&lt;=0.0085,"OK"))</f>
        <v>OK</v>
      </c>
      <c r="E23" s="880" t="str">
        <f>IF(D21="FORA DO LIMITE","VERIFICAR ITENS",IF(D22="FORA DO LIMITE","VERIFICAR ITENS",IF(D23="FORA DO LIMITE","VERIFICAR ITENS",IF(D24="FORA DO LIMITE","VERIFICAR ITENS",IF(D25="FORA DO LIMITE","VERIFICAR ITENS",IF(C31&lt;0.1402,"",IF(C31&gt;0.1402,"JUSTIFICAR COMPOSIÇÃO DE BDI","OK")))))))</f>
        <v/>
      </c>
      <c r="F23" s="828"/>
      <c r="G23" s="829"/>
      <c r="H23" s="829"/>
      <c r="I23" s="829"/>
      <c r="J23" s="829"/>
      <c r="K23" s="830"/>
    </row>
    <row r="24" spans="2:11" ht="50.1" customHeight="1" x14ac:dyDescent="0.2">
      <c r="B24" s="816" t="s">
        <v>295</v>
      </c>
      <c r="C24" s="817">
        <v>8.5000000000000006E-3</v>
      </c>
      <c r="D24" s="818" t="str">
        <f>IF(C24&gt;0.0085,"FORA DO LIMITE",IF(C24&lt;=0.0085,"OK"))</f>
        <v>OK</v>
      </c>
      <c r="E24" s="823" t="str">
        <f>IF(E23="VERIFICAR ITENS","BDI INCORRETO","BDI OK")</f>
        <v>BDI OK</v>
      </c>
      <c r="F24" s="881" t="s">
        <v>2492</v>
      </c>
      <c r="G24" s="833"/>
      <c r="H24" s="833"/>
      <c r="I24" s="833"/>
      <c r="J24" s="833"/>
      <c r="K24" s="834"/>
    </row>
    <row r="25" spans="2:11" ht="50.1" customHeight="1" x14ac:dyDescent="0.2">
      <c r="B25" s="816" t="s">
        <v>2493</v>
      </c>
      <c r="C25" s="817">
        <v>3.5000000000000003E-2</v>
      </c>
      <c r="D25" s="818" t="str">
        <f>IF(C25&gt;0.0511,"FORA DO LIMITE",IF(C25&lt;=0.0511,"OK"))</f>
        <v>OK</v>
      </c>
      <c r="E25" s="882"/>
      <c r="F25" s="881"/>
      <c r="G25" s="833"/>
      <c r="H25" s="833"/>
      <c r="I25" s="833"/>
      <c r="J25" s="833"/>
      <c r="K25" s="834"/>
    </row>
    <row r="26" spans="2:11" ht="50.1" customHeight="1" x14ac:dyDescent="0.2">
      <c r="B26" s="883" t="s">
        <v>2494</v>
      </c>
      <c r="C26" s="884">
        <v>3.6499999999999998E-2</v>
      </c>
      <c r="D26" s="885" t="s">
        <v>2495</v>
      </c>
      <c r="E26" s="882"/>
      <c r="F26" s="881"/>
      <c r="G26" s="833"/>
      <c r="H26" s="833"/>
      <c r="I26" s="833"/>
      <c r="J26" s="833"/>
      <c r="K26" s="834"/>
    </row>
    <row r="27" spans="2:11" ht="55.5" customHeight="1" thickBot="1" x14ac:dyDescent="0.25">
      <c r="B27" s="886" t="s">
        <v>383</v>
      </c>
      <c r="C27" s="887">
        <v>0.02</v>
      </c>
      <c r="D27" s="888" t="s">
        <v>2495</v>
      </c>
      <c r="E27" s="882"/>
      <c r="F27" s="889"/>
      <c r="G27" s="841"/>
      <c r="H27" s="841"/>
      <c r="I27" s="841"/>
      <c r="J27" s="841"/>
      <c r="K27" s="842"/>
    </row>
    <row r="28" spans="2:11" ht="53.25" customHeight="1" thickBot="1" x14ac:dyDescent="0.25">
      <c r="B28" s="890" t="s">
        <v>2499</v>
      </c>
      <c r="C28" s="891"/>
      <c r="D28" s="892"/>
      <c r="E28" s="893"/>
      <c r="F28" s="894" t="s">
        <v>2502</v>
      </c>
      <c r="G28" s="895"/>
      <c r="H28" s="895"/>
      <c r="I28" s="895"/>
      <c r="J28" s="895"/>
      <c r="K28" s="896"/>
    </row>
    <row r="29" spans="2:11" ht="18.75" thickBot="1" x14ac:dyDescent="0.25">
      <c r="B29" s="857" t="s">
        <v>2500</v>
      </c>
      <c r="C29" s="858">
        <f>((1+C21+C22+C23)*(1+C24)*(1+C25))/(1-(C26))-1</f>
        <v>0.11648957291126072</v>
      </c>
      <c r="D29" s="859"/>
      <c r="E29" s="861"/>
      <c r="F29" s="860"/>
      <c r="G29" s="86"/>
      <c r="H29" s="86"/>
      <c r="I29" s="86"/>
      <c r="J29" s="86"/>
      <c r="K29" s="86"/>
    </row>
    <row r="30" spans="2:11" ht="13.5" thickBot="1" x14ac:dyDescent="0.25">
      <c r="B30" s="853" t="s">
        <v>2501</v>
      </c>
      <c r="C30" s="854"/>
      <c r="D30" s="855"/>
      <c r="E30" s="861"/>
      <c r="F30" s="860"/>
      <c r="G30" s="86"/>
      <c r="H30" s="86"/>
      <c r="I30" s="86"/>
      <c r="J30" s="86"/>
      <c r="K30" s="86"/>
    </row>
    <row r="31" spans="2:11" ht="18.75" thickBot="1" x14ac:dyDescent="0.25">
      <c r="B31" s="857" t="s">
        <v>2500</v>
      </c>
      <c r="C31" s="858">
        <f>((1+C21+C22+C23)*(1+C24)*(1+C25))/(1-(C26+C27))-1</f>
        <v>0.14015654848966586</v>
      </c>
      <c r="D31" s="859"/>
      <c r="E31" s="861"/>
      <c r="F31" s="860"/>
      <c r="G31" s="86"/>
      <c r="H31" s="86"/>
      <c r="I31" s="86"/>
      <c r="J31" s="86"/>
      <c r="K31" s="86"/>
    </row>
    <row r="32" spans="2:11" ht="12.75" x14ac:dyDescent="0.2">
      <c r="B32" s="862"/>
      <c r="C32" s="863"/>
      <c r="D32" s="862"/>
    </row>
    <row r="33" ht="12.75" hidden="1" x14ac:dyDescent="0.2"/>
    <row r="34" ht="12.75" hidden="1" x14ac:dyDescent="0.2"/>
    <row r="35" ht="12.75" hidden="1" x14ac:dyDescent="0.2"/>
  </sheetData>
  <mergeCells count="19">
    <mergeCell ref="C29:D29"/>
    <mergeCell ref="B30:D30"/>
    <mergeCell ref="C31:D31"/>
    <mergeCell ref="B18:C18"/>
    <mergeCell ref="F18:K18"/>
    <mergeCell ref="F19:K21"/>
    <mergeCell ref="F22:K23"/>
    <mergeCell ref="F24:K27"/>
    <mergeCell ref="B28:D28"/>
    <mergeCell ref="F28:K28"/>
    <mergeCell ref="B2:K3"/>
    <mergeCell ref="F10:K17"/>
    <mergeCell ref="B11:C11"/>
    <mergeCell ref="B12:C12"/>
    <mergeCell ref="B13:C13"/>
    <mergeCell ref="B14:C14"/>
    <mergeCell ref="B15:C15"/>
    <mergeCell ref="B16:C16"/>
    <mergeCell ref="B17:C17"/>
  </mergeCells>
  <conditionalFormatting sqref="E23">
    <cfRule type="expression" dxfId="15" priority="10">
      <formula>$E$23="VERIFICAR VALOR DO BDI SEM CPRB"</formula>
    </cfRule>
    <cfRule type="cellIs" dxfId="14" priority="15" stopIfTrue="1" operator="equal">
      <formula>"VERIFICAR ITENS"</formula>
    </cfRule>
    <cfRule type="cellIs" dxfId="13" priority="16" stopIfTrue="1" operator="equal">
      <formula>"JUSTIFICAR COMPOSIÇÃO DE BDI"</formula>
    </cfRule>
  </conditionalFormatting>
  <conditionalFormatting sqref="C29:D29 C31">
    <cfRule type="expression" dxfId="12" priority="13">
      <formula>$E$24="BDI INCORRETO"</formula>
    </cfRule>
    <cfRule type="expression" dxfId="11" priority="14">
      <formula>$E$24="BDI OK"</formula>
    </cfRule>
  </conditionalFormatting>
  <conditionalFormatting sqref="E24">
    <cfRule type="expression" dxfId="10" priority="11">
      <formula>$E$24="BDI OK"</formula>
    </cfRule>
    <cfRule type="expression" dxfId="9" priority="12">
      <formula>$E$24="BDI INCORRETO"</formula>
    </cfRule>
  </conditionalFormatting>
  <conditionalFormatting sqref="D21">
    <cfRule type="expression" dxfId="8" priority="8">
      <formula>$D$21:$D$25="FORA DO LIMITE"</formula>
    </cfRule>
    <cfRule type="expression" dxfId="7" priority="9">
      <formula>$D$21:$D$25="OK"</formula>
    </cfRule>
  </conditionalFormatting>
  <conditionalFormatting sqref="D22">
    <cfRule type="expression" dxfId="6" priority="6">
      <formula>$D$22="FORA DO LIMITE"</formula>
    </cfRule>
    <cfRule type="expression" dxfId="5" priority="7">
      <formula>$D$22="OK"</formula>
    </cfRule>
  </conditionalFormatting>
  <conditionalFormatting sqref="D23">
    <cfRule type="expression" dxfId="4" priority="4">
      <formula>$D$23="FORA DO LIMITE"</formula>
    </cfRule>
    <cfRule type="expression" dxfId="3" priority="5">
      <formula>$D$23="OK"</formula>
    </cfRule>
  </conditionalFormatting>
  <conditionalFormatting sqref="D24">
    <cfRule type="expression" dxfId="2" priority="3">
      <formula>$D$24="OK"</formula>
    </cfRule>
  </conditionalFormatting>
  <conditionalFormatting sqref="D25">
    <cfRule type="expression" dxfId="1" priority="1">
      <formula>$D$25="FORA DO LIMITE"</formula>
    </cfRule>
    <cfRule type="expression" dxfId="0" priority="2">
      <formula>$D$25="OK"</formula>
    </cfRule>
  </conditionalFormatting>
  <printOptions horizontalCentered="1" verticalCentered="1"/>
  <pageMargins left="0.51181102362204722" right="0.51181102362204722" top="0.78740157480314965" bottom="0.78740157480314965" header="0.31496062992125984" footer="0.31496062992125984"/>
  <pageSetup paperSize="9" scale="80" orientation="portrait" r:id="rId1"/>
  <headerFooter>
    <oddHeader>&amp;L&amp;G&amp;R&amp;G</oddHeader>
    <oddFooter xml:space="preserve">&amp;C&amp;K03+000Rua Nilton Baldo, 744 – Bairro Jardim Paquetá - CEP 31.330-660 – Belo Horizonte / Minas Gerais.
Endereço Eletrônico: ottawaeng@terra.com.br – Telefax (31) 3418-2175 – CNPJ: 04.472.311/0001-04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3"/>
  <sheetViews>
    <sheetView view="pageBreakPreview" zoomScale="90" zoomScaleNormal="100" zoomScaleSheetLayoutView="90" workbookViewId="0">
      <selection activeCell="B72" sqref="B72:G72"/>
    </sheetView>
  </sheetViews>
  <sheetFormatPr defaultRowHeight="12.75" x14ac:dyDescent="0.2"/>
  <cols>
    <col min="1" max="1" width="7.7109375" customWidth="1"/>
    <col min="2" max="2" width="25.140625" customWidth="1"/>
    <col min="4" max="4" width="20.42578125" customWidth="1"/>
    <col min="5" max="5" width="10.42578125" customWidth="1"/>
    <col min="6" max="6" width="8.5703125" customWidth="1"/>
    <col min="7" max="7" width="13" customWidth="1"/>
    <col min="8" max="8" width="8.5703125" customWidth="1"/>
    <col min="9" max="9" width="11.140625" customWidth="1"/>
    <col min="10" max="10" width="14.28515625" customWidth="1"/>
    <col min="11" max="11" width="17.7109375" customWidth="1"/>
    <col min="257" max="257" width="7.7109375" customWidth="1"/>
    <col min="258" max="258" width="25.140625" customWidth="1"/>
    <col min="260" max="260" width="20.42578125" customWidth="1"/>
    <col min="261" max="261" width="10.42578125" customWidth="1"/>
    <col min="262" max="262" width="8.5703125" customWidth="1"/>
    <col min="263" max="263" width="13" customWidth="1"/>
    <col min="264" max="264" width="8.5703125" customWidth="1"/>
    <col min="265" max="265" width="11.140625" customWidth="1"/>
    <col min="266" max="266" width="14.28515625" customWidth="1"/>
    <col min="267" max="267" width="17.7109375" customWidth="1"/>
    <col min="513" max="513" width="7.7109375" customWidth="1"/>
    <col min="514" max="514" width="25.140625" customWidth="1"/>
    <col min="516" max="516" width="20.42578125" customWidth="1"/>
    <col min="517" max="517" width="10.42578125" customWidth="1"/>
    <col min="518" max="518" width="8.5703125" customWidth="1"/>
    <col min="519" max="519" width="13" customWidth="1"/>
    <col min="520" max="520" width="8.5703125" customWidth="1"/>
    <col min="521" max="521" width="11.140625" customWidth="1"/>
    <col min="522" max="522" width="14.28515625" customWidth="1"/>
    <col min="523" max="523" width="17.7109375" customWidth="1"/>
    <col min="769" max="769" width="7.7109375" customWidth="1"/>
    <col min="770" max="770" width="25.140625" customWidth="1"/>
    <col min="772" max="772" width="20.42578125" customWidth="1"/>
    <col min="773" max="773" width="10.42578125" customWidth="1"/>
    <col min="774" max="774" width="8.5703125" customWidth="1"/>
    <col min="775" max="775" width="13" customWidth="1"/>
    <col min="776" max="776" width="8.5703125" customWidth="1"/>
    <col min="777" max="777" width="11.140625" customWidth="1"/>
    <col min="778" max="778" width="14.28515625" customWidth="1"/>
    <col min="779" max="779" width="17.7109375" customWidth="1"/>
    <col min="1025" max="1025" width="7.7109375" customWidth="1"/>
    <col min="1026" max="1026" width="25.140625" customWidth="1"/>
    <col min="1028" max="1028" width="20.42578125" customWidth="1"/>
    <col min="1029" max="1029" width="10.42578125" customWidth="1"/>
    <col min="1030" max="1030" width="8.5703125" customWidth="1"/>
    <col min="1031" max="1031" width="13" customWidth="1"/>
    <col min="1032" max="1032" width="8.5703125" customWidth="1"/>
    <col min="1033" max="1033" width="11.140625" customWidth="1"/>
    <col min="1034" max="1034" width="14.28515625" customWidth="1"/>
    <col min="1035" max="1035" width="17.7109375" customWidth="1"/>
    <col min="1281" max="1281" width="7.7109375" customWidth="1"/>
    <col min="1282" max="1282" width="25.140625" customWidth="1"/>
    <col min="1284" max="1284" width="20.42578125" customWidth="1"/>
    <col min="1285" max="1285" width="10.42578125" customWidth="1"/>
    <col min="1286" max="1286" width="8.5703125" customWidth="1"/>
    <col min="1287" max="1287" width="13" customWidth="1"/>
    <col min="1288" max="1288" width="8.5703125" customWidth="1"/>
    <col min="1289" max="1289" width="11.140625" customWidth="1"/>
    <col min="1290" max="1290" width="14.28515625" customWidth="1"/>
    <col min="1291" max="1291" width="17.7109375" customWidth="1"/>
    <col min="1537" max="1537" width="7.7109375" customWidth="1"/>
    <col min="1538" max="1538" width="25.140625" customWidth="1"/>
    <col min="1540" max="1540" width="20.42578125" customWidth="1"/>
    <col min="1541" max="1541" width="10.42578125" customWidth="1"/>
    <col min="1542" max="1542" width="8.5703125" customWidth="1"/>
    <col min="1543" max="1543" width="13" customWidth="1"/>
    <col min="1544" max="1544" width="8.5703125" customWidth="1"/>
    <col min="1545" max="1545" width="11.140625" customWidth="1"/>
    <col min="1546" max="1546" width="14.28515625" customWidth="1"/>
    <col min="1547" max="1547" width="17.7109375" customWidth="1"/>
    <col min="1793" max="1793" width="7.7109375" customWidth="1"/>
    <col min="1794" max="1794" width="25.140625" customWidth="1"/>
    <col min="1796" max="1796" width="20.42578125" customWidth="1"/>
    <col min="1797" max="1797" width="10.42578125" customWidth="1"/>
    <col min="1798" max="1798" width="8.5703125" customWidth="1"/>
    <col min="1799" max="1799" width="13" customWidth="1"/>
    <col min="1800" max="1800" width="8.5703125" customWidth="1"/>
    <col min="1801" max="1801" width="11.140625" customWidth="1"/>
    <col min="1802" max="1802" width="14.28515625" customWidth="1"/>
    <col min="1803" max="1803" width="17.7109375" customWidth="1"/>
    <col min="2049" max="2049" width="7.7109375" customWidth="1"/>
    <col min="2050" max="2050" width="25.140625" customWidth="1"/>
    <col min="2052" max="2052" width="20.42578125" customWidth="1"/>
    <col min="2053" max="2053" width="10.42578125" customWidth="1"/>
    <col min="2054" max="2054" width="8.5703125" customWidth="1"/>
    <col min="2055" max="2055" width="13" customWidth="1"/>
    <col min="2056" max="2056" width="8.5703125" customWidth="1"/>
    <col min="2057" max="2057" width="11.140625" customWidth="1"/>
    <col min="2058" max="2058" width="14.28515625" customWidth="1"/>
    <col min="2059" max="2059" width="17.7109375" customWidth="1"/>
    <col min="2305" max="2305" width="7.7109375" customWidth="1"/>
    <col min="2306" max="2306" width="25.140625" customWidth="1"/>
    <col min="2308" max="2308" width="20.42578125" customWidth="1"/>
    <col min="2309" max="2309" width="10.42578125" customWidth="1"/>
    <col min="2310" max="2310" width="8.5703125" customWidth="1"/>
    <col min="2311" max="2311" width="13" customWidth="1"/>
    <col min="2312" max="2312" width="8.5703125" customWidth="1"/>
    <col min="2313" max="2313" width="11.140625" customWidth="1"/>
    <col min="2314" max="2314" width="14.28515625" customWidth="1"/>
    <col min="2315" max="2315" width="17.7109375" customWidth="1"/>
    <col min="2561" max="2561" width="7.7109375" customWidth="1"/>
    <col min="2562" max="2562" width="25.140625" customWidth="1"/>
    <col min="2564" max="2564" width="20.42578125" customWidth="1"/>
    <col min="2565" max="2565" width="10.42578125" customWidth="1"/>
    <col min="2566" max="2566" width="8.5703125" customWidth="1"/>
    <col min="2567" max="2567" width="13" customWidth="1"/>
    <col min="2568" max="2568" width="8.5703125" customWidth="1"/>
    <col min="2569" max="2569" width="11.140625" customWidth="1"/>
    <col min="2570" max="2570" width="14.28515625" customWidth="1"/>
    <col min="2571" max="2571" width="17.7109375" customWidth="1"/>
    <col min="2817" max="2817" width="7.7109375" customWidth="1"/>
    <col min="2818" max="2818" width="25.140625" customWidth="1"/>
    <col min="2820" max="2820" width="20.42578125" customWidth="1"/>
    <col min="2821" max="2821" width="10.42578125" customWidth="1"/>
    <col min="2822" max="2822" width="8.5703125" customWidth="1"/>
    <col min="2823" max="2823" width="13" customWidth="1"/>
    <col min="2824" max="2824" width="8.5703125" customWidth="1"/>
    <col min="2825" max="2825" width="11.140625" customWidth="1"/>
    <col min="2826" max="2826" width="14.28515625" customWidth="1"/>
    <col min="2827" max="2827" width="17.7109375" customWidth="1"/>
    <col min="3073" max="3073" width="7.7109375" customWidth="1"/>
    <col min="3074" max="3074" width="25.140625" customWidth="1"/>
    <col min="3076" max="3076" width="20.42578125" customWidth="1"/>
    <col min="3077" max="3077" width="10.42578125" customWidth="1"/>
    <col min="3078" max="3078" width="8.5703125" customWidth="1"/>
    <col min="3079" max="3079" width="13" customWidth="1"/>
    <col min="3080" max="3080" width="8.5703125" customWidth="1"/>
    <col min="3081" max="3081" width="11.140625" customWidth="1"/>
    <col min="3082" max="3082" width="14.28515625" customWidth="1"/>
    <col min="3083" max="3083" width="17.7109375" customWidth="1"/>
    <col min="3329" max="3329" width="7.7109375" customWidth="1"/>
    <col min="3330" max="3330" width="25.140625" customWidth="1"/>
    <col min="3332" max="3332" width="20.42578125" customWidth="1"/>
    <col min="3333" max="3333" width="10.42578125" customWidth="1"/>
    <col min="3334" max="3334" width="8.5703125" customWidth="1"/>
    <col min="3335" max="3335" width="13" customWidth="1"/>
    <col min="3336" max="3336" width="8.5703125" customWidth="1"/>
    <col min="3337" max="3337" width="11.140625" customWidth="1"/>
    <col min="3338" max="3338" width="14.28515625" customWidth="1"/>
    <col min="3339" max="3339" width="17.7109375" customWidth="1"/>
    <col min="3585" max="3585" width="7.7109375" customWidth="1"/>
    <col min="3586" max="3586" width="25.140625" customWidth="1"/>
    <col min="3588" max="3588" width="20.42578125" customWidth="1"/>
    <col min="3589" max="3589" width="10.42578125" customWidth="1"/>
    <col min="3590" max="3590" width="8.5703125" customWidth="1"/>
    <col min="3591" max="3591" width="13" customWidth="1"/>
    <col min="3592" max="3592" width="8.5703125" customWidth="1"/>
    <col min="3593" max="3593" width="11.140625" customWidth="1"/>
    <col min="3594" max="3594" width="14.28515625" customWidth="1"/>
    <col min="3595" max="3595" width="17.7109375" customWidth="1"/>
    <col min="3841" max="3841" width="7.7109375" customWidth="1"/>
    <col min="3842" max="3842" width="25.140625" customWidth="1"/>
    <col min="3844" max="3844" width="20.42578125" customWidth="1"/>
    <col min="3845" max="3845" width="10.42578125" customWidth="1"/>
    <col min="3846" max="3846" width="8.5703125" customWidth="1"/>
    <col min="3847" max="3847" width="13" customWidth="1"/>
    <col min="3848" max="3848" width="8.5703125" customWidth="1"/>
    <col min="3849" max="3849" width="11.140625" customWidth="1"/>
    <col min="3850" max="3850" width="14.28515625" customWidth="1"/>
    <col min="3851" max="3851" width="17.7109375" customWidth="1"/>
    <col min="4097" max="4097" width="7.7109375" customWidth="1"/>
    <col min="4098" max="4098" width="25.140625" customWidth="1"/>
    <col min="4100" max="4100" width="20.42578125" customWidth="1"/>
    <col min="4101" max="4101" width="10.42578125" customWidth="1"/>
    <col min="4102" max="4102" width="8.5703125" customWidth="1"/>
    <col min="4103" max="4103" width="13" customWidth="1"/>
    <col min="4104" max="4104" width="8.5703125" customWidth="1"/>
    <col min="4105" max="4105" width="11.140625" customWidth="1"/>
    <col min="4106" max="4106" width="14.28515625" customWidth="1"/>
    <col min="4107" max="4107" width="17.7109375" customWidth="1"/>
    <col min="4353" max="4353" width="7.7109375" customWidth="1"/>
    <col min="4354" max="4354" width="25.140625" customWidth="1"/>
    <col min="4356" max="4356" width="20.42578125" customWidth="1"/>
    <col min="4357" max="4357" width="10.42578125" customWidth="1"/>
    <col min="4358" max="4358" width="8.5703125" customWidth="1"/>
    <col min="4359" max="4359" width="13" customWidth="1"/>
    <col min="4360" max="4360" width="8.5703125" customWidth="1"/>
    <col min="4361" max="4361" width="11.140625" customWidth="1"/>
    <col min="4362" max="4362" width="14.28515625" customWidth="1"/>
    <col min="4363" max="4363" width="17.7109375" customWidth="1"/>
    <col min="4609" max="4609" width="7.7109375" customWidth="1"/>
    <col min="4610" max="4610" width="25.140625" customWidth="1"/>
    <col min="4612" max="4612" width="20.42578125" customWidth="1"/>
    <col min="4613" max="4613" width="10.42578125" customWidth="1"/>
    <col min="4614" max="4614" width="8.5703125" customWidth="1"/>
    <col min="4615" max="4615" width="13" customWidth="1"/>
    <col min="4616" max="4616" width="8.5703125" customWidth="1"/>
    <col min="4617" max="4617" width="11.140625" customWidth="1"/>
    <col min="4618" max="4618" width="14.28515625" customWidth="1"/>
    <col min="4619" max="4619" width="17.7109375" customWidth="1"/>
    <col min="4865" max="4865" width="7.7109375" customWidth="1"/>
    <col min="4866" max="4866" width="25.140625" customWidth="1"/>
    <col min="4868" max="4868" width="20.42578125" customWidth="1"/>
    <col min="4869" max="4869" width="10.42578125" customWidth="1"/>
    <col min="4870" max="4870" width="8.5703125" customWidth="1"/>
    <col min="4871" max="4871" width="13" customWidth="1"/>
    <col min="4872" max="4872" width="8.5703125" customWidth="1"/>
    <col min="4873" max="4873" width="11.140625" customWidth="1"/>
    <col min="4874" max="4874" width="14.28515625" customWidth="1"/>
    <col min="4875" max="4875" width="17.7109375" customWidth="1"/>
    <col min="5121" max="5121" width="7.7109375" customWidth="1"/>
    <col min="5122" max="5122" width="25.140625" customWidth="1"/>
    <col min="5124" max="5124" width="20.42578125" customWidth="1"/>
    <col min="5125" max="5125" width="10.42578125" customWidth="1"/>
    <col min="5126" max="5126" width="8.5703125" customWidth="1"/>
    <col min="5127" max="5127" width="13" customWidth="1"/>
    <col min="5128" max="5128" width="8.5703125" customWidth="1"/>
    <col min="5129" max="5129" width="11.140625" customWidth="1"/>
    <col min="5130" max="5130" width="14.28515625" customWidth="1"/>
    <col min="5131" max="5131" width="17.7109375" customWidth="1"/>
    <col min="5377" max="5377" width="7.7109375" customWidth="1"/>
    <col min="5378" max="5378" width="25.140625" customWidth="1"/>
    <col min="5380" max="5380" width="20.42578125" customWidth="1"/>
    <col min="5381" max="5381" width="10.42578125" customWidth="1"/>
    <col min="5382" max="5382" width="8.5703125" customWidth="1"/>
    <col min="5383" max="5383" width="13" customWidth="1"/>
    <col min="5384" max="5384" width="8.5703125" customWidth="1"/>
    <col min="5385" max="5385" width="11.140625" customWidth="1"/>
    <col min="5386" max="5386" width="14.28515625" customWidth="1"/>
    <col min="5387" max="5387" width="17.7109375" customWidth="1"/>
    <col min="5633" max="5633" width="7.7109375" customWidth="1"/>
    <col min="5634" max="5634" width="25.140625" customWidth="1"/>
    <col min="5636" max="5636" width="20.42578125" customWidth="1"/>
    <col min="5637" max="5637" width="10.42578125" customWidth="1"/>
    <col min="5638" max="5638" width="8.5703125" customWidth="1"/>
    <col min="5639" max="5639" width="13" customWidth="1"/>
    <col min="5640" max="5640" width="8.5703125" customWidth="1"/>
    <col min="5641" max="5641" width="11.140625" customWidth="1"/>
    <col min="5642" max="5642" width="14.28515625" customWidth="1"/>
    <col min="5643" max="5643" width="17.7109375" customWidth="1"/>
    <col min="5889" max="5889" width="7.7109375" customWidth="1"/>
    <col min="5890" max="5890" width="25.140625" customWidth="1"/>
    <col min="5892" max="5892" width="20.42578125" customWidth="1"/>
    <col min="5893" max="5893" width="10.42578125" customWidth="1"/>
    <col min="5894" max="5894" width="8.5703125" customWidth="1"/>
    <col min="5895" max="5895" width="13" customWidth="1"/>
    <col min="5896" max="5896" width="8.5703125" customWidth="1"/>
    <col min="5897" max="5897" width="11.140625" customWidth="1"/>
    <col min="5898" max="5898" width="14.28515625" customWidth="1"/>
    <col min="5899" max="5899" width="17.7109375" customWidth="1"/>
    <col min="6145" max="6145" width="7.7109375" customWidth="1"/>
    <col min="6146" max="6146" width="25.140625" customWidth="1"/>
    <col min="6148" max="6148" width="20.42578125" customWidth="1"/>
    <col min="6149" max="6149" width="10.42578125" customWidth="1"/>
    <col min="6150" max="6150" width="8.5703125" customWidth="1"/>
    <col min="6151" max="6151" width="13" customWidth="1"/>
    <col min="6152" max="6152" width="8.5703125" customWidth="1"/>
    <col min="6153" max="6153" width="11.140625" customWidth="1"/>
    <col min="6154" max="6154" width="14.28515625" customWidth="1"/>
    <col min="6155" max="6155" width="17.7109375" customWidth="1"/>
    <col min="6401" max="6401" width="7.7109375" customWidth="1"/>
    <col min="6402" max="6402" width="25.140625" customWidth="1"/>
    <col min="6404" max="6404" width="20.42578125" customWidth="1"/>
    <col min="6405" max="6405" width="10.42578125" customWidth="1"/>
    <col min="6406" max="6406" width="8.5703125" customWidth="1"/>
    <col min="6407" max="6407" width="13" customWidth="1"/>
    <col min="6408" max="6408" width="8.5703125" customWidth="1"/>
    <col min="6409" max="6409" width="11.140625" customWidth="1"/>
    <col min="6410" max="6410" width="14.28515625" customWidth="1"/>
    <col min="6411" max="6411" width="17.7109375" customWidth="1"/>
    <col min="6657" max="6657" width="7.7109375" customWidth="1"/>
    <col min="6658" max="6658" width="25.140625" customWidth="1"/>
    <col min="6660" max="6660" width="20.42578125" customWidth="1"/>
    <col min="6661" max="6661" width="10.42578125" customWidth="1"/>
    <col min="6662" max="6662" width="8.5703125" customWidth="1"/>
    <col min="6663" max="6663" width="13" customWidth="1"/>
    <col min="6664" max="6664" width="8.5703125" customWidth="1"/>
    <col min="6665" max="6665" width="11.140625" customWidth="1"/>
    <col min="6666" max="6666" width="14.28515625" customWidth="1"/>
    <col min="6667" max="6667" width="17.7109375" customWidth="1"/>
    <col min="6913" max="6913" width="7.7109375" customWidth="1"/>
    <col min="6914" max="6914" width="25.140625" customWidth="1"/>
    <col min="6916" max="6916" width="20.42578125" customWidth="1"/>
    <col min="6917" max="6917" width="10.42578125" customWidth="1"/>
    <col min="6918" max="6918" width="8.5703125" customWidth="1"/>
    <col min="6919" max="6919" width="13" customWidth="1"/>
    <col min="6920" max="6920" width="8.5703125" customWidth="1"/>
    <col min="6921" max="6921" width="11.140625" customWidth="1"/>
    <col min="6922" max="6922" width="14.28515625" customWidth="1"/>
    <col min="6923" max="6923" width="17.7109375" customWidth="1"/>
    <col min="7169" max="7169" width="7.7109375" customWidth="1"/>
    <col min="7170" max="7170" width="25.140625" customWidth="1"/>
    <col min="7172" max="7172" width="20.42578125" customWidth="1"/>
    <col min="7173" max="7173" width="10.42578125" customWidth="1"/>
    <col min="7174" max="7174" width="8.5703125" customWidth="1"/>
    <col min="7175" max="7175" width="13" customWidth="1"/>
    <col min="7176" max="7176" width="8.5703125" customWidth="1"/>
    <col min="7177" max="7177" width="11.140625" customWidth="1"/>
    <col min="7178" max="7178" width="14.28515625" customWidth="1"/>
    <col min="7179" max="7179" width="17.7109375" customWidth="1"/>
    <col min="7425" max="7425" width="7.7109375" customWidth="1"/>
    <col min="7426" max="7426" width="25.140625" customWidth="1"/>
    <col min="7428" max="7428" width="20.42578125" customWidth="1"/>
    <col min="7429" max="7429" width="10.42578125" customWidth="1"/>
    <col min="7430" max="7430" width="8.5703125" customWidth="1"/>
    <col min="7431" max="7431" width="13" customWidth="1"/>
    <col min="7432" max="7432" width="8.5703125" customWidth="1"/>
    <col min="7433" max="7433" width="11.140625" customWidth="1"/>
    <col min="7434" max="7434" width="14.28515625" customWidth="1"/>
    <col min="7435" max="7435" width="17.7109375" customWidth="1"/>
    <col min="7681" max="7681" width="7.7109375" customWidth="1"/>
    <col min="7682" max="7682" width="25.140625" customWidth="1"/>
    <col min="7684" max="7684" width="20.42578125" customWidth="1"/>
    <col min="7685" max="7685" width="10.42578125" customWidth="1"/>
    <col min="7686" max="7686" width="8.5703125" customWidth="1"/>
    <col min="7687" max="7687" width="13" customWidth="1"/>
    <col min="7688" max="7688" width="8.5703125" customWidth="1"/>
    <col min="7689" max="7689" width="11.140625" customWidth="1"/>
    <col min="7690" max="7690" width="14.28515625" customWidth="1"/>
    <col min="7691" max="7691" width="17.7109375" customWidth="1"/>
    <col min="7937" max="7937" width="7.7109375" customWidth="1"/>
    <col min="7938" max="7938" width="25.140625" customWidth="1"/>
    <col min="7940" max="7940" width="20.42578125" customWidth="1"/>
    <col min="7941" max="7941" width="10.42578125" customWidth="1"/>
    <col min="7942" max="7942" width="8.5703125" customWidth="1"/>
    <col min="7943" max="7943" width="13" customWidth="1"/>
    <col min="7944" max="7944" width="8.5703125" customWidth="1"/>
    <col min="7945" max="7945" width="11.140625" customWidth="1"/>
    <col min="7946" max="7946" width="14.28515625" customWidth="1"/>
    <col min="7947" max="7947" width="17.7109375" customWidth="1"/>
    <col min="8193" max="8193" width="7.7109375" customWidth="1"/>
    <col min="8194" max="8194" width="25.140625" customWidth="1"/>
    <col min="8196" max="8196" width="20.42578125" customWidth="1"/>
    <col min="8197" max="8197" width="10.42578125" customWidth="1"/>
    <col min="8198" max="8198" width="8.5703125" customWidth="1"/>
    <col min="8199" max="8199" width="13" customWidth="1"/>
    <col min="8200" max="8200" width="8.5703125" customWidth="1"/>
    <col min="8201" max="8201" width="11.140625" customWidth="1"/>
    <col min="8202" max="8202" width="14.28515625" customWidth="1"/>
    <col min="8203" max="8203" width="17.7109375" customWidth="1"/>
    <col min="8449" max="8449" width="7.7109375" customWidth="1"/>
    <col min="8450" max="8450" width="25.140625" customWidth="1"/>
    <col min="8452" max="8452" width="20.42578125" customWidth="1"/>
    <col min="8453" max="8453" width="10.42578125" customWidth="1"/>
    <col min="8454" max="8454" width="8.5703125" customWidth="1"/>
    <col min="8455" max="8455" width="13" customWidth="1"/>
    <col min="8456" max="8456" width="8.5703125" customWidth="1"/>
    <col min="8457" max="8457" width="11.140625" customWidth="1"/>
    <col min="8458" max="8458" width="14.28515625" customWidth="1"/>
    <col min="8459" max="8459" width="17.7109375" customWidth="1"/>
    <col min="8705" max="8705" width="7.7109375" customWidth="1"/>
    <col min="8706" max="8706" width="25.140625" customWidth="1"/>
    <col min="8708" max="8708" width="20.42578125" customWidth="1"/>
    <col min="8709" max="8709" width="10.42578125" customWidth="1"/>
    <col min="8710" max="8710" width="8.5703125" customWidth="1"/>
    <col min="8711" max="8711" width="13" customWidth="1"/>
    <col min="8712" max="8712" width="8.5703125" customWidth="1"/>
    <col min="8713" max="8713" width="11.140625" customWidth="1"/>
    <col min="8714" max="8714" width="14.28515625" customWidth="1"/>
    <col min="8715" max="8715" width="17.7109375" customWidth="1"/>
    <col min="8961" max="8961" width="7.7109375" customWidth="1"/>
    <col min="8962" max="8962" width="25.140625" customWidth="1"/>
    <col min="8964" max="8964" width="20.42578125" customWidth="1"/>
    <col min="8965" max="8965" width="10.42578125" customWidth="1"/>
    <col min="8966" max="8966" width="8.5703125" customWidth="1"/>
    <col min="8967" max="8967" width="13" customWidth="1"/>
    <col min="8968" max="8968" width="8.5703125" customWidth="1"/>
    <col min="8969" max="8969" width="11.140625" customWidth="1"/>
    <col min="8970" max="8970" width="14.28515625" customWidth="1"/>
    <col min="8971" max="8971" width="17.7109375" customWidth="1"/>
    <col min="9217" max="9217" width="7.7109375" customWidth="1"/>
    <col min="9218" max="9218" width="25.140625" customWidth="1"/>
    <col min="9220" max="9220" width="20.42578125" customWidth="1"/>
    <col min="9221" max="9221" width="10.42578125" customWidth="1"/>
    <col min="9222" max="9222" width="8.5703125" customWidth="1"/>
    <col min="9223" max="9223" width="13" customWidth="1"/>
    <col min="9224" max="9224" width="8.5703125" customWidth="1"/>
    <col min="9225" max="9225" width="11.140625" customWidth="1"/>
    <col min="9226" max="9226" width="14.28515625" customWidth="1"/>
    <col min="9227" max="9227" width="17.7109375" customWidth="1"/>
    <col min="9473" max="9473" width="7.7109375" customWidth="1"/>
    <col min="9474" max="9474" width="25.140625" customWidth="1"/>
    <col min="9476" max="9476" width="20.42578125" customWidth="1"/>
    <col min="9477" max="9477" width="10.42578125" customWidth="1"/>
    <col min="9478" max="9478" width="8.5703125" customWidth="1"/>
    <col min="9479" max="9479" width="13" customWidth="1"/>
    <col min="9480" max="9480" width="8.5703125" customWidth="1"/>
    <col min="9481" max="9481" width="11.140625" customWidth="1"/>
    <col min="9482" max="9482" width="14.28515625" customWidth="1"/>
    <col min="9483" max="9483" width="17.7109375" customWidth="1"/>
    <col min="9729" max="9729" width="7.7109375" customWidth="1"/>
    <col min="9730" max="9730" width="25.140625" customWidth="1"/>
    <col min="9732" max="9732" width="20.42578125" customWidth="1"/>
    <col min="9733" max="9733" width="10.42578125" customWidth="1"/>
    <col min="9734" max="9734" width="8.5703125" customWidth="1"/>
    <col min="9735" max="9735" width="13" customWidth="1"/>
    <col min="9736" max="9736" width="8.5703125" customWidth="1"/>
    <col min="9737" max="9737" width="11.140625" customWidth="1"/>
    <col min="9738" max="9738" width="14.28515625" customWidth="1"/>
    <col min="9739" max="9739" width="17.7109375" customWidth="1"/>
    <col min="9985" max="9985" width="7.7109375" customWidth="1"/>
    <col min="9986" max="9986" width="25.140625" customWidth="1"/>
    <col min="9988" max="9988" width="20.42578125" customWidth="1"/>
    <col min="9989" max="9989" width="10.42578125" customWidth="1"/>
    <col min="9990" max="9990" width="8.5703125" customWidth="1"/>
    <col min="9991" max="9991" width="13" customWidth="1"/>
    <col min="9992" max="9992" width="8.5703125" customWidth="1"/>
    <col min="9993" max="9993" width="11.140625" customWidth="1"/>
    <col min="9994" max="9994" width="14.28515625" customWidth="1"/>
    <col min="9995" max="9995" width="17.7109375" customWidth="1"/>
    <col min="10241" max="10241" width="7.7109375" customWidth="1"/>
    <col min="10242" max="10242" width="25.140625" customWidth="1"/>
    <col min="10244" max="10244" width="20.42578125" customWidth="1"/>
    <col min="10245" max="10245" width="10.42578125" customWidth="1"/>
    <col min="10246" max="10246" width="8.5703125" customWidth="1"/>
    <col min="10247" max="10247" width="13" customWidth="1"/>
    <col min="10248" max="10248" width="8.5703125" customWidth="1"/>
    <col min="10249" max="10249" width="11.140625" customWidth="1"/>
    <col min="10250" max="10250" width="14.28515625" customWidth="1"/>
    <col min="10251" max="10251" width="17.7109375" customWidth="1"/>
    <col min="10497" max="10497" width="7.7109375" customWidth="1"/>
    <col min="10498" max="10498" width="25.140625" customWidth="1"/>
    <col min="10500" max="10500" width="20.42578125" customWidth="1"/>
    <col min="10501" max="10501" width="10.42578125" customWidth="1"/>
    <col min="10502" max="10502" width="8.5703125" customWidth="1"/>
    <col min="10503" max="10503" width="13" customWidth="1"/>
    <col min="10504" max="10504" width="8.5703125" customWidth="1"/>
    <col min="10505" max="10505" width="11.140625" customWidth="1"/>
    <col min="10506" max="10506" width="14.28515625" customWidth="1"/>
    <col min="10507" max="10507" width="17.7109375" customWidth="1"/>
    <col min="10753" max="10753" width="7.7109375" customWidth="1"/>
    <col min="10754" max="10754" width="25.140625" customWidth="1"/>
    <col min="10756" max="10756" width="20.42578125" customWidth="1"/>
    <col min="10757" max="10757" width="10.42578125" customWidth="1"/>
    <col min="10758" max="10758" width="8.5703125" customWidth="1"/>
    <col min="10759" max="10759" width="13" customWidth="1"/>
    <col min="10760" max="10760" width="8.5703125" customWidth="1"/>
    <col min="10761" max="10761" width="11.140625" customWidth="1"/>
    <col min="10762" max="10762" width="14.28515625" customWidth="1"/>
    <col min="10763" max="10763" width="17.7109375" customWidth="1"/>
    <col min="11009" max="11009" width="7.7109375" customWidth="1"/>
    <col min="11010" max="11010" width="25.140625" customWidth="1"/>
    <col min="11012" max="11012" width="20.42578125" customWidth="1"/>
    <col min="11013" max="11013" width="10.42578125" customWidth="1"/>
    <col min="11014" max="11014" width="8.5703125" customWidth="1"/>
    <col min="11015" max="11015" width="13" customWidth="1"/>
    <col min="11016" max="11016" width="8.5703125" customWidth="1"/>
    <col min="11017" max="11017" width="11.140625" customWidth="1"/>
    <col min="11018" max="11018" width="14.28515625" customWidth="1"/>
    <col min="11019" max="11019" width="17.7109375" customWidth="1"/>
    <col min="11265" max="11265" width="7.7109375" customWidth="1"/>
    <col min="11266" max="11266" width="25.140625" customWidth="1"/>
    <col min="11268" max="11268" width="20.42578125" customWidth="1"/>
    <col min="11269" max="11269" width="10.42578125" customWidth="1"/>
    <col min="11270" max="11270" width="8.5703125" customWidth="1"/>
    <col min="11271" max="11271" width="13" customWidth="1"/>
    <col min="11272" max="11272" width="8.5703125" customWidth="1"/>
    <col min="11273" max="11273" width="11.140625" customWidth="1"/>
    <col min="11274" max="11274" width="14.28515625" customWidth="1"/>
    <col min="11275" max="11275" width="17.7109375" customWidth="1"/>
    <col min="11521" max="11521" width="7.7109375" customWidth="1"/>
    <col min="11522" max="11522" width="25.140625" customWidth="1"/>
    <col min="11524" max="11524" width="20.42578125" customWidth="1"/>
    <col min="11525" max="11525" width="10.42578125" customWidth="1"/>
    <col min="11526" max="11526" width="8.5703125" customWidth="1"/>
    <col min="11527" max="11527" width="13" customWidth="1"/>
    <col min="11528" max="11528" width="8.5703125" customWidth="1"/>
    <col min="11529" max="11529" width="11.140625" customWidth="1"/>
    <col min="11530" max="11530" width="14.28515625" customWidth="1"/>
    <col min="11531" max="11531" width="17.7109375" customWidth="1"/>
    <col min="11777" max="11777" width="7.7109375" customWidth="1"/>
    <col min="11778" max="11778" width="25.140625" customWidth="1"/>
    <col min="11780" max="11780" width="20.42578125" customWidth="1"/>
    <col min="11781" max="11781" width="10.42578125" customWidth="1"/>
    <col min="11782" max="11782" width="8.5703125" customWidth="1"/>
    <col min="11783" max="11783" width="13" customWidth="1"/>
    <col min="11784" max="11784" width="8.5703125" customWidth="1"/>
    <col min="11785" max="11785" width="11.140625" customWidth="1"/>
    <col min="11786" max="11786" width="14.28515625" customWidth="1"/>
    <col min="11787" max="11787" width="17.7109375" customWidth="1"/>
    <col min="12033" max="12033" width="7.7109375" customWidth="1"/>
    <col min="12034" max="12034" width="25.140625" customWidth="1"/>
    <col min="12036" max="12036" width="20.42578125" customWidth="1"/>
    <col min="12037" max="12037" width="10.42578125" customWidth="1"/>
    <col min="12038" max="12038" width="8.5703125" customWidth="1"/>
    <col min="12039" max="12039" width="13" customWidth="1"/>
    <col min="12040" max="12040" width="8.5703125" customWidth="1"/>
    <col min="12041" max="12041" width="11.140625" customWidth="1"/>
    <col min="12042" max="12042" width="14.28515625" customWidth="1"/>
    <col min="12043" max="12043" width="17.7109375" customWidth="1"/>
    <col min="12289" max="12289" width="7.7109375" customWidth="1"/>
    <col min="12290" max="12290" width="25.140625" customWidth="1"/>
    <col min="12292" max="12292" width="20.42578125" customWidth="1"/>
    <col min="12293" max="12293" width="10.42578125" customWidth="1"/>
    <col min="12294" max="12294" width="8.5703125" customWidth="1"/>
    <col min="12295" max="12295" width="13" customWidth="1"/>
    <col min="12296" max="12296" width="8.5703125" customWidth="1"/>
    <col min="12297" max="12297" width="11.140625" customWidth="1"/>
    <col min="12298" max="12298" width="14.28515625" customWidth="1"/>
    <col min="12299" max="12299" width="17.7109375" customWidth="1"/>
    <col min="12545" max="12545" width="7.7109375" customWidth="1"/>
    <col min="12546" max="12546" width="25.140625" customWidth="1"/>
    <col min="12548" max="12548" width="20.42578125" customWidth="1"/>
    <col min="12549" max="12549" width="10.42578125" customWidth="1"/>
    <col min="12550" max="12550" width="8.5703125" customWidth="1"/>
    <col min="12551" max="12551" width="13" customWidth="1"/>
    <col min="12552" max="12552" width="8.5703125" customWidth="1"/>
    <col min="12553" max="12553" width="11.140625" customWidth="1"/>
    <col min="12554" max="12554" width="14.28515625" customWidth="1"/>
    <col min="12555" max="12555" width="17.7109375" customWidth="1"/>
    <col min="12801" max="12801" width="7.7109375" customWidth="1"/>
    <col min="12802" max="12802" width="25.140625" customWidth="1"/>
    <col min="12804" max="12804" width="20.42578125" customWidth="1"/>
    <col min="12805" max="12805" width="10.42578125" customWidth="1"/>
    <col min="12806" max="12806" width="8.5703125" customWidth="1"/>
    <col min="12807" max="12807" width="13" customWidth="1"/>
    <col min="12808" max="12808" width="8.5703125" customWidth="1"/>
    <col min="12809" max="12809" width="11.140625" customWidth="1"/>
    <col min="12810" max="12810" width="14.28515625" customWidth="1"/>
    <col min="12811" max="12811" width="17.7109375" customWidth="1"/>
    <col min="13057" max="13057" width="7.7109375" customWidth="1"/>
    <col min="13058" max="13058" width="25.140625" customWidth="1"/>
    <col min="13060" max="13060" width="20.42578125" customWidth="1"/>
    <col min="13061" max="13061" width="10.42578125" customWidth="1"/>
    <col min="13062" max="13062" width="8.5703125" customWidth="1"/>
    <col min="13063" max="13063" width="13" customWidth="1"/>
    <col min="13064" max="13064" width="8.5703125" customWidth="1"/>
    <col min="13065" max="13065" width="11.140625" customWidth="1"/>
    <col min="13066" max="13066" width="14.28515625" customWidth="1"/>
    <col min="13067" max="13067" width="17.7109375" customWidth="1"/>
    <col min="13313" max="13313" width="7.7109375" customWidth="1"/>
    <col min="13314" max="13314" width="25.140625" customWidth="1"/>
    <col min="13316" max="13316" width="20.42578125" customWidth="1"/>
    <col min="13317" max="13317" width="10.42578125" customWidth="1"/>
    <col min="13318" max="13318" width="8.5703125" customWidth="1"/>
    <col min="13319" max="13319" width="13" customWidth="1"/>
    <col min="13320" max="13320" width="8.5703125" customWidth="1"/>
    <col min="13321" max="13321" width="11.140625" customWidth="1"/>
    <col min="13322" max="13322" width="14.28515625" customWidth="1"/>
    <col min="13323" max="13323" width="17.7109375" customWidth="1"/>
    <col min="13569" max="13569" width="7.7109375" customWidth="1"/>
    <col min="13570" max="13570" width="25.140625" customWidth="1"/>
    <col min="13572" max="13572" width="20.42578125" customWidth="1"/>
    <col min="13573" max="13573" width="10.42578125" customWidth="1"/>
    <col min="13574" max="13574" width="8.5703125" customWidth="1"/>
    <col min="13575" max="13575" width="13" customWidth="1"/>
    <col min="13576" max="13576" width="8.5703125" customWidth="1"/>
    <col min="13577" max="13577" width="11.140625" customWidth="1"/>
    <col min="13578" max="13578" width="14.28515625" customWidth="1"/>
    <col min="13579" max="13579" width="17.7109375" customWidth="1"/>
    <col min="13825" max="13825" width="7.7109375" customWidth="1"/>
    <col min="13826" max="13826" width="25.140625" customWidth="1"/>
    <col min="13828" max="13828" width="20.42578125" customWidth="1"/>
    <col min="13829" max="13829" width="10.42578125" customWidth="1"/>
    <col min="13830" max="13830" width="8.5703125" customWidth="1"/>
    <col min="13831" max="13831" width="13" customWidth="1"/>
    <col min="13832" max="13832" width="8.5703125" customWidth="1"/>
    <col min="13833" max="13833" width="11.140625" customWidth="1"/>
    <col min="13834" max="13834" width="14.28515625" customWidth="1"/>
    <col min="13835" max="13835" width="17.7109375" customWidth="1"/>
    <col min="14081" max="14081" width="7.7109375" customWidth="1"/>
    <col min="14082" max="14082" width="25.140625" customWidth="1"/>
    <col min="14084" max="14084" width="20.42578125" customWidth="1"/>
    <col min="14085" max="14085" width="10.42578125" customWidth="1"/>
    <col min="14086" max="14086" width="8.5703125" customWidth="1"/>
    <col min="14087" max="14087" width="13" customWidth="1"/>
    <col min="14088" max="14088" width="8.5703125" customWidth="1"/>
    <col min="14089" max="14089" width="11.140625" customWidth="1"/>
    <col min="14090" max="14090" width="14.28515625" customWidth="1"/>
    <col min="14091" max="14091" width="17.7109375" customWidth="1"/>
    <col min="14337" max="14337" width="7.7109375" customWidth="1"/>
    <col min="14338" max="14338" width="25.140625" customWidth="1"/>
    <col min="14340" max="14340" width="20.42578125" customWidth="1"/>
    <col min="14341" max="14341" width="10.42578125" customWidth="1"/>
    <col min="14342" max="14342" width="8.5703125" customWidth="1"/>
    <col min="14343" max="14343" width="13" customWidth="1"/>
    <col min="14344" max="14344" width="8.5703125" customWidth="1"/>
    <col min="14345" max="14345" width="11.140625" customWidth="1"/>
    <col min="14346" max="14346" width="14.28515625" customWidth="1"/>
    <col min="14347" max="14347" width="17.7109375" customWidth="1"/>
    <col min="14593" max="14593" width="7.7109375" customWidth="1"/>
    <col min="14594" max="14594" width="25.140625" customWidth="1"/>
    <col min="14596" max="14596" width="20.42578125" customWidth="1"/>
    <col min="14597" max="14597" width="10.42578125" customWidth="1"/>
    <col min="14598" max="14598" width="8.5703125" customWidth="1"/>
    <col min="14599" max="14599" width="13" customWidth="1"/>
    <col min="14600" max="14600" width="8.5703125" customWidth="1"/>
    <col min="14601" max="14601" width="11.140625" customWidth="1"/>
    <col min="14602" max="14602" width="14.28515625" customWidth="1"/>
    <col min="14603" max="14603" width="17.7109375" customWidth="1"/>
    <col min="14849" max="14849" width="7.7109375" customWidth="1"/>
    <col min="14850" max="14850" width="25.140625" customWidth="1"/>
    <col min="14852" max="14852" width="20.42578125" customWidth="1"/>
    <col min="14853" max="14853" width="10.42578125" customWidth="1"/>
    <col min="14854" max="14854" width="8.5703125" customWidth="1"/>
    <col min="14855" max="14855" width="13" customWidth="1"/>
    <col min="14856" max="14856" width="8.5703125" customWidth="1"/>
    <col min="14857" max="14857" width="11.140625" customWidth="1"/>
    <col min="14858" max="14858" width="14.28515625" customWidth="1"/>
    <col min="14859" max="14859" width="17.7109375" customWidth="1"/>
    <col min="15105" max="15105" width="7.7109375" customWidth="1"/>
    <col min="15106" max="15106" width="25.140625" customWidth="1"/>
    <col min="15108" max="15108" width="20.42578125" customWidth="1"/>
    <col min="15109" max="15109" width="10.42578125" customWidth="1"/>
    <col min="15110" max="15110" width="8.5703125" customWidth="1"/>
    <col min="15111" max="15111" width="13" customWidth="1"/>
    <col min="15112" max="15112" width="8.5703125" customWidth="1"/>
    <col min="15113" max="15113" width="11.140625" customWidth="1"/>
    <col min="15114" max="15114" width="14.28515625" customWidth="1"/>
    <col min="15115" max="15115" width="17.7109375" customWidth="1"/>
    <col min="15361" max="15361" width="7.7109375" customWidth="1"/>
    <col min="15362" max="15362" width="25.140625" customWidth="1"/>
    <col min="15364" max="15364" width="20.42578125" customWidth="1"/>
    <col min="15365" max="15365" width="10.42578125" customWidth="1"/>
    <col min="15366" max="15366" width="8.5703125" customWidth="1"/>
    <col min="15367" max="15367" width="13" customWidth="1"/>
    <col min="15368" max="15368" width="8.5703125" customWidth="1"/>
    <col min="15369" max="15369" width="11.140625" customWidth="1"/>
    <col min="15370" max="15370" width="14.28515625" customWidth="1"/>
    <col min="15371" max="15371" width="17.7109375" customWidth="1"/>
    <col min="15617" max="15617" width="7.7109375" customWidth="1"/>
    <col min="15618" max="15618" width="25.140625" customWidth="1"/>
    <col min="15620" max="15620" width="20.42578125" customWidth="1"/>
    <col min="15621" max="15621" width="10.42578125" customWidth="1"/>
    <col min="15622" max="15622" width="8.5703125" customWidth="1"/>
    <col min="15623" max="15623" width="13" customWidth="1"/>
    <col min="15624" max="15624" width="8.5703125" customWidth="1"/>
    <col min="15625" max="15625" width="11.140625" customWidth="1"/>
    <col min="15626" max="15626" width="14.28515625" customWidth="1"/>
    <col min="15627" max="15627" width="17.7109375" customWidth="1"/>
    <col min="15873" max="15873" width="7.7109375" customWidth="1"/>
    <col min="15874" max="15874" width="25.140625" customWidth="1"/>
    <col min="15876" max="15876" width="20.42578125" customWidth="1"/>
    <col min="15877" max="15877" width="10.42578125" customWidth="1"/>
    <col min="15878" max="15878" width="8.5703125" customWidth="1"/>
    <col min="15879" max="15879" width="13" customWidth="1"/>
    <col min="15880" max="15880" width="8.5703125" customWidth="1"/>
    <col min="15881" max="15881" width="11.140625" customWidth="1"/>
    <col min="15882" max="15882" width="14.28515625" customWidth="1"/>
    <col min="15883" max="15883" width="17.7109375" customWidth="1"/>
    <col min="16129" max="16129" width="7.7109375" customWidth="1"/>
    <col min="16130" max="16130" width="25.140625" customWidth="1"/>
    <col min="16132" max="16132" width="20.42578125" customWidth="1"/>
    <col min="16133" max="16133" width="10.42578125" customWidth="1"/>
    <col min="16134" max="16134" width="8.5703125" customWidth="1"/>
    <col min="16135" max="16135" width="13" customWidth="1"/>
    <col min="16136" max="16136" width="8.5703125" customWidth="1"/>
    <col min="16137" max="16137" width="11.140625" customWidth="1"/>
    <col min="16138" max="16138" width="14.28515625" customWidth="1"/>
    <col min="16139" max="16139" width="17.7109375" customWidth="1"/>
  </cols>
  <sheetData>
    <row r="1" spans="1:12" ht="14.25" x14ac:dyDescent="0.2">
      <c r="A1" s="535"/>
      <c r="B1" s="536"/>
      <c r="C1" s="536"/>
      <c r="D1" s="536"/>
      <c r="E1" s="536"/>
      <c r="F1" s="381" t="s">
        <v>2010</v>
      </c>
      <c r="G1" s="382"/>
      <c r="H1" s="381" t="s">
        <v>199</v>
      </c>
      <c r="I1" s="383"/>
      <c r="J1" s="556" t="s">
        <v>2155</v>
      </c>
      <c r="K1" s="382"/>
    </row>
    <row r="2" spans="1:12" x14ac:dyDescent="0.2">
      <c r="A2" s="537"/>
      <c r="B2" s="516"/>
      <c r="C2" s="516"/>
      <c r="D2" s="516"/>
      <c r="E2" s="516"/>
      <c r="F2" s="384"/>
      <c r="G2" s="385"/>
      <c r="H2" s="386" t="s">
        <v>2159</v>
      </c>
      <c r="I2" s="387"/>
      <c r="J2" s="557" t="s">
        <v>2156</v>
      </c>
      <c r="K2" s="388"/>
    </row>
    <row r="3" spans="1:12" ht="14.25" x14ac:dyDescent="0.2">
      <c r="A3" s="537"/>
      <c r="B3" s="516"/>
      <c r="C3" s="516"/>
      <c r="D3" s="516"/>
      <c r="E3" s="516"/>
      <c r="F3" s="389" t="s">
        <v>2011</v>
      </c>
      <c r="G3" s="390"/>
      <c r="H3" s="389" t="s">
        <v>2012</v>
      </c>
      <c r="I3" s="391"/>
      <c r="J3" s="390"/>
      <c r="K3" s="392"/>
    </row>
    <row r="4" spans="1:12" ht="13.5" thickBot="1" x14ac:dyDescent="0.25">
      <c r="A4" s="537"/>
      <c r="B4" s="516"/>
      <c r="C4" s="516"/>
      <c r="D4" s="516"/>
      <c r="E4" s="516"/>
      <c r="F4" s="393"/>
      <c r="G4" s="394" t="s">
        <v>2013</v>
      </c>
      <c r="H4" s="558" t="s">
        <v>2014</v>
      </c>
      <c r="I4" s="559"/>
      <c r="J4" s="559"/>
      <c r="K4" s="560"/>
    </row>
    <row r="5" spans="1:12" ht="8.25" customHeight="1" thickBot="1" x14ac:dyDescent="0.25">
      <c r="A5" s="539"/>
      <c r="B5" s="516"/>
      <c r="C5" s="516"/>
      <c r="D5" s="516"/>
      <c r="E5" s="516"/>
      <c r="F5" s="395"/>
      <c r="G5" s="396"/>
      <c r="H5" s="397"/>
      <c r="I5" s="397"/>
      <c r="J5" s="397"/>
      <c r="K5" s="538"/>
    </row>
    <row r="6" spans="1:12" ht="13.5" thickBot="1" x14ac:dyDescent="0.25">
      <c r="A6" s="398"/>
      <c r="B6" s="701"/>
      <c r="C6" s="701"/>
      <c r="D6" s="701"/>
      <c r="E6" s="701"/>
      <c r="F6" s="701"/>
      <c r="G6" s="701"/>
      <c r="H6" s="399" t="s">
        <v>2015</v>
      </c>
      <c r="I6" s="399" t="s">
        <v>2016</v>
      </c>
      <c r="J6" s="399" t="s">
        <v>2017</v>
      </c>
      <c r="K6" s="400" t="s">
        <v>2018</v>
      </c>
    </row>
    <row r="7" spans="1:12" x14ac:dyDescent="0.2">
      <c r="A7" s="401">
        <v>1</v>
      </c>
      <c r="B7" s="683" t="s">
        <v>2019</v>
      </c>
      <c r="C7" s="684"/>
      <c r="D7" s="684"/>
      <c r="E7" s="684"/>
      <c r="F7" s="684"/>
      <c r="G7" s="685"/>
      <c r="H7" s="402"/>
      <c r="I7" s="402"/>
      <c r="J7" s="403"/>
      <c r="K7" s="404"/>
    </row>
    <row r="8" spans="1:12" ht="12.75" customHeight="1" x14ac:dyDescent="0.2">
      <c r="A8" s="405"/>
      <c r="B8" s="737" t="s">
        <v>2020</v>
      </c>
      <c r="C8" s="738"/>
      <c r="D8" s="738"/>
      <c r="E8" s="738"/>
      <c r="F8" s="738"/>
      <c r="G8" s="739"/>
      <c r="H8" s="406"/>
      <c r="I8" s="407"/>
      <c r="J8" s="408"/>
      <c r="K8" s="409"/>
    </row>
    <row r="9" spans="1:12" x14ac:dyDescent="0.2">
      <c r="A9" s="405"/>
      <c r="B9" s="720" t="s">
        <v>2021</v>
      </c>
      <c r="C9" s="721"/>
      <c r="D9" s="721"/>
      <c r="E9" s="721"/>
      <c r="F9" s="721"/>
      <c r="G9" s="722"/>
      <c r="H9" s="406"/>
      <c r="I9" s="407"/>
      <c r="J9" s="408"/>
      <c r="K9" s="409"/>
    </row>
    <row r="10" spans="1:12" ht="12.75" customHeight="1" x14ac:dyDescent="0.2">
      <c r="A10" s="405"/>
      <c r="B10" s="410" t="s">
        <v>2022</v>
      </c>
      <c r="C10" s="411"/>
      <c r="D10" s="411"/>
      <c r="E10" s="411"/>
      <c r="F10" s="411"/>
      <c r="G10" s="412"/>
      <c r="H10" s="413" t="s">
        <v>2023</v>
      </c>
      <c r="I10" s="414">
        <v>24</v>
      </c>
      <c r="J10" s="403">
        <v>9.7899999999999991</v>
      </c>
      <c r="K10" s="404">
        <f>J10*I10</f>
        <v>234.95999999999998</v>
      </c>
      <c r="L10" s="86"/>
    </row>
    <row r="11" spans="1:12" ht="12.75" customHeight="1" x14ac:dyDescent="0.2">
      <c r="A11" s="405"/>
      <c r="B11" s="410" t="s">
        <v>2024</v>
      </c>
      <c r="C11" s="411"/>
      <c r="D11" s="411"/>
      <c r="E11" s="411"/>
      <c r="F11" s="411"/>
      <c r="G11" s="412"/>
      <c r="H11" s="413" t="s">
        <v>2023</v>
      </c>
      <c r="I11" s="414">
        <v>12</v>
      </c>
      <c r="J11" s="403">
        <v>18.12</v>
      </c>
      <c r="K11" s="404">
        <f>J11*I11</f>
        <v>217.44</v>
      </c>
      <c r="L11" s="86"/>
    </row>
    <row r="12" spans="1:12" ht="12.75" customHeight="1" x14ac:dyDescent="0.2">
      <c r="A12" s="405"/>
      <c r="B12" s="711" t="s">
        <v>2025</v>
      </c>
      <c r="C12" s="709"/>
      <c r="D12" s="709"/>
      <c r="E12" s="709"/>
      <c r="F12" s="709"/>
      <c r="G12" s="710"/>
      <c r="H12" s="402"/>
      <c r="I12" s="414"/>
      <c r="J12" s="415"/>
      <c r="K12" s="416"/>
      <c r="L12" s="86"/>
    </row>
    <row r="13" spans="1:12" x14ac:dyDescent="0.2">
      <c r="A13" s="405"/>
      <c r="B13" s="711" t="s">
        <v>2026</v>
      </c>
      <c r="C13" s="709"/>
      <c r="D13" s="709"/>
      <c r="E13" s="709"/>
      <c r="F13" s="709"/>
      <c r="G13" s="710"/>
      <c r="H13" s="402" t="s">
        <v>18</v>
      </c>
      <c r="I13" s="414">
        <v>200</v>
      </c>
      <c r="J13" s="417">
        <v>1.49</v>
      </c>
      <c r="K13" s="404">
        <f>J13*I13</f>
        <v>298</v>
      </c>
    </row>
    <row r="14" spans="1:12" x14ac:dyDescent="0.2">
      <c r="A14" s="405"/>
      <c r="B14" s="711" t="s">
        <v>2027</v>
      </c>
      <c r="C14" s="709"/>
      <c r="D14" s="709"/>
      <c r="E14" s="709"/>
      <c r="F14" s="709"/>
      <c r="G14" s="710"/>
      <c r="H14" s="402" t="s">
        <v>18</v>
      </c>
      <c r="I14" s="414">
        <v>16</v>
      </c>
      <c r="J14" s="417">
        <v>2.1800000000000002</v>
      </c>
      <c r="K14" s="404">
        <f>J14*I14</f>
        <v>34.880000000000003</v>
      </c>
    </row>
    <row r="15" spans="1:12" x14ac:dyDescent="0.2">
      <c r="A15" s="405"/>
      <c r="B15" s="672" t="s">
        <v>2028</v>
      </c>
      <c r="C15" s="709"/>
      <c r="D15" s="709"/>
      <c r="E15" s="709"/>
      <c r="F15" s="709"/>
      <c r="G15" s="710"/>
      <c r="H15" s="402" t="s">
        <v>18</v>
      </c>
      <c r="I15" s="414">
        <v>100</v>
      </c>
      <c r="J15" s="417">
        <v>4.82</v>
      </c>
      <c r="K15" s="404">
        <f>J15*I15</f>
        <v>482</v>
      </c>
    </row>
    <row r="16" spans="1:12" x14ac:dyDescent="0.2">
      <c r="A16" s="405"/>
      <c r="B16" s="86"/>
      <c r="C16" s="86"/>
      <c r="D16" s="86"/>
      <c r="E16" s="86"/>
      <c r="F16" s="86"/>
      <c r="G16" s="86"/>
      <c r="H16" s="418"/>
      <c r="I16" s="418"/>
      <c r="J16" s="418"/>
      <c r="K16" s="540"/>
    </row>
    <row r="17" spans="1:12" s="420" customFormat="1" ht="12.75" customHeight="1" x14ac:dyDescent="0.2">
      <c r="A17" s="405"/>
      <c r="B17" s="666" t="s">
        <v>2029</v>
      </c>
      <c r="C17" s="676"/>
      <c r="D17" s="676"/>
      <c r="E17" s="676"/>
      <c r="F17" s="676"/>
      <c r="G17" s="677"/>
      <c r="H17" s="402" t="s">
        <v>18</v>
      </c>
      <c r="I17" s="414">
        <v>10</v>
      </c>
      <c r="J17" s="417">
        <v>36.520000000000003</v>
      </c>
      <c r="K17" s="404">
        <f>J17*I17</f>
        <v>365.20000000000005</v>
      </c>
      <c r="L17" s="419"/>
    </row>
    <row r="18" spans="1:12" ht="12.75" customHeight="1" x14ac:dyDescent="0.2">
      <c r="A18" s="405"/>
      <c r="B18" s="713"/>
      <c r="C18" s="714"/>
      <c r="D18" s="714"/>
      <c r="E18" s="714"/>
      <c r="F18" s="714"/>
      <c r="G18" s="715"/>
      <c r="H18" s="421"/>
      <c r="I18" s="414"/>
      <c r="J18" s="403"/>
      <c r="K18" s="416"/>
      <c r="L18" s="86"/>
    </row>
    <row r="19" spans="1:12" s="420" customFormat="1" ht="12.75" customHeight="1" x14ac:dyDescent="0.2">
      <c r="A19" s="405"/>
      <c r="B19" s="691" t="s">
        <v>2030</v>
      </c>
      <c r="C19" s="692"/>
      <c r="D19" s="692"/>
      <c r="E19" s="692"/>
      <c r="F19" s="692"/>
      <c r="G19" s="693"/>
      <c r="H19" s="402" t="s">
        <v>2023</v>
      </c>
      <c r="I19" s="422">
        <v>1</v>
      </c>
      <c r="J19" s="423">
        <v>23.56</v>
      </c>
      <c r="K19" s="416">
        <f>SUM(I19*J19)</f>
        <v>23.56</v>
      </c>
      <c r="L19" s="419"/>
    </row>
    <row r="20" spans="1:12" ht="12.75" customHeight="1" x14ac:dyDescent="0.2">
      <c r="A20" s="405"/>
      <c r="B20" s="691" t="s">
        <v>2031</v>
      </c>
      <c r="C20" s="692"/>
      <c r="D20" s="692"/>
      <c r="E20" s="692"/>
      <c r="F20" s="692"/>
      <c r="G20" s="693"/>
      <c r="H20" s="402" t="s">
        <v>2023</v>
      </c>
      <c r="I20" s="422">
        <v>1</v>
      </c>
      <c r="J20" s="423">
        <v>59.15</v>
      </c>
      <c r="K20" s="416">
        <f>SUM(I20*J20)</f>
        <v>59.15</v>
      </c>
      <c r="L20" s="86"/>
    </row>
    <row r="21" spans="1:12" s="420" customFormat="1" ht="12.75" customHeight="1" x14ac:dyDescent="0.2">
      <c r="A21" s="405"/>
      <c r="B21" s="672" t="s">
        <v>2032</v>
      </c>
      <c r="C21" s="709"/>
      <c r="D21" s="709"/>
      <c r="E21" s="709"/>
      <c r="F21" s="709"/>
      <c r="G21" s="710"/>
      <c r="H21" s="402" t="s">
        <v>2023</v>
      </c>
      <c r="I21" s="422">
        <v>1</v>
      </c>
      <c r="J21" s="423">
        <v>23.56</v>
      </c>
      <c r="K21" s="416">
        <f>SUM(I21*J21)</f>
        <v>23.56</v>
      </c>
      <c r="L21" s="419"/>
    </row>
    <row r="22" spans="1:12" ht="12.75" customHeight="1" x14ac:dyDescent="0.2">
      <c r="A22" s="405"/>
      <c r="B22" s="711" t="s">
        <v>2033</v>
      </c>
      <c r="C22" s="709"/>
      <c r="D22" s="709"/>
      <c r="E22" s="709"/>
      <c r="F22" s="709"/>
      <c r="G22" s="710"/>
      <c r="H22" s="402" t="s">
        <v>2023</v>
      </c>
      <c r="I22" s="422">
        <v>1</v>
      </c>
      <c r="J22" s="423">
        <v>23.56</v>
      </c>
      <c r="K22" s="416">
        <f>SUM(I22*J22)</f>
        <v>23.56</v>
      </c>
      <c r="L22" s="86"/>
    </row>
    <row r="23" spans="1:12" ht="26.25" customHeight="1" x14ac:dyDescent="0.2">
      <c r="A23" s="405"/>
      <c r="B23" s="672"/>
      <c r="C23" s="673"/>
      <c r="D23" s="673"/>
      <c r="E23" s="673"/>
      <c r="F23" s="673"/>
      <c r="G23" s="674"/>
      <c r="H23" s="402"/>
      <c r="I23" s="422"/>
      <c r="J23" s="423"/>
      <c r="K23" s="416"/>
      <c r="L23" s="86"/>
    </row>
    <row r="24" spans="1:12" ht="12.75" customHeight="1" x14ac:dyDescent="0.2">
      <c r="A24" s="405"/>
      <c r="B24" s="666" t="s">
        <v>2034</v>
      </c>
      <c r="C24" s="676"/>
      <c r="D24" s="676"/>
      <c r="E24" s="676"/>
      <c r="F24" s="676"/>
      <c r="G24" s="677"/>
      <c r="H24" s="424" t="s">
        <v>2023</v>
      </c>
      <c r="I24" s="414">
        <v>2</v>
      </c>
      <c r="J24" s="425">
        <v>81.12</v>
      </c>
      <c r="K24" s="404">
        <f>J24*I24</f>
        <v>162.24</v>
      </c>
      <c r="L24" s="86"/>
    </row>
    <row r="25" spans="1:12" ht="12.75" customHeight="1" x14ac:dyDescent="0.2">
      <c r="A25" s="405"/>
      <c r="B25" s="691"/>
      <c r="C25" s="692"/>
      <c r="D25" s="692"/>
      <c r="E25" s="692"/>
      <c r="F25" s="692"/>
      <c r="G25" s="693"/>
      <c r="H25" s="402"/>
      <c r="I25" s="426"/>
      <c r="J25" s="426"/>
      <c r="K25" s="427"/>
      <c r="L25" s="86"/>
    </row>
    <row r="26" spans="1:12" ht="12.75" customHeight="1" x14ac:dyDescent="0.2">
      <c r="A26" s="405"/>
      <c r="B26" s="729" t="s">
        <v>2035</v>
      </c>
      <c r="C26" s="730"/>
      <c r="D26" s="730"/>
      <c r="E26" s="730"/>
      <c r="F26" s="730"/>
      <c r="G26" s="731"/>
      <c r="H26" s="413" t="s">
        <v>2023</v>
      </c>
      <c r="I26" s="414">
        <v>2</v>
      </c>
      <c r="J26" s="403">
        <v>389.45</v>
      </c>
      <c r="K26" s="416">
        <v>5062.8500000000004</v>
      </c>
      <c r="L26" s="86"/>
    </row>
    <row r="27" spans="1:12" s="420" customFormat="1" ht="12.75" customHeight="1" x14ac:dyDescent="0.2">
      <c r="A27" s="405"/>
      <c r="B27" s="428"/>
      <c r="C27" s="429"/>
      <c r="D27" s="429"/>
      <c r="E27" s="429"/>
      <c r="F27" s="429"/>
      <c r="G27" s="430"/>
      <c r="H27" s="402"/>
      <c r="I27" s="422"/>
      <c r="J27" s="423"/>
      <c r="K27" s="416"/>
      <c r="L27" s="419"/>
    </row>
    <row r="28" spans="1:12" ht="12.75" customHeight="1" x14ac:dyDescent="0.2">
      <c r="A28" s="405"/>
      <c r="B28" s="691" t="s">
        <v>2036</v>
      </c>
      <c r="C28" s="732"/>
      <c r="D28" s="732"/>
      <c r="E28" s="732"/>
      <c r="F28" s="732"/>
      <c r="G28" s="733"/>
      <c r="H28" s="413" t="s">
        <v>2023</v>
      </c>
      <c r="I28" s="414">
        <v>2</v>
      </c>
      <c r="J28" s="403">
        <v>175.37</v>
      </c>
      <c r="K28" s="416">
        <v>2279.81</v>
      </c>
      <c r="L28" s="86"/>
    </row>
    <row r="29" spans="1:12" s="420" customFormat="1" ht="12.75" customHeight="1" x14ac:dyDescent="0.2">
      <c r="A29" s="405"/>
      <c r="B29" s="691"/>
      <c r="C29" s="692"/>
      <c r="D29" s="692"/>
      <c r="E29" s="692"/>
      <c r="F29" s="692"/>
      <c r="G29" s="693"/>
      <c r="H29" s="413"/>
      <c r="I29" s="414"/>
      <c r="J29" s="403"/>
      <c r="K29" s="416"/>
      <c r="L29" s="419"/>
    </row>
    <row r="30" spans="1:12" ht="15.75" customHeight="1" x14ac:dyDescent="0.2">
      <c r="A30" s="405"/>
      <c r="B30" s="691"/>
      <c r="C30" s="692"/>
      <c r="D30" s="692"/>
      <c r="E30" s="692"/>
      <c r="F30" s="692"/>
      <c r="G30" s="693"/>
      <c r="H30" s="413"/>
      <c r="I30" s="414"/>
      <c r="J30" s="403"/>
      <c r="K30" s="416"/>
      <c r="L30" s="86"/>
    </row>
    <row r="31" spans="1:12" s="420" customFormat="1" ht="12.75" customHeight="1" x14ac:dyDescent="0.2">
      <c r="A31" s="405"/>
      <c r="B31" s="734" t="s">
        <v>2037</v>
      </c>
      <c r="C31" s="735"/>
      <c r="D31" s="735"/>
      <c r="E31" s="735"/>
      <c r="F31" s="735"/>
      <c r="G31" s="736"/>
      <c r="H31" s="402"/>
      <c r="I31" s="414"/>
      <c r="J31" s="415"/>
      <c r="K31" s="416"/>
    </row>
    <row r="32" spans="1:12" ht="13.5" customHeight="1" x14ac:dyDescent="0.2">
      <c r="A32" s="405"/>
      <c r="B32" s="726" t="s">
        <v>2038</v>
      </c>
      <c r="C32" s="727"/>
      <c r="D32" s="727"/>
      <c r="E32" s="727"/>
      <c r="F32" s="727"/>
      <c r="G32" s="728"/>
      <c r="H32" s="434" t="s">
        <v>2039</v>
      </c>
      <c r="I32" s="414">
        <v>44</v>
      </c>
      <c r="J32" s="403">
        <v>56.12</v>
      </c>
      <c r="K32" s="416">
        <f>SUM(I32*J32)</f>
        <v>2469.2799999999997</v>
      </c>
    </row>
    <row r="33" spans="1:12" s="420" customFormat="1" ht="15.75" customHeight="1" x14ac:dyDescent="0.2">
      <c r="A33" s="405"/>
      <c r="B33" s="691" t="s">
        <v>2040</v>
      </c>
      <c r="C33" s="714"/>
      <c r="D33" s="714"/>
      <c r="E33" s="714"/>
      <c r="F33" s="714"/>
      <c r="G33" s="715"/>
      <c r="H33" s="421" t="s">
        <v>2039</v>
      </c>
      <c r="I33" s="414">
        <v>44</v>
      </c>
      <c r="J33" s="403">
        <v>22.98</v>
      </c>
      <c r="K33" s="416">
        <f>J33*I33</f>
        <v>1011.12</v>
      </c>
      <c r="L33" s="419"/>
    </row>
    <row r="34" spans="1:12" s="420" customFormat="1" ht="15.75" customHeight="1" x14ac:dyDescent="0.2">
      <c r="A34" s="405"/>
      <c r="B34" s="691"/>
      <c r="C34" s="692"/>
      <c r="D34" s="692"/>
      <c r="E34" s="692"/>
      <c r="F34" s="692"/>
      <c r="G34" s="693"/>
      <c r="H34" s="413"/>
      <c r="I34" s="414"/>
      <c r="J34" s="403"/>
      <c r="K34" s="416"/>
      <c r="L34" s="419"/>
    </row>
    <row r="35" spans="1:12" x14ac:dyDescent="0.2">
      <c r="A35" s="405"/>
      <c r="B35" s="435" t="s">
        <v>2041</v>
      </c>
      <c r="C35" s="436"/>
      <c r="D35" s="436"/>
      <c r="E35" s="436"/>
      <c r="F35" s="436"/>
      <c r="G35" s="437"/>
      <c r="H35" s="413"/>
      <c r="I35" s="414"/>
      <c r="J35" s="415"/>
      <c r="K35" s="427">
        <f>SUM(K16:K34)</f>
        <v>11480.33</v>
      </c>
      <c r="L35" s="86"/>
    </row>
    <row r="36" spans="1:12" x14ac:dyDescent="0.2">
      <c r="A36" s="405"/>
      <c r="B36" s="435"/>
      <c r="C36" s="436"/>
      <c r="D36" s="436"/>
      <c r="E36" s="436"/>
      <c r="F36" s="436"/>
      <c r="G36" s="437"/>
      <c r="H36" s="413"/>
      <c r="I36" s="414"/>
      <c r="J36" s="415"/>
      <c r="K36" s="427"/>
      <c r="L36" s="86"/>
    </row>
    <row r="37" spans="1:12" x14ac:dyDescent="0.2">
      <c r="A37" s="405"/>
      <c r="B37" s="435"/>
      <c r="C37" s="436"/>
      <c r="D37" s="436"/>
      <c r="E37" s="436"/>
      <c r="F37" s="436"/>
      <c r="G37" s="437"/>
      <c r="H37" s="413"/>
      <c r="I37" s="414"/>
      <c r="J37" s="415"/>
      <c r="K37" s="427"/>
      <c r="L37" s="86"/>
    </row>
    <row r="38" spans="1:12" s="420" customFormat="1" ht="13.5" customHeight="1" thickBot="1" x14ac:dyDescent="0.25">
      <c r="A38" s="438"/>
      <c r="B38" s="723"/>
      <c r="C38" s="724"/>
      <c r="D38" s="724"/>
      <c r="E38" s="724"/>
      <c r="F38" s="724"/>
      <c r="G38" s="725"/>
      <c r="H38" s="517"/>
      <c r="I38" s="521"/>
      <c r="J38" s="519"/>
      <c r="K38" s="515"/>
    </row>
    <row r="39" spans="1:12" s="439" customFormat="1" ht="14.25" customHeight="1" x14ac:dyDescent="0.2">
      <c r="A39" s="535"/>
      <c r="B39" s="536"/>
      <c r="C39" s="536"/>
      <c r="D39" s="536"/>
      <c r="E39" s="536"/>
      <c r="F39" s="381" t="s">
        <v>2010</v>
      </c>
      <c r="G39" s="382"/>
      <c r="H39" s="381" t="s">
        <v>199</v>
      </c>
      <c r="I39" s="383"/>
      <c r="J39" s="556" t="s">
        <v>2155</v>
      </c>
      <c r="K39" s="382"/>
    </row>
    <row r="40" spans="1:12" s="439" customFormat="1" ht="12.75" customHeight="1" x14ac:dyDescent="0.2">
      <c r="A40" s="537"/>
      <c r="B40" s="516"/>
      <c r="C40" s="516"/>
      <c r="D40" s="516"/>
      <c r="E40" s="516"/>
      <c r="F40" s="384"/>
      <c r="G40" s="385"/>
      <c r="H40" s="386" t="str">
        <f>H2</f>
        <v>POTIM-SP</v>
      </c>
      <c r="I40" s="387"/>
      <c r="J40" s="557" t="s">
        <v>2157</v>
      </c>
      <c r="K40" s="388"/>
    </row>
    <row r="41" spans="1:12" ht="14.25" x14ac:dyDescent="0.2">
      <c r="A41" s="537"/>
      <c r="B41" s="516"/>
      <c r="C41" s="516"/>
      <c r="D41" s="516"/>
      <c r="E41" s="516"/>
      <c r="F41" s="389" t="s">
        <v>2011</v>
      </c>
      <c r="G41" s="390"/>
      <c r="H41" s="389" t="s">
        <v>2012</v>
      </c>
      <c r="I41" s="391"/>
      <c r="J41" s="390"/>
      <c r="K41" s="392"/>
    </row>
    <row r="42" spans="1:12" ht="13.5" thickBot="1" x14ac:dyDescent="0.25">
      <c r="A42" s="537"/>
      <c r="B42" s="516"/>
      <c r="C42" s="516"/>
      <c r="D42" s="516"/>
      <c r="E42" s="516"/>
      <c r="F42" s="393"/>
      <c r="G42" s="394" t="s">
        <v>2013</v>
      </c>
      <c r="H42" s="558" t="s">
        <v>2042</v>
      </c>
      <c r="I42" s="559"/>
      <c r="J42" s="559"/>
      <c r="K42" s="560"/>
    </row>
    <row r="43" spans="1:12" ht="13.5" thickBot="1" x14ac:dyDescent="0.25">
      <c r="A43" s="539"/>
      <c r="B43" s="440"/>
      <c r="C43" s="440"/>
      <c r="D43" s="440"/>
      <c r="E43" s="440"/>
      <c r="F43" s="440"/>
      <c r="G43" s="440"/>
      <c r="H43" s="441"/>
      <c r="I43" s="442"/>
      <c r="J43" s="443"/>
      <c r="K43" s="416"/>
    </row>
    <row r="44" spans="1:12" ht="13.5" thickBot="1" x14ac:dyDescent="0.25">
      <c r="A44" s="398"/>
      <c r="B44" s="701"/>
      <c r="C44" s="701"/>
      <c r="D44" s="701"/>
      <c r="E44" s="701"/>
      <c r="F44" s="701"/>
      <c r="G44" s="701"/>
      <c r="H44" s="399" t="s">
        <v>2015</v>
      </c>
      <c r="I44" s="399" t="s">
        <v>2016</v>
      </c>
      <c r="J44" s="399" t="s">
        <v>2017</v>
      </c>
      <c r="K44" s="400" t="s">
        <v>2018</v>
      </c>
    </row>
    <row r="45" spans="1:12" ht="10.5" customHeight="1" x14ac:dyDescent="0.2">
      <c r="A45" s="445" t="s">
        <v>2043</v>
      </c>
      <c r="B45" s="702" t="s">
        <v>2044</v>
      </c>
      <c r="C45" s="702"/>
      <c r="D45" s="702"/>
      <c r="E45" s="702"/>
      <c r="F45" s="702"/>
      <c r="G45" s="702"/>
      <c r="H45" s="446"/>
      <c r="I45" s="447"/>
      <c r="J45" s="447"/>
      <c r="K45" s="448"/>
    </row>
    <row r="46" spans="1:12" x14ac:dyDescent="0.2">
      <c r="A46" s="449"/>
      <c r="B46" s="690"/>
      <c r="C46" s="690"/>
      <c r="D46" s="690"/>
      <c r="E46" s="690"/>
      <c r="F46" s="690"/>
      <c r="G46" s="690"/>
      <c r="H46" s="446"/>
      <c r="I46" s="447"/>
      <c r="J46" s="447"/>
      <c r="K46" s="448"/>
    </row>
    <row r="47" spans="1:12" ht="17.25" customHeight="1" x14ac:dyDescent="0.2">
      <c r="A47" s="449"/>
      <c r="B47" s="686" t="s">
        <v>2045</v>
      </c>
      <c r="C47" s="686"/>
      <c r="D47" s="686"/>
      <c r="E47" s="686"/>
      <c r="F47" s="686"/>
      <c r="G47" s="686"/>
      <c r="H47" s="446"/>
      <c r="I47" s="447"/>
      <c r="J47" s="447"/>
      <c r="K47" s="448"/>
    </row>
    <row r="48" spans="1:12" s="420" customFormat="1" ht="16.5" customHeight="1" x14ac:dyDescent="0.2">
      <c r="A48" s="449"/>
      <c r="B48" s="716"/>
      <c r="C48" s="717"/>
      <c r="D48" s="718"/>
      <c r="E48" s="718"/>
      <c r="F48" s="718"/>
      <c r="G48" s="719"/>
      <c r="H48" s="446"/>
      <c r="I48" s="447"/>
      <c r="J48" s="447"/>
      <c r="K48" s="448"/>
      <c r="L48" s="419"/>
    </row>
    <row r="49" spans="1:12" ht="12.75" customHeight="1" x14ac:dyDescent="0.2">
      <c r="A49" s="405"/>
      <c r="B49" s="720" t="s">
        <v>2046</v>
      </c>
      <c r="C49" s="721"/>
      <c r="D49" s="721"/>
      <c r="E49" s="721"/>
      <c r="F49" s="721"/>
      <c r="G49" s="722"/>
      <c r="H49" s="413" t="s">
        <v>18</v>
      </c>
      <c r="I49" s="450">
        <v>200</v>
      </c>
      <c r="J49" s="403">
        <v>5.98</v>
      </c>
      <c r="K49" s="404">
        <f>I49*J49</f>
        <v>1196</v>
      </c>
      <c r="L49" s="86"/>
    </row>
    <row r="50" spans="1:12" s="420" customFormat="1" ht="12.75" customHeight="1" x14ac:dyDescent="0.2">
      <c r="A50" s="405"/>
      <c r="B50" s="720"/>
      <c r="C50" s="721"/>
      <c r="D50" s="721"/>
      <c r="E50" s="721"/>
      <c r="F50" s="721"/>
      <c r="G50" s="722"/>
      <c r="H50" s="446"/>
      <c r="I50" s="451"/>
      <c r="J50" s="403"/>
      <c r="K50" s="404"/>
      <c r="L50" s="419"/>
    </row>
    <row r="51" spans="1:12" s="439" customFormat="1" ht="12.75" customHeight="1" x14ac:dyDescent="0.2">
      <c r="A51" s="405"/>
      <c r="B51" s="666" t="s">
        <v>2047</v>
      </c>
      <c r="C51" s="676"/>
      <c r="D51" s="676"/>
      <c r="E51" s="676"/>
      <c r="F51" s="676"/>
      <c r="G51" s="677"/>
      <c r="H51" s="402" t="s">
        <v>2023</v>
      </c>
      <c r="I51" s="450">
        <v>110</v>
      </c>
      <c r="J51" s="415">
        <v>0.69</v>
      </c>
      <c r="K51" s="404">
        <f>I51*J51</f>
        <v>75.899999999999991</v>
      </c>
      <c r="L51" s="452"/>
    </row>
    <row r="52" spans="1:12" ht="12.75" customHeight="1" x14ac:dyDescent="0.2">
      <c r="A52" s="405"/>
      <c r="B52" s="675"/>
      <c r="C52" s="676"/>
      <c r="D52" s="676"/>
      <c r="E52" s="676"/>
      <c r="F52" s="676"/>
      <c r="G52" s="677"/>
      <c r="H52" s="402"/>
      <c r="I52" s="450"/>
      <c r="J52" s="415"/>
      <c r="K52" s="404"/>
    </row>
    <row r="53" spans="1:12" ht="12.75" customHeight="1" x14ac:dyDescent="0.2">
      <c r="A53" s="405"/>
      <c r="B53" s="675" t="s">
        <v>2048</v>
      </c>
      <c r="C53" s="676"/>
      <c r="D53" s="676"/>
      <c r="E53" s="676"/>
      <c r="F53" s="676"/>
      <c r="G53" s="677"/>
      <c r="H53" s="402" t="s">
        <v>2023</v>
      </c>
      <c r="I53" s="450">
        <v>16</v>
      </c>
      <c r="J53" s="415">
        <v>7.5</v>
      </c>
      <c r="K53" s="404">
        <f>I53*J53</f>
        <v>120</v>
      </c>
    </row>
    <row r="54" spans="1:12" s="420" customFormat="1" x14ac:dyDescent="0.2">
      <c r="A54" s="405"/>
      <c r="B54" s="675"/>
      <c r="C54" s="676"/>
      <c r="D54" s="676"/>
      <c r="E54" s="676"/>
      <c r="F54" s="676"/>
      <c r="G54" s="677"/>
      <c r="H54" s="402"/>
      <c r="I54" s="450"/>
      <c r="J54" s="415"/>
      <c r="K54" s="404"/>
    </row>
    <row r="55" spans="1:12" s="420" customFormat="1" x14ac:dyDescent="0.2">
      <c r="A55" s="405"/>
      <c r="B55" s="690" t="s">
        <v>2049</v>
      </c>
      <c r="C55" s="690"/>
      <c r="D55" s="690"/>
      <c r="E55" s="690"/>
      <c r="F55" s="690"/>
      <c r="G55" s="690"/>
      <c r="H55" s="402" t="s">
        <v>2023</v>
      </c>
      <c r="I55" s="450">
        <v>8</v>
      </c>
      <c r="J55" s="415">
        <v>13.23</v>
      </c>
      <c r="K55" s="404">
        <f>I55*J55</f>
        <v>105.84</v>
      </c>
    </row>
    <row r="56" spans="1:12" x14ac:dyDescent="0.2">
      <c r="A56" s="405"/>
      <c r="B56" s="675"/>
      <c r="C56" s="676"/>
      <c r="D56" s="676"/>
      <c r="E56" s="676"/>
      <c r="F56" s="676"/>
      <c r="G56" s="677"/>
      <c r="H56" s="402"/>
      <c r="I56" s="450"/>
      <c r="J56" s="415"/>
      <c r="K56" s="404"/>
    </row>
    <row r="57" spans="1:12" ht="13.5" customHeight="1" x14ac:dyDescent="0.2">
      <c r="A57" s="405"/>
      <c r="B57" s="711" t="s">
        <v>2050</v>
      </c>
      <c r="C57" s="709"/>
      <c r="D57" s="709"/>
      <c r="E57" s="709"/>
      <c r="F57" s="709"/>
      <c r="G57" s="710"/>
      <c r="H57" s="402" t="s">
        <v>2023</v>
      </c>
      <c r="I57" s="450">
        <v>8</v>
      </c>
      <c r="J57" s="415">
        <v>60</v>
      </c>
      <c r="K57" s="404">
        <f>I57*J57</f>
        <v>480</v>
      </c>
    </row>
    <row r="58" spans="1:12" ht="14.25" customHeight="1" x14ac:dyDescent="0.2">
      <c r="A58" s="405"/>
      <c r="B58" s="675"/>
      <c r="C58" s="676"/>
      <c r="D58" s="676"/>
      <c r="E58" s="676"/>
      <c r="F58" s="676"/>
      <c r="G58" s="677"/>
      <c r="H58" s="402"/>
      <c r="I58" s="450"/>
      <c r="J58" s="415"/>
      <c r="K58" s="404"/>
    </row>
    <row r="59" spans="1:12" ht="14.25" customHeight="1" x14ac:dyDescent="0.2">
      <c r="A59" s="405"/>
      <c r="B59" s="672" t="s">
        <v>2051</v>
      </c>
      <c r="C59" s="709"/>
      <c r="D59" s="709"/>
      <c r="E59" s="709"/>
      <c r="F59" s="709"/>
      <c r="G59" s="710"/>
      <c r="H59" s="402" t="s">
        <v>2023</v>
      </c>
      <c r="I59" s="450">
        <v>6</v>
      </c>
      <c r="J59" s="403">
        <v>28.26</v>
      </c>
      <c r="K59" s="404">
        <f>I59*J59</f>
        <v>169.56</v>
      </c>
    </row>
    <row r="60" spans="1:12" ht="12.75" customHeight="1" x14ac:dyDescent="0.2">
      <c r="A60" s="405"/>
      <c r="B60" s="690"/>
      <c r="C60" s="690"/>
      <c r="D60" s="690"/>
      <c r="E60" s="690"/>
      <c r="F60" s="690"/>
      <c r="G60" s="690"/>
      <c r="H60" s="402"/>
      <c r="I60" s="450"/>
      <c r="J60" s="415"/>
      <c r="K60" s="404"/>
    </row>
    <row r="61" spans="1:12" ht="13.5" customHeight="1" x14ac:dyDescent="0.2">
      <c r="A61" s="405"/>
      <c r="B61" s="711" t="s">
        <v>2052</v>
      </c>
      <c r="C61" s="709"/>
      <c r="D61" s="709"/>
      <c r="E61" s="709"/>
      <c r="F61" s="709"/>
      <c r="G61" s="710"/>
      <c r="H61" s="402" t="s">
        <v>2023</v>
      </c>
      <c r="I61" s="450">
        <v>8</v>
      </c>
      <c r="J61" s="415">
        <v>19.89</v>
      </c>
      <c r="K61" s="404">
        <f>I61*J61</f>
        <v>159.12</v>
      </c>
    </row>
    <row r="62" spans="1:12" ht="14.25" customHeight="1" x14ac:dyDescent="0.2">
      <c r="A62" s="405"/>
      <c r="B62" s="712" t="s">
        <v>2053</v>
      </c>
      <c r="C62" s="688"/>
      <c r="D62" s="688"/>
      <c r="E62" s="688"/>
      <c r="F62" s="688"/>
      <c r="G62" s="689"/>
      <c r="H62" s="402" t="s">
        <v>2023</v>
      </c>
      <c r="I62" s="450">
        <v>14</v>
      </c>
      <c r="J62" s="415">
        <v>2.4700000000000002</v>
      </c>
      <c r="K62" s="404">
        <f>I62*J62</f>
        <v>34.580000000000005</v>
      </c>
    </row>
    <row r="63" spans="1:12" ht="14.25" customHeight="1" x14ac:dyDescent="0.2">
      <c r="A63" s="405"/>
      <c r="B63" s="687" t="s">
        <v>2054</v>
      </c>
      <c r="C63" s="688"/>
      <c r="D63" s="688"/>
      <c r="E63" s="688"/>
      <c r="F63" s="688"/>
      <c r="G63" s="689"/>
      <c r="H63" s="402" t="s">
        <v>2023</v>
      </c>
      <c r="I63" s="450">
        <v>6</v>
      </c>
      <c r="J63" s="415">
        <v>43</v>
      </c>
      <c r="K63" s="404">
        <f>I63*J63</f>
        <v>258</v>
      </c>
      <c r="L63" s="86"/>
    </row>
    <row r="64" spans="1:12" ht="13.5" customHeight="1" x14ac:dyDescent="0.2">
      <c r="A64" s="405"/>
      <c r="B64" s="687" t="s">
        <v>2055</v>
      </c>
      <c r="C64" s="688"/>
      <c r="D64" s="688"/>
      <c r="E64" s="688"/>
      <c r="F64" s="688"/>
      <c r="G64" s="689"/>
      <c r="H64" s="402" t="s">
        <v>2056</v>
      </c>
      <c r="I64" s="450">
        <v>1</v>
      </c>
      <c r="J64" s="417">
        <v>652.89</v>
      </c>
      <c r="K64" s="404">
        <f>I64*J64</f>
        <v>652.89</v>
      </c>
      <c r="L64" s="86"/>
    </row>
    <row r="65" spans="1:12" ht="15.75" customHeight="1" x14ac:dyDescent="0.2">
      <c r="A65" s="405"/>
      <c r="B65" s="706" t="s">
        <v>2057</v>
      </c>
      <c r="C65" s="707"/>
      <c r="D65" s="707"/>
      <c r="E65" s="707"/>
      <c r="F65" s="707"/>
      <c r="G65" s="708"/>
      <c r="H65" s="453" t="s">
        <v>2023</v>
      </c>
      <c r="I65" s="454">
        <v>1</v>
      </c>
      <c r="J65" s="417">
        <v>56.34</v>
      </c>
      <c r="K65" s="404">
        <f>I65*J65</f>
        <v>56.34</v>
      </c>
      <c r="L65" s="86"/>
    </row>
    <row r="66" spans="1:12" ht="9.75" customHeight="1" x14ac:dyDescent="0.2">
      <c r="A66" s="405"/>
      <c r="B66" s="713"/>
      <c r="C66" s="714"/>
      <c r="D66" s="714"/>
      <c r="E66" s="714"/>
      <c r="F66" s="714"/>
      <c r="G66" s="715"/>
      <c r="H66" s="421"/>
      <c r="I66" s="450"/>
      <c r="J66" s="403"/>
      <c r="K66" s="416"/>
      <c r="L66" s="86"/>
    </row>
    <row r="67" spans="1:12" ht="15.75" customHeight="1" x14ac:dyDescent="0.2">
      <c r="A67" s="405"/>
      <c r="B67" s="695" t="s">
        <v>2058</v>
      </c>
      <c r="C67" s="696"/>
      <c r="D67" s="696"/>
      <c r="E67" s="696"/>
      <c r="F67" s="696"/>
      <c r="G67" s="697"/>
      <c r="H67" s="421"/>
      <c r="I67" s="450"/>
      <c r="J67" s="403"/>
      <c r="K67" s="427">
        <f>SUM(K49:K66)</f>
        <v>3308.23</v>
      </c>
      <c r="L67" s="86"/>
    </row>
    <row r="68" spans="1:12" ht="8.25" customHeight="1" x14ac:dyDescent="0.2">
      <c r="A68" s="405"/>
      <c r="B68" s="675"/>
      <c r="C68" s="676"/>
      <c r="D68" s="676"/>
      <c r="E68" s="676"/>
      <c r="F68" s="676"/>
      <c r="G68" s="677"/>
      <c r="H68" s="402"/>
      <c r="I68" s="450"/>
      <c r="J68" s="403"/>
      <c r="K68" s="404"/>
      <c r="L68" s="86"/>
    </row>
    <row r="69" spans="1:12" ht="15.75" customHeight="1" x14ac:dyDescent="0.2">
      <c r="A69" s="405"/>
      <c r="B69" s="455" t="s">
        <v>2037</v>
      </c>
      <c r="C69" s="456"/>
      <c r="D69" s="456"/>
      <c r="E69" s="456"/>
      <c r="F69" s="456"/>
      <c r="G69" s="457"/>
      <c r="H69" s="446"/>
      <c r="I69" s="458"/>
      <c r="J69" s="417"/>
      <c r="K69" s="404"/>
      <c r="L69" s="86"/>
    </row>
    <row r="70" spans="1:12" ht="9" customHeight="1" x14ac:dyDescent="0.2">
      <c r="A70" s="405"/>
      <c r="B70" s="459"/>
      <c r="C70" s="456"/>
      <c r="D70" s="456"/>
      <c r="E70" s="456"/>
      <c r="F70" s="456"/>
      <c r="G70" s="457"/>
      <c r="H70" s="402"/>
      <c r="I70" s="450"/>
      <c r="J70" s="403"/>
      <c r="K70" s="404"/>
      <c r="L70" s="86"/>
    </row>
    <row r="71" spans="1:12" ht="15.75" customHeight="1" x14ac:dyDescent="0.2">
      <c r="A71" s="405"/>
      <c r="B71" s="713" t="s">
        <v>2038</v>
      </c>
      <c r="C71" s="714"/>
      <c r="D71" s="714"/>
      <c r="E71" s="714"/>
      <c r="F71" s="714"/>
      <c r="G71" s="715"/>
      <c r="H71" s="421" t="s">
        <v>2039</v>
      </c>
      <c r="I71" s="450">
        <v>40</v>
      </c>
      <c r="J71" s="403">
        <v>56.12</v>
      </c>
      <c r="K71" s="416">
        <f>J71*I71</f>
        <v>2244.7999999999997</v>
      </c>
      <c r="L71" s="86"/>
    </row>
    <row r="72" spans="1:12" ht="15.75" customHeight="1" x14ac:dyDescent="0.2">
      <c r="A72" s="405"/>
      <c r="B72" s="666" t="s">
        <v>2040</v>
      </c>
      <c r="C72" s="676"/>
      <c r="D72" s="676"/>
      <c r="E72" s="676"/>
      <c r="F72" s="676"/>
      <c r="G72" s="677"/>
      <c r="H72" s="421" t="s">
        <v>2039</v>
      </c>
      <c r="I72" s="450">
        <v>4</v>
      </c>
      <c r="J72" s="403">
        <v>22.98</v>
      </c>
      <c r="K72" s="416">
        <f>J72*I72</f>
        <v>91.92</v>
      </c>
      <c r="L72" s="86"/>
    </row>
    <row r="73" spans="1:12" x14ac:dyDescent="0.2">
      <c r="A73" s="405"/>
      <c r="B73" s="703" t="s">
        <v>2059</v>
      </c>
      <c r="C73" s="704"/>
      <c r="D73" s="704"/>
      <c r="E73" s="704"/>
      <c r="F73" s="704"/>
      <c r="G73" s="705"/>
      <c r="H73" s="421"/>
      <c r="I73" s="450"/>
      <c r="J73" s="403"/>
      <c r="K73" s="427">
        <f>SUM(K71:K72)</f>
        <v>2336.7199999999998</v>
      </c>
      <c r="L73" s="86"/>
    </row>
    <row r="74" spans="1:12" x14ac:dyDescent="0.2">
      <c r="A74" s="405"/>
      <c r="B74" s="666"/>
      <c r="C74" s="676"/>
      <c r="D74" s="676"/>
      <c r="E74" s="676"/>
      <c r="F74" s="676"/>
      <c r="G74" s="677"/>
      <c r="H74" s="421"/>
      <c r="I74" s="450"/>
      <c r="J74" s="403"/>
      <c r="K74" s="416"/>
      <c r="L74" s="86"/>
    </row>
    <row r="75" spans="1:12" s="439" customFormat="1" ht="15.75" customHeight="1" x14ac:dyDescent="0.2">
      <c r="A75" s="405"/>
      <c r="B75" s="695" t="s">
        <v>2060</v>
      </c>
      <c r="C75" s="696"/>
      <c r="D75" s="696"/>
      <c r="E75" s="696"/>
      <c r="F75" s="696"/>
      <c r="G75" s="697"/>
      <c r="H75" s="402"/>
      <c r="I75" s="450"/>
      <c r="J75" s="403"/>
      <c r="K75" s="460">
        <f>K67+K73</f>
        <v>5644.95</v>
      </c>
    </row>
    <row r="76" spans="1:12" ht="13.5" thickBot="1" x14ac:dyDescent="0.25">
      <c r="A76" s="438"/>
      <c r="B76" s="698"/>
      <c r="C76" s="699"/>
      <c r="D76" s="699"/>
      <c r="E76" s="699"/>
      <c r="F76" s="699"/>
      <c r="G76" s="700"/>
      <c r="H76" s="517"/>
      <c r="I76" s="518"/>
      <c r="J76" s="519"/>
      <c r="K76" s="520"/>
    </row>
    <row r="77" spans="1:12" ht="14.25" x14ac:dyDescent="0.2">
      <c r="A77" s="535"/>
      <c r="B77" s="536"/>
      <c r="C77" s="536"/>
      <c r="D77" s="536"/>
      <c r="E77" s="536"/>
      <c r="F77" s="381" t="s">
        <v>2010</v>
      </c>
      <c r="G77" s="382"/>
      <c r="H77" s="381" t="s">
        <v>199</v>
      </c>
      <c r="I77" s="383"/>
      <c r="J77" s="556" t="s">
        <v>2155</v>
      </c>
      <c r="K77" s="382"/>
    </row>
    <row r="78" spans="1:12" x14ac:dyDescent="0.2">
      <c r="A78" s="537"/>
      <c r="B78" s="516"/>
      <c r="C78" s="516"/>
      <c r="D78" s="516"/>
      <c r="E78" s="516"/>
      <c r="F78" s="384"/>
      <c r="G78" s="385"/>
      <c r="H78" s="386" t="str">
        <f>H2</f>
        <v>POTIM-SP</v>
      </c>
      <c r="I78" s="387"/>
      <c r="J78" s="557" t="s">
        <v>2158</v>
      </c>
      <c r="K78" s="388"/>
    </row>
    <row r="79" spans="1:12" ht="14.25" x14ac:dyDescent="0.2">
      <c r="A79" s="537"/>
      <c r="B79" s="516"/>
      <c r="C79" s="516"/>
      <c r="D79" s="516"/>
      <c r="E79" s="516"/>
      <c r="F79" s="389" t="s">
        <v>2011</v>
      </c>
      <c r="G79" s="390"/>
      <c r="H79" s="389" t="s">
        <v>2012</v>
      </c>
      <c r="I79" s="391"/>
      <c r="J79" s="390"/>
      <c r="K79" s="392"/>
    </row>
    <row r="80" spans="1:12" ht="8.25" customHeight="1" thickBot="1" x14ac:dyDescent="0.25">
      <c r="A80" s="537"/>
      <c r="B80" s="516"/>
      <c r="C80" s="516"/>
      <c r="D80" s="516"/>
      <c r="E80" s="516"/>
      <c r="F80" s="393"/>
      <c r="G80" s="394" t="s">
        <v>2013</v>
      </c>
      <c r="H80" s="558" t="s">
        <v>2061</v>
      </c>
      <c r="I80" s="559"/>
      <c r="J80" s="559"/>
      <c r="K80" s="560"/>
    </row>
    <row r="81" spans="1:12" s="439" customFormat="1" x14ac:dyDescent="0.2">
      <c r="A81" s="537"/>
      <c r="B81" s="516"/>
      <c r="C81" s="516"/>
      <c r="D81" s="516"/>
      <c r="E81" s="516"/>
      <c r="F81" s="395"/>
      <c r="G81" s="396"/>
      <c r="H81" s="397"/>
      <c r="I81" s="397"/>
      <c r="J81" s="397"/>
      <c r="K81" s="538"/>
      <c r="L81" s="452"/>
    </row>
    <row r="82" spans="1:12" s="439" customFormat="1" ht="13.5" thickBot="1" x14ac:dyDescent="0.25">
      <c r="A82" s="539"/>
      <c r="B82" s="440"/>
      <c r="C82" s="440"/>
      <c r="D82" s="440"/>
      <c r="E82" s="440"/>
      <c r="F82" s="440"/>
      <c r="G82" s="440"/>
      <c r="H82" s="441"/>
      <c r="I82" s="442"/>
      <c r="J82" s="443"/>
      <c r="K82" s="416"/>
      <c r="L82" s="452"/>
    </row>
    <row r="83" spans="1:12" s="439" customFormat="1" ht="15.75" customHeight="1" thickBot="1" x14ac:dyDescent="0.25">
      <c r="A83" s="398"/>
      <c r="B83" s="701"/>
      <c r="C83" s="701"/>
      <c r="D83" s="701"/>
      <c r="E83" s="701"/>
      <c r="F83" s="701"/>
      <c r="G83" s="701"/>
      <c r="H83" s="399" t="s">
        <v>2015</v>
      </c>
      <c r="I83" s="399" t="s">
        <v>2016</v>
      </c>
      <c r="J83" s="399" t="s">
        <v>2017</v>
      </c>
      <c r="K83" s="400" t="s">
        <v>2018</v>
      </c>
    </row>
    <row r="84" spans="1:12" s="439" customFormat="1" x14ac:dyDescent="0.2">
      <c r="A84" s="445"/>
      <c r="B84" s="702"/>
      <c r="C84" s="702"/>
      <c r="D84" s="702"/>
      <c r="E84" s="702"/>
      <c r="F84" s="702"/>
      <c r="G84" s="702"/>
      <c r="H84" s="446"/>
      <c r="I84" s="447"/>
      <c r="J84" s="447"/>
      <c r="K84" s="448"/>
    </row>
    <row r="85" spans="1:12" s="439" customFormat="1" ht="12.75" customHeight="1" x14ac:dyDescent="0.2">
      <c r="A85" s="461">
        <v>3</v>
      </c>
      <c r="B85" s="683" t="s">
        <v>2062</v>
      </c>
      <c r="C85" s="684"/>
      <c r="D85" s="684"/>
      <c r="E85" s="684"/>
      <c r="F85" s="684"/>
      <c r="G85" s="685"/>
      <c r="H85" s="462"/>
      <c r="I85" s="446"/>
      <c r="J85" s="446"/>
      <c r="K85" s="448"/>
      <c r="L85" s="452"/>
    </row>
    <row r="86" spans="1:12" s="439" customFormat="1" x14ac:dyDescent="0.2">
      <c r="A86" s="405"/>
      <c r="B86" s="686" t="s">
        <v>2063</v>
      </c>
      <c r="C86" s="686"/>
      <c r="D86" s="686"/>
      <c r="E86" s="686"/>
      <c r="F86" s="686"/>
      <c r="G86" s="686"/>
      <c r="H86" s="402"/>
      <c r="I86" s="450"/>
      <c r="J86" s="417"/>
      <c r="K86" s="404"/>
      <c r="L86" s="452"/>
    </row>
    <row r="87" spans="1:12" s="420" customFormat="1" x14ac:dyDescent="0.2">
      <c r="A87" s="405"/>
      <c r="B87" s="687"/>
      <c r="C87" s="688"/>
      <c r="D87" s="688"/>
      <c r="E87" s="688"/>
      <c r="F87" s="688"/>
      <c r="G87" s="689"/>
      <c r="H87" s="446"/>
      <c r="I87" s="450"/>
      <c r="J87" s="417"/>
      <c r="K87" s="404"/>
      <c r="L87" s="419"/>
    </row>
    <row r="88" spans="1:12" s="439" customFormat="1" ht="12.75" customHeight="1" x14ac:dyDescent="0.2">
      <c r="A88" s="405"/>
      <c r="B88" s="666" t="s">
        <v>2064</v>
      </c>
      <c r="C88" s="667"/>
      <c r="D88" s="667"/>
      <c r="E88" s="667"/>
      <c r="F88" s="667"/>
      <c r="G88" s="668"/>
      <c r="H88" s="453" t="s">
        <v>2023</v>
      </c>
      <c r="I88" s="454">
        <v>2</v>
      </c>
      <c r="J88" s="417">
        <v>10000</v>
      </c>
      <c r="K88" s="416">
        <f>+(I88*J88)</f>
        <v>20000</v>
      </c>
    </row>
    <row r="89" spans="1:12" s="420" customFormat="1" ht="12.75" customHeight="1" x14ac:dyDescent="0.2">
      <c r="A89" s="405"/>
      <c r="B89" s="690"/>
      <c r="C89" s="690"/>
      <c r="D89" s="690"/>
      <c r="E89" s="690"/>
      <c r="F89" s="690"/>
      <c r="G89" s="690"/>
      <c r="H89" s="402"/>
      <c r="I89" s="450"/>
      <c r="J89" s="403"/>
      <c r="K89" s="404"/>
      <c r="L89" s="419"/>
    </row>
    <row r="90" spans="1:12" s="439" customFormat="1" x14ac:dyDescent="0.2">
      <c r="A90" s="405"/>
      <c r="B90" s="691" t="s">
        <v>2065</v>
      </c>
      <c r="C90" s="692"/>
      <c r="D90" s="692"/>
      <c r="E90" s="692"/>
      <c r="F90" s="692"/>
      <c r="G90" s="693"/>
      <c r="H90" s="453" t="s">
        <v>2023</v>
      </c>
      <c r="I90" s="454">
        <v>1</v>
      </c>
      <c r="J90" s="417">
        <v>9500</v>
      </c>
      <c r="K90" s="416">
        <f>+(I90*J90)</f>
        <v>9500</v>
      </c>
    </row>
    <row r="91" spans="1:12" s="420" customFormat="1" ht="18" customHeight="1" x14ac:dyDescent="0.2">
      <c r="A91" s="405"/>
      <c r="B91" s="675"/>
      <c r="C91" s="676"/>
      <c r="D91" s="676"/>
      <c r="E91" s="676"/>
      <c r="F91" s="676"/>
      <c r="G91" s="677"/>
      <c r="H91" s="402"/>
      <c r="I91" s="450"/>
      <c r="J91" s="415"/>
      <c r="K91" s="404"/>
      <c r="L91" s="419"/>
    </row>
    <row r="92" spans="1:12" x14ac:dyDescent="0.2">
      <c r="A92" s="405"/>
      <c r="B92" s="666" t="s">
        <v>2066</v>
      </c>
      <c r="C92" s="676"/>
      <c r="D92" s="676"/>
      <c r="E92" s="676"/>
      <c r="F92" s="676"/>
      <c r="G92" s="677"/>
      <c r="H92" s="453" t="s">
        <v>2023</v>
      </c>
      <c r="I92" s="454">
        <v>1</v>
      </c>
      <c r="J92" s="417">
        <v>2800</v>
      </c>
      <c r="K92" s="416">
        <f>+(I92*J92)</f>
        <v>2800</v>
      </c>
      <c r="L92" s="86"/>
    </row>
    <row r="93" spans="1:12" s="439" customFormat="1" ht="18" customHeight="1" x14ac:dyDescent="0.2">
      <c r="A93" s="405"/>
      <c r="B93" s="463"/>
      <c r="C93" s="464"/>
      <c r="D93" s="464"/>
      <c r="E93" s="464"/>
      <c r="F93" s="464"/>
      <c r="G93" s="465"/>
      <c r="H93" s="453"/>
      <c r="I93" s="454"/>
      <c r="J93" s="417"/>
      <c r="K93" s="416"/>
    </row>
    <row r="94" spans="1:12" s="439" customFormat="1" x14ac:dyDescent="0.2">
      <c r="A94" s="405"/>
      <c r="B94" s="466" t="s">
        <v>2067</v>
      </c>
      <c r="C94" s="464"/>
      <c r="D94" s="464"/>
      <c r="E94" s="464"/>
      <c r="F94" s="464"/>
      <c r="G94" s="465"/>
      <c r="H94" s="453"/>
      <c r="I94" s="454"/>
      <c r="J94" s="417"/>
      <c r="K94" s="427">
        <f>+SUM(K88:K92)</f>
        <v>32300</v>
      </c>
    </row>
    <row r="95" spans="1:12" s="439" customFormat="1" x14ac:dyDescent="0.2">
      <c r="A95" s="405"/>
      <c r="B95" s="675"/>
      <c r="C95" s="676"/>
      <c r="D95" s="676"/>
      <c r="E95" s="676"/>
      <c r="F95" s="676"/>
      <c r="G95" s="677"/>
      <c r="H95" s="402"/>
      <c r="I95" s="450"/>
      <c r="J95" s="415"/>
      <c r="K95" s="404"/>
    </row>
    <row r="96" spans="1:12" s="439" customFormat="1" x14ac:dyDescent="0.2">
      <c r="A96" s="405"/>
      <c r="B96" s="694" t="s">
        <v>2068</v>
      </c>
      <c r="C96" s="690"/>
      <c r="D96" s="690"/>
      <c r="E96" s="690"/>
      <c r="F96" s="690"/>
      <c r="G96" s="690"/>
      <c r="H96" s="453" t="s">
        <v>2023</v>
      </c>
      <c r="I96" s="454">
        <v>1</v>
      </c>
      <c r="J96" s="417">
        <v>7000</v>
      </c>
      <c r="K96" s="416">
        <f>J96*I96</f>
        <v>7000</v>
      </c>
    </row>
    <row r="97" spans="1:11" s="439" customFormat="1" x14ac:dyDescent="0.2">
      <c r="A97" s="405"/>
      <c r="B97" s="675"/>
      <c r="C97" s="676"/>
      <c r="D97" s="676"/>
      <c r="E97" s="676"/>
      <c r="F97" s="676"/>
      <c r="G97" s="677"/>
      <c r="H97" s="402"/>
      <c r="I97" s="450"/>
      <c r="J97" s="415"/>
      <c r="K97" s="404"/>
    </row>
    <row r="98" spans="1:11" x14ac:dyDescent="0.2">
      <c r="A98" s="405"/>
      <c r="B98" s="672"/>
      <c r="C98" s="673"/>
      <c r="D98" s="673"/>
      <c r="E98" s="673"/>
      <c r="F98" s="673"/>
      <c r="G98" s="674"/>
      <c r="H98" s="402"/>
      <c r="I98" s="450"/>
      <c r="J98" s="415"/>
      <c r="K98" s="467"/>
    </row>
    <row r="99" spans="1:11" ht="18" customHeight="1" x14ac:dyDescent="0.2">
      <c r="A99" s="405"/>
      <c r="B99" s="468"/>
      <c r="C99" s="469"/>
      <c r="D99" s="469"/>
      <c r="E99" s="469"/>
      <c r="F99" s="469"/>
      <c r="G99" s="470"/>
      <c r="H99" s="402"/>
      <c r="I99" s="450"/>
      <c r="J99" s="415"/>
      <c r="K99" s="467"/>
    </row>
    <row r="100" spans="1:11" x14ac:dyDescent="0.2">
      <c r="A100" s="405"/>
      <c r="B100" s="672"/>
      <c r="C100" s="673"/>
      <c r="D100" s="673"/>
      <c r="E100" s="673"/>
      <c r="F100" s="673"/>
      <c r="G100" s="674"/>
      <c r="H100" s="413"/>
      <c r="I100" s="450"/>
      <c r="J100" s="415"/>
      <c r="K100" s="460"/>
    </row>
    <row r="101" spans="1:11" x14ac:dyDescent="0.2">
      <c r="A101" s="405"/>
      <c r="B101" s="675"/>
      <c r="C101" s="676"/>
      <c r="D101" s="676"/>
      <c r="E101" s="676"/>
      <c r="F101" s="676"/>
      <c r="G101" s="677"/>
      <c r="H101" s="402"/>
      <c r="I101" s="450"/>
      <c r="J101" s="415"/>
      <c r="K101" s="404"/>
    </row>
    <row r="102" spans="1:11" x14ac:dyDescent="0.2">
      <c r="A102" s="405"/>
      <c r="B102" s="678" t="s">
        <v>2069</v>
      </c>
      <c r="C102" s="679"/>
      <c r="D102" s="679"/>
      <c r="E102" s="679"/>
      <c r="F102" s="679"/>
      <c r="G102" s="680"/>
      <c r="H102" s="402"/>
      <c r="I102" s="450"/>
      <c r="J102" s="415"/>
      <c r="K102" s="460">
        <f>SUM(K94:K101)</f>
        <v>39300</v>
      </c>
    </row>
    <row r="103" spans="1:11" x14ac:dyDescent="0.2">
      <c r="A103" s="405"/>
      <c r="B103" s="675"/>
      <c r="C103" s="676"/>
      <c r="D103" s="676"/>
      <c r="E103" s="676"/>
      <c r="F103" s="676"/>
      <c r="G103" s="677"/>
      <c r="H103" s="402"/>
      <c r="I103" s="450"/>
      <c r="J103" s="415"/>
      <c r="K103" s="404"/>
    </row>
    <row r="104" spans="1:11" x14ac:dyDescent="0.2">
      <c r="A104" s="405"/>
      <c r="B104" s="678" t="s">
        <v>2070</v>
      </c>
      <c r="C104" s="681"/>
      <c r="D104" s="681"/>
      <c r="E104" s="681"/>
      <c r="F104" s="681"/>
      <c r="G104" s="682"/>
      <c r="H104" s="402"/>
      <c r="I104" s="422"/>
      <c r="J104" s="423"/>
      <c r="K104" s="416"/>
    </row>
    <row r="105" spans="1:11" x14ac:dyDescent="0.2">
      <c r="A105" s="405"/>
      <c r="B105" s="471"/>
      <c r="C105" s="472"/>
      <c r="D105" s="472"/>
      <c r="E105" s="472"/>
      <c r="F105" s="472"/>
      <c r="G105" s="473"/>
      <c r="H105" s="402"/>
      <c r="I105" s="426"/>
      <c r="J105" s="426"/>
      <c r="K105" s="427"/>
    </row>
    <row r="106" spans="1:11" x14ac:dyDescent="0.2">
      <c r="A106" s="405"/>
      <c r="B106" s="468" t="s">
        <v>2038</v>
      </c>
      <c r="C106" s="469"/>
      <c r="D106" s="469"/>
      <c r="E106" s="469"/>
      <c r="F106" s="469"/>
      <c r="G106" s="470"/>
      <c r="H106" s="413" t="s">
        <v>2071</v>
      </c>
      <c r="I106" s="414">
        <v>40</v>
      </c>
      <c r="J106" s="403">
        <v>56.12</v>
      </c>
      <c r="K106" s="416">
        <f>SUM(I106*J106)</f>
        <v>2244.7999999999997</v>
      </c>
    </row>
    <row r="107" spans="1:11" x14ac:dyDescent="0.2">
      <c r="A107" s="405"/>
      <c r="B107" s="474" t="s">
        <v>2072</v>
      </c>
      <c r="C107" s="472"/>
      <c r="D107" s="472"/>
      <c r="E107" s="472"/>
      <c r="F107" s="472"/>
      <c r="G107" s="473"/>
      <c r="H107" s="424" t="s">
        <v>2071</v>
      </c>
      <c r="I107" s="414">
        <v>40</v>
      </c>
      <c r="J107" s="403">
        <v>22.98</v>
      </c>
      <c r="K107" s="416">
        <f>J107*I107</f>
        <v>919.2</v>
      </c>
    </row>
    <row r="108" spans="1:11" x14ac:dyDescent="0.2">
      <c r="A108" s="405"/>
      <c r="B108" s="475"/>
      <c r="C108" s="476"/>
      <c r="D108" s="476"/>
      <c r="E108" s="476"/>
      <c r="F108" s="476"/>
      <c r="G108" s="477"/>
      <c r="H108" s="421"/>
      <c r="I108" s="414"/>
      <c r="J108" s="403"/>
      <c r="K108" s="416"/>
    </row>
    <row r="109" spans="1:11" x14ac:dyDescent="0.2">
      <c r="A109" s="405"/>
      <c r="B109" s="478" t="s">
        <v>2073</v>
      </c>
      <c r="C109" s="479"/>
      <c r="D109" s="479"/>
      <c r="E109" s="479"/>
      <c r="F109" s="479"/>
      <c r="G109" s="480"/>
      <c r="H109" s="413"/>
      <c r="I109" s="414"/>
      <c r="J109" s="403"/>
      <c r="K109" s="427">
        <f>SUM(K106:K108)</f>
        <v>3164</v>
      </c>
    </row>
    <row r="110" spans="1:11" x14ac:dyDescent="0.2">
      <c r="A110" s="405"/>
      <c r="B110" s="481"/>
      <c r="C110" s="482"/>
      <c r="D110" s="482"/>
      <c r="E110" s="482"/>
      <c r="F110" s="482"/>
      <c r="G110" s="483"/>
      <c r="H110" s="402"/>
      <c r="I110" s="450"/>
      <c r="J110" s="415"/>
      <c r="K110" s="404"/>
    </row>
    <row r="111" spans="1:11" x14ac:dyDescent="0.2">
      <c r="A111" s="405"/>
      <c r="B111" s="484"/>
      <c r="C111" s="485"/>
      <c r="D111" s="485"/>
      <c r="E111" s="485"/>
      <c r="F111" s="485"/>
      <c r="G111" s="486"/>
      <c r="H111" s="402"/>
      <c r="I111" s="450"/>
      <c r="J111" s="415"/>
      <c r="K111" s="404"/>
    </row>
    <row r="112" spans="1:11" x14ac:dyDescent="0.2">
      <c r="A112" s="405"/>
      <c r="B112" s="487" t="s">
        <v>2074</v>
      </c>
      <c r="C112" s="488"/>
      <c r="D112" s="488"/>
      <c r="E112" s="488"/>
      <c r="F112" s="488"/>
      <c r="G112" s="489"/>
      <c r="H112" s="402"/>
      <c r="I112" s="450"/>
      <c r="J112" s="417"/>
      <c r="K112" s="460">
        <f>K102+K109</f>
        <v>42464</v>
      </c>
    </row>
    <row r="113" spans="1:12" s="439" customFormat="1" x14ac:dyDescent="0.2">
      <c r="A113" s="405"/>
      <c r="B113" s="666"/>
      <c r="C113" s="667"/>
      <c r="D113" s="667"/>
      <c r="E113" s="667"/>
      <c r="F113" s="667"/>
      <c r="G113" s="668"/>
      <c r="H113" s="421"/>
      <c r="I113" s="450"/>
      <c r="J113" s="403"/>
      <c r="K113" s="416"/>
      <c r="L113" s="452"/>
    </row>
    <row r="114" spans="1:12" ht="11.25" customHeight="1" thickBot="1" x14ac:dyDescent="0.25">
      <c r="A114" s="438"/>
      <c r="B114" s="669"/>
      <c r="C114" s="670"/>
      <c r="D114" s="670"/>
      <c r="E114" s="670"/>
      <c r="F114" s="670"/>
      <c r="G114" s="671"/>
      <c r="H114" s="534"/>
      <c r="I114" s="518"/>
      <c r="J114" s="519"/>
      <c r="K114" s="522"/>
    </row>
    <row r="119" spans="1:12" ht="8.25" customHeight="1" x14ac:dyDescent="0.2"/>
    <row r="122" spans="1:12" s="439" customFormat="1" ht="15.75" customHeight="1" x14ac:dyDescent="0.2">
      <c r="A122" s="452"/>
    </row>
    <row r="123" spans="1:12" s="439" customFormat="1" x14ac:dyDescent="0.2"/>
    <row r="124" spans="1:12" s="439" customFormat="1" x14ac:dyDescent="0.2"/>
    <row r="125" spans="1:12" s="439" customFormat="1" ht="12.75" customHeight="1" x14ac:dyDescent="0.2"/>
    <row r="126" spans="1:12" ht="12.75" customHeight="1" x14ac:dyDescent="0.2"/>
    <row r="127" spans="1:12" ht="13.5" customHeight="1" x14ac:dyDescent="0.2"/>
    <row r="128" spans="1:12" ht="12.75" customHeight="1" x14ac:dyDescent="0.2"/>
    <row r="129" ht="12.75" customHeight="1" x14ac:dyDescent="0.2"/>
    <row r="130" ht="12.75" customHeight="1" x14ac:dyDescent="0.2"/>
    <row r="131" ht="12.75" customHeight="1" x14ac:dyDescent="0.2"/>
    <row r="134" ht="14.25" customHeight="1" x14ac:dyDescent="0.2"/>
    <row r="135" ht="13.5" customHeight="1" x14ac:dyDescent="0.2"/>
    <row r="136" ht="13.5" customHeight="1" x14ac:dyDescent="0.2"/>
    <row r="137" ht="13.5" customHeight="1" x14ac:dyDescent="0.2"/>
    <row r="139" ht="13.5" customHeight="1" x14ac:dyDescent="0.2"/>
    <row r="140" ht="12.75" customHeight="1" x14ac:dyDescent="0.2"/>
    <row r="141" ht="12"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 customHeight="1" x14ac:dyDescent="0.2"/>
    <row r="154" ht="12.75" customHeight="1" x14ac:dyDescent="0.2"/>
    <row r="156" ht="13.5" customHeight="1" x14ac:dyDescent="0.2"/>
    <row r="158" ht="12.75" customHeight="1" x14ac:dyDescent="0.2"/>
    <row r="161" ht="8.25" customHeight="1" x14ac:dyDescent="0.2"/>
    <row r="162" s="439" customFormat="1" x14ac:dyDescent="0.2"/>
    <row r="163" s="439" customFormat="1" x14ac:dyDescent="0.2"/>
    <row r="164" ht="14.25" customHeight="1" x14ac:dyDescent="0.2"/>
    <row r="168" s="420" customFormat="1" ht="14.25" customHeight="1" x14ac:dyDescent="0.2"/>
    <row r="169" ht="15.75" customHeight="1" x14ac:dyDescent="0.2"/>
    <row r="172" s="439" customFormat="1" ht="12.75" customHeight="1" x14ac:dyDescent="0.2"/>
    <row r="173" s="439" customFormat="1" ht="12.75" customHeight="1" x14ac:dyDescent="0.2"/>
    <row r="174" s="439" customFormat="1" ht="12.75" customHeight="1" x14ac:dyDescent="0.2"/>
    <row r="175" ht="12" customHeight="1" x14ac:dyDescent="0.2"/>
    <row r="177" s="420" customFormat="1" x14ac:dyDescent="0.2"/>
    <row r="182" ht="12.75" customHeight="1" x14ac:dyDescent="0.2"/>
    <row r="197" spans="1:1" ht="12.75" customHeight="1" x14ac:dyDescent="0.2"/>
    <row r="198" spans="1:1" ht="12.75" customHeight="1" x14ac:dyDescent="0.2"/>
    <row r="199" spans="1:1" ht="15" customHeight="1" x14ac:dyDescent="0.2">
      <c r="A199" s="86"/>
    </row>
    <row r="200" spans="1:1" x14ac:dyDescent="0.2">
      <c r="A200" s="86"/>
    </row>
    <row r="201" spans="1:1" x14ac:dyDescent="0.2">
      <c r="A201" s="86"/>
    </row>
    <row r="202" spans="1:1" x14ac:dyDescent="0.2">
      <c r="A202" s="86"/>
    </row>
    <row r="203" spans="1:1" ht="14.25" customHeight="1" x14ac:dyDescent="0.2">
      <c r="A203" s="86"/>
    </row>
    <row r="204" spans="1:1" ht="8.25" customHeight="1" x14ac:dyDescent="0.2">
      <c r="A204" s="86"/>
    </row>
    <row r="205" spans="1:1" ht="8.25" customHeight="1" x14ac:dyDescent="0.2">
      <c r="A205" s="86"/>
    </row>
    <row r="206" spans="1:1" x14ac:dyDescent="0.2">
      <c r="A206" s="86"/>
    </row>
    <row r="207" spans="1:1" x14ac:dyDescent="0.2">
      <c r="A207" s="86"/>
    </row>
    <row r="208" spans="1:1" x14ac:dyDescent="0.2">
      <c r="A208" s="86"/>
    </row>
    <row r="209" spans="1:1" ht="12.75" customHeight="1" x14ac:dyDescent="0.2">
      <c r="A209" s="86"/>
    </row>
    <row r="210" spans="1:1" ht="12.75" customHeight="1" x14ac:dyDescent="0.2">
      <c r="A210" s="86"/>
    </row>
    <row r="211" spans="1:1" ht="12.75" customHeight="1" x14ac:dyDescent="0.2">
      <c r="A211" s="86"/>
    </row>
    <row r="212" spans="1:1" ht="12.75" customHeight="1" x14ac:dyDescent="0.2">
      <c r="A212" s="86"/>
    </row>
    <row r="213" spans="1:1" ht="12.75" customHeight="1" x14ac:dyDescent="0.2">
      <c r="A213" s="86"/>
    </row>
    <row r="214" spans="1:1" ht="12.75" customHeight="1" x14ac:dyDescent="0.2">
      <c r="A214" s="86"/>
    </row>
    <row r="215" spans="1:1" ht="12.75" customHeight="1" x14ac:dyDescent="0.2">
      <c r="A215" s="86"/>
    </row>
    <row r="216" spans="1:1" ht="12.75" customHeight="1" x14ac:dyDescent="0.2">
      <c r="A216" s="86"/>
    </row>
    <row r="217" spans="1:1" ht="12.75" customHeight="1" x14ac:dyDescent="0.2">
      <c r="A217" s="86"/>
    </row>
    <row r="218" spans="1:1" ht="12.75" customHeight="1" x14ac:dyDescent="0.2">
      <c r="A218" s="86"/>
    </row>
    <row r="219" spans="1:1" ht="12.75" customHeight="1" x14ac:dyDescent="0.2">
      <c r="A219" s="86"/>
    </row>
    <row r="220" spans="1:1" ht="12.75" customHeight="1" x14ac:dyDescent="0.2">
      <c r="A220" s="86"/>
    </row>
    <row r="221" spans="1:1" ht="12.75" customHeight="1" x14ac:dyDescent="0.2">
      <c r="A221" s="86"/>
    </row>
    <row r="222" spans="1:1" ht="12.75" customHeight="1" x14ac:dyDescent="0.2">
      <c r="A222" s="86"/>
    </row>
    <row r="223" spans="1:1" ht="12.75" customHeight="1" x14ac:dyDescent="0.2">
      <c r="A223" s="86"/>
    </row>
    <row r="224" spans="1:1" ht="12.75" customHeight="1" x14ac:dyDescent="0.2">
      <c r="A224" s="86"/>
    </row>
    <row r="225" spans="1:1" ht="12.75" customHeight="1" x14ac:dyDescent="0.2">
      <c r="A225" s="86"/>
    </row>
    <row r="226" spans="1:1" ht="12.75" customHeight="1" x14ac:dyDescent="0.2">
      <c r="A226" s="86"/>
    </row>
    <row r="227" spans="1:1" ht="12.75" customHeight="1" x14ac:dyDescent="0.2">
      <c r="A227" s="86"/>
    </row>
    <row r="228" spans="1:1" ht="15" customHeight="1" x14ac:dyDescent="0.2">
      <c r="A228" s="86"/>
    </row>
    <row r="229" spans="1:1" ht="12.75" customHeight="1" x14ac:dyDescent="0.2"/>
    <row r="230" spans="1:1" s="439" customFormat="1" ht="14.25" customHeight="1" x14ac:dyDescent="0.2">
      <c r="A230" s="452"/>
    </row>
    <row r="231" spans="1:1" s="439" customFormat="1" x14ac:dyDescent="0.2">
      <c r="A231" s="452"/>
    </row>
    <row r="232" spans="1:1" s="439" customFormat="1" ht="15" customHeight="1" x14ac:dyDescent="0.2">
      <c r="A232" s="452"/>
    </row>
    <row r="233" spans="1:1" s="439" customFormat="1" x14ac:dyDescent="0.2">
      <c r="A233" s="452"/>
    </row>
    <row r="234" spans="1:1" s="439" customFormat="1" ht="15" customHeight="1" x14ac:dyDescent="0.2">
      <c r="A234" s="452"/>
    </row>
    <row r="235" spans="1:1" s="439" customFormat="1" x14ac:dyDescent="0.2">
      <c r="A235" s="452"/>
    </row>
    <row r="236" spans="1:1" ht="12.75" customHeight="1" x14ac:dyDescent="0.2"/>
    <row r="248" spans="1:1" ht="8.25" customHeight="1" x14ac:dyDescent="0.2">
      <c r="A248" s="86"/>
    </row>
    <row r="249" spans="1:1" s="439" customFormat="1" x14ac:dyDescent="0.2">
      <c r="A249" s="452"/>
    </row>
    <row r="250" spans="1:1" x14ac:dyDescent="0.2">
      <c r="A250" s="86"/>
    </row>
    <row r="251" spans="1:1" s="439" customFormat="1" ht="14.25" customHeight="1" x14ac:dyDescent="0.2">
      <c r="A251" s="452"/>
    </row>
    <row r="252" spans="1:1" ht="12.75" customHeight="1" x14ac:dyDescent="0.2">
      <c r="A252" s="86"/>
    </row>
    <row r="253" spans="1:1" s="439" customFormat="1" ht="12.75" customHeight="1" x14ac:dyDescent="0.2">
      <c r="A253" s="452"/>
    </row>
    <row r="254" spans="1:1" s="439" customFormat="1" ht="12.75" customHeight="1" x14ac:dyDescent="0.2">
      <c r="A254" s="452"/>
    </row>
    <row r="255" spans="1:1" s="439" customFormat="1" ht="12.75" customHeight="1" x14ac:dyDescent="0.2">
      <c r="A255" s="452"/>
    </row>
    <row r="256" spans="1:1" s="439" customFormat="1" x14ac:dyDescent="0.2">
      <c r="A256" s="452"/>
    </row>
    <row r="257" spans="1:1" s="439" customFormat="1" ht="13.5" customHeight="1" x14ac:dyDescent="0.2">
      <c r="A257" s="452"/>
    </row>
    <row r="258" spans="1:1" s="439" customFormat="1" x14ac:dyDescent="0.2">
      <c r="A258" s="452"/>
    </row>
    <row r="259" spans="1:1" s="439" customFormat="1" ht="12" customHeight="1" x14ac:dyDescent="0.2">
      <c r="A259" s="452"/>
    </row>
    <row r="260" spans="1:1" s="439" customFormat="1" x14ac:dyDescent="0.2">
      <c r="A260" s="452"/>
    </row>
    <row r="261" spans="1:1" s="439" customFormat="1" ht="14.25" customHeight="1" x14ac:dyDescent="0.2">
      <c r="A261" s="452"/>
    </row>
    <row r="262" spans="1:1" s="439" customFormat="1" x14ac:dyDescent="0.2">
      <c r="A262" s="452"/>
    </row>
    <row r="263" spans="1:1" s="439" customFormat="1" x14ac:dyDescent="0.2">
      <c r="A263" s="452"/>
    </row>
    <row r="264" spans="1:1" s="439" customFormat="1" x14ac:dyDescent="0.2">
      <c r="A264" s="452"/>
    </row>
    <row r="265" spans="1:1" s="439" customFormat="1" x14ac:dyDescent="0.2">
      <c r="A265" s="452"/>
    </row>
    <row r="266" spans="1:1" s="439" customFormat="1" x14ac:dyDescent="0.2">
      <c r="A266" s="452"/>
    </row>
    <row r="267" spans="1:1" s="439" customFormat="1" x14ac:dyDescent="0.2">
      <c r="A267" s="452"/>
    </row>
    <row r="268" spans="1:1" s="439" customFormat="1" x14ac:dyDescent="0.2">
      <c r="A268" s="452"/>
    </row>
    <row r="269" spans="1:1" s="439" customFormat="1" ht="15.75" customHeight="1" x14ac:dyDescent="0.2">
      <c r="A269" s="452"/>
    </row>
    <row r="270" spans="1:1" s="439" customFormat="1" x14ac:dyDescent="0.2">
      <c r="A270" s="452"/>
    </row>
    <row r="271" spans="1:1" s="439" customFormat="1" x14ac:dyDescent="0.2">
      <c r="A271" s="452"/>
    </row>
    <row r="272" spans="1:1" s="439" customFormat="1" x14ac:dyDescent="0.2">
      <c r="A272" s="452"/>
    </row>
    <row r="273" spans="1:1" s="439" customFormat="1" ht="15" customHeight="1" x14ac:dyDescent="0.2">
      <c r="A273" s="452"/>
    </row>
    <row r="274" spans="1:1" s="439" customFormat="1" ht="13.5" customHeight="1" x14ac:dyDescent="0.2">
      <c r="A274" s="452"/>
    </row>
    <row r="275" spans="1:1" s="439" customFormat="1" ht="12.75" customHeight="1" x14ac:dyDescent="0.2">
      <c r="A275" s="452"/>
    </row>
    <row r="276" spans="1:1" s="439" customFormat="1" ht="12.75" customHeight="1" x14ac:dyDescent="0.2">
      <c r="A276" s="452"/>
    </row>
    <row r="277" spans="1:1" s="439" customFormat="1" ht="12.75" customHeight="1" x14ac:dyDescent="0.2">
      <c r="A277" s="452"/>
    </row>
    <row r="278" spans="1:1" s="439" customFormat="1" x14ac:dyDescent="0.2">
      <c r="A278" s="452"/>
    </row>
    <row r="279" spans="1:1" ht="12.75" customHeight="1" x14ac:dyDescent="0.2">
      <c r="A279" s="86"/>
    </row>
    <row r="280" spans="1:1" s="439" customFormat="1" x14ac:dyDescent="0.2">
      <c r="A280" s="452"/>
    </row>
    <row r="281" spans="1:1" x14ac:dyDescent="0.2">
      <c r="A281" s="86"/>
    </row>
    <row r="282" spans="1:1" x14ac:dyDescent="0.2">
      <c r="A282" s="86"/>
    </row>
    <row r="283" spans="1:1" x14ac:dyDescent="0.2">
      <c r="A283" s="86"/>
    </row>
    <row r="284" spans="1:1" s="439" customFormat="1" x14ac:dyDescent="0.2">
      <c r="A284" s="452"/>
    </row>
    <row r="285" spans="1:1" ht="12.75" customHeight="1" x14ac:dyDescent="0.2"/>
    <row r="286" spans="1:1" ht="11.25" customHeight="1" x14ac:dyDescent="0.2"/>
    <row r="291" spans="1:1" ht="8.25" customHeight="1" x14ac:dyDescent="0.2">
      <c r="A291" s="86"/>
    </row>
    <row r="292" spans="1:1" s="439" customFormat="1" x14ac:dyDescent="0.2">
      <c r="A292" s="452"/>
    </row>
    <row r="293" spans="1:1" s="439" customFormat="1" x14ac:dyDescent="0.2">
      <c r="A293" s="452"/>
    </row>
    <row r="294" spans="1:1" ht="13.5" customHeight="1" x14ac:dyDescent="0.2"/>
    <row r="295" spans="1:1" ht="12.75" customHeight="1" x14ac:dyDescent="0.2"/>
    <row r="296" spans="1:1" ht="15" customHeight="1" x14ac:dyDescent="0.2"/>
    <row r="297" spans="1:1" ht="12.75" customHeight="1" x14ac:dyDescent="0.2"/>
    <row r="298" spans="1:1" ht="12.75" customHeight="1" x14ac:dyDescent="0.2"/>
    <row r="299" spans="1:1" ht="12.75" customHeight="1" x14ac:dyDescent="0.2"/>
    <row r="300" spans="1:1" s="439" customFormat="1" ht="12.75" customHeight="1" x14ac:dyDescent="0.2"/>
    <row r="301" spans="1:1" s="439" customFormat="1" ht="12.75" customHeight="1" x14ac:dyDescent="0.2"/>
    <row r="302" spans="1:1" s="439" customFormat="1" ht="12.75" customHeight="1" x14ac:dyDescent="0.2"/>
    <row r="303" spans="1:1" s="439" customFormat="1" ht="12.75" customHeight="1" x14ac:dyDescent="0.2"/>
    <row r="304" spans="1:1"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spans="1:1" ht="12.75" customHeight="1" x14ac:dyDescent="0.2"/>
    <row r="322" spans="1:1" ht="12.75" customHeight="1" x14ac:dyDescent="0.2"/>
    <row r="323" spans="1:1" ht="12.75" customHeight="1" x14ac:dyDescent="0.2"/>
    <row r="324" spans="1:1" ht="12.75" customHeight="1" x14ac:dyDescent="0.2"/>
    <row r="325" spans="1:1" ht="12.75" customHeight="1" x14ac:dyDescent="0.2"/>
    <row r="326" spans="1:1" ht="12.75" customHeight="1" x14ac:dyDescent="0.2"/>
    <row r="327" spans="1:1" ht="12.75" customHeight="1" x14ac:dyDescent="0.2"/>
    <row r="328" spans="1:1" ht="12.75" customHeight="1" x14ac:dyDescent="0.2"/>
    <row r="329" spans="1:1" ht="12.75" customHeight="1" x14ac:dyDescent="0.2"/>
    <row r="330" spans="1:1" ht="13.5" customHeight="1" x14ac:dyDescent="0.2">
      <c r="A330" s="86"/>
    </row>
    <row r="331" spans="1:1" x14ac:dyDescent="0.2">
      <c r="A331" s="86"/>
    </row>
    <row r="332" spans="1:1" x14ac:dyDescent="0.2">
      <c r="A332" s="86"/>
    </row>
    <row r="333" spans="1:1" x14ac:dyDescent="0.2">
      <c r="A333" s="86"/>
    </row>
    <row r="334" spans="1:1" ht="14.25" customHeight="1" x14ac:dyDescent="0.2">
      <c r="A334" s="86"/>
    </row>
    <row r="335" spans="1:1" ht="8.25" customHeight="1" x14ac:dyDescent="0.2">
      <c r="A335" s="86"/>
    </row>
    <row r="336" spans="1:1" x14ac:dyDescent="0.2">
      <c r="A336" s="86"/>
    </row>
    <row r="337" spans="1:1" x14ac:dyDescent="0.2">
      <c r="A337" s="86"/>
    </row>
    <row r="338" spans="1:1" ht="12.75" customHeight="1" x14ac:dyDescent="0.2">
      <c r="A338" s="86"/>
    </row>
    <row r="339" spans="1:1" ht="12.75" customHeight="1" x14ac:dyDescent="0.2">
      <c r="A339" s="86"/>
    </row>
    <row r="340" spans="1:1" ht="12.75" customHeight="1" x14ac:dyDescent="0.2">
      <c r="A340" s="86"/>
    </row>
    <row r="341" spans="1:1" ht="12.75" customHeight="1" x14ac:dyDescent="0.2">
      <c r="A341" s="86"/>
    </row>
    <row r="342" spans="1:1" ht="24.75" customHeight="1" x14ac:dyDescent="0.2">
      <c r="A342" s="86"/>
    </row>
    <row r="343" spans="1:1" ht="12.75" customHeight="1" x14ac:dyDescent="0.2">
      <c r="A343" s="86"/>
    </row>
    <row r="344" spans="1:1" ht="12.75" customHeight="1" x14ac:dyDescent="0.2">
      <c r="A344" s="86"/>
    </row>
    <row r="345" spans="1:1" ht="12.75" customHeight="1" x14ac:dyDescent="0.2">
      <c r="A345" s="86"/>
    </row>
    <row r="346" spans="1:1" ht="12.75" customHeight="1" x14ac:dyDescent="0.2">
      <c r="A346" s="86"/>
    </row>
    <row r="347" spans="1:1" ht="12.75" customHeight="1" x14ac:dyDescent="0.2">
      <c r="A347" s="86"/>
    </row>
    <row r="348" spans="1:1" ht="12.75" customHeight="1" x14ac:dyDescent="0.2">
      <c r="A348" s="86"/>
    </row>
    <row r="349" spans="1:1" ht="12.75" customHeight="1" x14ac:dyDescent="0.2">
      <c r="A349" s="86"/>
    </row>
    <row r="350" spans="1:1" ht="12.75" customHeight="1" x14ac:dyDescent="0.2">
      <c r="A350" s="86"/>
    </row>
    <row r="351" spans="1:1" ht="12.75" customHeight="1" x14ac:dyDescent="0.2">
      <c r="A351" s="86"/>
    </row>
    <row r="352" spans="1:1" ht="12.75" customHeight="1" x14ac:dyDescent="0.2">
      <c r="A352" s="86"/>
    </row>
    <row r="353" spans="1:1" ht="12.75" customHeight="1" x14ac:dyDescent="0.2">
      <c r="A353" s="86"/>
    </row>
    <row r="354" spans="1:1" ht="12.75" customHeight="1" x14ac:dyDescent="0.2">
      <c r="A354" s="86"/>
    </row>
    <row r="355" spans="1:1" ht="12.75" customHeight="1" x14ac:dyDescent="0.2">
      <c r="A355" s="86"/>
    </row>
    <row r="356" spans="1:1" ht="12.75" customHeight="1" x14ac:dyDescent="0.2">
      <c r="A356" s="86"/>
    </row>
    <row r="357" spans="1:1" ht="12.75" customHeight="1" x14ac:dyDescent="0.2"/>
    <row r="358" spans="1:1" ht="12.75" customHeight="1" x14ac:dyDescent="0.2"/>
    <row r="359" spans="1:1" x14ac:dyDescent="0.2">
      <c r="A359" s="86"/>
    </row>
    <row r="360" spans="1:1" ht="12.75" customHeight="1" x14ac:dyDescent="0.2">
      <c r="A360" s="86"/>
    </row>
    <row r="361" spans="1:1" ht="14.25" customHeight="1" x14ac:dyDescent="0.2">
      <c r="A361" s="86"/>
    </row>
    <row r="362" spans="1:1" x14ac:dyDescent="0.2">
      <c r="A362" s="86"/>
    </row>
    <row r="363" spans="1:1" x14ac:dyDescent="0.2">
      <c r="A363" s="86"/>
    </row>
    <row r="364" spans="1:1" x14ac:dyDescent="0.2">
      <c r="A364" s="86"/>
    </row>
    <row r="365" spans="1:1" x14ac:dyDescent="0.2">
      <c r="A365" s="86"/>
    </row>
    <row r="366" spans="1:1" ht="12.75" customHeight="1" x14ac:dyDescent="0.2">
      <c r="A366" s="86"/>
    </row>
    <row r="367" spans="1:1" x14ac:dyDescent="0.2">
      <c r="A367" s="86"/>
    </row>
    <row r="368" spans="1:1" x14ac:dyDescent="0.2">
      <c r="A368" s="86"/>
    </row>
    <row r="369" spans="1:12" x14ac:dyDescent="0.2">
      <c r="A369" s="86"/>
    </row>
    <row r="370" spans="1:12" x14ac:dyDescent="0.2">
      <c r="A370" s="86"/>
    </row>
    <row r="371" spans="1:12" ht="12.75" customHeight="1" x14ac:dyDescent="0.2"/>
    <row r="372" spans="1:12" ht="12.75" customHeight="1" x14ac:dyDescent="0.2">
      <c r="A372" s="86"/>
    </row>
    <row r="373" spans="1:12" ht="11.25" customHeight="1" x14ac:dyDescent="0.2">
      <c r="A373" s="86"/>
    </row>
    <row r="374" spans="1:12" x14ac:dyDescent="0.2">
      <c r="L374" s="86"/>
    </row>
    <row r="375" spans="1:12" x14ac:dyDescent="0.2">
      <c r="L375" s="86"/>
    </row>
    <row r="376" spans="1:12" x14ac:dyDescent="0.2">
      <c r="L376" s="86"/>
    </row>
    <row r="377" spans="1:12" ht="14.25" customHeight="1" x14ac:dyDescent="0.2">
      <c r="L377" s="86"/>
    </row>
    <row r="378" spans="1:12" ht="8.25" customHeight="1" x14ac:dyDescent="0.2">
      <c r="L378" s="86"/>
    </row>
    <row r="379" spans="1:12" x14ac:dyDescent="0.2">
      <c r="L379" s="86"/>
    </row>
    <row r="380" spans="1:12" x14ac:dyDescent="0.2">
      <c r="L380" s="86"/>
    </row>
    <row r="381" spans="1:12" x14ac:dyDescent="0.2">
      <c r="L381" s="86"/>
    </row>
    <row r="382" spans="1:12" x14ac:dyDescent="0.2">
      <c r="L382" s="86"/>
    </row>
    <row r="383" spans="1:12" ht="25.5" customHeight="1" x14ac:dyDescent="0.2">
      <c r="L383" s="86"/>
    </row>
    <row r="384" spans="1:12" ht="12.75" customHeight="1" x14ac:dyDescent="0.2">
      <c r="L384" s="86"/>
    </row>
    <row r="385" spans="12:16" ht="12.75" customHeight="1" x14ac:dyDescent="0.2"/>
    <row r="386" spans="12:16" ht="12.75" customHeight="1" x14ac:dyDescent="0.2">
      <c r="L386" s="86"/>
    </row>
    <row r="387" spans="12:16" ht="12.75" customHeight="1" x14ac:dyDescent="0.2">
      <c r="L387" s="492"/>
      <c r="M387" s="492"/>
      <c r="N387" s="492"/>
      <c r="O387" s="492"/>
      <c r="P387" s="492"/>
    </row>
    <row r="388" spans="12:16" ht="12.75" customHeight="1" x14ac:dyDescent="0.2">
      <c r="L388" s="492"/>
      <c r="M388" s="492"/>
      <c r="N388" s="492"/>
      <c r="O388" s="492"/>
      <c r="P388" s="492"/>
    </row>
    <row r="389" spans="12:16" ht="12.75" customHeight="1" x14ac:dyDescent="0.2">
      <c r="L389" s="86"/>
    </row>
    <row r="390" spans="12:16" ht="12.75" customHeight="1" x14ac:dyDescent="0.2">
      <c r="L390" s="86"/>
    </row>
    <row r="391" spans="12:16" ht="12.75" customHeight="1" x14ac:dyDescent="0.2">
      <c r="L391" s="86"/>
    </row>
    <row r="392" spans="12:16" ht="12.75" customHeight="1" x14ac:dyDescent="0.2">
      <c r="L392" s="86"/>
    </row>
    <row r="393" spans="12:16" ht="12.75" customHeight="1" x14ac:dyDescent="0.2">
      <c r="L393" s="86"/>
    </row>
    <row r="394" spans="12:16" ht="12.75" customHeight="1" x14ac:dyDescent="0.2">
      <c r="L394" s="86"/>
    </row>
    <row r="395" spans="12:16" ht="12.75" customHeight="1" x14ac:dyDescent="0.2">
      <c r="L395" s="86"/>
    </row>
    <row r="396" spans="12:16" ht="12.75" customHeight="1" x14ac:dyDescent="0.2">
      <c r="L396" s="86"/>
    </row>
    <row r="397" spans="12:16" ht="12.75" customHeight="1" x14ac:dyDescent="0.2">
      <c r="L397" s="86"/>
    </row>
    <row r="398" spans="12:16" ht="12.75" customHeight="1" x14ac:dyDescent="0.2">
      <c r="L398" s="86"/>
    </row>
    <row r="399" spans="12:16" ht="12.75" customHeight="1" x14ac:dyDescent="0.2">
      <c r="L399" s="86"/>
    </row>
    <row r="400" spans="12:16" ht="12.75" customHeight="1" x14ac:dyDescent="0.2">
      <c r="L400" s="86"/>
    </row>
    <row r="401" spans="12:12" ht="12.75" customHeight="1" x14ac:dyDescent="0.2">
      <c r="L401" s="86"/>
    </row>
    <row r="402" spans="12:12" ht="12.75" customHeight="1" x14ac:dyDescent="0.2">
      <c r="L402" s="86"/>
    </row>
    <row r="403" spans="12:12" ht="12.75" customHeight="1" x14ac:dyDescent="0.2">
      <c r="L403" s="86"/>
    </row>
    <row r="404" spans="12:12" ht="12.75" customHeight="1" x14ac:dyDescent="0.2"/>
    <row r="405" spans="12:12" ht="12.75" customHeight="1" x14ac:dyDescent="0.2"/>
    <row r="406" spans="12:12" ht="12.75" customHeight="1" x14ac:dyDescent="0.2"/>
    <row r="407" spans="12:12" ht="12.75" customHeight="1" x14ac:dyDescent="0.2"/>
    <row r="408" spans="12:12" ht="12.75" customHeight="1" x14ac:dyDescent="0.2"/>
    <row r="409" spans="12:12" ht="12.75" customHeight="1" x14ac:dyDescent="0.2"/>
    <row r="410" spans="12:12" ht="12.75" customHeight="1" x14ac:dyDescent="0.2"/>
    <row r="411" spans="12:12" ht="12.75" customHeight="1" x14ac:dyDescent="0.2"/>
    <row r="412" spans="12:12" ht="12.75" customHeight="1" x14ac:dyDescent="0.2"/>
    <row r="413" spans="12:12" ht="12.75" customHeight="1" x14ac:dyDescent="0.2"/>
  </sheetData>
  <mergeCells count="78">
    <mergeCell ref="B19:G19"/>
    <mergeCell ref="B6:G6"/>
    <mergeCell ref="B7:G7"/>
    <mergeCell ref="B8:G8"/>
    <mergeCell ref="B9:G9"/>
    <mergeCell ref="B12:G12"/>
    <mergeCell ref="B13:G13"/>
    <mergeCell ref="B14:G14"/>
    <mergeCell ref="B15:G15"/>
    <mergeCell ref="B17:G17"/>
    <mergeCell ref="B18:G18"/>
    <mergeCell ref="B32:G32"/>
    <mergeCell ref="B20:G20"/>
    <mergeCell ref="B21:G21"/>
    <mergeCell ref="B22:G22"/>
    <mergeCell ref="B23:G23"/>
    <mergeCell ref="B24:G24"/>
    <mergeCell ref="B25:G25"/>
    <mergeCell ref="B26:G26"/>
    <mergeCell ref="B28:G28"/>
    <mergeCell ref="B29:G29"/>
    <mergeCell ref="B30:G30"/>
    <mergeCell ref="B31:G31"/>
    <mergeCell ref="B33:G33"/>
    <mergeCell ref="B34:G34"/>
    <mergeCell ref="B38:G38"/>
    <mergeCell ref="B44:G44"/>
    <mergeCell ref="B45:G45"/>
    <mergeCell ref="B57:G57"/>
    <mergeCell ref="B46:G46"/>
    <mergeCell ref="B47:G47"/>
    <mergeCell ref="B48:G48"/>
    <mergeCell ref="B49:G49"/>
    <mergeCell ref="B50:G50"/>
    <mergeCell ref="B51:G51"/>
    <mergeCell ref="B52:G52"/>
    <mergeCell ref="B53:G53"/>
    <mergeCell ref="B54:G54"/>
    <mergeCell ref="B55:G55"/>
    <mergeCell ref="B56:G56"/>
    <mergeCell ref="B73:G73"/>
    <mergeCell ref="B63:G63"/>
    <mergeCell ref="B64:G64"/>
    <mergeCell ref="B65:G65"/>
    <mergeCell ref="B58:G58"/>
    <mergeCell ref="B59:G59"/>
    <mergeCell ref="B60:G60"/>
    <mergeCell ref="B61:G61"/>
    <mergeCell ref="B62:G62"/>
    <mergeCell ref="B66:G66"/>
    <mergeCell ref="B67:G67"/>
    <mergeCell ref="B68:G68"/>
    <mergeCell ref="B71:G71"/>
    <mergeCell ref="B72:G72"/>
    <mergeCell ref="B74:G74"/>
    <mergeCell ref="B75:G75"/>
    <mergeCell ref="B76:G76"/>
    <mergeCell ref="B83:G83"/>
    <mergeCell ref="B84:G84"/>
    <mergeCell ref="B98:G98"/>
    <mergeCell ref="B85:G85"/>
    <mergeCell ref="B86:G86"/>
    <mergeCell ref="B87:G87"/>
    <mergeCell ref="B88:G88"/>
    <mergeCell ref="B89:G89"/>
    <mergeCell ref="B90:G90"/>
    <mergeCell ref="B91:G91"/>
    <mergeCell ref="B92:G92"/>
    <mergeCell ref="B95:G95"/>
    <mergeCell ref="B96:G96"/>
    <mergeCell ref="B97:G97"/>
    <mergeCell ref="B113:G113"/>
    <mergeCell ref="B114:G114"/>
    <mergeCell ref="B100:G100"/>
    <mergeCell ref="B101:G101"/>
    <mergeCell ref="B102:G102"/>
    <mergeCell ref="B103:G103"/>
    <mergeCell ref="B104:G104"/>
  </mergeCells>
  <pageMargins left="0.51181102362204722" right="0.51181102362204722" top="0.78740157480314965" bottom="0.78740157480314965" header="0.31496062992125984" footer="0.31496062992125984"/>
  <pageSetup paperSize="9" scale="93" orientation="landscape" horizontalDpi="360" verticalDpi="360" r:id="rId1"/>
  <headerFooter>
    <oddHeader>&amp;L&amp;G&amp;R&amp;G</oddHeader>
    <oddFooter>&amp;C&amp;K04+000
&amp;9Rua Nilton Baldo, 744 – Bairro Jardim Paquetá - CEP 31.330-660 – Belo Horizonte / Minas Gerais.
Endereço Eletrônico: ottawaeng@terra.com.br – Telefax (31) 3418-2175 – CNPJ: 04.472.311/0001-04&amp;R&amp;9&amp;K03+000Página &amp;P de &amp;N</oddFooter>
  </headerFooter>
  <rowBreaks count="3" manualBreakCount="3">
    <brk id="38" max="10" man="1"/>
    <brk id="76" max="10" man="1"/>
    <brk id="125" max="10"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7"/>
  <sheetViews>
    <sheetView view="pageBreakPreview" topLeftCell="A49" zoomScale="90" zoomScaleNormal="100" zoomScaleSheetLayoutView="90" workbookViewId="0">
      <selection activeCell="B85" sqref="B85:G85"/>
    </sheetView>
  </sheetViews>
  <sheetFormatPr defaultRowHeight="12.75" x14ac:dyDescent="0.2"/>
  <cols>
    <col min="1" max="1" width="7.7109375" customWidth="1"/>
    <col min="2" max="2" width="25.140625" customWidth="1"/>
    <col min="4" max="4" width="20.42578125" customWidth="1"/>
    <col min="5" max="5" width="10.42578125" customWidth="1"/>
    <col min="6" max="6" width="8.5703125" customWidth="1"/>
    <col min="7" max="7" width="13" customWidth="1"/>
    <col min="8" max="8" width="8.5703125" customWidth="1"/>
    <col min="9" max="9" width="11.140625" customWidth="1"/>
    <col min="10" max="10" width="14.28515625" customWidth="1"/>
    <col min="11" max="11" width="17.7109375" customWidth="1"/>
    <col min="257" max="257" width="7.7109375" customWidth="1"/>
    <col min="258" max="258" width="25.140625" customWidth="1"/>
    <col min="260" max="260" width="20.42578125" customWidth="1"/>
    <col min="261" max="261" width="10.42578125" customWidth="1"/>
    <col min="262" max="262" width="8.5703125" customWidth="1"/>
    <col min="263" max="263" width="13" customWidth="1"/>
    <col min="264" max="264" width="8.5703125" customWidth="1"/>
    <col min="265" max="265" width="11.140625" customWidth="1"/>
    <col min="266" max="266" width="14.28515625" customWidth="1"/>
    <col min="267" max="267" width="17.7109375" customWidth="1"/>
    <col min="513" max="513" width="7.7109375" customWidth="1"/>
    <col min="514" max="514" width="25.140625" customWidth="1"/>
    <col min="516" max="516" width="20.42578125" customWidth="1"/>
    <col min="517" max="517" width="10.42578125" customWidth="1"/>
    <col min="518" max="518" width="8.5703125" customWidth="1"/>
    <col min="519" max="519" width="13" customWidth="1"/>
    <col min="520" max="520" width="8.5703125" customWidth="1"/>
    <col min="521" max="521" width="11.140625" customWidth="1"/>
    <col min="522" max="522" width="14.28515625" customWidth="1"/>
    <col min="523" max="523" width="17.7109375" customWidth="1"/>
    <col min="769" max="769" width="7.7109375" customWidth="1"/>
    <col min="770" max="770" width="25.140625" customWidth="1"/>
    <col min="772" max="772" width="20.42578125" customWidth="1"/>
    <col min="773" max="773" width="10.42578125" customWidth="1"/>
    <col min="774" max="774" width="8.5703125" customWidth="1"/>
    <col min="775" max="775" width="13" customWidth="1"/>
    <col min="776" max="776" width="8.5703125" customWidth="1"/>
    <col min="777" max="777" width="11.140625" customWidth="1"/>
    <col min="778" max="778" width="14.28515625" customWidth="1"/>
    <col min="779" max="779" width="17.7109375" customWidth="1"/>
    <col min="1025" max="1025" width="7.7109375" customWidth="1"/>
    <col min="1026" max="1026" width="25.140625" customWidth="1"/>
    <col min="1028" max="1028" width="20.42578125" customWidth="1"/>
    <col min="1029" max="1029" width="10.42578125" customWidth="1"/>
    <col min="1030" max="1030" width="8.5703125" customWidth="1"/>
    <col min="1031" max="1031" width="13" customWidth="1"/>
    <col min="1032" max="1032" width="8.5703125" customWidth="1"/>
    <col min="1033" max="1033" width="11.140625" customWidth="1"/>
    <col min="1034" max="1034" width="14.28515625" customWidth="1"/>
    <col min="1035" max="1035" width="17.7109375" customWidth="1"/>
    <col min="1281" max="1281" width="7.7109375" customWidth="1"/>
    <col min="1282" max="1282" width="25.140625" customWidth="1"/>
    <col min="1284" max="1284" width="20.42578125" customWidth="1"/>
    <col min="1285" max="1285" width="10.42578125" customWidth="1"/>
    <col min="1286" max="1286" width="8.5703125" customWidth="1"/>
    <col min="1287" max="1287" width="13" customWidth="1"/>
    <col min="1288" max="1288" width="8.5703125" customWidth="1"/>
    <col min="1289" max="1289" width="11.140625" customWidth="1"/>
    <col min="1290" max="1290" width="14.28515625" customWidth="1"/>
    <col min="1291" max="1291" width="17.7109375" customWidth="1"/>
    <col min="1537" max="1537" width="7.7109375" customWidth="1"/>
    <col min="1538" max="1538" width="25.140625" customWidth="1"/>
    <col min="1540" max="1540" width="20.42578125" customWidth="1"/>
    <col min="1541" max="1541" width="10.42578125" customWidth="1"/>
    <col min="1542" max="1542" width="8.5703125" customWidth="1"/>
    <col min="1543" max="1543" width="13" customWidth="1"/>
    <col min="1544" max="1544" width="8.5703125" customWidth="1"/>
    <col min="1545" max="1545" width="11.140625" customWidth="1"/>
    <col min="1546" max="1546" width="14.28515625" customWidth="1"/>
    <col min="1547" max="1547" width="17.7109375" customWidth="1"/>
    <col min="1793" max="1793" width="7.7109375" customWidth="1"/>
    <col min="1794" max="1794" width="25.140625" customWidth="1"/>
    <col min="1796" max="1796" width="20.42578125" customWidth="1"/>
    <col min="1797" max="1797" width="10.42578125" customWidth="1"/>
    <col min="1798" max="1798" width="8.5703125" customWidth="1"/>
    <col min="1799" max="1799" width="13" customWidth="1"/>
    <col min="1800" max="1800" width="8.5703125" customWidth="1"/>
    <col min="1801" max="1801" width="11.140625" customWidth="1"/>
    <col min="1802" max="1802" width="14.28515625" customWidth="1"/>
    <col min="1803" max="1803" width="17.7109375" customWidth="1"/>
    <col min="2049" max="2049" width="7.7109375" customWidth="1"/>
    <col min="2050" max="2050" width="25.140625" customWidth="1"/>
    <col min="2052" max="2052" width="20.42578125" customWidth="1"/>
    <col min="2053" max="2053" width="10.42578125" customWidth="1"/>
    <col min="2054" max="2054" width="8.5703125" customWidth="1"/>
    <col min="2055" max="2055" width="13" customWidth="1"/>
    <col min="2056" max="2056" width="8.5703125" customWidth="1"/>
    <col min="2057" max="2057" width="11.140625" customWidth="1"/>
    <col min="2058" max="2058" width="14.28515625" customWidth="1"/>
    <col min="2059" max="2059" width="17.7109375" customWidth="1"/>
    <col min="2305" max="2305" width="7.7109375" customWidth="1"/>
    <col min="2306" max="2306" width="25.140625" customWidth="1"/>
    <col min="2308" max="2308" width="20.42578125" customWidth="1"/>
    <col min="2309" max="2309" width="10.42578125" customWidth="1"/>
    <col min="2310" max="2310" width="8.5703125" customWidth="1"/>
    <col min="2311" max="2311" width="13" customWidth="1"/>
    <col min="2312" max="2312" width="8.5703125" customWidth="1"/>
    <col min="2313" max="2313" width="11.140625" customWidth="1"/>
    <col min="2314" max="2314" width="14.28515625" customWidth="1"/>
    <col min="2315" max="2315" width="17.7109375" customWidth="1"/>
    <col min="2561" max="2561" width="7.7109375" customWidth="1"/>
    <col min="2562" max="2562" width="25.140625" customWidth="1"/>
    <col min="2564" max="2564" width="20.42578125" customWidth="1"/>
    <col min="2565" max="2565" width="10.42578125" customWidth="1"/>
    <col min="2566" max="2566" width="8.5703125" customWidth="1"/>
    <col min="2567" max="2567" width="13" customWidth="1"/>
    <col min="2568" max="2568" width="8.5703125" customWidth="1"/>
    <col min="2569" max="2569" width="11.140625" customWidth="1"/>
    <col min="2570" max="2570" width="14.28515625" customWidth="1"/>
    <col min="2571" max="2571" width="17.7109375" customWidth="1"/>
    <col min="2817" max="2817" width="7.7109375" customWidth="1"/>
    <col min="2818" max="2818" width="25.140625" customWidth="1"/>
    <col min="2820" max="2820" width="20.42578125" customWidth="1"/>
    <col min="2821" max="2821" width="10.42578125" customWidth="1"/>
    <col min="2822" max="2822" width="8.5703125" customWidth="1"/>
    <col min="2823" max="2823" width="13" customWidth="1"/>
    <col min="2824" max="2824" width="8.5703125" customWidth="1"/>
    <col min="2825" max="2825" width="11.140625" customWidth="1"/>
    <col min="2826" max="2826" width="14.28515625" customWidth="1"/>
    <col min="2827" max="2827" width="17.7109375" customWidth="1"/>
    <col min="3073" max="3073" width="7.7109375" customWidth="1"/>
    <col min="3074" max="3074" width="25.140625" customWidth="1"/>
    <col min="3076" max="3076" width="20.42578125" customWidth="1"/>
    <col min="3077" max="3077" width="10.42578125" customWidth="1"/>
    <col min="3078" max="3078" width="8.5703125" customWidth="1"/>
    <col min="3079" max="3079" width="13" customWidth="1"/>
    <col min="3080" max="3080" width="8.5703125" customWidth="1"/>
    <col min="3081" max="3081" width="11.140625" customWidth="1"/>
    <col min="3082" max="3082" width="14.28515625" customWidth="1"/>
    <col min="3083" max="3083" width="17.7109375" customWidth="1"/>
    <col min="3329" max="3329" width="7.7109375" customWidth="1"/>
    <col min="3330" max="3330" width="25.140625" customWidth="1"/>
    <col min="3332" max="3332" width="20.42578125" customWidth="1"/>
    <col min="3333" max="3333" width="10.42578125" customWidth="1"/>
    <col min="3334" max="3334" width="8.5703125" customWidth="1"/>
    <col min="3335" max="3335" width="13" customWidth="1"/>
    <col min="3336" max="3336" width="8.5703125" customWidth="1"/>
    <col min="3337" max="3337" width="11.140625" customWidth="1"/>
    <col min="3338" max="3338" width="14.28515625" customWidth="1"/>
    <col min="3339" max="3339" width="17.7109375" customWidth="1"/>
    <col min="3585" max="3585" width="7.7109375" customWidth="1"/>
    <col min="3586" max="3586" width="25.140625" customWidth="1"/>
    <col min="3588" max="3588" width="20.42578125" customWidth="1"/>
    <col min="3589" max="3589" width="10.42578125" customWidth="1"/>
    <col min="3590" max="3590" width="8.5703125" customWidth="1"/>
    <col min="3591" max="3591" width="13" customWidth="1"/>
    <col min="3592" max="3592" width="8.5703125" customWidth="1"/>
    <col min="3593" max="3593" width="11.140625" customWidth="1"/>
    <col min="3594" max="3594" width="14.28515625" customWidth="1"/>
    <col min="3595" max="3595" width="17.7109375" customWidth="1"/>
    <col min="3841" max="3841" width="7.7109375" customWidth="1"/>
    <col min="3842" max="3842" width="25.140625" customWidth="1"/>
    <col min="3844" max="3844" width="20.42578125" customWidth="1"/>
    <col min="3845" max="3845" width="10.42578125" customWidth="1"/>
    <col min="3846" max="3846" width="8.5703125" customWidth="1"/>
    <col min="3847" max="3847" width="13" customWidth="1"/>
    <col min="3848" max="3848" width="8.5703125" customWidth="1"/>
    <col min="3849" max="3849" width="11.140625" customWidth="1"/>
    <col min="3850" max="3850" width="14.28515625" customWidth="1"/>
    <col min="3851" max="3851" width="17.7109375" customWidth="1"/>
    <col min="4097" max="4097" width="7.7109375" customWidth="1"/>
    <col min="4098" max="4098" width="25.140625" customWidth="1"/>
    <col min="4100" max="4100" width="20.42578125" customWidth="1"/>
    <col min="4101" max="4101" width="10.42578125" customWidth="1"/>
    <col min="4102" max="4102" width="8.5703125" customWidth="1"/>
    <col min="4103" max="4103" width="13" customWidth="1"/>
    <col min="4104" max="4104" width="8.5703125" customWidth="1"/>
    <col min="4105" max="4105" width="11.140625" customWidth="1"/>
    <col min="4106" max="4106" width="14.28515625" customWidth="1"/>
    <col min="4107" max="4107" width="17.7109375" customWidth="1"/>
    <col min="4353" max="4353" width="7.7109375" customWidth="1"/>
    <col min="4354" max="4354" width="25.140625" customWidth="1"/>
    <col min="4356" max="4356" width="20.42578125" customWidth="1"/>
    <col min="4357" max="4357" width="10.42578125" customWidth="1"/>
    <col min="4358" max="4358" width="8.5703125" customWidth="1"/>
    <col min="4359" max="4359" width="13" customWidth="1"/>
    <col min="4360" max="4360" width="8.5703125" customWidth="1"/>
    <col min="4361" max="4361" width="11.140625" customWidth="1"/>
    <col min="4362" max="4362" width="14.28515625" customWidth="1"/>
    <col min="4363" max="4363" width="17.7109375" customWidth="1"/>
    <col min="4609" max="4609" width="7.7109375" customWidth="1"/>
    <col min="4610" max="4610" width="25.140625" customWidth="1"/>
    <col min="4612" max="4612" width="20.42578125" customWidth="1"/>
    <col min="4613" max="4613" width="10.42578125" customWidth="1"/>
    <col min="4614" max="4614" width="8.5703125" customWidth="1"/>
    <col min="4615" max="4615" width="13" customWidth="1"/>
    <col min="4616" max="4616" width="8.5703125" customWidth="1"/>
    <col min="4617" max="4617" width="11.140625" customWidth="1"/>
    <col min="4618" max="4618" width="14.28515625" customWidth="1"/>
    <col min="4619" max="4619" width="17.7109375" customWidth="1"/>
    <col min="4865" max="4865" width="7.7109375" customWidth="1"/>
    <col min="4866" max="4866" width="25.140625" customWidth="1"/>
    <col min="4868" max="4868" width="20.42578125" customWidth="1"/>
    <col min="4869" max="4869" width="10.42578125" customWidth="1"/>
    <col min="4870" max="4870" width="8.5703125" customWidth="1"/>
    <col min="4871" max="4871" width="13" customWidth="1"/>
    <col min="4872" max="4872" width="8.5703125" customWidth="1"/>
    <col min="4873" max="4873" width="11.140625" customWidth="1"/>
    <col min="4874" max="4874" width="14.28515625" customWidth="1"/>
    <col min="4875" max="4875" width="17.7109375" customWidth="1"/>
    <col min="5121" max="5121" width="7.7109375" customWidth="1"/>
    <col min="5122" max="5122" width="25.140625" customWidth="1"/>
    <col min="5124" max="5124" width="20.42578125" customWidth="1"/>
    <col min="5125" max="5125" width="10.42578125" customWidth="1"/>
    <col min="5126" max="5126" width="8.5703125" customWidth="1"/>
    <col min="5127" max="5127" width="13" customWidth="1"/>
    <col min="5128" max="5128" width="8.5703125" customWidth="1"/>
    <col min="5129" max="5129" width="11.140625" customWidth="1"/>
    <col min="5130" max="5130" width="14.28515625" customWidth="1"/>
    <col min="5131" max="5131" width="17.7109375" customWidth="1"/>
    <col min="5377" max="5377" width="7.7109375" customWidth="1"/>
    <col min="5378" max="5378" width="25.140625" customWidth="1"/>
    <col min="5380" max="5380" width="20.42578125" customWidth="1"/>
    <col min="5381" max="5381" width="10.42578125" customWidth="1"/>
    <col min="5382" max="5382" width="8.5703125" customWidth="1"/>
    <col min="5383" max="5383" width="13" customWidth="1"/>
    <col min="5384" max="5384" width="8.5703125" customWidth="1"/>
    <col min="5385" max="5385" width="11.140625" customWidth="1"/>
    <col min="5386" max="5386" width="14.28515625" customWidth="1"/>
    <col min="5387" max="5387" width="17.7109375" customWidth="1"/>
    <col min="5633" max="5633" width="7.7109375" customWidth="1"/>
    <col min="5634" max="5634" width="25.140625" customWidth="1"/>
    <col min="5636" max="5636" width="20.42578125" customWidth="1"/>
    <col min="5637" max="5637" width="10.42578125" customWidth="1"/>
    <col min="5638" max="5638" width="8.5703125" customWidth="1"/>
    <col min="5639" max="5639" width="13" customWidth="1"/>
    <col min="5640" max="5640" width="8.5703125" customWidth="1"/>
    <col min="5641" max="5641" width="11.140625" customWidth="1"/>
    <col min="5642" max="5642" width="14.28515625" customWidth="1"/>
    <col min="5643" max="5643" width="17.7109375" customWidth="1"/>
    <col min="5889" max="5889" width="7.7109375" customWidth="1"/>
    <col min="5890" max="5890" width="25.140625" customWidth="1"/>
    <col min="5892" max="5892" width="20.42578125" customWidth="1"/>
    <col min="5893" max="5893" width="10.42578125" customWidth="1"/>
    <col min="5894" max="5894" width="8.5703125" customWidth="1"/>
    <col min="5895" max="5895" width="13" customWidth="1"/>
    <col min="5896" max="5896" width="8.5703125" customWidth="1"/>
    <col min="5897" max="5897" width="11.140625" customWidth="1"/>
    <col min="5898" max="5898" width="14.28515625" customWidth="1"/>
    <col min="5899" max="5899" width="17.7109375" customWidth="1"/>
    <col min="6145" max="6145" width="7.7109375" customWidth="1"/>
    <col min="6146" max="6146" width="25.140625" customWidth="1"/>
    <col min="6148" max="6148" width="20.42578125" customWidth="1"/>
    <col min="6149" max="6149" width="10.42578125" customWidth="1"/>
    <col min="6150" max="6150" width="8.5703125" customWidth="1"/>
    <col min="6151" max="6151" width="13" customWidth="1"/>
    <col min="6152" max="6152" width="8.5703125" customWidth="1"/>
    <col min="6153" max="6153" width="11.140625" customWidth="1"/>
    <col min="6154" max="6154" width="14.28515625" customWidth="1"/>
    <col min="6155" max="6155" width="17.7109375" customWidth="1"/>
    <col min="6401" max="6401" width="7.7109375" customWidth="1"/>
    <col min="6402" max="6402" width="25.140625" customWidth="1"/>
    <col min="6404" max="6404" width="20.42578125" customWidth="1"/>
    <col min="6405" max="6405" width="10.42578125" customWidth="1"/>
    <col min="6406" max="6406" width="8.5703125" customWidth="1"/>
    <col min="6407" max="6407" width="13" customWidth="1"/>
    <col min="6408" max="6408" width="8.5703125" customWidth="1"/>
    <col min="6409" max="6409" width="11.140625" customWidth="1"/>
    <col min="6410" max="6410" width="14.28515625" customWidth="1"/>
    <col min="6411" max="6411" width="17.7109375" customWidth="1"/>
    <col min="6657" max="6657" width="7.7109375" customWidth="1"/>
    <col min="6658" max="6658" width="25.140625" customWidth="1"/>
    <col min="6660" max="6660" width="20.42578125" customWidth="1"/>
    <col min="6661" max="6661" width="10.42578125" customWidth="1"/>
    <col min="6662" max="6662" width="8.5703125" customWidth="1"/>
    <col min="6663" max="6663" width="13" customWidth="1"/>
    <col min="6664" max="6664" width="8.5703125" customWidth="1"/>
    <col min="6665" max="6665" width="11.140625" customWidth="1"/>
    <col min="6666" max="6666" width="14.28515625" customWidth="1"/>
    <col min="6667" max="6667" width="17.7109375" customWidth="1"/>
    <col min="6913" max="6913" width="7.7109375" customWidth="1"/>
    <col min="6914" max="6914" width="25.140625" customWidth="1"/>
    <col min="6916" max="6916" width="20.42578125" customWidth="1"/>
    <col min="6917" max="6917" width="10.42578125" customWidth="1"/>
    <col min="6918" max="6918" width="8.5703125" customWidth="1"/>
    <col min="6919" max="6919" width="13" customWidth="1"/>
    <col min="6920" max="6920" width="8.5703125" customWidth="1"/>
    <col min="6921" max="6921" width="11.140625" customWidth="1"/>
    <col min="6922" max="6922" width="14.28515625" customWidth="1"/>
    <col min="6923" max="6923" width="17.7109375" customWidth="1"/>
    <col min="7169" max="7169" width="7.7109375" customWidth="1"/>
    <col min="7170" max="7170" width="25.140625" customWidth="1"/>
    <col min="7172" max="7172" width="20.42578125" customWidth="1"/>
    <col min="7173" max="7173" width="10.42578125" customWidth="1"/>
    <col min="7174" max="7174" width="8.5703125" customWidth="1"/>
    <col min="7175" max="7175" width="13" customWidth="1"/>
    <col min="7176" max="7176" width="8.5703125" customWidth="1"/>
    <col min="7177" max="7177" width="11.140625" customWidth="1"/>
    <col min="7178" max="7178" width="14.28515625" customWidth="1"/>
    <col min="7179" max="7179" width="17.7109375" customWidth="1"/>
    <col min="7425" max="7425" width="7.7109375" customWidth="1"/>
    <col min="7426" max="7426" width="25.140625" customWidth="1"/>
    <col min="7428" max="7428" width="20.42578125" customWidth="1"/>
    <col min="7429" max="7429" width="10.42578125" customWidth="1"/>
    <col min="7430" max="7430" width="8.5703125" customWidth="1"/>
    <col min="7431" max="7431" width="13" customWidth="1"/>
    <col min="7432" max="7432" width="8.5703125" customWidth="1"/>
    <col min="7433" max="7433" width="11.140625" customWidth="1"/>
    <col min="7434" max="7434" width="14.28515625" customWidth="1"/>
    <col min="7435" max="7435" width="17.7109375" customWidth="1"/>
    <col min="7681" max="7681" width="7.7109375" customWidth="1"/>
    <col min="7682" max="7682" width="25.140625" customWidth="1"/>
    <col min="7684" max="7684" width="20.42578125" customWidth="1"/>
    <col min="7685" max="7685" width="10.42578125" customWidth="1"/>
    <col min="7686" max="7686" width="8.5703125" customWidth="1"/>
    <col min="7687" max="7687" width="13" customWidth="1"/>
    <col min="7688" max="7688" width="8.5703125" customWidth="1"/>
    <col min="7689" max="7689" width="11.140625" customWidth="1"/>
    <col min="7690" max="7690" width="14.28515625" customWidth="1"/>
    <col min="7691" max="7691" width="17.7109375" customWidth="1"/>
    <col min="7937" max="7937" width="7.7109375" customWidth="1"/>
    <col min="7938" max="7938" width="25.140625" customWidth="1"/>
    <col min="7940" max="7940" width="20.42578125" customWidth="1"/>
    <col min="7941" max="7941" width="10.42578125" customWidth="1"/>
    <col min="7942" max="7942" width="8.5703125" customWidth="1"/>
    <col min="7943" max="7943" width="13" customWidth="1"/>
    <col min="7944" max="7944" width="8.5703125" customWidth="1"/>
    <col min="7945" max="7945" width="11.140625" customWidth="1"/>
    <col min="7946" max="7946" width="14.28515625" customWidth="1"/>
    <col min="7947" max="7947" width="17.7109375" customWidth="1"/>
    <col min="8193" max="8193" width="7.7109375" customWidth="1"/>
    <col min="8194" max="8194" width="25.140625" customWidth="1"/>
    <col min="8196" max="8196" width="20.42578125" customWidth="1"/>
    <col min="8197" max="8197" width="10.42578125" customWidth="1"/>
    <col min="8198" max="8198" width="8.5703125" customWidth="1"/>
    <col min="8199" max="8199" width="13" customWidth="1"/>
    <col min="8200" max="8200" width="8.5703125" customWidth="1"/>
    <col min="8201" max="8201" width="11.140625" customWidth="1"/>
    <col min="8202" max="8202" width="14.28515625" customWidth="1"/>
    <col min="8203" max="8203" width="17.7109375" customWidth="1"/>
    <col min="8449" max="8449" width="7.7109375" customWidth="1"/>
    <col min="8450" max="8450" width="25.140625" customWidth="1"/>
    <col min="8452" max="8452" width="20.42578125" customWidth="1"/>
    <col min="8453" max="8453" width="10.42578125" customWidth="1"/>
    <col min="8454" max="8454" width="8.5703125" customWidth="1"/>
    <col min="8455" max="8455" width="13" customWidth="1"/>
    <col min="8456" max="8456" width="8.5703125" customWidth="1"/>
    <col min="8457" max="8457" width="11.140625" customWidth="1"/>
    <col min="8458" max="8458" width="14.28515625" customWidth="1"/>
    <col min="8459" max="8459" width="17.7109375" customWidth="1"/>
    <col min="8705" max="8705" width="7.7109375" customWidth="1"/>
    <col min="8706" max="8706" width="25.140625" customWidth="1"/>
    <col min="8708" max="8708" width="20.42578125" customWidth="1"/>
    <col min="8709" max="8709" width="10.42578125" customWidth="1"/>
    <col min="8710" max="8710" width="8.5703125" customWidth="1"/>
    <col min="8711" max="8711" width="13" customWidth="1"/>
    <col min="8712" max="8712" width="8.5703125" customWidth="1"/>
    <col min="8713" max="8713" width="11.140625" customWidth="1"/>
    <col min="8714" max="8714" width="14.28515625" customWidth="1"/>
    <col min="8715" max="8715" width="17.7109375" customWidth="1"/>
    <col min="8961" max="8961" width="7.7109375" customWidth="1"/>
    <col min="8962" max="8962" width="25.140625" customWidth="1"/>
    <col min="8964" max="8964" width="20.42578125" customWidth="1"/>
    <col min="8965" max="8965" width="10.42578125" customWidth="1"/>
    <col min="8966" max="8966" width="8.5703125" customWidth="1"/>
    <col min="8967" max="8967" width="13" customWidth="1"/>
    <col min="8968" max="8968" width="8.5703125" customWidth="1"/>
    <col min="8969" max="8969" width="11.140625" customWidth="1"/>
    <col min="8970" max="8970" width="14.28515625" customWidth="1"/>
    <col min="8971" max="8971" width="17.7109375" customWidth="1"/>
    <col min="9217" max="9217" width="7.7109375" customWidth="1"/>
    <col min="9218" max="9218" width="25.140625" customWidth="1"/>
    <col min="9220" max="9220" width="20.42578125" customWidth="1"/>
    <col min="9221" max="9221" width="10.42578125" customWidth="1"/>
    <col min="9222" max="9222" width="8.5703125" customWidth="1"/>
    <col min="9223" max="9223" width="13" customWidth="1"/>
    <col min="9224" max="9224" width="8.5703125" customWidth="1"/>
    <col min="9225" max="9225" width="11.140625" customWidth="1"/>
    <col min="9226" max="9226" width="14.28515625" customWidth="1"/>
    <col min="9227" max="9227" width="17.7109375" customWidth="1"/>
    <col min="9473" max="9473" width="7.7109375" customWidth="1"/>
    <col min="9474" max="9474" width="25.140625" customWidth="1"/>
    <col min="9476" max="9476" width="20.42578125" customWidth="1"/>
    <col min="9477" max="9477" width="10.42578125" customWidth="1"/>
    <col min="9478" max="9478" width="8.5703125" customWidth="1"/>
    <col min="9479" max="9479" width="13" customWidth="1"/>
    <col min="9480" max="9480" width="8.5703125" customWidth="1"/>
    <col min="9481" max="9481" width="11.140625" customWidth="1"/>
    <col min="9482" max="9482" width="14.28515625" customWidth="1"/>
    <col min="9483" max="9483" width="17.7109375" customWidth="1"/>
    <col min="9729" max="9729" width="7.7109375" customWidth="1"/>
    <col min="9730" max="9730" width="25.140625" customWidth="1"/>
    <col min="9732" max="9732" width="20.42578125" customWidth="1"/>
    <col min="9733" max="9733" width="10.42578125" customWidth="1"/>
    <col min="9734" max="9734" width="8.5703125" customWidth="1"/>
    <col min="9735" max="9735" width="13" customWidth="1"/>
    <col min="9736" max="9736" width="8.5703125" customWidth="1"/>
    <col min="9737" max="9737" width="11.140625" customWidth="1"/>
    <col min="9738" max="9738" width="14.28515625" customWidth="1"/>
    <col min="9739" max="9739" width="17.7109375" customWidth="1"/>
    <col min="9985" max="9985" width="7.7109375" customWidth="1"/>
    <col min="9986" max="9986" width="25.140625" customWidth="1"/>
    <col min="9988" max="9988" width="20.42578125" customWidth="1"/>
    <col min="9989" max="9989" width="10.42578125" customWidth="1"/>
    <col min="9990" max="9990" width="8.5703125" customWidth="1"/>
    <col min="9991" max="9991" width="13" customWidth="1"/>
    <col min="9992" max="9992" width="8.5703125" customWidth="1"/>
    <col min="9993" max="9993" width="11.140625" customWidth="1"/>
    <col min="9994" max="9994" width="14.28515625" customWidth="1"/>
    <col min="9995" max="9995" width="17.7109375" customWidth="1"/>
    <col min="10241" max="10241" width="7.7109375" customWidth="1"/>
    <col min="10242" max="10242" width="25.140625" customWidth="1"/>
    <col min="10244" max="10244" width="20.42578125" customWidth="1"/>
    <col min="10245" max="10245" width="10.42578125" customWidth="1"/>
    <col min="10246" max="10246" width="8.5703125" customWidth="1"/>
    <col min="10247" max="10247" width="13" customWidth="1"/>
    <col min="10248" max="10248" width="8.5703125" customWidth="1"/>
    <col min="10249" max="10249" width="11.140625" customWidth="1"/>
    <col min="10250" max="10250" width="14.28515625" customWidth="1"/>
    <col min="10251" max="10251" width="17.7109375" customWidth="1"/>
    <col min="10497" max="10497" width="7.7109375" customWidth="1"/>
    <col min="10498" max="10498" width="25.140625" customWidth="1"/>
    <col min="10500" max="10500" width="20.42578125" customWidth="1"/>
    <col min="10501" max="10501" width="10.42578125" customWidth="1"/>
    <col min="10502" max="10502" width="8.5703125" customWidth="1"/>
    <col min="10503" max="10503" width="13" customWidth="1"/>
    <col min="10504" max="10504" width="8.5703125" customWidth="1"/>
    <col min="10505" max="10505" width="11.140625" customWidth="1"/>
    <col min="10506" max="10506" width="14.28515625" customWidth="1"/>
    <col min="10507" max="10507" width="17.7109375" customWidth="1"/>
    <col min="10753" max="10753" width="7.7109375" customWidth="1"/>
    <col min="10754" max="10754" width="25.140625" customWidth="1"/>
    <col min="10756" max="10756" width="20.42578125" customWidth="1"/>
    <col min="10757" max="10757" width="10.42578125" customWidth="1"/>
    <col min="10758" max="10758" width="8.5703125" customWidth="1"/>
    <col min="10759" max="10759" width="13" customWidth="1"/>
    <col min="10760" max="10760" width="8.5703125" customWidth="1"/>
    <col min="10761" max="10761" width="11.140625" customWidth="1"/>
    <col min="10762" max="10762" width="14.28515625" customWidth="1"/>
    <col min="10763" max="10763" width="17.7109375" customWidth="1"/>
    <col min="11009" max="11009" width="7.7109375" customWidth="1"/>
    <col min="11010" max="11010" width="25.140625" customWidth="1"/>
    <col min="11012" max="11012" width="20.42578125" customWidth="1"/>
    <col min="11013" max="11013" width="10.42578125" customWidth="1"/>
    <col min="11014" max="11014" width="8.5703125" customWidth="1"/>
    <col min="11015" max="11015" width="13" customWidth="1"/>
    <col min="11016" max="11016" width="8.5703125" customWidth="1"/>
    <col min="11017" max="11017" width="11.140625" customWidth="1"/>
    <col min="11018" max="11018" width="14.28515625" customWidth="1"/>
    <col min="11019" max="11019" width="17.7109375" customWidth="1"/>
    <col min="11265" max="11265" width="7.7109375" customWidth="1"/>
    <col min="11266" max="11266" width="25.140625" customWidth="1"/>
    <col min="11268" max="11268" width="20.42578125" customWidth="1"/>
    <col min="11269" max="11269" width="10.42578125" customWidth="1"/>
    <col min="11270" max="11270" width="8.5703125" customWidth="1"/>
    <col min="11271" max="11271" width="13" customWidth="1"/>
    <col min="11272" max="11272" width="8.5703125" customWidth="1"/>
    <col min="11273" max="11273" width="11.140625" customWidth="1"/>
    <col min="11274" max="11274" width="14.28515625" customWidth="1"/>
    <col min="11275" max="11275" width="17.7109375" customWidth="1"/>
    <col min="11521" max="11521" width="7.7109375" customWidth="1"/>
    <col min="11522" max="11522" width="25.140625" customWidth="1"/>
    <col min="11524" max="11524" width="20.42578125" customWidth="1"/>
    <col min="11525" max="11525" width="10.42578125" customWidth="1"/>
    <col min="11526" max="11526" width="8.5703125" customWidth="1"/>
    <col min="11527" max="11527" width="13" customWidth="1"/>
    <col min="11528" max="11528" width="8.5703125" customWidth="1"/>
    <col min="11529" max="11529" width="11.140625" customWidth="1"/>
    <col min="11530" max="11530" width="14.28515625" customWidth="1"/>
    <col min="11531" max="11531" width="17.7109375" customWidth="1"/>
    <col min="11777" max="11777" width="7.7109375" customWidth="1"/>
    <col min="11778" max="11778" width="25.140625" customWidth="1"/>
    <col min="11780" max="11780" width="20.42578125" customWidth="1"/>
    <col min="11781" max="11781" width="10.42578125" customWidth="1"/>
    <col min="11782" max="11782" width="8.5703125" customWidth="1"/>
    <col min="11783" max="11783" width="13" customWidth="1"/>
    <col min="11784" max="11784" width="8.5703125" customWidth="1"/>
    <col min="11785" max="11785" width="11.140625" customWidth="1"/>
    <col min="11786" max="11786" width="14.28515625" customWidth="1"/>
    <col min="11787" max="11787" width="17.7109375" customWidth="1"/>
    <col min="12033" max="12033" width="7.7109375" customWidth="1"/>
    <col min="12034" max="12034" width="25.140625" customWidth="1"/>
    <col min="12036" max="12036" width="20.42578125" customWidth="1"/>
    <col min="12037" max="12037" width="10.42578125" customWidth="1"/>
    <col min="12038" max="12038" width="8.5703125" customWidth="1"/>
    <col min="12039" max="12039" width="13" customWidth="1"/>
    <col min="12040" max="12040" width="8.5703125" customWidth="1"/>
    <col min="12041" max="12041" width="11.140625" customWidth="1"/>
    <col min="12042" max="12042" width="14.28515625" customWidth="1"/>
    <col min="12043" max="12043" width="17.7109375" customWidth="1"/>
    <col min="12289" max="12289" width="7.7109375" customWidth="1"/>
    <col min="12290" max="12290" width="25.140625" customWidth="1"/>
    <col min="12292" max="12292" width="20.42578125" customWidth="1"/>
    <col min="12293" max="12293" width="10.42578125" customWidth="1"/>
    <col min="12294" max="12294" width="8.5703125" customWidth="1"/>
    <col min="12295" max="12295" width="13" customWidth="1"/>
    <col min="12296" max="12296" width="8.5703125" customWidth="1"/>
    <col min="12297" max="12297" width="11.140625" customWidth="1"/>
    <col min="12298" max="12298" width="14.28515625" customWidth="1"/>
    <col min="12299" max="12299" width="17.7109375" customWidth="1"/>
    <col min="12545" max="12545" width="7.7109375" customWidth="1"/>
    <col min="12546" max="12546" width="25.140625" customWidth="1"/>
    <col min="12548" max="12548" width="20.42578125" customWidth="1"/>
    <col min="12549" max="12549" width="10.42578125" customWidth="1"/>
    <col min="12550" max="12550" width="8.5703125" customWidth="1"/>
    <col min="12551" max="12551" width="13" customWidth="1"/>
    <col min="12552" max="12552" width="8.5703125" customWidth="1"/>
    <col min="12553" max="12553" width="11.140625" customWidth="1"/>
    <col min="12554" max="12554" width="14.28515625" customWidth="1"/>
    <col min="12555" max="12555" width="17.7109375" customWidth="1"/>
    <col min="12801" max="12801" width="7.7109375" customWidth="1"/>
    <col min="12802" max="12802" width="25.140625" customWidth="1"/>
    <col min="12804" max="12804" width="20.42578125" customWidth="1"/>
    <col min="12805" max="12805" width="10.42578125" customWidth="1"/>
    <col min="12806" max="12806" width="8.5703125" customWidth="1"/>
    <col min="12807" max="12807" width="13" customWidth="1"/>
    <col min="12808" max="12808" width="8.5703125" customWidth="1"/>
    <col min="12809" max="12809" width="11.140625" customWidth="1"/>
    <col min="12810" max="12810" width="14.28515625" customWidth="1"/>
    <col min="12811" max="12811" width="17.7109375" customWidth="1"/>
    <col min="13057" max="13057" width="7.7109375" customWidth="1"/>
    <col min="13058" max="13058" width="25.140625" customWidth="1"/>
    <col min="13060" max="13060" width="20.42578125" customWidth="1"/>
    <col min="13061" max="13061" width="10.42578125" customWidth="1"/>
    <col min="13062" max="13062" width="8.5703125" customWidth="1"/>
    <col min="13063" max="13063" width="13" customWidth="1"/>
    <col min="13064" max="13064" width="8.5703125" customWidth="1"/>
    <col min="13065" max="13065" width="11.140625" customWidth="1"/>
    <col min="13066" max="13066" width="14.28515625" customWidth="1"/>
    <col min="13067" max="13067" width="17.7109375" customWidth="1"/>
    <col min="13313" max="13313" width="7.7109375" customWidth="1"/>
    <col min="13314" max="13314" width="25.140625" customWidth="1"/>
    <col min="13316" max="13316" width="20.42578125" customWidth="1"/>
    <col min="13317" max="13317" width="10.42578125" customWidth="1"/>
    <col min="13318" max="13318" width="8.5703125" customWidth="1"/>
    <col min="13319" max="13319" width="13" customWidth="1"/>
    <col min="13320" max="13320" width="8.5703125" customWidth="1"/>
    <col min="13321" max="13321" width="11.140625" customWidth="1"/>
    <col min="13322" max="13322" width="14.28515625" customWidth="1"/>
    <col min="13323" max="13323" width="17.7109375" customWidth="1"/>
    <col min="13569" max="13569" width="7.7109375" customWidth="1"/>
    <col min="13570" max="13570" width="25.140625" customWidth="1"/>
    <col min="13572" max="13572" width="20.42578125" customWidth="1"/>
    <col min="13573" max="13573" width="10.42578125" customWidth="1"/>
    <col min="13574" max="13574" width="8.5703125" customWidth="1"/>
    <col min="13575" max="13575" width="13" customWidth="1"/>
    <col min="13576" max="13576" width="8.5703125" customWidth="1"/>
    <col min="13577" max="13577" width="11.140625" customWidth="1"/>
    <col min="13578" max="13578" width="14.28515625" customWidth="1"/>
    <col min="13579" max="13579" width="17.7109375" customWidth="1"/>
    <col min="13825" max="13825" width="7.7109375" customWidth="1"/>
    <col min="13826" max="13826" width="25.140625" customWidth="1"/>
    <col min="13828" max="13828" width="20.42578125" customWidth="1"/>
    <col min="13829" max="13829" width="10.42578125" customWidth="1"/>
    <col min="13830" max="13830" width="8.5703125" customWidth="1"/>
    <col min="13831" max="13831" width="13" customWidth="1"/>
    <col min="13832" max="13832" width="8.5703125" customWidth="1"/>
    <col min="13833" max="13833" width="11.140625" customWidth="1"/>
    <col min="13834" max="13834" width="14.28515625" customWidth="1"/>
    <col min="13835" max="13835" width="17.7109375" customWidth="1"/>
    <col min="14081" max="14081" width="7.7109375" customWidth="1"/>
    <col min="14082" max="14082" width="25.140625" customWidth="1"/>
    <col min="14084" max="14084" width="20.42578125" customWidth="1"/>
    <col min="14085" max="14085" width="10.42578125" customWidth="1"/>
    <col min="14086" max="14086" width="8.5703125" customWidth="1"/>
    <col min="14087" max="14087" width="13" customWidth="1"/>
    <col min="14088" max="14088" width="8.5703125" customWidth="1"/>
    <col min="14089" max="14089" width="11.140625" customWidth="1"/>
    <col min="14090" max="14090" width="14.28515625" customWidth="1"/>
    <col min="14091" max="14091" width="17.7109375" customWidth="1"/>
    <col min="14337" max="14337" width="7.7109375" customWidth="1"/>
    <col min="14338" max="14338" width="25.140625" customWidth="1"/>
    <col min="14340" max="14340" width="20.42578125" customWidth="1"/>
    <col min="14341" max="14341" width="10.42578125" customWidth="1"/>
    <col min="14342" max="14342" width="8.5703125" customWidth="1"/>
    <col min="14343" max="14343" width="13" customWidth="1"/>
    <col min="14344" max="14344" width="8.5703125" customWidth="1"/>
    <col min="14345" max="14345" width="11.140625" customWidth="1"/>
    <col min="14346" max="14346" width="14.28515625" customWidth="1"/>
    <col min="14347" max="14347" width="17.7109375" customWidth="1"/>
    <col min="14593" max="14593" width="7.7109375" customWidth="1"/>
    <col min="14594" max="14594" width="25.140625" customWidth="1"/>
    <col min="14596" max="14596" width="20.42578125" customWidth="1"/>
    <col min="14597" max="14597" width="10.42578125" customWidth="1"/>
    <col min="14598" max="14598" width="8.5703125" customWidth="1"/>
    <col min="14599" max="14599" width="13" customWidth="1"/>
    <col min="14600" max="14600" width="8.5703125" customWidth="1"/>
    <col min="14601" max="14601" width="11.140625" customWidth="1"/>
    <col min="14602" max="14602" width="14.28515625" customWidth="1"/>
    <col min="14603" max="14603" width="17.7109375" customWidth="1"/>
    <col min="14849" max="14849" width="7.7109375" customWidth="1"/>
    <col min="14850" max="14850" width="25.140625" customWidth="1"/>
    <col min="14852" max="14852" width="20.42578125" customWidth="1"/>
    <col min="14853" max="14853" width="10.42578125" customWidth="1"/>
    <col min="14854" max="14854" width="8.5703125" customWidth="1"/>
    <col min="14855" max="14855" width="13" customWidth="1"/>
    <col min="14856" max="14856" width="8.5703125" customWidth="1"/>
    <col min="14857" max="14857" width="11.140625" customWidth="1"/>
    <col min="14858" max="14858" width="14.28515625" customWidth="1"/>
    <col min="14859" max="14859" width="17.7109375" customWidth="1"/>
    <col min="15105" max="15105" width="7.7109375" customWidth="1"/>
    <col min="15106" max="15106" width="25.140625" customWidth="1"/>
    <col min="15108" max="15108" width="20.42578125" customWidth="1"/>
    <col min="15109" max="15109" width="10.42578125" customWidth="1"/>
    <col min="15110" max="15110" width="8.5703125" customWidth="1"/>
    <col min="15111" max="15111" width="13" customWidth="1"/>
    <col min="15112" max="15112" width="8.5703125" customWidth="1"/>
    <col min="15113" max="15113" width="11.140625" customWidth="1"/>
    <col min="15114" max="15114" width="14.28515625" customWidth="1"/>
    <col min="15115" max="15115" width="17.7109375" customWidth="1"/>
    <col min="15361" max="15361" width="7.7109375" customWidth="1"/>
    <col min="15362" max="15362" width="25.140625" customWidth="1"/>
    <col min="15364" max="15364" width="20.42578125" customWidth="1"/>
    <col min="15365" max="15365" width="10.42578125" customWidth="1"/>
    <col min="15366" max="15366" width="8.5703125" customWidth="1"/>
    <col min="15367" max="15367" width="13" customWidth="1"/>
    <col min="15368" max="15368" width="8.5703125" customWidth="1"/>
    <col min="15369" max="15369" width="11.140625" customWidth="1"/>
    <col min="15370" max="15370" width="14.28515625" customWidth="1"/>
    <col min="15371" max="15371" width="17.7109375" customWidth="1"/>
    <col min="15617" max="15617" width="7.7109375" customWidth="1"/>
    <col min="15618" max="15618" width="25.140625" customWidth="1"/>
    <col min="15620" max="15620" width="20.42578125" customWidth="1"/>
    <col min="15621" max="15621" width="10.42578125" customWidth="1"/>
    <col min="15622" max="15622" width="8.5703125" customWidth="1"/>
    <col min="15623" max="15623" width="13" customWidth="1"/>
    <col min="15624" max="15624" width="8.5703125" customWidth="1"/>
    <col min="15625" max="15625" width="11.140625" customWidth="1"/>
    <col min="15626" max="15626" width="14.28515625" customWidth="1"/>
    <col min="15627" max="15627" width="17.7109375" customWidth="1"/>
    <col min="15873" max="15873" width="7.7109375" customWidth="1"/>
    <col min="15874" max="15874" width="25.140625" customWidth="1"/>
    <col min="15876" max="15876" width="20.42578125" customWidth="1"/>
    <col min="15877" max="15877" width="10.42578125" customWidth="1"/>
    <col min="15878" max="15878" width="8.5703125" customWidth="1"/>
    <col min="15879" max="15879" width="13" customWidth="1"/>
    <col min="15880" max="15880" width="8.5703125" customWidth="1"/>
    <col min="15881" max="15881" width="11.140625" customWidth="1"/>
    <col min="15882" max="15882" width="14.28515625" customWidth="1"/>
    <col min="15883" max="15883" width="17.7109375" customWidth="1"/>
    <col min="16129" max="16129" width="7.7109375" customWidth="1"/>
    <col min="16130" max="16130" width="25.140625" customWidth="1"/>
    <col min="16132" max="16132" width="20.42578125" customWidth="1"/>
    <col min="16133" max="16133" width="10.42578125" customWidth="1"/>
    <col min="16134" max="16134" width="8.5703125" customWidth="1"/>
    <col min="16135" max="16135" width="13" customWidth="1"/>
    <col min="16136" max="16136" width="8.5703125" customWidth="1"/>
    <col min="16137" max="16137" width="11.140625" customWidth="1"/>
    <col min="16138" max="16138" width="14.28515625" customWidth="1"/>
    <col min="16139" max="16139" width="17.7109375" customWidth="1"/>
  </cols>
  <sheetData>
    <row r="1" spans="1:12" ht="14.25" x14ac:dyDescent="0.2">
      <c r="A1" s="535"/>
      <c r="B1" s="536"/>
      <c r="C1" s="536"/>
      <c r="D1" s="536"/>
      <c r="E1" s="536"/>
      <c r="F1" s="381" t="s">
        <v>2010</v>
      </c>
      <c r="G1" s="382"/>
      <c r="H1" s="381" t="s">
        <v>199</v>
      </c>
      <c r="I1" s="383"/>
      <c r="J1" s="556" t="s">
        <v>2155</v>
      </c>
      <c r="K1" s="382"/>
    </row>
    <row r="2" spans="1:12" x14ac:dyDescent="0.2">
      <c r="A2" s="537"/>
      <c r="B2" s="516"/>
      <c r="C2" s="516"/>
      <c r="D2" s="516"/>
      <c r="E2" s="516"/>
      <c r="F2" s="384"/>
      <c r="G2" s="385"/>
      <c r="H2" s="386" t="s">
        <v>2159</v>
      </c>
      <c r="I2" s="387"/>
      <c r="J2" s="557" t="s">
        <v>2161</v>
      </c>
      <c r="K2" s="388"/>
    </row>
    <row r="3" spans="1:12" ht="14.25" x14ac:dyDescent="0.2">
      <c r="A3" s="537"/>
      <c r="B3" s="516"/>
      <c r="C3" s="516"/>
      <c r="D3" s="516"/>
      <c r="E3" s="516"/>
      <c r="F3" s="389" t="s">
        <v>2011</v>
      </c>
      <c r="G3" s="390"/>
      <c r="H3" s="389" t="s">
        <v>2012</v>
      </c>
      <c r="I3" s="391"/>
      <c r="J3" s="390"/>
      <c r="K3" s="392"/>
    </row>
    <row r="4" spans="1:12" ht="13.5" thickBot="1" x14ac:dyDescent="0.25">
      <c r="A4" s="537"/>
      <c r="B4" s="516"/>
      <c r="C4" s="516"/>
      <c r="D4" s="516"/>
      <c r="E4" s="516"/>
      <c r="F4" s="393"/>
      <c r="G4" s="394" t="s">
        <v>2013</v>
      </c>
      <c r="H4" s="558" t="s">
        <v>2075</v>
      </c>
      <c r="I4" s="559"/>
      <c r="J4" s="559"/>
      <c r="K4" s="560"/>
    </row>
    <row r="5" spans="1:12" ht="8.25" customHeight="1" thickBot="1" x14ac:dyDescent="0.25">
      <c r="A5" s="539"/>
      <c r="B5" s="516"/>
      <c r="C5" s="516"/>
      <c r="D5" s="516"/>
      <c r="E5" s="516"/>
      <c r="F5" s="395"/>
      <c r="G5" s="396"/>
      <c r="H5" s="397"/>
      <c r="I5" s="397"/>
      <c r="J5" s="397"/>
      <c r="K5" s="538"/>
    </row>
    <row r="6" spans="1:12" ht="13.5" thickBot="1" x14ac:dyDescent="0.25">
      <c r="A6" s="398"/>
      <c r="B6" s="701"/>
      <c r="C6" s="701"/>
      <c r="D6" s="701"/>
      <c r="E6" s="701"/>
      <c r="F6" s="701"/>
      <c r="G6" s="701"/>
      <c r="H6" s="399" t="s">
        <v>2015</v>
      </c>
      <c r="I6" s="399" t="s">
        <v>2016</v>
      </c>
      <c r="J6" s="399" t="s">
        <v>2017</v>
      </c>
      <c r="K6" s="400" t="s">
        <v>2018</v>
      </c>
    </row>
    <row r="7" spans="1:12" x14ac:dyDescent="0.2">
      <c r="A7" s="401">
        <v>1</v>
      </c>
      <c r="B7" s="683" t="s">
        <v>2019</v>
      </c>
      <c r="C7" s="684"/>
      <c r="D7" s="684"/>
      <c r="E7" s="684"/>
      <c r="F7" s="684"/>
      <c r="G7" s="685"/>
      <c r="H7" s="402"/>
      <c r="I7" s="402"/>
      <c r="J7" s="403"/>
      <c r="K7" s="404"/>
    </row>
    <row r="8" spans="1:12" ht="12.75" customHeight="1" x14ac:dyDescent="0.2">
      <c r="A8" s="405"/>
      <c r="B8" s="737" t="s">
        <v>2020</v>
      </c>
      <c r="C8" s="738"/>
      <c r="D8" s="738"/>
      <c r="E8" s="738"/>
      <c r="F8" s="738"/>
      <c r="G8" s="739"/>
      <c r="H8" s="406"/>
      <c r="I8" s="407"/>
      <c r="J8" s="408"/>
      <c r="K8" s="409"/>
    </row>
    <row r="9" spans="1:12" x14ac:dyDescent="0.2">
      <c r="A9" s="405"/>
      <c r="B9" s="720" t="s">
        <v>2021</v>
      </c>
      <c r="C9" s="721"/>
      <c r="D9" s="721"/>
      <c r="E9" s="721"/>
      <c r="F9" s="721"/>
      <c r="G9" s="722"/>
      <c r="H9" s="406"/>
      <c r="I9" s="407"/>
      <c r="J9" s="408"/>
      <c r="K9" s="409"/>
    </row>
    <row r="10" spans="1:12" ht="12.75" customHeight="1" x14ac:dyDescent="0.2">
      <c r="A10" s="405"/>
      <c r="B10" s="410" t="s">
        <v>2022</v>
      </c>
      <c r="C10" s="411"/>
      <c r="D10" s="411"/>
      <c r="E10" s="411"/>
      <c r="F10" s="411"/>
      <c r="G10" s="412"/>
      <c r="H10" s="413" t="s">
        <v>2023</v>
      </c>
      <c r="I10" s="414">
        <v>14</v>
      </c>
      <c r="J10" s="403">
        <v>9.7899999999999991</v>
      </c>
      <c r="K10" s="404">
        <f>J10*I10</f>
        <v>137.06</v>
      </c>
      <c r="L10" s="86"/>
    </row>
    <row r="11" spans="1:12" ht="12.75" customHeight="1" x14ac:dyDescent="0.2">
      <c r="A11" s="405"/>
      <c r="B11" s="410" t="s">
        <v>2076</v>
      </c>
      <c r="C11" s="411"/>
      <c r="D11" s="411"/>
      <c r="E11" s="411"/>
      <c r="F11" s="411"/>
      <c r="G11" s="412"/>
      <c r="H11" s="413" t="s">
        <v>2023</v>
      </c>
      <c r="I11" s="414">
        <v>12</v>
      </c>
      <c r="J11" s="403">
        <v>18.12</v>
      </c>
      <c r="K11" s="404">
        <f>J11*I11</f>
        <v>217.44</v>
      </c>
      <c r="L11" s="86"/>
    </row>
    <row r="12" spans="1:12" ht="12.75" customHeight="1" x14ac:dyDescent="0.2">
      <c r="A12" s="405"/>
      <c r="B12" s="711" t="s">
        <v>2025</v>
      </c>
      <c r="C12" s="709"/>
      <c r="D12" s="709"/>
      <c r="E12" s="709"/>
      <c r="F12" s="709"/>
      <c r="G12" s="710"/>
      <c r="H12" s="402"/>
      <c r="I12" s="414"/>
      <c r="J12" s="415"/>
      <c r="K12" s="416"/>
      <c r="L12" s="86"/>
    </row>
    <row r="13" spans="1:12" x14ac:dyDescent="0.2">
      <c r="A13" s="405"/>
      <c r="B13" s="711" t="s">
        <v>2026</v>
      </c>
      <c r="C13" s="709"/>
      <c r="D13" s="709"/>
      <c r="E13" s="709"/>
      <c r="F13" s="709"/>
      <c r="G13" s="710"/>
      <c r="H13" s="402" t="s">
        <v>18</v>
      </c>
      <c r="I13" s="414">
        <v>160</v>
      </c>
      <c r="J13" s="417">
        <v>1.49</v>
      </c>
      <c r="K13" s="404">
        <f>J13*I13</f>
        <v>238.4</v>
      </c>
    </row>
    <row r="14" spans="1:12" x14ac:dyDescent="0.2">
      <c r="A14" s="405"/>
      <c r="B14" s="711" t="s">
        <v>2027</v>
      </c>
      <c r="C14" s="709"/>
      <c r="D14" s="709"/>
      <c r="E14" s="709"/>
      <c r="F14" s="709"/>
      <c r="G14" s="710"/>
      <c r="H14" s="402" t="s">
        <v>18</v>
      </c>
      <c r="I14" s="414">
        <v>20</v>
      </c>
      <c r="J14" s="417">
        <v>2.1800000000000002</v>
      </c>
      <c r="K14" s="404">
        <f>J14*I14</f>
        <v>43.6</v>
      </c>
    </row>
    <row r="15" spans="1:12" x14ac:dyDescent="0.2">
      <c r="A15" s="405"/>
      <c r="B15" s="672" t="s">
        <v>2077</v>
      </c>
      <c r="C15" s="709"/>
      <c r="D15" s="709"/>
      <c r="E15" s="709"/>
      <c r="F15" s="709"/>
      <c r="G15" s="710"/>
      <c r="H15" s="402" t="s">
        <v>18</v>
      </c>
      <c r="I15" s="414">
        <v>150</v>
      </c>
      <c r="J15" s="417">
        <v>22.95</v>
      </c>
      <c r="K15" s="404">
        <f>J15*I15</f>
        <v>3442.5</v>
      </c>
    </row>
    <row r="16" spans="1:12" x14ac:dyDescent="0.2">
      <c r="A16" s="405"/>
      <c r="B16" s="672" t="s">
        <v>2078</v>
      </c>
      <c r="C16" s="709"/>
      <c r="D16" s="709"/>
      <c r="E16" s="709"/>
      <c r="F16" s="709"/>
      <c r="G16" s="710"/>
      <c r="H16" s="402" t="s">
        <v>18</v>
      </c>
      <c r="I16" s="414">
        <v>100</v>
      </c>
      <c r="J16" s="417">
        <v>53.02</v>
      </c>
      <c r="K16" s="404">
        <f>J16*I16</f>
        <v>5302</v>
      </c>
    </row>
    <row r="17" spans="1:12" s="420" customFormat="1" ht="12.75" customHeight="1" x14ac:dyDescent="0.2">
      <c r="A17" s="405"/>
      <c r="B17" s="666" t="s">
        <v>2079</v>
      </c>
      <c r="C17" s="676"/>
      <c r="D17" s="676"/>
      <c r="E17" s="676"/>
      <c r="F17" s="676"/>
      <c r="G17" s="677"/>
      <c r="H17" s="402" t="s">
        <v>18</v>
      </c>
      <c r="I17" s="414">
        <v>10</v>
      </c>
      <c r="J17" s="417">
        <v>36.520000000000003</v>
      </c>
      <c r="K17" s="404">
        <f>J17*I17</f>
        <v>365.20000000000005</v>
      </c>
      <c r="L17" s="419"/>
    </row>
    <row r="18" spans="1:12" ht="12.75" customHeight="1" x14ac:dyDescent="0.2">
      <c r="A18" s="405"/>
      <c r="B18" s="713"/>
      <c r="C18" s="714"/>
      <c r="D18" s="714"/>
      <c r="E18" s="714"/>
      <c r="F18" s="714"/>
      <c r="G18" s="715"/>
      <c r="H18" s="421"/>
      <c r="I18" s="414"/>
      <c r="J18" s="403"/>
      <c r="K18" s="416"/>
      <c r="L18" s="86"/>
    </row>
    <row r="19" spans="1:12" s="420" customFormat="1" ht="12.75" customHeight="1" x14ac:dyDescent="0.2">
      <c r="A19" s="405"/>
      <c r="B19" s="691" t="s">
        <v>2030</v>
      </c>
      <c r="C19" s="692"/>
      <c r="D19" s="692"/>
      <c r="E19" s="692"/>
      <c r="F19" s="692"/>
      <c r="G19" s="693"/>
      <c r="H19" s="402" t="s">
        <v>2023</v>
      </c>
      <c r="I19" s="422">
        <v>1</v>
      </c>
      <c r="J19" s="423">
        <v>23.56</v>
      </c>
      <c r="K19" s="416">
        <f>SUM(I19*J19)</f>
        <v>23.56</v>
      </c>
      <c r="L19" s="419"/>
    </row>
    <row r="20" spans="1:12" ht="12.75" customHeight="1" x14ac:dyDescent="0.2">
      <c r="A20" s="405"/>
      <c r="B20" s="691" t="s">
        <v>2031</v>
      </c>
      <c r="C20" s="692"/>
      <c r="D20" s="692"/>
      <c r="E20" s="692"/>
      <c r="F20" s="692"/>
      <c r="G20" s="693"/>
      <c r="H20" s="402" t="s">
        <v>2023</v>
      </c>
      <c r="I20" s="422">
        <v>1</v>
      </c>
      <c r="J20" s="423">
        <v>59.15</v>
      </c>
      <c r="K20" s="416">
        <f>SUM(I20*J20)</f>
        <v>59.15</v>
      </c>
      <c r="L20" s="86"/>
    </row>
    <row r="21" spans="1:12" s="420" customFormat="1" ht="12.75" customHeight="1" x14ac:dyDescent="0.2">
      <c r="A21" s="405"/>
      <c r="B21" s="672" t="s">
        <v>2032</v>
      </c>
      <c r="C21" s="709"/>
      <c r="D21" s="709"/>
      <c r="E21" s="709"/>
      <c r="F21" s="709"/>
      <c r="G21" s="710"/>
      <c r="H21" s="402" t="s">
        <v>2023</v>
      </c>
      <c r="I21" s="422">
        <v>1</v>
      </c>
      <c r="J21" s="423">
        <v>23.56</v>
      </c>
      <c r="K21" s="416">
        <f>SUM(I21*J21)</f>
        <v>23.56</v>
      </c>
      <c r="L21" s="419"/>
    </row>
    <row r="22" spans="1:12" ht="12.75" customHeight="1" x14ac:dyDescent="0.2">
      <c r="A22" s="405"/>
      <c r="B22" s="711" t="s">
        <v>2033</v>
      </c>
      <c r="C22" s="709"/>
      <c r="D22" s="709"/>
      <c r="E22" s="709"/>
      <c r="F22" s="709"/>
      <c r="G22" s="710"/>
      <c r="H22" s="402" t="s">
        <v>2023</v>
      </c>
      <c r="I22" s="422">
        <v>1</v>
      </c>
      <c r="J22" s="423">
        <v>23.56</v>
      </c>
      <c r="K22" s="416">
        <f>SUM(I22*J22)</f>
        <v>23.56</v>
      </c>
      <c r="L22" s="86"/>
    </row>
    <row r="23" spans="1:12" ht="26.25" customHeight="1" x14ac:dyDescent="0.2">
      <c r="A23" s="405"/>
      <c r="B23" s="672"/>
      <c r="C23" s="673"/>
      <c r="D23" s="673"/>
      <c r="E23" s="673"/>
      <c r="F23" s="673"/>
      <c r="G23" s="674"/>
      <c r="H23" s="402"/>
      <c r="I23" s="422"/>
      <c r="J23" s="423"/>
      <c r="K23" s="416"/>
      <c r="L23" s="86"/>
    </row>
    <row r="24" spans="1:12" ht="12.75" customHeight="1" x14ac:dyDescent="0.2">
      <c r="A24" s="405"/>
      <c r="B24" s="666" t="s">
        <v>2034</v>
      </c>
      <c r="C24" s="676"/>
      <c r="D24" s="676"/>
      <c r="E24" s="676"/>
      <c r="F24" s="676"/>
      <c r="G24" s="677"/>
      <c r="H24" s="424" t="s">
        <v>2023</v>
      </c>
      <c r="I24" s="414">
        <v>2</v>
      </c>
      <c r="J24" s="425">
        <v>81.12</v>
      </c>
      <c r="K24" s="404">
        <f>J24*I24</f>
        <v>162.24</v>
      </c>
      <c r="L24" s="86"/>
    </row>
    <row r="25" spans="1:12" ht="12.75" customHeight="1" x14ac:dyDescent="0.2">
      <c r="A25" s="405"/>
      <c r="B25" s="691"/>
      <c r="C25" s="692"/>
      <c r="D25" s="692"/>
      <c r="E25" s="692"/>
      <c r="F25" s="692"/>
      <c r="G25" s="693"/>
      <c r="H25" s="402"/>
      <c r="I25" s="426"/>
      <c r="J25" s="426"/>
      <c r="K25" s="427"/>
      <c r="L25" s="86"/>
    </row>
    <row r="26" spans="1:12" ht="26.25" customHeight="1" x14ac:dyDescent="0.2">
      <c r="A26" s="405"/>
      <c r="B26" s="729" t="s">
        <v>2035</v>
      </c>
      <c r="C26" s="730"/>
      <c r="D26" s="730"/>
      <c r="E26" s="730"/>
      <c r="F26" s="730"/>
      <c r="G26" s="731"/>
      <c r="H26" s="413" t="s">
        <v>2023</v>
      </c>
      <c r="I26" s="414">
        <v>2</v>
      </c>
      <c r="J26" s="403">
        <v>389.45</v>
      </c>
      <c r="K26" s="416">
        <v>5062.8500000000004</v>
      </c>
      <c r="L26" s="86"/>
    </row>
    <row r="27" spans="1:12" s="420" customFormat="1" ht="12.75" customHeight="1" x14ac:dyDescent="0.2">
      <c r="A27" s="405"/>
      <c r="B27" s="428"/>
      <c r="C27" s="429"/>
      <c r="D27" s="429"/>
      <c r="E27" s="429"/>
      <c r="F27" s="429"/>
      <c r="G27" s="430"/>
      <c r="H27" s="402"/>
      <c r="I27" s="422"/>
      <c r="J27" s="423"/>
      <c r="K27" s="416"/>
      <c r="L27" s="419"/>
    </row>
    <row r="28" spans="1:12" ht="12.75" customHeight="1" x14ac:dyDescent="0.2">
      <c r="A28" s="405"/>
      <c r="B28" s="691" t="s">
        <v>2036</v>
      </c>
      <c r="C28" s="732"/>
      <c r="D28" s="732"/>
      <c r="E28" s="732"/>
      <c r="F28" s="732"/>
      <c r="G28" s="733"/>
      <c r="H28" s="413" t="s">
        <v>2023</v>
      </c>
      <c r="I28" s="414">
        <v>2</v>
      </c>
      <c r="J28" s="403">
        <v>175.37</v>
      </c>
      <c r="K28" s="416">
        <v>2279.81</v>
      </c>
      <c r="L28" s="86"/>
    </row>
    <row r="29" spans="1:12" ht="15.75" customHeight="1" x14ac:dyDescent="0.2">
      <c r="A29" s="405"/>
      <c r="B29" s="691"/>
      <c r="C29" s="692"/>
      <c r="D29" s="692"/>
      <c r="E29" s="692"/>
      <c r="F29" s="692"/>
      <c r="G29" s="693"/>
      <c r="H29" s="413"/>
      <c r="I29" s="414"/>
      <c r="J29" s="403"/>
      <c r="K29" s="416"/>
      <c r="L29" s="86"/>
    </row>
    <row r="30" spans="1:12" s="420" customFormat="1" ht="12.75" customHeight="1" x14ac:dyDescent="0.2">
      <c r="A30" s="405"/>
      <c r="B30" s="734" t="s">
        <v>2037</v>
      </c>
      <c r="C30" s="735"/>
      <c r="D30" s="735"/>
      <c r="E30" s="735"/>
      <c r="F30" s="735"/>
      <c r="G30" s="736"/>
      <c r="H30" s="402"/>
      <c r="I30" s="414"/>
      <c r="J30" s="415"/>
      <c r="K30" s="416"/>
    </row>
    <row r="31" spans="1:12" ht="13.5" customHeight="1" x14ac:dyDescent="0.2">
      <c r="A31" s="405"/>
      <c r="B31" s="726" t="s">
        <v>2038</v>
      </c>
      <c r="C31" s="727"/>
      <c r="D31" s="727"/>
      <c r="E31" s="727"/>
      <c r="F31" s="727"/>
      <c r="G31" s="728"/>
      <c r="H31" s="434" t="s">
        <v>2039</v>
      </c>
      <c r="I31" s="414">
        <v>44</v>
      </c>
      <c r="J31" s="403">
        <v>56.12</v>
      </c>
      <c r="K31" s="416">
        <f>SUM(I31*J31)</f>
        <v>2469.2799999999997</v>
      </c>
    </row>
    <row r="32" spans="1:12" s="420" customFormat="1" ht="15.75" customHeight="1" x14ac:dyDescent="0.2">
      <c r="A32" s="405"/>
      <c r="B32" s="691" t="s">
        <v>2040</v>
      </c>
      <c r="C32" s="714"/>
      <c r="D32" s="714"/>
      <c r="E32" s="714"/>
      <c r="F32" s="714"/>
      <c r="G32" s="715"/>
      <c r="H32" s="421" t="s">
        <v>2039</v>
      </c>
      <c r="I32" s="414">
        <v>44</v>
      </c>
      <c r="J32" s="403">
        <v>22.98</v>
      </c>
      <c r="K32" s="416">
        <f>J32*I32</f>
        <v>1011.12</v>
      </c>
      <c r="L32" s="419"/>
    </row>
    <row r="33" spans="1:12" s="420" customFormat="1" ht="15.75" customHeight="1" x14ac:dyDescent="0.2">
      <c r="A33" s="405"/>
      <c r="B33" s="691"/>
      <c r="C33" s="692"/>
      <c r="D33" s="692"/>
      <c r="E33" s="692"/>
      <c r="F33" s="692"/>
      <c r="G33" s="693"/>
      <c r="H33" s="413"/>
      <c r="I33" s="414"/>
      <c r="J33" s="403"/>
      <c r="K33" s="416"/>
      <c r="L33" s="419"/>
    </row>
    <row r="34" spans="1:12" x14ac:dyDescent="0.2">
      <c r="A34" s="405"/>
      <c r="B34" s="435" t="s">
        <v>2041</v>
      </c>
      <c r="C34" s="436"/>
      <c r="D34" s="436"/>
      <c r="E34" s="436"/>
      <c r="F34" s="436"/>
      <c r="G34" s="437"/>
      <c r="H34" s="413"/>
      <c r="I34" s="414"/>
      <c r="J34" s="415"/>
      <c r="K34" s="427">
        <f>SUM(K16:K33)</f>
        <v>16782.329999999998</v>
      </c>
      <c r="L34" s="86"/>
    </row>
    <row r="35" spans="1:12" x14ac:dyDescent="0.2">
      <c r="A35" s="405"/>
      <c r="B35" s="435"/>
      <c r="C35" s="436"/>
      <c r="D35" s="436"/>
      <c r="E35" s="436"/>
      <c r="F35" s="436"/>
      <c r="G35" s="437"/>
      <c r="H35" s="413"/>
      <c r="I35" s="414"/>
      <c r="J35" s="415"/>
      <c r="K35" s="427"/>
      <c r="L35" s="86"/>
    </row>
    <row r="36" spans="1:12" x14ac:dyDescent="0.2">
      <c r="A36" s="405"/>
      <c r="B36" s="435"/>
      <c r="C36" s="436"/>
      <c r="D36" s="436"/>
      <c r="E36" s="436"/>
      <c r="F36" s="436"/>
      <c r="G36" s="437"/>
      <c r="H36" s="413"/>
      <c r="I36" s="414"/>
      <c r="J36" s="415"/>
      <c r="K36" s="427"/>
      <c r="L36" s="86"/>
    </row>
    <row r="37" spans="1:12" s="420" customFormat="1" ht="13.5" customHeight="1" thickBot="1" x14ac:dyDescent="0.25">
      <c r="A37" s="438"/>
      <c r="B37" s="723"/>
      <c r="C37" s="724"/>
      <c r="D37" s="724"/>
      <c r="E37" s="724"/>
      <c r="F37" s="724"/>
      <c r="G37" s="725"/>
      <c r="H37" s="517"/>
      <c r="I37" s="521"/>
      <c r="J37" s="519"/>
      <c r="K37" s="515"/>
    </row>
    <row r="38" spans="1:12" s="439" customFormat="1" ht="14.25" customHeight="1" x14ac:dyDescent="0.2">
      <c r="A38" s="535"/>
      <c r="B38" s="536"/>
      <c r="C38" s="536"/>
      <c r="D38" s="536"/>
      <c r="E38" s="536"/>
      <c r="F38" s="381" t="s">
        <v>2010</v>
      </c>
      <c r="G38" s="382"/>
      <c r="H38" s="381" t="s">
        <v>199</v>
      </c>
      <c r="I38" s="383"/>
      <c r="J38" s="556" t="s">
        <v>2155</v>
      </c>
      <c r="K38" s="382"/>
    </row>
    <row r="39" spans="1:12" s="439" customFormat="1" ht="12.75" customHeight="1" x14ac:dyDescent="0.2">
      <c r="A39" s="537"/>
      <c r="B39" s="516"/>
      <c r="C39" s="516"/>
      <c r="D39" s="516"/>
      <c r="E39" s="516"/>
      <c r="F39" s="384"/>
      <c r="G39" s="385"/>
      <c r="H39" s="386" t="str">
        <f>H2</f>
        <v>POTIM-SP</v>
      </c>
      <c r="I39" s="387"/>
      <c r="J39" s="557" t="s">
        <v>2162</v>
      </c>
      <c r="K39" s="388"/>
    </row>
    <row r="40" spans="1:12" ht="14.25" x14ac:dyDescent="0.2">
      <c r="A40" s="537"/>
      <c r="B40" s="516"/>
      <c r="C40" s="516"/>
      <c r="D40" s="516"/>
      <c r="E40" s="516"/>
      <c r="F40" s="389" t="s">
        <v>2011</v>
      </c>
      <c r="G40" s="390"/>
      <c r="H40" s="389" t="s">
        <v>2012</v>
      </c>
      <c r="I40" s="391"/>
      <c r="J40" s="390"/>
      <c r="K40" s="392"/>
    </row>
    <row r="41" spans="1:12" ht="13.5" thickBot="1" x14ac:dyDescent="0.25">
      <c r="A41" s="537"/>
      <c r="B41" s="516"/>
      <c r="C41" s="516"/>
      <c r="D41" s="516"/>
      <c r="E41" s="516"/>
      <c r="F41" s="393"/>
      <c r="G41" s="394" t="s">
        <v>2013</v>
      </c>
      <c r="H41" s="558" t="s">
        <v>2080</v>
      </c>
      <c r="I41" s="559"/>
      <c r="J41" s="559"/>
      <c r="K41" s="560"/>
    </row>
    <row r="42" spans="1:12" ht="13.5" thickBot="1" x14ac:dyDescent="0.25">
      <c r="A42" s="539"/>
      <c r="B42" s="440"/>
      <c r="C42" s="440"/>
      <c r="D42" s="440"/>
      <c r="E42" s="440"/>
      <c r="F42" s="440"/>
      <c r="G42" s="440"/>
      <c r="H42" s="441"/>
      <c r="I42" s="442"/>
      <c r="J42" s="443"/>
      <c r="K42" s="416"/>
    </row>
    <row r="43" spans="1:12" ht="13.5" thickBot="1" x14ac:dyDescent="0.25">
      <c r="A43" s="398"/>
      <c r="B43" s="701"/>
      <c r="C43" s="701"/>
      <c r="D43" s="701"/>
      <c r="E43" s="701"/>
      <c r="F43" s="701"/>
      <c r="G43" s="701"/>
      <c r="H43" s="399" t="s">
        <v>2015</v>
      </c>
      <c r="I43" s="399" t="s">
        <v>2016</v>
      </c>
      <c r="J43" s="399" t="s">
        <v>2017</v>
      </c>
      <c r="K43" s="400" t="s">
        <v>2018</v>
      </c>
    </row>
    <row r="44" spans="1:12" ht="10.5" customHeight="1" x14ac:dyDescent="0.2">
      <c r="A44" s="445" t="s">
        <v>2043</v>
      </c>
      <c r="B44" s="702" t="s">
        <v>2044</v>
      </c>
      <c r="C44" s="702"/>
      <c r="D44" s="702"/>
      <c r="E44" s="702"/>
      <c r="F44" s="702"/>
      <c r="G44" s="702"/>
      <c r="H44" s="446"/>
      <c r="I44" s="447"/>
      <c r="J44" s="447"/>
      <c r="K44" s="448"/>
    </row>
    <row r="45" spans="1:12" x14ac:dyDescent="0.2">
      <c r="A45" s="449"/>
      <c r="B45" s="690"/>
      <c r="C45" s="690"/>
      <c r="D45" s="690"/>
      <c r="E45" s="690"/>
      <c r="F45" s="690"/>
      <c r="G45" s="690"/>
      <c r="H45" s="446"/>
      <c r="I45" s="447"/>
      <c r="J45" s="447"/>
      <c r="K45" s="448"/>
    </row>
    <row r="46" spans="1:12" ht="17.25" customHeight="1" x14ac:dyDescent="0.2">
      <c r="A46" s="449"/>
      <c r="B46" s="686" t="s">
        <v>2045</v>
      </c>
      <c r="C46" s="686"/>
      <c r="D46" s="686"/>
      <c r="E46" s="686"/>
      <c r="F46" s="686"/>
      <c r="G46" s="686"/>
      <c r="H46" s="446"/>
      <c r="I46" s="447"/>
      <c r="J46" s="447"/>
      <c r="K46" s="448"/>
    </row>
    <row r="47" spans="1:12" s="420" customFormat="1" ht="16.5" customHeight="1" x14ac:dyDescent="0.2">
      <c r="A47" s="449"/>
      <c r="B47" s="716"/>
      <c r="C47" s="717"/>
      <c r="D47" s="718"/>
      <c r="E47" s="718"/>
      <c r="F47" s="718"/>
      <c r="G47" s="719"/>
      <c r="H47" s="446"/>
      <c r="I47" s="447"/>
      <c r="J47" s="447"/>
      <c r="K47" s="448"/>
      <c r="L47" s="419"/>
    </row>
    <row r="48" spans="1:12" ht="12.75" customHeight="1" x14ac:dyDescent="0.2">
      <c r="A48" s="405"/>
      <c r="B48" s="720" t="s">
        <v>2046</v>
      </c>
      <c r="C48" s="721"/>
      <c r="D48" s="721"/>
      <c r="E48" s="721"/>
      <c r="F48" s="721"/>
      <c r="G48" s="722"/>
      <c r="H48" s="413" t="s">
        <v>18</v>
      </c>
      <c r="I48" s="450">
        <v>200</v>
      </c>
      <c r="J48" s="403">
        <v>5.98</v>
      </c>
      <c r="K48" s="404">
        <f>I48*J48</f>
        <v>1196</v>
      </c>
      <c r="L48" s="86"/>
    </row>
    <row r="49" spans="1:12" s="420" customFormat="1" ht="12.75" customHeight="1" x14ac:dyDescent="0.2">
      <c r="A49" s="405"/>
      <c r="B49" s="720"/>
      <c r="C49" s="721"/>
      <c r="D49" s="721"/>
      <c r="E49" s="721"/>
      <c r="F49" s="721"/>
      <c r="G49" s="722"/>
      <c r="H49" s="446"/>
      <c r="I49" s="451"/>
      <c r="J49" s="403"/>
      <c r="K49" s="404"/>
      <c r="L49" s="419"/>
    </row>
    <row r="50" spans="1:12" s="439" customFormat="1" ht="12.75" customHeight="1" x14ac:dyDescent="0.2">
      <c r="A50" s="405"/>
      <c r="B50" s="666" t="s">
        <v>2047</v>
      </c>
      <c r="C50" s="676"/>
      <c r="D50" s="676"/>
      <c r="E50" s="676"/>
      <c r="F50" s="676"/>
      <c r="G50" s="677"/>
      <c r="H50" s="402" t="s">
        <v>2023</v>
      </c>
      <c r="I50" s="450">
        <v>110</v>
      </c>
      <c r="J50" s="415">
        <v>0.69</v>
      </c>
      <c r="K50" s="404">
        <f>I50*J50</f>
        <v>75.899999999999991</v>
      </c>
      <c r="L50" s="452"/>
    </row>
    <row r="51" spans="1:12" ht="12.75" customHeight="1" x14ac:dyDescent="0.2">
      <c r="A51" s="405"/>
      <c r="B51" s="675"/>
      <c r="C51" s="676"/>
      <c r="D51" s="676"/>
      <c r="E51" s="676"/>
      <c r="F51" s="676"/>
      <c r="G51" s="677"/>
      <c r="H51" s="402"/>
      <c r="I51" s="450"/>
      <c r="J51" s="415"/>
      <c r="K51" s="404"/>
    </row>
    <row r="52" spans="1:12" ht="12.75" customHeight="1" x14ac:dyDescent="0.2">
      <c r="A52" s="405"/>
      <c r="B52" s="675" t="s">
        <v>2048</v>
      </c>
      <c r="C52" s="676"/>
      <c r="D52" s="676"/>
      <c r="E52" s="676"/>
      <c r="F52" s="676"/>
      <c r="G52" s="677"/>
      <c r="H52" s="402" t="s">
        <v>2023</v>
      </c>
      <c r="I52" s="450">
        <v>16</v>
      </c>
      <c r="J52" s="415">
        <v>7.5</v>
      </c>
      <c r="K52" s="404">
        <f>I52*J52</f>
        <v>120</v>
      </c>
    </row>
    <row r="53" spans="1:12" s="420" customFormat="1" x14ac:dyDescent="0.2">
      <c r="A53" s="405"/>
      <c r="B53" s="675"/>
      <c r="C53" s="676"/>
      <c r="D53" s="676"/>
      <c r="E53" s="676"/>
      <c r="F53" s="676"/>
      <c r="G53" s="677"/>
      <c r="H53" s="402"/>
      <c r="I53" s="450"/>
      <c r="J53" s="415"/>
      <c r="K53" s="404"/>
    </row>
    <row r="54" spans="1:12" s="420" customFormat="1" x14ac:dyDescent="0.2">
      <c r="A54" s="405"/>
      <c r="B54" s="690" t="s">
        <v>2049</v>
      </c>
      <c r="C54" s="690"/>
      <c r="D54" s="690"/>
      <c r="E54" s="690"/>
      <c r="F54" s="690"/>
      <c r="G54" s="690"/>
      <c r="H54" s="402" t="s">
        <v>2023</v>
      </c>
      <c r="I54" s="450">
        <v>8</v>
      </c>
      <c r="J54" s="415">
        <v>13.23</v>
      </c>
      <c r="K54" s="404">
        <f>I54*J54</f>
        <v>105.84</v>
      </c>
    </row>
    <row r="55" spans="1:12" x14ac:dyDescent="0.2">
      <c r="A55" s="405"/>
      <c r="B55" s="675"/>
      <c r="C55" s="676"/>
      <c r="D55" s="676"/>
      <c r="E55" s="676"/>
      <c r="F55" s="676"/>
      <c r="G55" s="677"/>
      <c r="H55" s="402"/>
      <c r="I55" s="450"/>
      <c r="J55" s="415"/>
      <c r="K55" s="404"/>
    </row>
    <row r="56" spans="1:12" ht="13.5" customHeight="1" x14ac:dyDescent="0.2">
      <c r="A56" s="405"/>
      <c r="B56" s="711" t="s">
        <v>2050</v>
      </c>
      <c r="C56" s="709"/>
      <c r="D56" s="709"/>
      <c r="E56" s="709"/>
      <c r="F56" s="709"/>
      <c r="G56" s="710"/>
      <c r="H56" s="402" t="s">
        <v>2023</v>
      </c>
      <c r="I56" s="450">
        <v>8</v>
      </c>
      <c r="J56" s="415">
        <v>60</v>
      </c>
      <c r="K56" s="404">
        <f>I56*J56</f>
        <v>480</v>
      </c>
    </row>
    <row r="57" spans="1:12" ht="14.25" customHeight="1" x14ac:dyDescent="0.2">
      <c r="A57" s="405"/>
      <c r="B57" s="675"/>
      <c r="C57" s="676"/>
      <c r="D57" s="676"/>
      <c r="E57" s="676"/>
      <c r="F57" s="676"/>
      <c r="G57" s="677"/>
      <c r="H57" s="402"/>
      <c r="I57" s="450"/>
      <c r="J57" s="415"/>
      <c r="K57" s="404"/>
    </row>
    <row r="58" spans="1:12" ht="14.25" customHeight="1" x14ac:dyDescent="0.2">
      <c r="A58" s="405"/>
      <c r="B58" s="672" t="s">
        <v>2051</v>
      </c>
      <c r="C58" s="709"/>
      <c r="D58" s="709"/>
      <c r="E58" s="709"/>
      <c r="F58" s="709"/>
      <c r="G58" s="710"/>
      <c r="H58" s="402" t="s">
        <v>2023</v>
      </c>
      <c r="I58" s="450">
        <v>6</v>
      </c>
      <c r="J58" s="403">
        <v>28.26</v>
      </c>
      <c r="K58" s="404">
        <f>I58*J58</f>
        <v>169.56</v>
      </c>
    </row>
    <row r="59" spans="1:12" ht="12.75" customHeight="1" x14ac:dyDescent="0.2">
      <c r="A59" s="405"/>
      <c r="B59" s="690"/>
      <c r="C59" s="690"/>
      <c r="D59" s="690"/>
      <c r="E59" s="690"/>
      <c r="F59" s="690"/>
      <c r="G59" s="690"/>
      <c r="H59" s="402"/>
      <c r="I59" s="450"/>
      <c r="J59" s="415"/>
      <c r="K59" s="404"/>
    </row>
    <row r="60" spans="1:12" ht="13.5" customHeight="1" x14ac:dyDescent="0.2">
      <c r="A60" s="405"/>
      <c r="B60" s="711" t="s">
        <v>2052</v>
      </c>
      <c r="C60" s="709"/>
      <c r="D60" s="709"/>
      <c r="E60" s="709"/>
      <c r="F60" s="709"/>
      <c r="G60" s="710"/>
      <c r="H60" s="402" t="s">
        <v>2023</v>
      </c>
      <c r="I60" s="450">
        <v>8</v>
      </c>
      <c r="J60" s="415">
        <v>19.89</v>
      </c>
      <c r="K60" s="404">
        <f>I60*J60</f>
        <v>159.12</v>
      </c>
    </row>
    <row r="61" spans="1:12" ht="14.25" customHeight="1" x14ac:dyDescent="0.2">
      <c r="A61" s="405"/>
      <c r="B61" s="712" t="s">
        <v>2053</v>
      </c>
      <c r="C61" s="688"/>
      <c r="D61" s="688"/>
      <c r="E61" s="688"/>
      <c r="F61" s="688"/>
      <c r="G61" s="689"/>
      <c r="H61" s="402" t="s">
        <v>2023</v>
      </c>
      <c r="I61" s="450">
        <v>14</v>
      </c>
      <c r="J61" s="415">
        <v>2.4700000000000002</v>
      </c>
      <c r="K61" s="404">
        <f>I61*J61</f>
        <v>34.580000000000005</v>
      </c>
    </row>
    <row r="62" spans="1:12" ht="14.25" customHeight="1" x14ac:dyDescent="0.2">
      <c r="A62" s="405"/>
      <c r="B62" s="687" t="s">
        <v>2054</v>
      </c>
      <c r="C62" s="688"/>
      <c r="D62" s="688"/>
      <c r="E62" s="688"/>
      <c r="F62" s="688"/>
      <c r="G62" s="689"/>
      <c r="H62" s="402" t="s">
        <v>2023</v>
      </c>
      <c r="I62" s="450">
        <v>6</v>
      </c>
      <c r="J62" s="415">
        <v>43</v>
      </c>
      <c r="K62" s="404">
        <f>I62*J62</f>
        <v>258</v>
      </c>
      <c r="L62" s="86"/>
    </row>
    <row r="63" spans="1:12" ht="13.5" customHeight="1" x14ac:dyDescent="0.2">
      <c r="A63" s="405"/>
      <c r="B63" s="687" t="s">
        <v>2055</v>
      </c>
      <c r="C63" s="688"/>
      <c r="D63" s="688"/>
      <c r="E63" s="688"/>
      <c r="F63" s="688"/>
      <c r="G63" s="689"/>
      <c r="H63" s="402" t="s">
        <v>2056</v>
      </c>
      <c r="I63" s="450">
        <v>1</v>
      </c>
      <c r="J63" s="417">
        <v>652.89</v>
      </c>
      <c r="K63" s="404">
        <f>I63*J63</f>
        <v>652.89</v>
      </c>
      <c r="L63" s="86"/>
    </row>
    <row r="64" spans="1:12" ht="15.75" customHeight="1" x14ac:dyDescent="0.2">
      <c r="A64" s="405"/>
      <c r="B64" s="706" t="s">
        <v>2057</v>
      </c>
      <c r="C64" s="707"/>
      <c r="D64" s="707"/>
      <c r="E64" s="707"/>
      <c r="F64" s="707"/>
      <c r="G64" s="708"/>
      <c r="H64" s="453" t="s">
        <v>2023</v>
      </c>
      <c r="I64" s="454">
        <v>1</v>
      </c>
      <c r="J64" s="417">
        <v>56.34</v>
      </c>
      <c r="K64" s="404">
        <f>I64*J64</f>
        <v>56.34</v>
      </c>
      <c r="L64" s="86"/>
    </row>
    <row r="65" spans="1:12" ht="9.75" customHeight="1" x14ac:dyDescent="0.2">
      <c r="A65" s="405"/>
      <c r="B65" s="713"/>
      <c r="C65" s="714"/>
      <c r="D65" s="714"/>
      <c r="E65" s="714"/>
      <c r="F65" s="714"/>
      <c r="G65" s="715"/>
      <c r="H65" s="421"/>
      <c r="I65" s="450"/>
      <c r="J65" s="403"/>
      <c r="K65" s="416"/>
      <c r="L65" s="86"/>
    </row>
    <row r="66" spans="1:12" ht="15.75" customHeight="1" x14ac:dyDescent="0.2">
      <c r="A66" s="405"/>
      <c r="B66" s="695" t="s">
        <v>2058</v>
      </c>
      <c r="C66" s="696"/>
      <c r="D66" s="696"/>
      <c r="E66" s="696"/>
      <c r="F66" s="696"/>
      <c r="G66" s="697"/>
      <c r="H66" s="421"/>
      <c r="I66" s="450"/>
      <c r="J66" s="403"/>
      <c r="K66" s="427">
        <f>SUM(K48:K65)</f>
        <v>3308.23</v>
      </c>
      <c r="L66" s="86"/>
    </row>
    <row r="67" spans="1:12" ht="8.25" customHeight="1" x14ac:dyDescent="0.2">
      <c r="A67" s="405"/>
      <c r="B67" s="675"/>
      <c r="C67" s="676"/>
      <c r="D67" s="676"/>
      <c r="E67" s="676"/>
      <c r="F67" s="676"/>
      <c r="G67" s="677"/>
      <c r="H67" s="402"/>
      <c r="I67" s="450"/>
      <c r="J67" s="403"/>
      <c r="K67" s="404"/>
      <c r="L67" s="86"/>
    </row>
    <row r="68" spans="1:12" ht="15.75" customHeight="1" x14ac:dyDescent="0.2">
      <c r="A68" s="405"/>
      <c r="B68" s="455" t="s">
        <v>2037</v>
      </c>
      <c r="C68" s="456"/>
      <c r="D68" s="456"/>
      <c r="E68" s="456"/>
      <c r="F68" s="456"/>
      <c r="G68" s="457"/>
      <c r="H68" s="446"/>
      <c r="I68" s="458"/>
      <c r="J68" s="417"/>
      <c r="K68" s="404"/>
      <c r="L68" s="86"/>
    </row>
    <row r="69" spans="1:12" ht="9" customHeight="1" x14ac:dyDescent="0.2">
      <c r="A69" s="405"/>
      <c r="B69" s="459"/>
      <c r="C69" s="456"/>
      <c r="D69" s="456"/>
      <c r="E69" s="456"/>
      <c r="F69" s="456"/>
      <c r="G69" s="457"/>
      <c r="H69" s="402"/>
      <c r="I69" s="450"/>
      <c r="J69" s="403"/>
      <c r="K69" s="404"/>
      <c r="L69" s="86"/>
    </row>
    <row r="70" spans="1:12" ht="15.75" customHeight="1" x14ac:dyDescent="0.2">
      <c r="A70" s="405"/>
      <c r="B70" s="713" t="s">
        <v>2038</v>
      </c>
      <c r="C70" s="714"/>
      <c r="D70" s="714"/>
      <c r="E70" s="714"/>
      <c r="F70" s="714"/>
      <c r="G70" s="715"/>
      <c r="H70" s="421" t="s">
        <v>2039</v>
      </c>
      <c r="I70" s="450">
        <v>40</v>
      </c>
      <c r="J70" s="403">
        <v>56.12</v>
      </c>
      <c r="K70" s="416">
        <f>J70*I70</f>
        <v>2244.7999999999997</v>
      </c>
      <c r="L70" s="86"/>
    </row>
    <row r="71" spans="1:12" ht="15.75" customHeight="1" x14ac:dyDescent="0.2">
      <c r="A71" s="405"/>
      <c r="B71" s="666" t="s">
        <v>2040</v>
      </c>
      <c r="C71" s="676"/>
      <c r="D71" s="676"/>
      <c r="E71" s="676"/>
      <c r="F71" s="676"/>
      <c r="G71" s="677"/>
      <c r="H71" s="421" t="s">
        <v>2039</v>
      </c>
      <c r="I71" s="450">
        <v>4</v>
      </c>
      <c r="J71" s="403">
        <v>22.98</v>
      </c>
      <c r="K71" s="416">
        <f>J71*I71</f>
        <v>91.92</v>
      </c>
      <c r="L71" s="86"/>
    </row>
    <row r="72" spans="1:12" x14ac:dyDescent="0.2">
      <c r="A72" s="405"/>
      <c r="B72" s="703" t="s">
        <v>2059</v>
      </c>
      <c r="C72" s="704"/>
      <c r="D72" s="704"/>
      <c r="E72" s="704"/>
      <c r="F72" s="704"/>
      <c r="G72" s="705"/>
      <c r="H72" s="421"/>
      <c r="I72" s="450"/>
      <c r="J72" s="403"/>
      <c r="K72" s="427">
        <f>SUM(K70:K71)</f>
        <v>2336.7199999999998</v>
      </c>
      <c r="L72" s="86"/>
    </row>
    <row r="73" spans="1:12" x14ac:dyDescent="0.2">
      <c r="A73" s="405"/>
      <c r="B73" s="666"/>
      <c r="C73" s="676"/>
      <c r="D73" s="676"/>
      <c r="E73" s="676"/>
      <c r="F73" s="676"/>
      <c r="G73" s="677"/>
      <c r="H73" s="421"/>
      <c r="I73" s="450"/>
      <c r="J73" s="403"/>
      <c r="K73" s="416"/>
      <c r="L73" s="86"/>
    </row>
    <row r="74" spans="1:12" s="439" customFormat="1" ht="15.75" customHeight="1" x14ac:dyDescent="0.2">
      <c r="A74" s="405"/>
      <c r="B74" s="695" t="s">
        <v>2060</v>
      </c>
      <c r="C74" s="696"/>
      <c r="D74" s="696"/>
      <c r="E74" s="696"/>
      <c r="F74" s="696"/>
      <c r="G74" s="697"/>
      <c r="H74" s="402"/>
      <c r="I74" s="450"/>
      <c r="J74" s="403"/>
      <c r="K74" s="460">
        <f>K66+K72</f>
        <v>5644.95</v>
      </c>
    </row>
    <row r="75" spans="1:12" ht="13.5" thickBot="1" x14ac:dyDescent="0.25">
      <c r="A75" s="438"/>
      <c r="B75" s="698"/>
      <c r="C75" s="699"/>
      <c r="D75" s="699"/>
      <c r="E75" s="699"/>
      <c r="F75" s="699"/>
      <c r="G75" s="700"/>
      <c r="H75" s="517"/>
      <c r="I75" s="518"/>
      <c r="J75" s="519"/>
      <c r="K75" s="520"/>
    </row>
    <row r="76" spans="1:12" ht="14.25" x14ac:dyDescent="0.2">
      <c r="A76" s="535"/>
      <c r="B76" s="536"/>
      <c r="C76" s="536"/>
      <c r="D76" s="536"/>
      <c r="E76" s="536"/>
      <c r="F76" s="381" t="s">
        <v>2010</v>
      </c>
      <c r="G76" s="382"/>
      <c r="H76" s="381" t="s">
        <v>199</v>
      </c>
      <c r="I76" s="383"/>
      <c r="J76" s="556" t="s">
        <v>2155</v>
      </c>
      <c r="K76" s="382"/>
    </row>
    <row r="77" spans="1:12" x14ac:dyDescent="0.2">
      <c r="A77" s="537"/>
      <c r="B77" s="516"/>
      <c r="C77" s="516"/>
      <c r="D77" s="516"/>
      <c r="E77" s="516"/>
      <c r="F77" s="384"/>
      <c r="G77" s="385"/>
      <c r="H77" s="386" t="str">
        <f>H2</f>
        <v>POTIM-SP</v>
      </c>
      <c r="I77" s="387"/>
      <c r="J77" s="557" t="s">
        <v>2163</v>
      </c>
      <c r="K77" s="388"/>
    </row>
    <row r="78" spans="1:12" ht="14.25" x14ac:dyDescent="0.2">
      <c r="A78" s="537"/>
      <c r="B78" s="516"/>
      <c r="C78" s="516"/>
      <c r="D78" s="516"/>
      <c r="E78" s="516"/>
      <c r="F78" s="389" t="s">
        <v>2011</v>
      </c>
      <c r="G78" s="390"/>
      <c r="H78" s="389" t="s">
        <v>2012</v>
      </c>
      <c r="I78" s="391"/>
      <c r="J78" s="390"/>
      <c r="K78" s="392"/>
    </row>
    <row r="79" spans="1:12" ht="8.25" customHeight="1" thickBot="1" x14ac:dyDescent="0.25">
      <c r="A79" s="537"/>
      <c r="B79" s="516"/>
      <c r="C79" s="516"/>
      <c r="D79" s="516"/>
      <c r="E79" s="516"/>
      <c r="F79" s="393"/>
      <c r="G79" s="394" t="s">
        <v>2013</v>
      </c>
      <c r="H79" s="558" t="s">
        <v>2081</v>
      </c>
      <c r="I79" s="559"/>
      <c r="J79" s="559"/>
      <c r="K79" s="560"/>
    </row>
    <row r="80" spans="1:12" s="439" customFormat="1" x14ac:dyDescent="0.2">
      <c r="A80" s="537"/>
      <c r="B80" s="516"/>
      <c r="C80" s="516"/>
      <c r="D80" s="516"/>
      <c r="E80" s="516"/>
      <c r="F80" s="395"/>
      <c r="G80" s="396"/>
      <c r="H80" s="397"/>
      <c r="I80" s="397"/>
      <c r="J80" s="397"/>
      <c r="K80" s="538"/>
      <c r="L80" s="452"/>
    </row>
    <row r="81" spans="1:12" s="439" customFormat="1" ht="13.5" thickBot="1" x14ac:dyDescent="0.25">
      <c r="A81" s="539"/>
      <c r="B81" s="440"/>
      <c r="C81" s="440"/>
      <c r="D81" s="440"/>
      <c r="E81" s="440"/>
      <c r="F81" s="440"/>
      <c r="G81" s="440"/>
      <c r="H81" s="441"/>
      <c r="I81" s="442"/>
      <c r="J81" s="443"/>
      <c r="K81" s="416"/>
      <c r="L81" s="452"/>
    </row>
    <row r="82" spans="1:12" s="439" customFormat="1" ht="15.75" customHeight="1" thickBot="1" x14ac:dyDescent="0.25">
      <c r="A82" s="398"/>
      <c r="B82" s="701"/>
      <c r="C82" s="701"/>
      <c r="D82" s="701"/>
      <c r="E82" s="701"/>
      <c r="F82" s="701"/>
      <c r="G82" s="701"/>
      <c r="H82" s="399" t="s">
        <v>2015</v>
      </c>
      <c r="I82" s="399" t="s">
        <v>2016</v>
      </c>
      <c r="J82" s="399" t="s">
        <v>2017</v>
      </c>
      <c r="K82" s="400" t="s">
        <v>2018</v>
      </c>
    </row>
    <row r="83" spans="1:12" s="439" customFormat="1" x14ac:dyDescent="0.2">
      <c r="A83" s="445"/>
      <c r="B83" s="702"/>
      <c r="C83" s="702"/>
      <c r="D83" s="702"/>
      <c r="E83" s="702"/>
      <c r="F83" s="702"/>
      <c r="G83" s="702"/>
      <c r="H83" s="446"/>
      <c r="I83" s="447"/>
      <c r="J83" s="447"/>
      <c r="K83" s="448"/>
    </row>
    <row r="84" spans="1:12" s="439" customFormat="1" ht="12.75" customHeight="1" x14ac:dyDescent="0.2">
      <c r="A84" s="461">
        <v>3</v>
      </c>
      <c r="B84" s="683" t="s">
        <v>2062</v>
      </c>
      <c r="C84" s="684"/>
      <c r="D84" s="684"/>
      <c r="E84" s="684"/>
      <c r="F84" s="684"/>
      <c r="G84" s="685"/>
      <c r="H84" s="462"/>
      <c r="I84" s="446"/>
      <c r="J84" s="446"/>
      <c r="K84" s="448"/>
      <c r="L84" s="452"/>
    </row>
    <row r="85" spans="1:12" s="439" customFormat="1" x14ac:dyDescent="0.2">
      <c r="A85" s="405"/>
      <c r="B85" s="686" t="s">
        <v>2063</v>
      </c>
      <c r="C85" s="686"/>
      <c r="D85" s="686"/>
      <c r="E85" s="686"/>
      <c r="F85" s="686"/>
      <c r="G85" s="686"/>
      <c r="H85" s="402"/>
      <c r="I85" s="450"/>
      <c r="J85" s="417"/>
      <c r="K85" s="404"/>
      <c r="L85" s="452"/>
    </row>
    <row r="86" spans="1:12" s="420" customFormat="1" x14ac:dyDescent="0.2">
      <c r="A86" s="405"/>
      <c r="B86" s="687"/>
      <c r="C86" s="688"/>
      <c r="D86" s="688"/>
      <c r="E86" s="688"/>
      <c r="F86" s="688"/>
      <c r="G86" s="689"/>
      <c r="H86" s="446"/>
      <c r="I86" s="450"/>
      <c r="J86" s="417"/>
      <c r="K86" s="404"/>
      <c r="L86" s="419"/>
    </row>
    <row r="87" spans="1:12" s="439" customFormat="1" ht="12.75" customHeight="1" x14ac:dyDescent="0.2">
      <c r="A87" s="405"/>
      <c r="B87" s="666" t="s">
        <v>2064</v>
      </c>
      <c r="C87" s="667"/>
      <c r="D87" s="667"/>
      <c r="E87" s="667"/>
      <c r="F87" s="667"/>
      <c r="G87" s="668"/>
      <c r="H87" s="453" t="s">
        <v>2023</v>
      </c>
      <c r="I87" s="454">
        <v>2</v>
      </c>
      <c r="J87" s="417">
        <v>10000</v>
      </c>
      <c r="K87" s="416">
        <f>+(I87*J87)</f>
        <v>20000</v>
      </c>
    </row>
    <row r="88" spans="1:12" s="420" customFormat="1" ht="12.75" customHeight="1" x14ac:dyDescent="0.2">
      <c r="A88" s="405"/>
      <c r="B88" s="690"/>
      <c r="C88" s="690"/>
      <c r="D88" s="690"/>
      <c r="E88" s="690"/>
      <c r="F88" s="690"/>
      <c r="G88" s="690"/>
      <c r="H88" s="402"/>
      <c r="I88" s="450"/>
      <c r="J88" s="403"/>
      <c r="K88" s="404"/>
      <c r="L88" s="419"/>
    </row>
    <row r="89" spans="1:12" s="439" customFormat="1" x14ac:dyDescent="0.2">
      <c r="A89" s="405"/>
      <c r="B89" s="691" t="s">
        <v>2065</v>
      </c>
      <c r="C89" s="692"/>
      <c r="D89" s="692"/>
      <c r="E89" s="692"/>
      <c r="F89" s="692"/>
      <c r="G89" s="693"/>
      <c r="H89" s="453" t="s">
        <v>2023</v>
      </c>
      <c r="I89" s="454">
        <v>1</v>
      </c>
      <c r="J89" s="417">
        <v>9500</v>
      </c>
      <c r="K89" s="416">
        <f>+(I89*J89)</f>
        <v>9500</v>
      </c>
    </row>
    <row r="90" spans="1:12" s="420" customFormat="1" ht="18" customHeight="1" x14ac:dyDescent="0.2">
      <c r="A90" s="405"/>
      <c r="B90" s="675"/>
      <c r="C90" s="676"/>
      <c r="D90" s="676"/>
      <c r="E90" s="676"/>
      <c r="F90" s="676"/>
      <c r="G90" s="677"/>
      <c r="H90" s="402"/>
      <c r="I90" s="450"/>
      <c r="J90" s="415"/>
      <c r="K90" s="404"/>
      <c r="L90" s="419"/>
    </row>
    <row r="91" spans="1:12" x14ac:dyDescent="0.2">
      <c r="A91" s="405"/>
      <c r="B91" s="666" t="s">
        <v>2066</v>
      </c>
      <c r="C91" s="676"/>
      <c r="D91" s="676"/>
      <c r="E91" s="676"/>
      <c r="F91" s="676"/>
      <c r="G91" s="677"/>
      <c r="H91" s="453" t="s">
        <v>2023</v>
      </c>
      <c r="I91" s="454">
        <v>1</v>
      </c>
      <c r="J91" s="417">
        <v>2800</v>
      </c>
      <c r="K91" s="416">
        <f>+(I91*J91)</f>
        <v>2800</v>
      </c>
      <c r="L91" s="86"/>
    </row>
    <row r="92" spans="1:12" s="439" customFormat="1" ht="18" customHeight="1" x14ac:dyDescent="0.2">
      <c r="A92" s="405"/>
      <c r="B92" s="463"/>
      <c r="C92" s="464"/>
      <c r="D92" s="464"/>
      <c r="E92" s="464"/>
      <c r="F92" s="464"/>
      <c r="G92" s="465"/>
      <c r="H92" s="453"/>
      <c r="I92" s="454"/>
      <c r="J92" s="417"/>
      <c r="K92" s="416"/>
    </row>
    <row r="93" spans="1:12" s="439" customFormat="1" x14ac:dyDescent="0.2">
      <c r="A93" s="405"/>
      <c r="B93" s="466" t="s">
        <v>2067</v>
      </c>
      <c r="C93" s="464"/>
      <c r="D93" s="464"/>
      <c r="E93" s="464"/>
      <c r="F93" s="464"/>
      <c r="G93" s="465"/>
      <c r="H93" s="453"/>
      <c r="I93" s="454"/>
      <c r="J93" s="417"/>
      <c r="K93" s="427">
        <f>+SUM(K87:K91)</f>
        <v>32300</v>
      </c>
    </row>
    <row r="94" spans="1:12" s="439" customFormat="1" x14ac:dyDescent="0.2">
      <c r="A94" s="405"/>
      <c r="B94" s="675"/>
      <c r="C94" s="676"/>
      <c r="D94" s="676"/>
      <c r="E94" s="676"/>
      <c r="F94" s="676"/>
      <c r="G94" s="677"/>
      <c r="H94" s="402"/>
      <c r="I94" s="450"/>
      <c r="J94" s="415"/>
      <c r="K94" s="404"/>
    </row>
    <row r="95" spans="1:12" s="439" customFormat="1" x14ac:dyDescent="0.2">
      <c r="A95" s="405"/>
      <c r="B95" s="694" t="s">
        <v>2068</v>
      </c>
      <c r="C95" s="690"/>
      <c r="D95" s="690"/>
      <c r="E95" s="690"/>
      <c r="F95" s="690"/>
      <c r="G95" s="690"/>
      <c r="H95" s="453" t="s">
        <v>2023</v>
      </c>
      <c r="I95" s="454">
        <v>1</v>
      </c>
      <c r="J95" s="417">
        <v>7000</v>
      </c>
      <c r="K95" s="416">
        <f>J95*I95</f>
        <v>7000</v>
      </c>
    </row>
    <row r="96" spans="1:12" s="439" customFormat="1" x14ac:dyDescent="0.2">
      <c r="A96" s="405"/>
      <c r="B96" s="675"/>
      <c r="C96" s="676"/>
      <c r="D96" s="676"/>
      <c r="E96" s="676"/>
      <c r="F96" s="676"/>
      <c r="G96" s="677"/>
      <c r="H96" s="402"/>
      <c r="I96" s="450"/>
      <c r="J96" s="415"/>
      <c r="K96" s="404"/>
    </row>
    <row r="97" spans="1:11" x14ac:dyDescent="0.2">
      <c r="A97" s="405"/>
      <c r="B97" s="672"/>
      <c r="C97" s="673"/>
      <c r="D97" s="673"/>
      <c r="E97" s="673"/>
      <c r="F97" s="673"/>
      <c r="G97" s="674"/>
      <c r="H97" s="402"/>
      <c r="I97" s="450"/>
      <c r="J97" s="415"/>
      <c r="K97" s="467"/>
    </row>
    <row r="98" spans="1:11" ht="18" customHeight="1" x14ac:dyDescent="0.2">
      <c r="A98" s="405"/>
      <c r="B98" s="468"/>
      <c r="C98" s="469"/>
      <c r="D98" s="469"/>
      <c r="E98" s="469"/>
      <c r="F98" s="469"/>
      <c r="G98" s="470"/>
      <c r="H98" s="402"/>
      <c r="I98" s="450"/>
      <c r="J98" s="415"/>
      <c r="K98" s="467"/>
    </row>
    <row r="99" spans="1:11" x14ac:dyDescent="0.2">
      <c r="A99" s="405"/>
      <c r="B99" s="672"/>
      <c r="C99" s="673"/>
      <c r="D99" s="673"/>
      <c r="E99" s="673"/>
      <c r="F99" s="673"/>
      <c r="G99" s="674"/>
      <c r="H99" s="413"/>
      <c r="I99" s="450"/>
      <c r="J99" s="415"/>
      <c r="K99" s="460"/>
    </row>
    <row r="100" spans="1:11" x14ac:dyDescent="0.2">
      <c r="A100" s="405"/>
      <c r="B100" s="675"/>
      <c r="C100" s="676"/>
      <c r="D100" s="676"/>
      <c r="E100" s="676"/>
      <c r="F100" s="676"/>
      <c r="G100" s="677"/>
      <c r="H100" s="402"/>
      <c r="I100" s="450"/>
      <c r="J100" s="415"/>
      <c r="K100" s="404"/>
    </row>
    <row r="101" spans="1:11" x14ac:dyDescent="0.2">
      <c r="A101" s="405"/>
      <c r="B101" s="678" t="s">
        <v>2069</v>
      </c>
      <c r="C101" s="679"/>
      <c r="D101" s="679"/>
      <c r="E101" s="679"/>
      <c r="F101" s="679"/>
      <c r="G101" s="680"/>
      <c r="H101" s="402"/>
      <c r="I101" s="450"/>
      <c r="J101" s="415"/>
      <c r="K101" s="460">
        <f>SUM(K93:K100)</f>
        <v>39300</v>
      </c>
    </row>
    <row r="102" spans="1:11" x14ac:dyDescent="0.2">
      <c r="A102" s="405"/>
      <c r="B102" s="675"/>
      <c r="C102" s="676"/>
      <c r="D102" s="676"/>
      <c r="E102" s="676"/>
      <c r="F102" s="676"/>
      <c r="G102" s="677"/>
      <c r="H102" s="402"/>
      <c r="I102" s="450"/>
      <c r="J102" s="415"/>
      <c r="K102" s="404"/>
    </row>
    <row r="103" spans="1:11" x14ac:dyDescent="0.2">
      <c r="A103" s="405"/>
      <c r="B103" s="678" t="s">
        <v>2070</v>
      </c>
      <c r="C103" s="681"/>
      <c r="D103" s="681"/>
      <c r="E103" s="681"/>
      <c r="F103" s="681"/>
      <c r="G103" s="682"/>
      <c r="H103" s="402"/>
      <c r="I103" s="422"/>
      <c r="J103" s="423"/>
      <c r="K103" s="416"/>
    </row>
    <row r="104" spans="1:11" x14ac:dyDescent="0.2">
      <c r="A104" s="405"/>
      <c r="B104" s="471"/>
      <c r="C104" s="472"/>
      <c r="D104" s="472"/>
      <c r="E104" s="472"/>
      <c r="F104" s="472"/>
      <c r="G104" s="473"/>
      <c r="H104" s="402"/>
      <c r="I104" s="426"/>
      <c r="J104" s="426"/>
      <c r="K104" s="427"/>
    </row>
    <row r="105" spans="1:11" x14ac:dyDescent="0.2">
      <c r="A105" s="405"/>
      <c r="B105" s="468" t="s">
        <v>2038</v>
      </c>
      <c r="C105" s="469"/>
      <c r="D105" s="469"/>
      <c r="E105" s="469"/>
      <c r="F105" s="469"/>
      <c r="G105" s="470"/>
      <c r="H105" s="413" t="s">
        <v>2071</v>
      </c>
      <c r="I105" s="414">
        <v>40</v>
      </c>
      <c r="J105" s="403">
        <v>56.12</v>
      </c>
      <c r="K105" s="416">
        <f>SUM(I105*J105)</f>
        <v>2244.7999999999997</v>
      </c>
    </row>
    <row r="106" spans="1:11" x14ac:dyDescent="0.2">
      <c r="A106" s="405"/>
      <c r="B106" s="474" t="s">
        <v>2072</v>
      </c>
      <c r="C106" s="472"/>
      <c r="D106" s="472"/>
      <c r="E106" s="472"/>
      <c r="F106" s="472"/>
      <c r="G106" s="473"/>
      <c r="H106" s="424" t="s">
        <v>2071</v>
      </c>
      <c r="I106" s="414">
        <v>40</v>
      </c>
      <c r="J106" s="403">
        <v>22.98</v>
      </c>
      <c r="K106" s="416">
        <f>J106*I106</f>
        <v>919.2</v>
      </c>
    </row>
    <row r="107" spans="1:11" x14ac:dyDescent="0.2">
      <c r="A107" s="405"/>
      <c r="B107" s="475"/>
      <c r="C107" s="476"/>
      <c r="D107" s="476"/>
      <c r="E107" s="476"/>
      <c r="F107" s="476"/>
      <c r="G107" s="477"/>
      <c r="H107" s="421"/>
      <c r="I107" s="414"/>
      <c r="J107" s="403"/>
      <c r="K107" s="416"/>
    </row>
    <row r="108" spans="1:11" x14ac:dyDescent="0.2">
      <c r="A108" s="405"/>
      <c r="B108" s="478" t="s">
        <v>2073</v>
      </c>
      <c r="C108" s="479"/>
      <c r="D108" s="479"/>
      <c r="E108" s="479"/>
      <c r="F108" s="479"/>
      <c r="G108" s="480"/>
      <c r="H108" s="413"/>
      <c r="I108" s="414"/>
      <c r="J108" s="403"/>
      <c r="K108" s="427">
        <f>SUM(K105:K107)</f>
        <v>3164</v>
      </c>
    </row>
    <row r="109" spans="1:11" x14ac:dyDescent="0.2">
      <c r="A109" s="405"/>
      <c r="B109" s="481"/>
      <c r="C109" s="482"/>
      <c r="D109" s="482"/>
      <c r="E109" s="482"/>
      <c r="F109" s="482"/>
      <c r="G109" s="483"/>
      <c r="H109" s="402"/>
      <c r="I109" s="450"/>
      <c r="J109" s="415"/>
      <c r="K109" s="404"/>
    </row>
    <row r="110" spans="1:11" x14ac:dyDescent="0.2">
      <c r="A110" s="405"/>
      <c r="B110" s="484"/>
      <c r="C110" s="485"/>
      <c r="D110" s="485"/>
      <c r="E110" s="485"/>
      <c r="F110" s="485"/>
      <c r="G110" s="486"/>
      <c r="H110" s="402"/>
      <c r="I110" s="450"/>
      <c r="J110" s="415"/>
      <c r="K110" s="404"/>
    </row>
    <row r="111" spans="1:11" x14ac:dyDescent="0.2">
      <c r="A111" s="405"/>
      <c r="B111" s="487" t="s">
        <v>2074</v>
      </c>
      <c r="C111" s="488"/>
      <c r="D111" s="488"/>
      <c r="E111" s="488"/>
      <c r="F111" s="488"/>
      <c r="G111" s="489"/>
      <c r="H111" s="402"/>
      <c r="I111" s="450"/>
      <c r="J111" s="417"/>
      <c r="K111" s="460">
        <f>K101+K108</f>
        <v>42464</v>
      </c>
    </row>
    <row r="112" spans="1:11" x14ac:dyDescent="0.2">
      <c r="A112" s="405"/>
      <c r="B112" s="695"/>
      <c r="C112" s="696"/>
      <c r="D112" s="696"/>
      <c r="E112" s="696"/>
      <c r="F112" s="696"/>
      <c r="G112" s="697"/>
      <c r="H112" s="421"/>
      <c r="I112" s="450"/>
      <c r="J112" s="403"/>
      <c r="K112" s="427"/>
    </row>
    <row r="113" spans="1:12" s="439" customFormat="1" ht="13.5" thickBot="1" x14ac:dyDescent="0.25">
      <c r="A113" s="438"/>
      <c r="B113" s="541"/>
      <c r="C113" s="542"/>
      <c r="D113" s="542"/>
      <c r="E113" s="542"/>
      <c r="F113" s="542"/>
      <c r="G113" s="543"/>
      <c r="H113" s="534"/>
      <c r="I113" s="518"/>
      <c r="J113" s="519"/>
      <c r="K113" s="522"/>
      <c r="L113" s="452"/>
    </row>
    <row r="114" spans="1:12" s="439" customFormat="1" x14ac:dyDescent="0.2">
      <c r="A114" s="405"/>
      <c r="B114" s="466"/>
      <c r="C114" s="490"/>
      <c r="D114" s="490"/>
      <c r="E114" s="490"/>
      <c r="F114" s="490"/>
      <c r="G114" s="491"/>
      <c r="H114" s="421"/>
      <c r="I114" s="450"/>
      <c r="J114" s="403"/>
      <c r="K114" s="427"/>
      <c r="L114" s="452"/>
    </row>
    <row r="115" spans="1:12" s="439" customFormat="1" x14ac:dyDescent="0.2">
      <c r="A115" s="405"/>
      <c r="B115" s="466"/>
      <c r="C115" s="490"/>
      <c r="D115" s="490"/>
      <c r="E115" s="490"/>
      <c r="F115" s="490"/>
      <c r="G115" s="491"/>
      <c r="H115" s="421"/>
      <c r="I115" s="450"/>
      <c r="J115" s="403"/>
      <c r="K115" s="427"/>
      <c r="L115" s="452"/>
    </row>
    <row r="116" spans="1:12" s="439" customFormat="1" x14ac:dyDescent="0.2">
      <c r="A116" s="405"/>
      <c r="B116" s="713"/>
      <c r="C116" s="714"/>
      <c r="D116" s="714"/>
      <c r="E116" s="714"/>
      <c r="F116" s="714"/>
      <c r="G116" s="715"/>
      <c r="H116" s="421"/>
      <c r="I116" s="450"/>
      <c r="J116" s="403"/>
      <c r="K116" s="416"/>
      <c r="L116" s="452"/>
    </row>
    <row r="117" spans="1:12" s="439" customFormat="1" x14ac:dyDescent="0.2">
      <c r="A117" s="405"/>
      <c r="B117" s="666"/>
      <c r="C117" s="676"/>
      <c r="D117" s="676"/>
      <c r="E117" s="676"/>
      <c r="F117" s="676"/>
      <c r="G117" s="677"/>
      <c r="H117" s="421"/>
      <c r="I117" s="450"/>
      <c r="J117" s="403"/>
      <c r="K117" s="416"/>
      <c r="L117" s="452"/>
    </row>
    <row r="118" spans="1:12" ht="11.25" customHeight="1" x14ac:dyDescent="0.2">
      <c r="A118" s="405"/>
      <c r="B118" s="703"/>
      <c r="C118" s="704"/>
      <c r="D118" s="704"/>
      <c r="E118" s="704"/>
      <c r="F118" s="704"/>
      <c r="G118" s="705"/>
      <c r="H118" s="421"/>
      <c r="I118" s="450"/>
      <c r="J118" s="403"/>
      <c r="K118" s="427"/>
    </row>
    <row r="123" spans="1:12" ht="8.25" customHeight="1" x14ac:dyDescent="0.2"/>
    <row r="126" spans="1:12" s="439" customFormat="1" ht="15.75" customHeight="1" x14ac:dyDescent="0.2">
      <c r="A126" s="452"/>
    </row>
    <row r="127" spans="1:12" s="439" customFormat="1" x14ac:dyDescent="0.2"/>
    <row r="128" spans="1:12" s="439" customFormat="1" x14ac:dyDescent="0.2"/>
    <row r="129" s="439" customFormat="1" ht="12.75" customHeight="1" x14ac:dyDescent="0.2"/>
    <row r="130" ht="12.75" customHeight="1" x14ac:dyDescent="0.2"/>
    <row r="131" ht="13.5" customHeight="1" x14ac:dyDescent="0.2"/>
    <row r="132" ht="12.75" customHeight="1" x14ac:dyDescent="0.2"/>
    <row r="133" ht="12.75" customHeight="1" x14ac:dyDescent="0.2"/>
    <row r="134" ht="12.75" customHeight="1" x14ac:dyDescent="0.2"/>
    <row r="135" ht="12.75" customHeight="1" x14ac:dyDescent="0.2"/>
    <row r="138" ht="14.25" customHeight="1" x14ac:dyDescent="0.2"/>
    <row r="139" ht="13.5" customHeight="1" x14ac:dyDescent="0.2"/>
    <row r="140" ht="13.5" customHeight="1" x14ac:dyDescent="0.2"/>
    <row r="141" ht="13.5" customHeight="1" x14ac:dyDescent="0.2"/>
    <row r="143" ht="13.5" customHeight="1" x14ac:dyDescent="0.2"/>
    <row r="144" ht="12.75" customHeight="1" x14ac:dyDescent="0.2"/>
    <row r="145" ht="12"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 customHeight="1" x14ac:dyDescent="0.2"/>
    <row r="158" ht="12.75" customHeight="1" x14ac:dyDescent="0.2"/>
    <row r="160" ht="13.5" customHeight="1" x14ac:dyDescent="0.2"/>
    <row r="162" ht="12.75" customHeight="1" x14ac:dyDescent="0.2"/>
    <row r="165" ht="8.25" customHeight="1" x14ac:dyDescent="0.2"/>
    <row r="166" s="439" customFormat="1" x14ac:dyDescent="0.2"/>
    <row r="167" s="439" customFormat="1" x14ac:dyDescent="0.2"/>
    <row r="168" ht="14.25" customHeight="1" x14ac:dyDescent="0.2"/>
    <row r="172" s="420" customFormat="1" ht="14.25" customHeight="1" x14ac:dyDescent="0.2"/>
    <row r="173" ht="15.75" customHeight="1" x14ac:dyDescent="0.2"/>
    <row r="176" s="439" customFormat="1" ht="12.75" customHeight="1" x14ac:dyDescent="0.2"/>
    <row r="177" s="439" customFormat="1" ht="12.75" customHeight="1" x14ac:dyDescent="0.2"/>
    <row r="178" s="439" customFormat="1" ht="12.75" customHeight="1" x14ac:dyDescent="0.2"/>
    <row r="179" ht="12" customHeight="1" x14ac:dyDescent="0.2"/>
    <row r="181" s="420" customFormat="1" x14ac:dyDescent="0.2"/>
    <row r="186" ht="12.75" customHeight="1" x14ac:dyDescent="0.2"/>
    <row r="201" spans="1:1" ht="12.75" customHeight="1" x14ac:dyDescent="0.2"/>
    <row r="202" spans="1:1" ht="12.75" customHeight="1" x14ac:dyDescent="0.2"/>
    <row r="203" spans="1:1" ht="15" customHeight="1" x14ac:dyDescent="0.2">
      <c r="A203" s="86"/>
    </row>
    <row r="204" spans="1:1" x14ac:dyDescent="0.2">
      <c r="A204" s="86"/>
    </row>
    <row r="205" spans="1:1" x14ac:dyDescent="0.2">
      <c r="A205" s="86"/>
    </row>
    <row r="206" spans="1:1" x14ac:dyDescent="0.2">
      <c r="A206" s="86"/>
    </row>
    <row r="207" spans="1:1" ht="14.25" customHeight="1" x14ac:dyDescent="0.2">
      <c r="A207" s="86"/>
    </row>
    <row r="208" spans="1:1" ht="8.25" customHeight="1" x14ac:dyDescent="0.2">
      <c r="A208" s="86"/>
    </row>
    <row r="209" spans="1:1" ht="8.25" customHeight="1" x14ac:dyDescent="0.2">
      <c r="A209" s="86"/>
    </row>
    <row r="210" spans="1:1" x14ac:dyDescent="0.2">
      <c r="A210" s="86"/>
    </row>
    <row r="211" spans="1:1" x14ac:dyDescent="0.2">
      <c r="A211" s="86"/>
    </row>
    <row r="212" spans="1:1" x14ac:dyDescent="0.2">
      <c r="A212" s="86"/>
    </row>
    <row r="213" spans="1:1" ht="12.75" customHeight="1" x14ac:dyDescent="0.2">
      <c r="A213" s="86"/>
    </row>
    <row r="214" spans="1:1" ht="12.75" customHeight="1" x14ac:dyDescent="0.2">
      <c r="A214" s="86"/>
    </row>
    <row r="215" spans="1:1" ht="12.75" customHeight="1" x14ac:dyDescent="0.2">
      <c r="A215" s="86"/>
    </row>
    <row r="216" spans="1:1" ht="12.75" customHeight="1" x14ac:dyDescent="0.2">
      <c r="A216" s="86"/>
    </row>
    <row r="217" spans="1:1" ht="12.75" customHeight="1" x14ac:dyDescent="0.2">
      <c r="A217" s="86"/>
    </row>
    <row r="218" spans="1:1" ht="12.75" customHeight="1" x14ac:dyDescent="0.2">
      <c r="A218" s="86"/>
    </row>
    <row r="219" spans="1:1" ht="12.75" customHeight="1" x14ac:dyDescent="0.2">
      <c r="A219" s="86"/>
    </row>
    <row r="220" spans="1:1" ht="12.75" customHeight="1" x14ac:dyDescent="0.2">
      <c r="A220" s="86"/>
    </row>
    <row r="221" spans="1:1" ht="12.75" customHeight="1" x14ac:dyDescent="0.2">
      <c r="A221" s="86"/>
    </row>
    <row r="222" spans="1:1" ht="12.75" customHeight="1" x14ac:dyDescent="0.2">
      <c r="A222" s="86"/>
    </row>
    <row r="223" spans="1:1" ht="12.75" customHeight="1" x14ac:dyDescent="0.2">
      <c r="A223" s="86"/>
    </row>
    <row r="224" spans="1:1" ht="12.75" customHeight="1" x14ac:dyDescent="0.2">
      <c r="A224" s="86"/>
    </row>
    <row r="225" spans="1:1" ht="12.75" customHeight="1" x14ac:dyDescent="0.2">
      <c r="A225" s="86"/>
    </row>
    <row r="226" spans="1:1" ht="12.75" customHeight="1" x14ac:dyDescent="0.2">
      <c r="A226" s="86"/>
    </row>
    <row r="227" spans="1:1" ht="12.75" customHeight="1" x14ac:dyDescent="0.2">
      <c r="A227" s="86"/>
    </row>
    <row r="228" spans="1:1" ht="12.75" customHeight="1" x14ac:dyDescent="0.2">
      <c r="A228" s="86"/>
    </row>
    <row r="229" spans="1:1" ht="12.75" customHeight="1" x14ac:dyDescent="0.2">
      <c r="A229" s="86"/>
    </row>
    <row r="230" spans="1:1" ht="12.75" customHeight="1" x14ac:dyDescent="0.2">
      <c r="A230" s="86"/>
    </row>
    <row r="231" spans="1:1" ht="12.75" customHeight="1" x14ac:dyDescent="0.2">
      <c r="A231" s="86"/>
    </row>
    <row r="232" spans="1:1" ht="15" customHeight="1" x14ac:dyDescent="0.2">
      <c r="A232" s="86"/>
    </row>
    <row r="233" spans="1:1" ht="12.75" customHeight="1" x14ac:dyDescent="0.2"/>
    <row r="234" spans="1:1" s="439" customFormat="1" ht="14.25" customHeight="1" x14ac:dyDescent="0.2">
      <c r="A234" s="452"/>
    </row>
    <row r="235" spans="1:1" s="439" customFormat="1" x14ac:dyDescent="0.2">
      <c r="A235" s="452"/>
    </row>
    <row r="236" spans="1:1" s="439" customFormat="1" ht="15" customHeight="1" x14ac:dyDescent="0.2">
      <c r="A236" s="452"/>
    </row>
    <row r="237" spans="1:1" s="439" customFormat="1" x14ac:dyDescent="0.2">
      <c r="A237" s="452"/>
    </row>
    <row r="238" spans="1:1" s="439" customFormat="1" ht="15" customHeight="1" x14ac:dyDescent="0.2">
      <c r="A238" s="452"/>
    </row>
    <row r="239" spans="1:1" s="439" customFormat="1" x14ac:dyDescent="0.2">
      <c r="A239" s="452"/>
    </row>
    <row r="240" spans="1:1" ht="12.75" customHeight="1" x14ac:dyDescent="0.2"/>
    <row r="252" spans="1:1" ht="8.25" customHeight="1" x14ac:dyDescent="0.2">
      <c r="A252" s="86"/>
    </row>
    <row r="253" spans="1:1" s="439" customFormat="1" x14ac:dyDescent="0.2">
      <c r="A253" s="452"/>
    </row>
    <row r="254" spans="1:1" x14ac:dyDescent="0.2">
      <c r="A254" s="86"/>
    </row>
    <row r="255" spans="1:1" s="439" customFormat="1" ht="14.25" customHeight="1" x14ac:dyDescent="0.2">
      <c r="A255" s="452"/>
    </row>
    <row r="256" spans="1:1" ht="12.75" customHeight="1" x14ac:dyDescent="0.2">
      <c r="A256" s="86"/>
    </row>
    <row r="257" spans="1:1" s="439" customFormat="1" ht="12.75" customHeight="1" x14ac:dyDescent="0.2">
      <c r="A257" s="452"/>
    </row>
    <row r="258" spans="1:1" s="439" customFormat="1" ht="12.75" customHeight="1" x14ac:dyDescent="0.2">
      <c r="A258" s="452"/>
    </row>
    <row r="259" spans="1:1" s="439" customFormat="1" ht="12.75" customHeight="1" x14ac:dyDescent="0.2">
      <c r="A259" s="452"/>
    </row>
    <row r="260" spans="1:1" s="439" customFormat="1" x14ac:dyDescent="0.2">
      <c r="A260" s="452"/>
    </row>
    <row r="261" spans="1:1" s="439" customFormat="1" ht="13.5" customHeight="1" x14ac:dyDescent="0.2">
      <c r="A261" s="452"/>
    </row>
    <row r="262" spans="1:1" s="439" customFormat="1" x14ac:dyDescent="0.2">
      <c r="A262" s="452"/>
    </row>
    <row r="263" spans="1:1" s="439" customFormat="1" ht="12" customHeight="1" x14ac:dyDescent="0.2">
      <c r="A263" s="452"/>
    </row>
    <row r="264" spans="1:1" s="439" customFormat="1" x14ac:dyDescent="0.2">
      <c r="A264" s="452"/>
    </row>
    <row r="265" spans="1:1" s="439" customFormat="1" ht="14.25" customHeight="1" x14ac:dyDescent="0.2">
      <c r="A265" s="452"/>
    </row>
    <row r="266" spans="1:1" s="439" customFormat="1" x14ac:dyDescent="0.2">
      <c r="A266" s="452"/>
    </row>
    <row r="267" spans="1:1" s="439" customFormat="1" x14ac:dyDescent="0.2">
      <c r="A267" s="452"/>
    </row>
    <row r="268" spans="1:1" s="439" customFormat="1" x14ac:dyDescent="0.2">
      <c r="A268" s="452"/>
    </row>
    <row r="269" spans="1:1" s="439" customFormat="1" x14ac:dyDescent="0.2">
      <c r="A269" s="452"/>
    </row>
    <row r="270" spans="1:1" s="439" customFormat="1" x14ac:dyDescent="0.2">
      <c r="A270" s="452"/>
    </row>
    <row r="271" spans="1:1" s="439" customFormat="1" x14ac:dyDescent="0.2">
      <c r="A271" s="452"/>
    </row>
    <row r="272" spans="1:1" s="439" customFormat="1" x14ac:dyDescent="0.2">
      <c r="A272" s="452"/>
    </row>
    <row r="273" spans="1:1" s="439" customFormat="1" ht="15.75" customHeight="1" x14ac:dyDescent="0.2">
      <c r="A273" s="452"/>
    </row>
    <row r="274" spans="1:1" s="439" customFormat="1" x14ac:dyDescent="0.2">
      <c r="A274" s="452"/>
    </row>
    <row r="275" spans="1:1" s="439" customFormat="1" x14ac:dyDescent="0.2">
      <c r="A275" s="452"/>
    </row>
    <row r="276" spans="1:1" s="439" customFormat="1" x14ac:dyDescent="0.2">
      <c r="A276" s="452"/>
    </row>
    <row r="277" spans="1:1" s="439" customFormat="1" ht="15" customHeight="1" x14ac:dyDescent="0.2">
      <c r="A277" s="452"/>
    </row>
    <row r="278" spans="1:1" s="439" customFormat="1" ht="13.5" customHeight="1" x14ac:dyDescent="0.2">
      <c r="A278" s="452"/>
    </row>
    <row r="279" spans="1:1" s="439" customFormat="1" ht="12.75" customHeight="1" x14ac:dyDescent="0.2">
      <c r="A279" s="452"/>
    </row>
    <row r="280" spans="1:1" s="439" customFormat="1" ht="12.75" customHeight="1" x14ac:dyDescent="0.2">
      <c r="A280" s="452"/>
    </row>
    <row r="281" spans="1:1" s="439" customFormat="1" ht="12.75" customHeight="1" x14ac:dyDescent="0.2">
      <c r="A281" s="452"/>
    </row>
    <row r="282" spans="1:1" s="439" customFormat="1" x14ac:dyDescent="0.2">
      <c r="A282" s="452"/>
    </row>
    <row r="283" spans="1:1" ht="12.75" customHeight="1" x14ac:dyDescent="0.2">
      <c r="A283" s="86"/>
    </row>
    <row r="284" spans="1:1" s="439" customFormat="1" x14ac:dyDescent="0.2">
      <c r="A284" s="452"/>
    </row>
    <row r="285" spans="1:1" x14ac:dyDescent="0.2">
      <c r="A285" s="86"/>
    </row>
    <row r="286" spans="1:1" x14ac:dyDescent="0.2">
      <c r="A286" s="86"/>
    </row>
    <row r="287" spans="1:1" x14ac:dyDescent="0.2">
      <c r="A287" s="86"/>
    </row>
    <row r="288" spans="1:1" s="439" customFormat="1" x14ac:dyDescent="0.2">
      <c r="A288" s="452"/>
    </row>
    <row r="289" spans="1:1" ht="12.75" customHeight="1" x14ac:dyDescent="0.2"/>
    <row r="290" spans="1:1" ht="11.25" customHeight="1" x14ac:dyDescent="0.2"/>
    <row r="295" spans="1:1" ht="8.25" customHeight="1" x14ac:dyDescent="0.2">
      <c r="A295" s="86"/>
    </row>
    <row r="296" spans="1:1" s="439" customFormat="1" x14ac:dyDescent="0.2">
      <c r="A296" s="452"/>
    </row>
    <row r="297" spans="1:1" s="439" customFormat="1" x14ac:dyDescent="0.2">
      <c r="A297" s="452"/>
    </row>
    <row r="298" spans="1:1" ht="13.5" customHeight="1" x14ac:dyDescent="0.2"/>
    <row r="299" spans="1:1" ht="12.75" customHeight="1" x14ac:dyDescent="0.2"/>
    <row r="300" spans="1:1" ht="15" customHeight="1" x14ac:dyDescent="0.2"/>
    <row r="301" spans="1:1" ht="12.75" customHeight="1" x14ac:dyDescent="0.2"/>
    <row r="302" spans="1:1" ht="12.75" customHeight="1" x14ac:dyDescent="0.2"/>
    <row r="303" spans="1:1" ht="12.75" customHeight="1" x14ac:dyDescent="0.2"/>
    <row r="304" spans="1:1" s="439" customFormat="1" ht="12.75" customHeight="1" x14ac:dyDescent="0.2"/>
    <row r="305" s="439" customFormat="1" ht="12.75" customHeight="1" x14ac:dyDescent="0.2"/>
    <row r="306" s="439" customFormat="1" ht="12.75" customHeight="1" x14ac:dyDescent="0.2"/>
    <row r="307" s="439" customFormat="1"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spans="1:1" ht="12.75" customHeight="1" x14ac:dyDescent="0.2"/>
    <row r="322" spans="1:1" ht="12.75" customHeight="1" x14ac:dyDescent="0.2"/>
    <row r="323" spans="1:1" ht="12.75" customHeight="1" x14ac:dyDescent="0.2"/>
    <row r="324" spans="1:1" ht="12.75" customHeight="1" x14ac:dyDescent="0.2"/>
    <row r="325" spans="1:1" ht="12.75" customHeight="1" x14ac:dyDescent="0.2"/>
    <row r="326" spans="1:1" ht="12.75" customHeight="1" x14ac:dyDescent="0.2"/>
    <row r="327" spans="1:1" ht="12.75" customHeight="1" x14ac:dyDescent="0.2"/>
    <row r="328" spans="1:1" ht="12.75" customHeight="1" x14ac:dyDescent="0.2"/>
    <row r="329" spans="1:1" ht="12.75" customHeight="1" x14ac:dyDescent="0.2"/>
    <row r="330" spans="1:1" ht="12.75" customHeight="1" x14ac:dyDescent="0.2"/>
    <row r="331" spans="1:1" ht="12.75" customHeight="1" x14ac:dyDescent="0.2"/>
    <row r="332" spans="1:1" ht="12.75" customHeight="1" x14ac:dyDescent="0.2"/>
    <row r="333" spans="1:1" ht="12.75" customHeight="1" x14ac:dyDescent="0.2"/>
    <row r="334" spans="1:1" ht="13.5" customHeight="1" x14ac:dyDescent="0.2">
      <c r="A334" s="86"/>
    </row>
    <row r="335" spans="1:1" x14ac:dyDescent="0.2">
      <c r="A335" s="86"/>
    </row>
    <row r="336" spans="1:1" x14ac:dyDescent="0.2">
      <c r="A336" s="86"/>
    </row>
    <row r="337" spans="1:1" x14ac:dyDescent="0.2">
      <c r="A337" s="86"/>
    </row>
    <row r="338" spans="1:1" ht="14.25" customHeight="1" x14ac:dyDescent="0.2">
      <c r="A338" s="86"/>
    </row>
    <row r="339" spans="1:1" ht="8.25" customHeight="1" x14ac:dyDescent="0.2">
      <c r="A339" s="86"/>
    </row>
    <row r="340" spans="1:1" x14ac:dyDescent="0.2">
      <c r="A340" s="86"/>
    </row>
    <row r="341" spans="1:1" x14ac:dyDescent="0.2">
      <c r="A341" s="86"/>
    </row>
    <row r="342" spans="1:1" ht="12.75" customHeight="1" x14ac:dyDescent="0.2">
      <c r="A342" s="86"/>
    </row>
    <row r="343" spans="1:1" ht="12.75" customHeight="1" x14ac:dyDescent="0.2">
      <c r="A343" s="86"/>
    </row>
    <row r="344" spans="1:1" ht="12.75" customHeight="1" x14ac:dyDescent="0.2">
      <c r="A344" s="86"/>
    </row>
    <row r="345" spans="1:1" ht="12.75" customHeight="1" x14ac:dyDescent="0.2">
      <c r="A345" s="86"/>
    </row>
    <row r="346" spans="1:1" ht="24.75" customHeight="1" x14ac:dyDescent="0.2">
      <c r="A346" s="86"/>
    </row>
    <row r="347" spans="1:1" ht="12.75" customHeight="1" x14ac:dyDescent="0.2">
      <c r="A347" s="86"/>
    </row>
    <row r="348" spans="1:1" ht="12.75" customHeight="1" x14ac:dyDescent="0.2">
      <c r="A348" s="86"/>
    </row>
    <row r="349" spans="1:1" ht="12.75" customHeight="1" x14ac:dyDescent="0.2">
      <c r="A349" s="86"/>
    </row>
    <row r="350" spans="1:1" ht="12.75" customHeight="1" x14ac:dyDescent="0.2">
      <c r="A350" s="86"/>
    </row>
    <row r="351" spans="1:1" ht="12.75" customHeight="1" x14ac:dyDescent="0.2">
      <c r="A351" s="86"/>
    </row>
    <row r="352" spans="1:1" ht="12.75" customHeight="1" x14ac:dyDescent="0.2">
      <c r="A352" s="86"/>
    </row>
    <row r="353" spans="1:1" ht="12.75" customHeight="1" x14ac:dyDescent="0.2">
      <c r="A353" s="86"/>
    </row>
    <row r="354" spans="1:1" ht="12.75" customHeight="1" x14ac:dyDescent="0.2">
      <c r="A354" s="86"/>
    </row>
    <row r="355" spans="1:1" ht="12.75" customHeight="1" x14ac:dyDescent="0.2">
      <c r="A355" s="86"/>
    </row>
    <row r="356" spans="1:1" ht="12.75" customHeight="1" x14ac:dyDescent="0.2">
      <c r="A356" s="86"/>
    </row>
    <row r="357" spans="1:1" ht="12.75" customHeight="1" x14ac:dyDescent="0.2">
      <c r="A357" s="86"/>
    </row>
    <row r="358" spans="1:1" ht="12.75" customHeight="1" x14ac:dyDescent="0.2">
      <c r="A358" s="86"/>
    </row>
    <row r="359" spans="1:1" ht="12.75" customHeight="1" x14ac:dyDescent="0.2">
      <c r="A359" s="86"/>
    </row>
    <row r="360" spans="1:1" ht="12.75" customHeight="1" x14ac:dyDescent="0.2">
      <c r="A360" s="86"/>
    </row>
    <row r="361" spans="1:1" ht="12.75" customHeight="1" x14ac:dyDescent="0.2"/>
    <row r="362" spans="1:1" ht="12.75" customHeight="1" x14ac:dyDescent="0.2"/>
    <row r="363" spans="1:1" x14ac:dyDescent="0.2">
      <c r="A363" s="86"/>
    </row>
    <row r="364" spans="1:1" ht="12.75" customHeight="1" x14ac:dyDescent="0.2">
      <c r="A364" s="86"/>
    </row>
    <row r="365" spans="1:1" ht="14.25" customHeight="1" x14ac:dyDescent="0.2">
      <c r="A365" s="86"/>
    </row>
    <row r="366" spans="1:1" x14ac:dyDescent="0.2">
      <c r="A366" s="86"/>
    </row>
    <row r="367" spans="1:1" x14ac:dyDescent="0.2">
      <c r="A367" s="86"/>
    </row>
    <row r="368" spans="1:1" x14ac:dyDescent="0.2">
      <c r="A368" s="86"/>
    </row>
    <row r="369" spans="1:12" x14ac:dyDescent="0.2">
      <c r="A369" s="86"/>
    </row>
    <row r="370" spans="1:12" ht="12.75" customHeight="1" x14ac:dyDescent="0.2">
      <c r="A370" s="86"/>
    </row>
    <row r="371" spans="1:12" x14ac:dyDescent="0.2">
      <c r="A371" s="86"/>
    </row>
    <row r="372" spans="1:12" x14ac:dyDescent="0.2">
      <c r="A372" s="86"/>
    </row>
    <row r="373" spans="1:12" x14ac:dyDescent="0.2">
      <c r="A373" s="86"/>
    </row>
    <row r="374" spans="1:12" x14ac:dyDescent="0.2">
      <c r="A374" s="86"/>
    </row>
    <row r="375" spans="1:12" ht="12.75" customHeight="1" x14ac:dyDescent="0.2"/>
    <row r="376" spans="1:12" ht="12.75" customHeight="1" x14ac:dyDescent="0.2">
      <c r="A376" s="86"/>
    </row>
    <row r="377" spans="1:12" ht="11.25" customHeight="1" x14ac:dyDescent="0.2">
      <c r="A377" s="86"/>
    </row>
    <row r="378" spans="1:12" x14ac:dyDescent="0.2">
      <c r="L378" s="86"/>
    </row>
    <row r="379" spans="1:12" x14ac:dyDescent="0.2">
      <c r="L379" s="86"/>
    </row>
    <row r="380" spans="1:12" x14ac:dyDescent="0.2">
      <c r="L380" s="86"/>
    </row>
    <row r="381" spans="1:12" ht="14.25" customHeight="1" x14ac:dyDescent="0.2">
      <c r="L381" s="86"/>
    </row>
    <row r="382" spans="1:12" ht="8.25" customHeight="1" x14ac:dyDescent="0.2">
      <c r="L382" s="86"/>
    </row>
    <row r="383" spans="1:12" x14ac:dyDescent="0.2">
      <c r="L383" s="86"/>
    </row>
    <row r="384" spans="1:12" x14ac:dyDescent="0.2">
      <c r="L384" s="86"/>
    </row>
    <row r="385" spans="12:16" x14ac:dyDescent="0.2">
      <c r="L385" s="86"/>
    </row>
    <row r="386" spans="12:16" x14ac:dyDescent="0.2">
      <c r="L386" s="86"/>
    </row>
    <row r="387" spans="12:16" ht="25.5" customHeight="1" x14ac:dyDescent="0.2">
      <c r="L387" s="86"/>
    </row>
    <row r="388" spans="12:16" ht="12.75" customHeight="1" x14ac:dyDescent="0.2">
      <c r="L388" s="86"/>
    </row>
    <row r="389" spans="12:16" ht="12.75" customHeight="1" x14ac:dyDescent="0.2"/>
    <row r="390" spans="12:16" ht="12.75" customHeight="1" x14ac:dyDescent="0.2">
      <c r="L390" s="86"/>
    </row>
    <row r="391" spans="12:16" ht="12.75" customHeight="1" x14ac:dyDescent="0.2">
      <c r="L391" s="492"/>
      <c r="M391" s="492"/>
      <c r="N391" s="492"/>
      <c r="O391" s="492"/>
      <c r="P391" s="492"/>
    </row>
    <row r="392" spans="12:16" ht="12.75" customHeight="1" x14ac:dyDescent="0.2">
      <c r="L392" s="492"/>
      <c r="M392" s="492"/>
      <c r="N392" s="492"/>
      <c r="O392" s="492"/>
      <c r="P392" s="492"/>
    </row>
    <row r="393" spans="12:16" ht="12.75" customHeight="1" x14ac:dyDescent="0.2">
      <c r="L393" s="86"/>
    </row>
    <row r="394" spans="12:16" ht="12.75" customHeight="1" x14ac:dyDescent="0.2">
      <c r="L394" s="86"/>
    </row>
    <row r="395" spans="12:16" ht="12.75" customHeight="1" x14ac:dyDescent="0.2">
      <c r="L395" s="86"/>
    </row>
    <row r="396" spans="12:16" ht="12.75" customHeight="1" x14ac:dyDescent="0.2">
      <c r="L396" s="86"/>
    </row>
    <row r="397" spans="12:16" ht="12.75" customHeight="1" x14ac:dyDescent="0.2">
      <c r="L397" s="86"/>
    </row>
    <row r="398" spans="12:16" ht="12.75" customHeight="1" x14ac:dyDescent="0.2">
      <c r="L398" s="86"/>
    </row>
    <row r="399" spans="12:16" ht="12.75" customHeight="1" x14ac:dyDescent="0.2">
      <c r="L399" s="86"/>
    </row>
    <row r="400" spans="12:16" ht="12.75" customHeight="1" x14ac:dyDescent="0.2">
      <c r="L400" s="86"/>
    </row>
    <row r="401" spans="12:12" ht="12.75" customHeight="1" x14ac:dyDescent="0.2">
      <c r="L401" s="86"/>
    </row>
    <row r="402" spans="12:12" ht="12.75" customHeight="1" x14ac:dyDescent="0.2">
      <c r="L402" s="86"/>
    </row>
    <row r="403" spans="12:12" ht="12.75" customHeight="1" x14ac:dyDescent="0.2">
      <c r="L403" s="86"/>
    </row>
    <row r="404" spans="12:12" ht="12.75" customHeight="1" x14ac:dyDescent="0.2">
      <c r="L404" s="86"/>
    </row>
    <row r="405" spans="12:12" ht="12.75" customHeight="1" x14ac:dyDescent="0.2">
      <c r="L405" s="86"/>
    </row>
    <row r="406" spans="12:12" ht="12.75" customHeight="1" x14ac:dyDescent="0.2">
      <c r="L406" s="86"/>
    </row>
    <row r="407" spans="12:12" ht="12.75" customHeight="1" x14ac:dyDescent="0.2">
      <c r="L407" s="86"/>
    </row>
    <row r="408" spans="12:12" ht="12.75" customHeight="1" x14ac:dyDescent="0.2"/>
    <row r="409" spans="12:12" ht="12.75" customHeight="1" x14ac:dyDescent="0.2"/>
    <row r="410" spans="12:12" ht="12.75" customHeight="1" x14ac:dyDescent="0.2"/>
    <row r="411" spans="12:12" ht="12.75" customHeight="1" x14ac:dyDescent="0.2"/>
    <row r="412" spans="12:12" ht="12.75" customHeight="1" x14ac:dyDescent="0.2"/>
    <row r="413" spans="12:12" ht="12.75" customHeight="1" x14ac:dyDescent="0.2"/>
    <row r="414" spans="12:12" ht="12.75" customHeight="1" x14ac:dyDescent="0.2"/>
    <row r="415" spans="12:12" ht="12.75" customHeight="1" x14ac:dyDescent="0.2"/>
    <row r="416" spans="12:12" ht="12.75" customHeight="1" x14ac:dyDescent="0.2"/>
    <row r="417" ht="12.75" customHeight="1" x14ac:dyDescent="0.2"/>
  </sheetData>
  <mergeCells count="80">
    <mergeCell ref="B6:G6"/>
    <mergeCell ref="B7:G7"/>
    <mergeCell ref="B8:G8"/>
    <mergeCell ref="B9:G9"/>
    <mergeCell ref="B12:G12"/>
    <mergeCell ref="B24:G24"/>
    <mergeCell ref="B13:G13"/>
    <mergeCell ref="B14:G14"/>
    <mergeCell ref="B15:G15"/>
    <mergeCell ref="B16:G16"/>
    <mergeCell ref="B17:G17"/>
    <mergeCell ref="B18:G18"/>
    <mergeCell ref="B19:G19"/>
    <mergeCell ref="B20:G20"/>
    <mergeCell ref="B21:G21"/>
    <mergeCell ref="B22:G22"/>
    <mergeCell ref="B23:G23"/>
    <mergeCell ref="B25:G25"/>
    <mergeCell ref="B26:G26"/>
    <mergeCell ref="B28:G28"/>
    <mergeCell ref="B29:G29"/>
    <mergeCell ref="B30:G30"/>
    <mergeCell ref="B31:G31"/>
    <mergeCell ref="B32:G32"/>
    <mergeCell ref="B33:G33"/>
    <mergeCell ref="B37:G37"/>
    <mergeCell ref="B43:G43"/>
    <mergeCell ref="B55:G55"/>
    <mergeCell ref="B44:G44"/>
    <mergeCell ref="B45:G45"/>
    <mergeCell ref="B46:G46"/>
    <mergeCell ref="B47:G47"/>
    <mergeCell ref="B48:G48"/>
    <mergeCell ref="B49:G49"/>
    <mergeCell ref="B50:G50"/>
    <mergeCell ref="B51:G51"/>
    <mergeCell ref="B52:G52"/>
    <mergeCell ref="B53:G53"/>
    <mergeCell ref="B54:G54"/>
    <mergeCell ref="B71:G71"/>
    <mergeCell ref="B61:G61"/>
    <mergeCell ref="B62:G62"/>
    <mergeCell ref="B63:G63"/>
    <mergeCell ref="B56:G56"/>
    <mergeCell ref="B57:G57"/>
    <mergeCell ref="B58:G58"/>
    <mergeCell ref="B59:G59"/>
    <mergeCell ref="B60:G60"/>
    <mergeCell ref="B64:G64"/>
    <mergeCell ref="B65:G65"/>
    <mergeCell ref="B66:G66"/>
    <mergeCell ref="B67:G67"/>
    <mergeCell ref="B70:G70"/>
    <mergeCell ref="B72:G72"/>
    <mergeCell ref="B73:G73"/>
    <mergeCell ref="B74:G74"/>
    <mergeCell ref="B75:G75"/>
    <mergeCell ref="B82:G82"/>
    <mergeCell ref="B96:G96"/>
    <mergeCell ref="B83:G83"/>
    <mergeCell ref="B84:G84"/>
    <mergeCell ref="B85:G85"/>
    <mergeCell ref="B86:G86"/>
    <mergeCell ref="B87:G87"/>
    <mergeCell ref="B88:G88"/>
    <mergeCell ref="B89:G89"/>
    <mergeCell ref="B90:G90"/>
    <mergeCell ref="B91:G91"/>
    <mergeCell ref="B94:G94"/>
    <mergeCell ref="B95:G95"/>
    <mergeCell ref="B112:G112"/>
    <mergeCell ref="B116:G116"/>
    <mergeCell ref="B117:G117"/>
    <mergeCell ref="B118:G118"/>
    <mergeCell ref="B97:G97"/>
    <mergeCell ref="B99:G99"/>
    <mergeCell ref="B100:G100"/>
    <mergeCell ref="B101:G101"/>
    <mergeCell ref="B102:G102"/>
    <mergeCell ref="B103:G103"/>
  </mergeCells>
  <pageMargins left="0.51181102362204722" right="0.51181102362204722" top="0.78740157480314965" bottom="0.78740157480314965" header="0.31496062992125984" footer="0.31496062992125984"/>
  <pageSetup paperSize="9" scale="93" orientation="landscape" horizontalDpi="360" verticalDpi="360" r:id="rId1"/>
  <headerFooter>
    <oddHeader>&amp;L&amp;G&amp;R&amp;G</oddHeader>
    <oddFooter>&amp;C&amp;K04+000
&amp;9Rua Nilton Baldo, 744 – Bairro Jardim Paquetá - CEP 31.330-660 – Belo Horizonte / Minas Gerais.
Endereço Eletrônico: ottawaeng@terra.com.br – Telefax (31) 3418-2175 – CNPJ: 04.472.311/0001-04&amp;R&amp;9&amp;K03+000Página &amp;P de &amp;N</oddFooter>
  </headerFooter>
  <colBreaks count="1" manualBreakCount="1">
    <brk id="11" max="1048575" man="1"/>
  </colBreaks>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0"/>
  <sheetViews>
    <sheetView view="pageBreakPreview" zoomScale="90" zoomScaleNormal="100" zoomScaleSheetLayoutView="90" workbookViewId="0">
      <selection activeCell="B279" sqref="B279:G279"/>
    </sheetView>
  </sheetViews>
  <sheetFormatPr defaultRowHeight="12.75" x14ac:dyDescent="0.2"/>
  <cols>
    <col min="1" max="1" width="7.7109375" customWidth="1"/>
    <col min="2" max="2" width="25.140625" customWidth="1"/>
    <col min="4" max="4" width="20.42578125" customWidth="1"/>
    <col min="5" max="5" width="10.42578125" customWidth="1"/>
    <col min="6" max="6" width="8.5703125" customWidth="1"/>
    <col min="7" max="7" width="13" customWidth="1"/>
    <col min="8" max="8" width="8.5703125" customWidth="1"/>
    <col min="9" max="9" width="12.85546875" customWidth="1"/>
    <col min="10" max="10" width="16" customWidth="1"/>
    <col min="11" max="11" width="13.140625" customWidth="1"/>
  </cols>
  <sheetData>
    <row r="1" spans="1:12" ht="14.25" x14ac:dyDescent="0.2">
      <c r="A1" s="535"/>
      <c r="B1" s="536"/>
      <c r="C1" s="536"/>
      <c r="D1" s="536"/>
      <c r="E1" s="536"/>
      <c r="F1" s="381" t="s">
        <v>2010</v>
      </c>
      <c r="G1" s="382"/>
      <c r="H1" s="381" t="s">
        <v>199</v>
      </c>
      <c r="I1" s="383"/>
      <c r="J1" s="556" t="s">
        <v>2155</v>
      </c>
      <c r="K1" s="382"/>
    </row>
    <row r="2" spans="1:12" x14ac:dyDescent="0.2">
      <c r="A2" s="537"/>
      <c r="B2" s="516"/>
      <c r="C2" s="516"/>
      <c r="D2" s="516"/>
      <c r="E2" s="516"/>
      <c r="F2" s="384"/>
      <c r="G2" s="385"/>
      <c r="H2" s="386" t="s">
        <v>2159</v>
      </c>
      <c r="I2" s="387"/>
      <c r="J2" s="557" t="s">
        <v>2164</v>
      </c>
      <c r="K2" s="388"/>
    </row>
    <row r="3" spans="1:12" ht="14.25" x14ac:dyDescent="0.2">
      <c r="A3" s="537"/>
      <c r="B3" s="516"/>
      <c r="C3" s="516"/>
      <c r="D3" s="516"/>
      <c r="E3" s="516"/>
      <c r="F3" s="389" t="s">
        <v>2011</v>
      </c>
      <c r="G3" s="390"/>
      <c r="H3" s="389" t="s">
        <v>2012</v>
      </c>
      <c r="I3" s="391"/>
      <c r="J3" s="390"/>
      <c r="K3" s="392"/>
    </row>
    <row r="4" spans="1:12" ht="13.5" thickBot="1" x14ac:dyDescent="0.25">
      <c r="A4" s="537"/>
      <c r="B4" s="516"/>
      <c r="C4" s="516"/>
      <c r="D4" s="516"/>
      <c r="E4" s="516"/>
      <c r="F4" s="393"/>
      <c r="G4" s="493" t="s">
        <v>2013</v>
      </c>
      <c r="H4" s="558" t="s">
        <v>2082</v>
      </c>
      <c r="I4" s="559"/>
      <c r="J4" s="559"/>
      <c r="K4" s="560"/>
    </row>
    <row r="5" spans="1:12" ht="8.25" customHeight="1" x14ac:dyDescent="0.2">
      <c r="A5" s="537"/>
      <c r="B5" s="516"/>
      <c r="C5" s="516"/>
      <c r="D5" s="516"/>
      <c r="E5" s="516"/>
      <c r="F5" s="395"/>
      <c r="G5" s="396"/>
      <c r="H5" s="397"/>
      <c r="I5" s="397"/>
      <c r="J5" s="397"/>
      <c r="K5" s="538"/>
    </row>
    <row r="6" spans="1:12" ht="13.5" thickBot="1" x14ac:dyDescent="0.25">
      <c r="A6" s="539"/>
      <c r="B6" s="440"/>
      <c r="C6" s="440"/>
      <c r="D6" s="440"/>
      <c r="E6" s="440"/>
      <c r="F6" s="440"/>
      <c r="G6" s="440"/>
      <c r="H6" s="441"/>
      <c r="I6" s="442"/>
      <c r="J6" s="443"/>
      <c r="K6" s="416"/>
    </row>
    <row r="7" spans="1:12" ht="13.5" thickBot="1" x14ac:dyDescent="0.25">
      <c r="A7" s="398" t="s">
        <v>24</v>
      </c>
      <c r="B7" s="701" t="s">
        <v>2083</v>
      </c>
      <c r="C7" s="701"/>
      <c r="D7" s="701"/>
      <c r="E7" s="701"/>
      <c r="F7" s="701"/>
      <c r="G7" s="701"/>
      <c r="H7" s="399" t="s">
        <v>2015</v>
      </c>
      <c r="I7" s="399" t="s">
        <v>6</v>
      </c>
      <c r="J7" s="399" t="s">
        <v>2084</v>
      </c>
      <c r="K7" s="400" t="s">
        <v>2018</v>
      </c>
    </row>
    <row r="8" spans="1:12" ht="12.75" customHeight="1" x14ac:dyDescent="0.2">
      <c r="A8" s="494"/>
      <c r="B8" s="773"/>
      <c r="C8" s="774"/>
      <c r="D8" s="774"/>
      <c r="E8" s="774"/>
      <c r="F8" s="774"/>
      <c r="G8" s="775"/>
      <c r="H8" s="495"/>
      <c r="I8" s="496"/>
      <c r="J8" s="497"/>
      <c r="K8" s="498"/>
    </row>
    <row r="9" spans="1:12" x14ac:dyDescent="0.2">
      <c r="A9" s="499" t="s">
        <v>2085</v>
      </c>
      <c r="B9" s="776" t="s">
        <v>2082</v>
      </c>
      <c r="C9" s="777"/>
      <c r="D9" s="777"/>
      <c r="E9" s="777"/>
      <c r="F9" s="777"/>
      <c r="G9" s="778"/>
      <c r="H9" s="413"/>
      <c r="I9" s="413"/>
      <c r="J9" s="500"/>
      <c r="K9" s="501"/>
    </row>
    <row r="10" spans="1:12" ht="12.75" customHeight="1" x14ac:dyDescent="0.2">
      <c r="A10" s="405"/>
      <c r="B10" s="737"/>
      <c r="C10" s="738"/>
      <c r="D10" s="738"/>
      <c r="E10" s="738"/>
      <c r="F10" s="738"/>
      <c r="G10" s="739"/>
      <c r="H10" s="413"/>
      <c r="I10" s="413"/>
      <c r="J10" s="500"/>
      <c r="K10" s="501"/>
      <c r="L10" s="86"/>
    </row>
    <row r="11" spans="1:12" ht="12.75" customHeight="1" x14ac:dyDescent="0.2">
      <c r="A11" s="502"/>
      <c r="B11" s="720" t="s">
        <v>2086</v>
      </c>
      <c r="C11" s="721"/>
      <c r="D11" s="721"/>
      <c r="E11" s="721"/>
      <c r="F11" s="721"/>
      <c r="G11" s="722"/>
      <c r="H11" s="406"/>
      <c r="I11" s="407"/>
      <c r="J11" s="408"/>
      <c r="K11" s="409"/>
      <c r="L11" s="86"/>
    </row>
    <row r="12" spans="1:12" ht="12.75" customHeight="1" x14ac:dyDescent="0.2">
      <c r="A12" s="502"/>
      <c r="B12" s="410" t="s">
        <v>2022</v>
      </c>
      <c r="C12" s="411"/>
      <c r="D12" s="411"/>
      <c r="E12" s="411"/>
      <c r="F12" s="411"/>
      <c r="G12" s="412"/>
      <c r="H12" s="402" t="s">
        <v>2023</v>
      </c>
      <c r="I12" s="414">
        <v>350</v>
      </c>
      <c r="J12" s="415">
        <v>19.579999999999998</v>
      </c>
      <c r="K12" s="404">
        <f>J12*I12</f>
        <v>6852.9999999999991</v>
      </c>
      <c r="L12" s="86"/>
    </row>
    <row r="13" spans="1:12" x14ac:dyDescent="0.2">
      <c r="A13" s="405"/>
      <c r="B13" s="410"/>
      <c r="C13" s="411"/>
      <c r="D13" s="411"/>
      <c r="E13" s="411"/>
      <c r="F13" s="411"/>
      <c r="G13" s="412"/>
      <c r="H13" s="402"/>
      <c r="I13" s="414"/>
      <c r="J13" s="415"/>
      <c r="K13" s="404"/>
    </row>
    <row r="14" spans="1:12" s="420" customFormat="1" ht="12.75" customHeight="1" x14ac:dyDescent="0.2">
      <c r="A14" s="405"/>
      <c r="B14" s="711"/>
      <c r="C14" s="709"/>
      <c r="D14" s="709"/>
      <c r="E14" s="709"/>
      <c r="F14" s="709"/>
      <c r="G14" s="710"/>
      <c r="H14" s="402"/>
      <c r="I14" s="414"/>
      <c r="J14" s="417"/>
      <c r="K14" s="404"/>
      <c r="L14" s="419"/>
    </row>
    <row r="15" spans="1:12" ht="12.75" customHeight="1" x14ac:dyDescent="0.2">
      <c r="A15" s="405"/>
      <c r="B15" s="711" t="s">
        <v>2087</v>
      </c>
      <c r="C15" s="709"/>
      <c r="D15" s="709"/>
      <c r="E15" s="709"/>
      <c r="F15" s="709"/>
      <c r="G15" s="710"/>
      <c r="H15" s="402"/>
      <c r="I15" s="414"/>
      <c r="J15" s="417"/>
      <c r="K15" s="404"/>
      <c r="L15" s="86"/>
    </row>
    <row r="16" spans="1:12" s="420" customFormat="1" ht="12.75" customHeight="1" x14ac:dyDescent="0.2">
      <c r="A16" s="405"/>
      <c r="B16" s="468" t="s">
        <v>2088</v>
      </c>
      <c r="C16" s="485"/>
      <c r="D16" s="485"/>
      <c r="E16" s="485"/>
      <c r="F16" s="485"/>
      <c r="G16" s="486"/>
      <c r="H16" s="402" t="s">
        <v>18</v>
      </c>
      <c r="I16" s="414">
        <v>540</v>
      </c>
      <c r="J16" s="417">
        <v>1.49</v>
      </c>
      <c r="K16" s="404">
        <f>J16*I16</f>
        <v>804.6</v>
      </c>
      <c r="L16" s="419"/>
    </row>
    <row r="17" spans="1:12" ht="12.75" customHeight="1" x14ac:dyDescent="0.2">
      <c r="A17" s="405"/>
      <c r="B17" s="468" t="s">
        <v>2089</v>
      </c>
      <c r="C17" s="485"/>
      <c r="D17" s="485"/>
      <c r="E17" s="485"/>
      <c r="F17" s="485"/>
      <c r="G17" s="486"/>
      <c r="H17" s="424" t="s">
        <v>18</v>
      </c>
      <c r="I17" s="414">
        <v>600</v>
      </c>
      <c r="J17" s="403">
        <v>2.1800000000000002</v>
      </c>
      <c r="K17" s="404">
        <f>J17*I17</f>
        <v>1308</v>
      </c>
      <c r="L17" s="86"/>
    </row>
    <row r="18" spans="1:12" s="420" customFormat="1" ht="12.75" customHeight="1" x14ac:dyDescent="0.2">
      <c r="A18" s="405"/>
      <c r="B18" s="468"/>
      <c r="C18" s="485"/>
      <c r="D18" s="485"/>
      <c r="E18" s="485"/>
      <c r="F18" s="485"/>
      <c r="G18" s="486"/>
      <c r="H18" s="424"/>
      <c r="I18" s="414"/>
      <c r="J18" s="403"/>
      <c r="K18" s="404"/>
      <c r="L18" s="419"/>
    </row>
    <row r="19" spans="1:12" ht="12.75" customHeight="1" x14ac:dyDescent="0.2">
      <c r="A19" s="405"/>
      <c r="B19" s="468"/>
      <c r="C19" s="485"/>
      <c r="D19" s="485"/>
      <c r="E19" s="485"/>
      <c r="F19" s="485"/>
      <c r="G19" s="486"/>
      <c r="H19" s="424"/>
      <c r="I19" s="414"/>
      <c r="J19" s="403"/>
      <c r="K19" s="404"/>
      <c r="L19" s="86"/>
    </row>
    <row r="20" spans="1:12" ht="26.25" customHeight="1" x14ac:dyDescent="0.2">
      <c r="A20" s="405"/>
      <c r="B20" s="691" t="s">
        <v>2035</v>
      </c>
      <c r="C20" s="692"/>
      <c r="D20" s="692"/>
      <c r="E20" s="692"/>
      <c r="F20" s="692"/>
      <c r="G20" s="693"/>
      <c r="H20" s="413" t="s">
        <v>2023</v>
      </c>
      <c r="I20" s="414">
        <v>13</v>
      </c>
      <c r="J20" s="403">
        <v>389.45</v>
      </c>
      <c r="K20" s="404">
        <f>SUM(I20*J20)</f>
        <v>5062.8499999999995</v>
      </c>
      <c r="L20" s="86"/>
    </row>
    <row r="21" spans="1:12" ht="12.75" customHeight="1" x14ac:dyDescent="0.2">
      <c r="A21" s="405"/>
      <c r="B21" s="691"/>
      <c r="C21" s="692"/>
      <c r="D21" s="692"/>
      <c r="E21" s="692"/>
      <c r="F21" s="692"/>
      <c r="G21" s="693"/>
      <c r="H21" s="413"/>
      <c r="I21" s="414"/>
      <c r="J21" s="403"/>
      <c r="K21" s="416"/>
      <c r="L21" s="86"/>
    </row>
    <row r="22" spans="1:12" ht="12.75" customHeight="1" x14ac:dyDescent="0.2">
      <c r="A22" s="405"/>
      <c r="B22" s="666" t="s">
        <v>2036</v>
      </c>
      <c r="C22" s="667"/>
      <c r="D22" s="667"/>
      <c r="E22" s="667"/>
      <c r="F22" s="667"/>
      <c r="G22" s="668"/>
      <c r="H22" s="413" t="s">
        <v>2023</v>
      </c>
      <c r="I22" s="414">
        <v>13</v>
      </c>
      <c r="J22" s="415">
        <v>175.37</v>
      </c>
      <c r="K22" s="404">
        <f>SUM(I22*J22)</f>
        <v>2279.81</v>
      </c>
      <c r="L22" s="86"/>
    </row>
    <row r="23" spans="1:12" ht="12.75" customHeight="1" x14ac:dyDescent="0.2">
      <c r="A23" s="405"/>
      <c r="B23" s="729"/>
      <c r="C23" s="753"/>
      <c r="D23" s="753"/>
      <c r="E23" s="753"/>
      <c r="F23" s="753"/>
      <c r="G23" s="754"/>
      <c r="H23" s="413"/>
      <c r="I23" s="414"/>
      <c r="J23" s="415"/>
      <c r="K23" s="416"/>
      <c r="L23" s="86"/>
    </row>
    <row r="24" spans="1:12" ht="12.75" customHeight="1" x14ac:dyDescent="0.2">
      <c r="A24" s="405"/>
      <c r="B24" s="716"/>
      <c r="C24" s="717"/>
      <c r="D24" s="717"/>
      <c r="E24" s="717"/>
      <c r="F24" s="717"/>
      <c r="G24" s="761"/>
      <c r="H24" s="402"/>
      <c r="I24" s="414"/>
      <c r="J24" s="415"/>
      <c r="K24" s="427"/>
      <c r="L24" s="86"/>
    </row>
    <row r="25" spans="1:12" ht="12.75" customHeight="1" x14ac:dyDescent="0.2">
      <c r="A25" s="405"/>
      <c r="B25" s="716" t="s">
        <v>2058</v>
      </c>
      <c r="C25" s="717"/>
      <c r="D25" s="717"/>
      <c r="E25" s="717"/>
      <c r="F25" s="717"/>
      <c r="G25" s="761"/>
      <c r="H25" s="413"/>
      <c r="I25" s="414"/>
      <c r="J25" s="415"/>
      <c r="K25" s="427">
        <f>SUM(K12:K24)</f>
        <v>16308.259999999997</v>
      </c>
      <c r="L25" s="86"/>
    </row>
    <row r="26" spans="1:12" ht="12.75" customHeight="1" x14ac:dyDescent="0.2">
      <c r="A26" s="405"/>
      <c r="B26" s="666"/>
      <c r="C26" s="667"/>
      <c r="D26" s="667"/>
      <c r="E26" s="667"/>
      <c r="F26" s="667"/>
      <c r="G26" s="668"/>
      <c r="H26" s="402"/>
      <c r="I26" s="414"/>
      <c r="J26" s="415"/>
      <c r="K26" s="416"/>
      <c r="L26" s="86"/>
    </row>
    <row r="27" spans="1:12" ht="12.75" customHeight="1" x14ac:dyDescent="0.2">
      <c r="A27" s="405"/>
      <c r="B27" s="503" t="s">
        <v>2037</v>
      </c>
      <c r="C27" s="504"/>
      <c r="D27" s="504"/>
      <c r="E27" s="504"/>
      <c r="F27" s="504"/>
      <c r="G27" s="505"/>
      <c r="H27" s="402"/>
      <c r="I27" s="414"/>
      <c r="J27" s="415"/>
      <c r="K27" s="416"/>
      <c r="L27" s="86"/>
    </row>
    <row r="28" spans="1:12" x14ac:dyDescent="0.2">
      <c r="A28" s="506"/>
      <c r="B28" s="463"/>
      <c r="C28" s="440"/>
      <c r="D28" s="440"/>
      <c r="E28" s="440"/>
      <c r="F28" s="440"/>
      <c r="G28" s="507"/>
      <c r="H28" s="402"/>
      <c r="I28" s="414"/>
      <c r="J28" s="415"/>
      <c r="K28" s="416"/>
      <c r="L28" s="86"/>
    </row>
    <row r="29" spans="1:12" s="420" customFormat="1" ht="12.75" customHeight="1" x14ac:dyDescent="0.2">
      <c r="A29" s="506"/>
      <c r="B29" s="508" t="s">
        <v>2038</v>
      </c>
      <c r="C29" s="509"/>
      <c r="D29" s="509"/>
      <c r="E29" s="509"/>
      <c r="F29" s="509"/>
      <c r="G29" s="510"/>
      <c r="H29" s="434" t="s">
        <v>2039</v>
      </c>
      <c r="I29" s="414">
        <v>176</v>
      </c>
      <c r="J29" s="403">
        <v>56.12</v>
      </c>
      <c r="K29" s="416">
        <f>SUM(I29*J29)</f>
        <v>9877.119999999999</v>
      </c>
      <c r="L29" s="419"/>
    </row>
    <row r="30" spans="1:12" ht="15.75" customHeight="1" x14ac:dyDescent="0.2">
      <c r="A30" s="506"/>
      <c r="B30" s="431" t="s">
        <v>2040</v>
      </c>
      <c r="C30" s="476"/>
      <c r="D30" s="476"/>
      <c r="E30" s="476"/>
      <c r="F30" s="476"/>
      <c r="G30" s="477"/>
      <c r="H30" s="421" t="s">
        <v>2039</v>
      </c>
      <c r="I30" s="414">
        <v>176</v>
      </c>
      <c r="J30" s="403">
        <v>22.98</v>
      </c>
      <c r="K30" s="416">
        <f>J30*I30</f>
        <v>4044.48</v>
      </c>
      <c r="L30" s="86"/>
    </row>
    <row r="31" spans="1:12" s="420" customFormat="1" ht="12.75" customHeight="1" x14ac:dyDescent="0.2">
      <c r="A31" s="506"/>
      <c r="B31" s="475" t="s">
        <v>2090</v>
      </c>
      <c r="C31" s="476"/>
      <c r="D31" s="476"/>
      <c r="E31" s="476"/>
      <c r="F31" s="476"/>
      <c r="G31" s="477"/>
      <c r="H31" s="421" t="s">
        <v>2039</v>
      </c>
      <c r="I31" s="414">
        <v>88</v>
      </c>
      <c r="J31" s="403">
        <v>22.98</v>
      </c>
      <c r="K31" s="416">
        <f>J31*I31</f>
        <v>2022.24</v>
      </c>
    </row>
    <row r="32" spans="1:12" ht="13.5" customHeight="1" x14ac:dyDescent="0.2">
      <c r="A32" s="405"/>
      <c r="B32" s="703" t="s">
        <v>2091</v>
      </c>
      <c r="C32" s="704"/>
      <c r="D32" s="704"/>
      <c r="E32" s="704"/>
      <c r="F32" s="704"/>
      <c r="G32" s="705"/>
      <c r="H32" s="421"/>
      <c r="I32" s="414"/>
      <c r="J32" s="403"/>
      <c r="K32" s="427">
        <f>SUM(K29:K31)</f>
        <v>15943.839999999998</v>
      </c>
    </row>
    <row r="33" spans="1:12" s="420" customFormat="1" ht="15.75" customHeight="1" x14ac:dyDescent="0.2">
      <c r="A33" s="405"/>
      <c r="B33" s="703"/>
      <c r="C33" s="704"/>
      <c r="D33" s="704"/>
      <c r="E33" s="704"/>
      <c r="F33" s="704"/>
      <c r="G33" s="705"/>
      <c r="H33" s="421"/>
      <c r="I33" s="414"/>
      <c r="J33" s="403"/>
      <c r="K33" s="427"/>
      <c r="L33" s="419"/>
    </row>
    <row r="34" spans="1:12" x14ac:dyDescent="0.2">
      <c r="A34" s="405"/>
      <c r="B34" s="734"/>
      <c r="C34" s="735"/>
      <c r="D34" s="735"/>
      <c r="E34" s="735"/>
      <c r="F34" s="735"/>
      <c r="G34" s="736"/>
      <c r="H34" s="413"/>
      <c r="I34" s="414"/>
      <c r="J34" s="403"/>
      <c r="K34" s="416"/>
      <c r="L34" s="86"/>
    </row>
    <row r="35" spans="1:12" s="420" customFormat="1" ht="13.5" customHeight="1" x14ac:dyDescent="0.2">
      <c r="A35" s="405"/>
      <c r="B35" s="703" t="s">
        <v>2092</v>
      </c>
      <c r="C35" s="704"/>
      <c r="D35" s="704"/>
      <c r="E35" s="704"/>
      <c r="F35" s="704"/>
      <c r="G35" s="705"/>
      <c r="H35" s="413"/>
      <c r="I35" s="414"/>
      <c r="J35" s="403"/>
      <c r="K35" s="427">
        <f>K25+K32</f>
        <v>32252.099999999995</v>
      </c>
    </row>
    <row r="36" spans="1:12" s="420" customFormat="1" ht="13.5" customHeight="1" x14ac:dyDescent="0.2">
      <c r="A36" s="405"/>
      <c r="B36" s="478"/>
      <c r="C36" s="479"/>
      <c r="D36" s="479"/>
      <c r="E36" s="479"/>
      <c r="F36" s="479"/>
      <c r="G36" s="480"/>
      <c r="H36" s="413"/>
      <c r="I36" s="414"/>
      <c r="J36" s="423"/>
      <c r="K36" s="427"/>
    </row>
    <row r="37" spans="1:12" s="439" customFormat="1" ht="14.25" customHeight="1" x14ac:dyDescent="0.2">
      <c r="A37" s="405"/>
      <c r="B37" s="711"/>
      <c r="C37" s="709"/>
      <c r="D37" s="709"/>
      <c r="E37" s="709"/>
      <c r="F37" s="709"/>
      <c r="G37" s="710"/>
      <c r="H37" s="402"/>
      <c r="I37" s="422"/>
      <c r="J37" s="423"/>
      <c r="K37" s="416"/>
    </row>
    <row r="38" spans="1:12" ht="14.25" customHeight="1" thickBot="1" x14ac:dyDescent="0.25">
      <c r="A38" s="511"/>
      <c r="B38" s="750"/>
      <c r="C38" s="751"/>
      <c r="D38" s="751"/>
      <c r="E38" s="751"/>
      <c r="F38" s="751"/>
      <c r="G38" s="752"/>
      <c r="H38" s="512"/>
      <c r="I38" s="513"/>
      <c r="J38" s="514"/>
      <c r="K38" s="515"/>
    </row>
    <row r="39" spans="1:12" ht="14.25" x14ac:dyDescent="0.2">
      <c r="A39" s="535"/>
      <c r="B39" s="536"/>
      <c r="C39" s="536"/>
      <c r="D39" s="536"/>
      <c r="E39" s="536"/>
      <c r="F39" s="381" t="s">
        <v>2010</v>
      </c>
      <c r="G39" s="382"/>
      <c r="H39" s="381" t="s">
        <v>199</v>
      </c>
      <c r="I39" s="383"/>
      <c r="J39" s="556" t="s">
        <v>2155</v>
      </c>
      <c r="K39" s="382"/>
    </row>
    <row r="40" spans="1:12" x14ac:dyDescent="0.2">
      <c r="A40" s="537"/>
      <c r="B40" s="516"/>
      <c r="C40" s="516"/>
      <c r="D40" s="516"/>
      <c r="E40" s="516"/>
      <c r="F40" s="384"/>
      <c r="G40" s="385"/>
      <c r="H40" s="386" t="str">
        <f>H2</f>
        <v>POTIM-SP</v>
      </c>
      <c r="I40" s="387"/>
      <c r="J40" s="557" t="s">
        <v>2165</v>
      </c>
      <c r="K40" s="388"/>
    </row>
    <row r="41" spans="1:12" ht="14.25" x14ac:dyDescent="0.2">
      <c r="A41" s="537"/>
      <c r="B41" s="516"/>
      <c r="C41" s="516"/>
      <c r="D41" s="516"/>
      <c r="E41" s="516"/>
      <c r="F41" s="389" t="s">
        <v>2011</v>
      </c>
      <c r="G41" s="390"/>
      <c r="H41" s="389" t="s">
        <v>2012</v>
      </c>
      <c r="I41" s="391"/>
      <c r="J41" s="390"/>
      <c r="K41" s="392"/>
    </row>
    <row r="42" spans="1:12" ht="13.5" thickBot="1" x14ac:dyDescent="0.25">
      <c r="A42" s="537"/>
      <c r="B42" s="516"/>
      <c r="C42" s="516"/>
      <c r="D42" s="516"/>
      <c r="E42" s="516"/>
      <c r="F42" s="393"/>
      <c r="G42" s="493" t="s">
        <v>2013</v>
      </c>
      <c r="H42" s="558" t="s">
        <v>2093</v>
      </c>
      <c r="I42" s="559"/>
      <c r="J42" s="559"/>
      <c r="K42" s="560"/>
    </row>
    <row r="43" spans="1:12" ht="10.5" customHeight="1" thickBot="1" x14ac:dyDescent="0.25">
      <c r="A43" s="539"/>
      <c r="B43" s="516"/>
      <c r="C43" s="516"/>
      <c r="D43" s="516"/>
      <c r="E43" s="516"/>
      <c r="F43" s="395"/>
      <c r="G43" s="396"/>
      <c r="H43" s="397"/>
      <c r="I43" s="397"/>
      <c r="J43" s="397"/>
      <c r="K43" s="538"/>
    </row>
    <row r="44" spans="1:12" ht="13.5" thickBot="1" x14ac:dyDescent="0.25">
      <c r="A44" s="398" t="s">
        <v>24</v>
      </c>
      <c r="B44" s="701" t="s">
        <v>2083</v>
      </c>
      <c r="C44" s="701"/>
      <c r="D44" s="701"/>
      <c r="E44" s="701"/>
      <c r="F44" s="701"/>
      <c r="G44" s="701"/>
      <c r="H44" s="399" t="s">
        <v>2015</v>
      </c>
      <c r="I44" s="399" t="s">
        <v>6</v>
      </c>
      <c r="J44" s="399" t="s">
        <v>2084</v>
      </c>
      <c r="K44" s="400" t="s">
        <v>2018</v>
      </c>
    </row>
    <row r="45" spans="1:12" ht="17.25" customHeight="1" x14ac:dyDescent="0.2">
      <c r="A45" s="401">
        <v>2</v>
      </c>
      <c r="B45" s="683" t="s">
        <v>2094</v>
      </c>
      <c r="C45" s="684"/>
      <c r="D45" s="684"/>
      <c r="E45" s="684"/>
      <c r="F45" s="684"/>
      <c r="G45" s="685"/>
      <c r="H45" s="402"/>
      <c r="I45" s="402"/>
      <c r="J45" s="403"/>
      <c r="K45" s="404"/>
    </row>
    <row r="46" spans="1:12" s="420" customFormat="1" ht="16.5" customHeight="1" x14ac:dyDescent="0.2">
      <c r="A46" s="405"/>
      <c r="B46" s="737"/>
      <c r="C46" s="738"/>
      <c r="D46" s="738"/>
      <c r="E46" s="738"/>
      <c r="F46" s="738"/>
      <c r="G46" s="739"/>
      <c r="H46" s="406"/>
      <c r="I46" s="407"/>
      <c r="J46" s="408"/>
      <c r="K46" s="409"/>
      <c r="L46" s="419"/>
    </row>
    <row r="47" spans="1:12" ht="12.75" customHeight="1" x14ac:dyDescent="0.2">
      <c r="A47" s="405"/>
      <c r="B47" s="720" t="s">
        <v>2095</v>
      </c>
      <c r="C47" s="721"/>
      <c r="D47" s="721"/>
      <c r="E47" s="721"/>
      <c r="F47" s="721"/>
      <c r="G47" s="722"/>
      <c r="H47" s="406"/>
      <c r="I47" s="407"/>
      <c r="J47" s="408"/>
      <c r="K47" s="409"/>
      <c r="L47" s="86"/>
    </row>
    <row r="48" spans="1:12" s="420" customFormat="1" ht="12.75" customHeight="1" x14ac:dyDescent="0.2">
      <c r="A48" s="405"/>
      <c r="B48" s="726" t="s">
        <v>2096</v>
      </c>
      <c r="C48" s="727"/>
      <c r="D48" s="727"/>
      <c r="E48" s="727"/>
      <c r="F48" s="727"/>
      <c r="G48" s="728"/>
      <c r="H48" s="402" t="s">
        <v>18</v>
      </c>
      <c r="I48" s="414">
        <v>25</v>
      </c>
      <c r="J48" s="403">
        <v>7.91</v>
      </c>
      <c r="K48" s="404">
        <f>J48*I48</f>
        <v>197.75</v>
      </c>
      <c r="L48" s="419"/>
    </row>
    <row r="49" spans="1:13" s="439" customFormat="1" ht="12.75" customHeight="1" x14ac:dyDescent="0.2">
      <c r="A49" s="405"/>
      <c r="B49" s="726"/>
      <c r="C49" s="727"/>
      <c r="D49" s="727"/>
      <c r="E49" s="727"/>
      <c r="F49" s="727"/>
      <c r="G49" s="728"/>
      <c r="H49" s="402"/>
      <c r="I49" s="414"/>
      <c r="J49" s="500"/>
      <c r="K49" s="416"/>
      <c r="L49" s="452"/>
    </row>
    <row r="50" spans="1:13" ht="12.75" customHeight="1" x14ac:dyDescent="0.2">
      <c r="A50" s="405"/>
      <c r="B50" s="711" t="s">
        <v>2087</v>
      </c>
      <c r="C50" s="709"/>
      <c r="D50" s="709"/>
      <c r="E50" s="709"/>
      <c r="F50" s="709"/>
      <c r="G50" s="710"/>
      <c r="H50" s="402"/>
      <c r="I50" s="414"/>
      <c r="J50" s="415"/>
      <c r="K50" s="416"/>
    </row>
    <row r="51" spans="1:13" ht="12.75" customHeight="1" x14ac:dyDescent="0.2">
      <c r="A51" s="405"/>
      <c r="B51" s="711" t="s">
        <v>2026</v>
      </c>
      <c r="C51" s="709"/>
      <c r="D51" s="709"/>
      <c r="E51" s="709"/>
      <c r="F51" s="709"/>
      <c r="G51" s="710"/>
      <c r="H51" s="402" t="s">
        <v>18</v>
      </c>
      <c r="I51" s="414">
        <v>350</v>
      </c>
      <c r="J51" s="417">
        <v>1.49</v>
      </c>
      <c r="K51" s="404">
        <f>J51*I51</f>
        <v>521.5</v>
      </c>
    </row>
    <row r="52" spans="1:13" s="420" customFormat="1" x14ac:dyDescent="0.2">
      <c r="A52" s="405"/>
      <c r="B52" s="711" t="s">
        <v>2027</v>
      </c>
      <c r="C52" s="709"/>
      <c r="D52" s="709"/>
      <c r="E52" s="709"/>
      <c r="F52" s="709"/>
      <c r="G52" s="710"/>
      <c r="H52" s="402" t="s">
        <v>18</v>
      </c>
      <c r="I52" s="414">
        <v>100</v>
      </c>
      <c r="J52" s="417">
        <v>2.1800000000000002</v>
      </c>
      <c r="K52" s="404">
        <f>J52*I52</f>
        <v>218.00000000000003</v>
      </c>
    </row>
    <row r="53" spans="1:13" x14ac:dyDescent="0.2">
      <c r="A53" s="405"/>
      <c r="B53" s="672" t="s">
        <v>2097</v>
      </c>
      <c r="C53" s="709"/>
      <c r="D53" s="709"/>
      <c r="E53" s="709"/>
      <c r="F53" s="709"/>
      <c r="G53" s="710"/>
      <c r="H53" s="402" t="s">
        <v>18</v>
      </c>
      <c r="I53" s="414">
        <v>40</v>
      </c>
      <c r="J53" s="417">
        <v>3.02</v>
      </c>
      <c r="K53" s="404">
        <f>J53*I53</f>
        <v>120.8</v>
      </c>
    </row>
    <row r="54" spans="1:13" ht="13.5" customHeight="1" x14ac:dyDescent="0.2">
      <c r="A54" s="405"/>
      <c r="B54" s="666"/>
      <c r="C54" s="676"/>
      <c r="D54" s="676"/>
      <c r="E54" s="676"/>
      <c r="F54" s="676"/>
      <c r="G54" s="677"/>
      <c r="H54" s="424"/>
      <c r="I54" s="414"/>
      <c r="J54" s="425"/>
      <c r="K54" s="404"/>
    </row>
    <row r="55" spans="1:13" ht="14.25" customHeight="1" x14ac:dyDescent="0.2">
      <c r="A55" s="405"/>
      <c r="B55" s="672" t="s">
        <v>2098</v>
      </c>
      <c r="C55" s="673"/>
      <c r="D55" s="673"/>
      <c r="E55" s="673"/>
      <c r="F55" s="673"/>
      <c r="G55" s="674"/>
      <c r="H55" s="402" t="s">
        <v>2023</v>
      </c>
      <c r="I55" s="422">
        <v>10</v>
      </c>
      <c r="J55" s="423">
        <v>23.56</v>
      </c>
      <c r="K55" s="416">
        <f>SUM(I55*J55)</f>
        <v>235.6</v>
      </c>
    </row>
    <row r="56" spans="1:13" ht="14.25" customHeight="1" x14ac:dyDescent="0.2">
      <c r="A56" s="405"/>
      <c r="B56" s="672" t="s">
        <v>2099</v>
      </c>
      <c r="C56" s="709"/>
      <c r="D56" s="709"/>
      <c r="E56" s="709"/>
      <c r="F56" s="709"/>
      <c r="G56" s="710"/>
      <c r="H56" s="402" t="s">
        <v>2023</v>
      </c>
      <c r="I56" s="422">
        <v>16</v>
      </c>
      <c r="J56" s="423">
        <v>28.19</v>
      </c>
      <c r="K56" s="416">
        <f>SUM(I56*J56)</f>
        <v>451.04</v>
      </c>
    </row>
    <row r="57" spans="1:13" ht="12.75" customHeight="1" x14ac:dyDescent="0.2">
      <c r="A57" s="405"/>
      <c r="B57" s="672" t="s">
        <v>2100</v>
      </c>
      <c r="C57" s="709"/>
      <c r="D57" s="709"/>
      <c r="E57" s="709"/>
      <c r="F57" s="709"/>
      <c r="G57" s="710"/>
      <c r="H57" s="402" t="s">
        <v>2023</v>
      </c>
      <c r="I57" s="422">
        <v>1</v>
      </c>
      <c r="J57" s="423">
        <v>35.159999999999997</v>
      </c>
      <c r="K57" s="416">
        <f>SUM(I57*J57)</f>
        <v>35.159999999999997</v>
      </c>
      <c r="L57" s="444"/>
      <c r="M57" s="86"/>
    </row>
    <row r="58" spans="1:13" ht="12.75" customHeight="1" x14ac:dyDescent="0.2">
      <c r="A58" s="405"/>
      <c r="B58" s="729" t="s">
        <v>2101</v>
      </c>
      <c r="C58" s="753"/>
      <c r="D58" s="753"/>
      <c r="E58" s="753"/>
      <c r="F58" s="753"/>
      <c r="G58" s="754"/>
      <c r="H58" s="402"/>
      <c r="I58" s="422"/>
      <c r="J58" s="423"/>
      <c r="K58" s="416"/>
    </row>
    <row r="59" spans="1:13" ht="14.25" customHeight="1" x14ac:dyDescent="0.2">
      <c r="A59" s="405"/>
      <c r="B59" s="691" t="s">
        <v>2102</v>
      </c>
      <c r="C59" s="692"/>
      <c r="D59" s="692"/>
      <c r="E59" s="692"/>
      <c r="F59" s="692"/>
      <c r="G59" s="693"/>
      <c r="H59" s="413" t="s">
        <v>19</v>
      </c>
      <c r="I59" s="414">
        <v>1</v>
      </c>
      <c r="J59" s="403">
        <v>435.78</v>
      </c>
      <c r="K59" s="416">
        <f t="shared" ref="K59:K66" si="0">SUM(I59*J59)</f>
        <v>435.78</v>
      </c>
    </row>
    <row r="60" spans="1:13" ht="12.75" customHeight="1" x14ac:dyDescent="0.2">
      <c r="A60" s="405"/>
      <c r="B60" s="431" t="s">
        <v>2103</v>
      </c>
      <c r="C60" s="432"/>
      <c r="D60" s="432"/>
      <c r="E60" s="432"/>
      <c r="F60" s="432"/>
      <c r="G60" s="433"/>
      <c r="H60" s="413" t="s">
        <v>2023</v>
      </c>
      <c r="I60" s="414">
        <v>1</v>
      </c>
      <c r="J60" s="403">
        <v>18.95</v>
      </c>
      <c r="K60" s="416">
        <f t="shared" si="0"/>
        <v>18.95</v>
      </c>
    </row>
    <row r="61" spans="1:13" ht="14.25" customHeight="1" x14ac:dyDescent="0.2">
      <c r="A61" s="405"/>
      <c r="B61" s="431" t="s">
        <v>2104</v>
      </c>
      <c r="C61" s="432"/>
      <c r="D61" s="432"/>
      <c r="E61" s="432"/>
      <c r="F61" s="432"/>
      <c r="G61" s="433"/>
      <c r="H61" s="413" t="s">
        <v>2023</v>
      </c>
      <c r="I61" s="414">
        <v>1</v>
      </c>
      <c r="J61" s="403">
        <v>18.95</v>
      </c>
      <c r="K61" s="416">
        <f t="shared" si="0"/>
        <v>18.95</v>
      </c>
      <c r="L61" s="86"/>
    </row>
    <row r="62" spans="1:13" x14ac:dyDescent="0.2">
      <c r="A62" s="405"/>
      <c r="B62" s="431" t="s">
        <v>2105</v>
      </c>
      <c r="C62" s="432"/>
      <c r="D62" s="432"/>
      <c r="E62" s="432"/>
      <c r="F62" s="432"/>
      <c r="G62" s="433"/>
      <c r="H62" s="413" t="s">
        <v>2023</v>
      </c>
      <c r="I62" s="414">
        <v>1</v>
      </c>
      <c r="J62" s="403">
        <v>34.29</v>
      </c>
      <c r="K62" s="416">
        <f t="shared" si="0"/>
        <v>34.29</v>
      </c>
      <c r="L62" s="86"/>
    </row>
    <row r="63" spans="1:13" ht="13.5" customHeight="1" x14ac:dyDescent="0.2">
      <c r="A63" s="405"/>
      <c r="B63" s="431" t="s">
        <v>2106</v>
      </c>
      <c r="C63" s="432"/>
      <c r="D63" s="432"/>
      <c r="E63" s="432"/>
      <c r="F63" s="432"/>
      <c r="G63" s="433"/>
      <c r="H63" s="413" t="s">
        <v>2023</v>
      </c>
      <c r="I63" s="414">
        <v>1</v>
      </c>
      <c r="J63" s="403">
        <v>34.29</v>
      </c>
      <c r="K63" s="416">
        <f t="shared" si="0"/>
        <v>34.29</v>
      </c>
      <c r="L63" s="86"/>
    </row>
    <row r="64" spans="1:13" ht="13.5" customHeight="1" x14ac:dyDescent="0.2">
      <c r="A64" s="405"/>
      <c r="B64" s="431" t="s">
        <v>2107</v>
      </c>
      <c r="C64" s="432"/>
      <c r="D64" s="432"/>
      <c r="E64" s="432"/>
      <c r="F64" s="432"/>
      <c r="G64" s="433"/>
      <c r="H64" s="413" t="s">
        <v>2023</v>
      </c>
      <c r="I64" s="414">
        <v>3</v>
      </c>
      <c r="J64" s="403">
        <v>34.29</v>
      </c>
      <c r="K64" s="416">
        <f t="shared" si="0"/>
        <v>102.87</v>
      </c>
      <c r="L64" s="86"/>
    </row>
    <row r="65" spans="1:12" ht="15.75" customHeight="1" x14ac:dyDescent="0.2">
      <c r="A65" s="405"/>
      <c r="B65" s="431" t="s">
        <v>2108</v>
      </c>
      <c r="C65" s="432"/>
      <c r="D65" s="432"/>
      <c r="E65" s="432"/>
      <c r="F65" s="432"/>
      <c r="G65" s="433"/>
      <c r="H65" s="413" t="s">
        <v>2023</v>
      </c>
      <c r="I65" s="414">
        <v>2</v>
      </c>
      <c r="J65" s="403">
        <v>48.19</v>
      </c>
      <c r="K65" s="416">
        <f t="shared" si="0"/>
        <v>96.38</v>
      </c>
      <c r="L65" s="86"/>
    </row>
    <row r="66" spans="1:12" ht="15.75" customHeight="1" x14ac:dyDescent="0.2">
      <c r="A66" s="405"/>
      <c r="B66" s="431" t="s">
        <v>2172</v>
      </c>
      <c r="C66" s="432"/>
      <c r="D66" s="432"/>
      <c r="E66" s="432"/>
      <c r="F66" s="432"/>
      <c r="G66" s="433"/>
      <c r="H66" s="413" t="s">
        <v>2023</v>
      </c>
      <c r="I66" s="414">
        <v>1</v>
      </c>
      <c r="J66" s="403">
        <v>48.19</v>
      </c>
      <c r="K66" s="416">
        <f t="shared" si="0"/>
        <v>48.19</v>
      </c>
      <c r="L66" s="86"/>
    </row>
    <row r="67" spans="1:12" ht="15.75" customHeight="1" x14ac:dyDescent="0.2">
      <c r="A67" s="405"/>
      <c r="B67" s="691" t="s">
        <v>2173</v>
      </c>
      <c r="C67" s="692"/>
      <c r="D67" s="692"/>
      <c r="E67" s="692"/>
      <c r="F67" s="692"/>
      <c r="G67" s="693"/>
      <c r="H67" s="413"/>
      <c r="I67" s="414"/>
      <c r="J67" s="403"/>
      <c r="K67" s="416"/>
      <c r="L67" s="86"/>
    </row>
    <row r="68" spans="1:12" ht="15.75" customHeight="1" x14ac:dyDescent="0.2">
      <c r="A68" s="405"/>
      <c r="B68" s="666" t="s">
        <v>2109</v>
      </c>
      <c r="C68" s="676"/>
      <c r="D68" s="676"/>
      <c r="E68" s="676"/>
      <c r="F68" s="676"/>
      <c r="G68" s="677"/>
      <c r="H68" s="424" t="s">
        <v>2023</v>
      </c>
      <c r="I68" s="414">
        <v>3</v>
      </c>
      <c r="J68" s="425">
        <v>62.35</v>
      </c>
      <c r="K68" s="404">
        <f>J68*I68</f>
        <v>187.05</v>
      </c>
      <c r="L68" s="86"/>
    </row>
    <row r="69" spans="1:12" x14ac:dyDescent="0.2">
      <c r="A69" s="405"/>
      <c r="B69" s="666" t="s">
        <v>2110</v>
      </c>
      <c r="C69" s="676"/>
      <c r="D69" s="676"/>
      <c r="E69" s="676"/>
      <c r="F69" s="676"/>
      <c r="G69" s="677"/>
      <c r="H69" s="413" t="s">
        <v>2023</v>
      </c>
      <c r="I69" s="414">
        <v>7</v>
      </c>
      <c r="J69" s="403">
        <v>137.33000000000001</v>
      </c>
      <c r="K69" s="404">
        <f>J69*I69</f>
        <v>961.31000000000006</v>
      </c>
      <c r="L69" s="86"/>
    </row>
    <row r="70" spans="1:12" ht="15.75" customHeight="1" x14ac:dyDescent="0.2">
      <c r="A70" s="405"/>
      <c r="B70" s="691" t="s">
        <v>2111</v>
      </c>
      <c r="C70" s="692"/>
      <c r="D70" s="692"/>
      <c r="E70" s="692"/>
      <c r="F70" s="692"/>
      <c r="G70" s="693"/>
      <c r="H70" s="413"/>
      <c r="I70" s="414"/>
      <c r="J70" s="403"/>
      <c r="K70" s="416"/>
      <c r="L70" s="86"/>
    </row>
    <row r="71" spans="1:12" ht="15.75" customHeight="1" x14ac:dyDescent="0.2">
      <c r="A71" s="405"/>
      <c r="B71" s="691" t="s">
        <v>2112</v>
      </c>
      <c r="C71" s="692"/>
      <c r="D71" s="692"/>
      <c r="E71" s="692"/>
      <c r="F71" s="692"/>
      <c r="G71" s="693"/>
      <c r="H71" s="413" t="s">
        <v>2023</v>
      </c>
      <c r="I71" s="414">
        <v>7</v>
      </c>
      <c r="J71" s="403">
        <v>12.35</v>
      </c>
      <c r="K71" s="416">
        <f>SUM(I71*J71)</f>
        <v>86.45</v>
      </c>
      <c r="L71" s="86"/>
    </row>
    <row r="72" spans="1:12" ht="15.75" customHeight="1" x14ac:dyDescent="0.2">
      <c r="A72" s="405"/>
      <c r="B72" s="431" t="s">
        <v>2113</v>
      </c>
      <c r="C72" s="432"/>
      <c r="D72" s="432"/>
      <c r="E72" s="432"/>
      <c r="F72" s="432"/>
      <c r="G72" s="433"/>
      <c r="H72" s="413" t="s">
        <v>2023</v>
      </c>
      <c r="I72" s="414">
        <v>5</v>
      </c>
      <c r="J72" s="403">
        <v>12.35</v>
      </c>
      <c r="K72" s="416">
        <f>SUM(I72*J72)</f>
        <v>61.75</v>
      </c>
      <c r="L72" s="86"/>
    </row>
    <row r="73" spans="1:12" x14ac:dyDescent="0.2">
      <c r="A73" s="405"/>
      <c r="B73" s="431" t="s">
        <v>2114</v>
      </c>
      <c r="C73" s="432"/>
      <c r="D73" s="432"/>
      <c r="E73" s="432"/>
      <c r="F73" s="432"/>
      <c r="G73" s="433"/>
      <c r="H73" s="413" t="s">
        <v>2023</v>
      </c>
      <c r="I73" s="414">
        <v>6</v>
      </c>
      <c r="J73" s="403">
        <v>15.17</v>
      </c>
      <c r="K73" s="416">
        <f>SUM(I73*J73)</f>
        <v>91.02</v>
      </c>
      <c r="L73" s="86"/>
    </row>
    <row r="74" spans="1:12" s="439" customFormat="1" ht="14.25" customHeight="1" thickBot="1" x14ac:dyDescent="0.25">
      <c r="A74" s="438"/>
      <c r="B74" s="723"/>
      <c r="C74" s="724"/>
      <c r="D74" s="724"/>
      <c r="E74" s="724"/>
      <c r="F74" s="724"/>
      <c r="G74" s="725"/>
      <c r="H74" s="512"/>
      <c r="I74" s="521"/>
      <c r="J74" s="519"/>
      <c r="K74" s="515"/>
    </row>
    <row r="75" spans="1:12" ht="15.75" customHeight="1" x14ac:dyDescent="0.2">
      <c r="A75" s="535"/>
      <c r="B75" s="536"/>
      <c r="C75" s="536"/>
      <c r="D75" s="536"/>
      <c r="E75" s="544"/>
      <c r="F75" s="381" t="s">
        <v>2010</v>
      </c>
      <c r="G75" s="382"/>
      <c r="H75" s="381" t="s">
        <v>199</v>
      </c>
      <c r="I75" s="383"/>
      <c r="J75" s="556" t="s">
        <v>2155</v>
      </c>
      <c r="K75" s="382"/>
    </row>
    <row r="76" spans="1:12" x14ac:dyDescent="0.2">
      <c r="A76" s="537"/>
      <c r="B76" s="516"/>
      <c r="C76" s="516"/>
      <c r="D76" s="516"/>
      <c r="E76" s="516"/>
      <c r="F76" s="384"/>
      <c r="G76" s="385"/>
      <c r="H76" s="386" t="str">
        <f>H2</f>
        <v>POTIM-SP</v>
      </c>
      <c r="I76" s="387"/>
      <c r="J76" s="557" t="s">
        <v>2165</v>
      </c>
      <c r="K76" s="388"/>
    </row>
    <row r="77" spans="1:12" ht="14.25" x14ac:dyDescent="0.2">
      <c r="A77" s="537"/>
      <c r="B77" s="516"/>
      <c r="C77" s="516"/>
      <c r="D77" s="516"/>
      <c r="E77" s="516"/>
      <c r="F77" s="389" t="s">
        <v>2011</v>
      </c>
      <c r="G77" s="390"/>
      <c r="H77" s="389" t="s">
        <v>2012</v>
      </c>
      <c r="I77" s="391"/>
      <c r="J77" s="390"/>
      <c r="K77" s="392"/>
    </row>
    <row r="78" spans="1:12" ht="13.5" thickBot="1" x14ac:dyDescent="0.25">
      <c r="A78" s="537"/>
      <c r="B78" s="516"/>
      <c r="C78" s="516"/>
      <c r="D78" s="516"/>
      <c r="E78" s="516"/>
      <c r="F78" s="393"/>
      <c r="G78" s="493" t="s">
        <v>2013</v>
      </c>
      <c r="H78" s="558" t="s">
        <v>2093</v>
      </c>
      <c r="I78" s="559"/>
      <c r="J78" s="559"/>
      <c r="K78" s="560"/>
    </row>
    <row r="79" spans="1:12" ht="8.25" customHeight="1" thickBot="1" x14ac:dyDescent="0.25">
      <c r="A79" s="539"/>
      <c r="B79" s="440"/>
      <c r="C79" s="440"/>
      <c r="D79" s="440"/>
      <c r="E79" s="440"/>
      <c r="F79" s="440"/>
      <c r="G79" s="440"/>
      <c r="H79" s="441"/>
      <c r="I79" s="442"/>
      <c r="J79" s="443"/>
      <c r="K79" s="416"/>
    </row>
    <row r="80" spans="1:12" s="439" customFormat="1" ht="13.5" thickBot="1" x14ac:dyDescent="0.25">
      <c r="A80" s="398" t="s">
        <v>24</v>
      </c>
      <c r="B80" s="701" t="s">
        <v>2083</v>
      </c>
      <c r="C80" s="701"/>
      <c r="D80" s="701"/>
      <c r="E80" s="701"/>
      <c r="F80" s="701"/>
      <c r="G80" s="701"/>
      <c r="H80" s="399" t="s">
        <v>2015</v>
      </c>
      <c r="I80" s="399" t="s">
        <v>6</v>
      </c>
      <c r="J80" s="399" t="s">
        <v>2084</v>
      </c>
      <c r="K80" s="400" t="s">
        <v>2018</v>
      </c>
      <c r="L80" s="452"/>
    </row>
    <row r="81" spans="1:12" s="439" customFormat="1" x14ac:dyDescent="0.2">
      <c r="A81" s="445"/>
      <c r="B81" s="702"/>
      <c r="C81" s="702"/>
      <c r="D81" s="702"/>
      <c r="E81" s="702"/>
      <c r="F81" s="702"/>
      <c r="G81" s="702"/>
      <c r="H81" s="446"/>
      <c r="I81" s="447"/>
      <c r="J81" s="447"/>
      <c r="K81" s="448"/>
      <c r="L81" s="452"/>
    </row>
    <row r="82" spans="1:12" s="439" customFormat="1" ht="12.75" customHeight="1" x14ac:dyDescent="0.2">
      <c r="A82" s="405"/>
      <c r="B82" s="772" t="s">
        <v>2115</v>
      </c>
      <c r="C82" s="718"/>
      <c r="D82" s="718"/>
      <c r="E82" s="718"/>
      <c r="F82" s="718"/>
      <c r="G82" s="719"/>
      <c r="H82" s="413" t="s">
        <v>2023</v>
      </c>
      <c r="I82" s="414">
        <v>12</v>
      </c>
      <c r="J82" s="403">
        <v>15.17</v>
      </c>
      <c r="K82" s="416">
        <f>SUM(I82*J82)</f>
        <v>182.04</v>
      </c>
    </row>
    <row r="83" spans="1:12" s="439" customFormat="1" ht="12.75" customHeight="1" x14ac:dyDescent="0.2">
      <c r="A83" s="405"/>
      <c r="B83" s="716"/>
      <c r="C83" s="717"/>
      <c r="D83" s="717"/>
      <c r="E83" s="717"/>
      <c r="F83" s="717"/>
      <c r="G83" s="761"/>
      <c r="H83" s="402"/>
      <c r="I83" s="414"/>
      <c r="J83" s="415"/>
      <c r="K83" s="427"/>
    </row>
    <row r="84" spans="1:12" s="439" customFormat="1" ht="12.75" customHeight="1" x14ac:dyDescent="0.2">
      <c r="A84" s="449"/>
      <c r="B84" s="726" t="s">
        <v>2055</v>
      </c>
      <c r="C84" s="727"/>
      <c r="D84" s="727"/>
      <c r="E84" s="727"/>
      <c r="F84" s="727"/>
      <c r="G84" s="728"/>
      <c r="H84" s="402" t="s">
        <v>2116</v>
      </c>
      <c r="I84" s="414">
        <v>1</v>
      </c>
      <c r="J84" s="500">
        <v>450</v>
      </c>
      <c r="K84" s="416">
        <f>SUM(I84*J84)</f>
        <v>450</v>
      </c>
      <c r="L84" s="452"/>
    </row>
    <row r="85" spans="1:12" s="439" customFormat="1" x14ac:dyDescent="0.2">
      <c r="A85" s="405"/>
      <c r="B85" s="716"/>
      <c r="C85" s="717"/>
      <c r="D85" s="717"/>
      <c r="E85" s="717"/>
      <c r="F85" s="717"/>
      <c r="G85" s="761"/>
      <c r="H85" s="402"/>
      <c r="I85" s="414"/>
      <c r="J85" s="415"/>
      <c r="K85" s="427"/>
      <c r="L85" s="452"/>
    </row>
    <row r="86" spans="1:12" s="420" customFormat="1" x14ac:dyDescent="0.2">
      <c r="A86" s="405"/>
      <c r="B86" s="720"/>
      <c r="C86" s="721"/>
      <c r="D86" s="721"/>
      <c r="E86" s="721"/>
      <c r="F86" s="721"/>
      <c r="G86" s="722"/>
      <c r="H86" s="446"/>
      <c r="I86" s="451"/>
      <c r="J86" s="403"/>
      <c r="K86" s="404"/>
      <c r="L86" s="419"/>
    </row>
    <row r="87" spans="1:12" s="439" customFormat="1" ht="12.75" customHeight="1" x14ac:dyDescent="0.2">
      <c r="A87" s="405"/>
      <c r="B87" s="666"/>
      <c r="C87" s="676"/>
      <c r="D87" s="676"/>
      <c r="E87" s="676"/>
      <c r="F87" s="676"/>
      <c r="G87" s="677"/>
      <c r="H87" s="402"/>
      <c r="I87" s="450"/>
      <c r="J87" s="415"/>
      <c r="K87" s="404"/>
    </row>
    <row r="88" spans="1:12" s="420" customFormat="1" ht="12.75" customHeight="1" x14ac:dyDescent="0.2">
      <c r="A88" s="405"/>
      <c r="B88" s="675"/>
      <c r="C88" s="676"/>
      <c r="D88" s="676"/>
      <c r="E88" s="676"/>
      <c r="F88" s="676"/>
      <c r="G88" s="677"/>
      <c r="H88" s="402"/>
      <c r="I88" s="450"/>
      <c r="J88" s="415"/>
      <c r="K88" s="404"/>
      <c r="L88" s="419"/>
    </row>
    <row r="89" spans="1:12" s="439" customFormat="1" x14ac:dyDescent="0.2">
      <c r="A89" s="405"/>
      <c r="B89" s="716"/>
      <c r="C89" s="717"/>
      <c r="D89" s="717"/>
      <c r="E89" s="717"/>
      <c r="F89" s="717"/>
      <c r="G89" s="761"/>
      <c r="H89" s="402"/>
      <c r="I89" s="414"/>
      <c r="J89" s="415"/>
      <c r="K89" s="416"/>
    </row>
    <row r="90" spans="1:12" s="420" customFormat="1" ht="14.25" customHeight="1" x14ac:dyDescent="0.2">
      <c r="A90" s="405"/>
      <c r="B90" s="726"/>
      <c r="C90" s="727"/>
      <c r="D90" s="727"/>
      <c r="E90" s="727"/>
      <c r="F90" s="727"/>
      <c r="G90" s="728"/>
      <c r="H90" s="434"/>
      <c r="I90" s="414"/>
      <c r="J90" s="403"/>
      <c r="K90" s="416"/>
      <c r="L90" s="419"/>
    </row>
    <row r="91" spans="1:12" x14ac:dyDescent="0.2">
      <c r="A91" s="405"/>
      <c r="B91" s="691"/>
      <c r="C91" s="714"/>
      <c r="D91" s="714"/>
      <c r="E91" s="714"/>
      <c r="F91" s="714"/>
      <c r="G91" s="715"/>
      <c r="H91" s="421"/>
      <c r="I91" s="414"/>
      <c r="J91" s="403"/>
      <c r="K91" s="416"/>
      <c r="L91" s="86"/>
    </row>
    <row r="92" spans="1:12" s="439" customFormat="1" ht="12.75" customHeight="1" x14ac:dyDescent="0.2">
      <c r="A92" s="405"/>
      <c r="B92" s="703"/>
      <c r="C92" s="704"/>
      <c r="D92" s="704"/>
      <c r="E92" s="704"/>
      <c r="F92" s="704"/>
      <c r="G92" s="705"/>
      <c r="H92" s="421"/>
      <c r="I92" s="414"/>
      <c r="J92" s="403"/>
      <c r="K92" s="427"/>
    </row>
    <row r="93" spans="1:12" s="439" customFormat="1" x14ac:dyDescent="0.2">
      <c r="A93" s="405"/>
      <c r="B93" s="666"/>
      <c r="C93" s="676"/>
      <c r="D93" s="676"/>
      <c r="E93" s="676"/>
      <c r="F93" s="676"/>
      <c r="G93" s="677"/>
      <c r="H93" s="413"/>
      <c r="I93" s="414"/>
      <c r="J93" s="415"/>
      <c r="K93" s="427"/>
    </row>
    <row r="94" spans="1:12" s="439" customFormat="1" x14ac:dyDescent="0.2">
      <c r="A94" s="405"/>
      <c r="B94" s="726"/>
      <c r="C94" s="727"/>
      <c r="D94" s="727"/>
      <c r="E94" s="727"/>
      <c r="F94" s="727"/>
      <c r="G94" s="728"/>
      <c r="H94" s="402"/>
      <c r="I94" s="414"/>
      <c r="J94" s="500"/>
      <c r="K94" s="416"/>
    </row>
    <row r="95" spans="1:12" s="439" customFormat="1" x14ac:dyDescent="0.2">
      <c r="A95" s="405"/>
      <c r="B95" s="672"/>
      <c r="C95" s="709"/>
      <c r="D95" s="709"/>
      <c r="E95" s="709"/>
      <c r="F95" s="709"/>
      <c r="G95" s="710"/>
      <c r="H95" s="402"/>
      <c r="I95" s="450"/>
      <c r="J95" s="403"/>
      <c r="K95" s="404"/>
    </row>
    <row r="96" spans="1:12" s="439" customFormat="1" x14ac:dyDescent="0.2">
      <c r="A96" s="405"/>
      <c r="B96" s="716" t="s">
        <v>2058</v>
      </c>
      <c r="C96" s="717"/>
      <c r="D96" s="717"/>
      <c r="E96" s="717"/>
      <c r="F96" s="717"/>
      <c r="G96" s="761"/>
      <c r="H96" s="402"/>
      <c r="I96" s="450"/>
      <c r="J96" s="415"/>
      <c r="K96" s="427">
        <v>4795.97</v>
      </c>
    </row>
    <row r="97" spans="1:12" x14ac:dyDescent="0.2">
      <c r="A97" s="405"/>
      <c r="B97" s="711"/>
      <c r="C97" s="709"/>
      <c r="D97" s="709"/>
      <c r="E97" s="709"/>
      <c r="F97" s="709"/>
      <c r="G97" s="710"/>
      <c r="H97" s="402"/>
      <c r="I97" s="450"/>
      <c r="J97" s="415"/>
      <c r="K97" s="404"/>
    </row>
    <row r="98" spans="1:12" ht="12.75" customHeight="1" x14ac:dyDescent="0.2">
      <c r="A98" s="405"/>
      <c r="B98" s="711"/>
      <c r="C98" s="709"/>
      <c r="D98" s="709"/>
      <c r="E98" s="709"/>
      <c r="F98" s="709"/>
      <c r="G98" s="710"/>
      <c r="H98" s="402"/>
      <c r="I98" s="450"/>
      <c r="J98" s="415"/>
      <c r="K98" s="404"/>
    </row>
    <row r="99" spans="1:12" x14ac:dyDescent="0.2">
      <c r="A99" s="405"/>
      <c r="B99" s="716" t="s">
        <v>2037</v>
      </c>
      <c r="C99" s="717"/>
      <c r="D99" s="717"/>
      <c r="E99" s="717"/>
      <c r="F99" s="717"/>
      <c r="G99" s="761"/>
      <c r="H99" s="402"/>
      <c r="I99" s="450"/>
      <c r="J99" s="415"/>
      <c r="K99" s="404"/>
    </row>
    <row r="100" spans="1:12" x14ac:dyDescent="0.2">
      <c r="A100" s="405"/>
      <c r="B100" s="726" t="s">
        <v>2038</v>
      </c>
      <c r="C100" s="727"/>
      <c r="D100" s="727"/>
      <c r="E100" s="727"/>
      <c r="F100" s="727"/>
      <c r="G100" s="728"/>
      <c r="H100" s="434" t="s">
        <v>2039</v>
      </c>
      <c r="I100" s="414">
        <v>80</v>
      </c>
      <c r="J100" s="403">
        <v>56.12</v>
      </c>
      <c r="K100" s="416">
        <f>SUM(I100*J100)</f>
        <v>4489.5999999999995</v>
      </c>
    </row>
    <row r="101" spans="1:12" x14ac:dyDescent="0.2">
      <c r="A101" s="405"/>
      <c r="B101" s="691" t="s">
        <v>2040</v>
      </c>
      <c r="C101" s="714"/>
      <c r="D101" s="714"/>
      <c r="E101" s="714"/>
      <c r="F101" s="714"/>
      <c r="G101" s="715"/>
      <c r="H101" s="421" t="s">
        <v>2039</v>
      </c>
      <c r="I101" s="414">
        <v>80</v>
      </c>
      <c r="J101" s="403">
        <v>22.98</v>
      </c>
      <c r="K101" s="416">
        <f>J101*I101</f>
        <v>1838.4</v>
      </c>
    </row>
    <row r="102" spans="1:12" x14ac:dyDescent="0.2">
      <c r="A102" s="405"/>
      <c r="B102" s="703" t="s">
        <v>2091</v>
      </c>
      <c r="C102" s="704"/>
      <c r="D102" s="704"/>
      <c r="E102" s="704"/>
      <c r="F102" s="704"/>
      <c r="G102" s="705"/>
      <c r="H102" s="421"/>
      <c r="I102" s="414"/>
      <c r="J102" s="403"/>
      <c r="K102" s="427">
        <f>SUM(K99:K101)</f>
        <v>6328</v>
      </c>
    </row>
    <row r="103" spans="1:12" x14ac:dyDescent="0.2">
      <c r="A103" s="405"/>
      <c r="B103" s="687"/>
      <c r="C103" s="688"/>
      <c r="D103" s="688"/>
      <c r="E103" s="688"/>
      <c r="F103" s="688"/>
      <c r="G103" s="689"/>
      <c r="H103" s="402"/>
      <c r="I103" s="450"/>
      <c r="J103" s="417"/>
      <c r="K103" s="404"/>
    </row>
    <row r="104" spans="1:12" x14ac:dyDescent="0.2">
      <c r="A104" s="405"/>
      <c r="B104" s="734"/>
      <c r="C104" s="735"/>
      <c r="D104" s="735"/>
      <c r="E104" s="735"/>
      <c r="F104" s="735"/>
      <c r="G104" s="736"/>
      <c r="H104" s="402"/>
      <c r="I104" s="414"/>
      <c r="J104" s="415"/>
      <c r="K104" s="416"/>
    </row>
    <row r="105" spans="1:12" x14ac:dyDescent="0.2">
      <c r="A105" s="405"/>
      <c r="B105" s="726"/>
      <c r="C105" s="727"/>
      <c r="D105" s="727"/>
      <c r="E105" s="727"/>
      <c r="F105" s="727"/>
      <c r="G105" s="728"/>
      <c r="H105" s="434"/>
      <c r="I105" s="414"/>
      <c r="J105" s="403"/>
      <c r="K105" s="416"/>
    </row>
    <row r="106" spans="1:12" x14ac:dyDescent="0.2">
      <c r="A106" s="405"/>
      <c r="B106" s="691"/>
      <c r="C106" s="714"/>
      <c r="D106" s="714"/>
      <c r="E106" s="714"/>
      <c r="F106" s="714"/>
      <c r="G106" s="715"/>
      <c r="H106" s="421"/>
      <c r="I106" s="414"/>
      <c r="J106" s="403"/>
      <c r="K106" s="416"/>
    </row>
    <row r="107" spans="1:12" x14ac:dyDescent="0.2">
      <c r="A107" s="405"/>
      <c r="B107" s="691"/>
      <c r="C107" s="692"/>
      <c r="D107" s="692"/>
      <c r="E107" s="692"/>
      <c r="F107" s="692"/>
      <c r="G107" s="693"/>
      <c r="H107" s="413"/>
      <c r="I107" s="414"/>
      <c r="J107" s="403"/>
      <c r="K107" s="416"/>
    </row>
    <row r="108" spans="1:12" x14ac:dyDescent="0.2">
      <c r="A108" s="405"/>
      <c r="B108" s="435" t="s">
        <v>2117</v>
      </c>
      <c r="C108" s="436"/>
      <c r="D108" s="436"/>
      <c r="E108" s="436"/>
      <c r="F108" s="436"/>
      <c r="G108" s="437"/>
      <c r="H108" s="413"/>
      <c r="I108" s="414"/>
      <c r="J108" s="415"/>
      <c r="K108" s="427">
        <f>SUM(K96+K102)</f>
        <v>11123.970000000001</v>
      </c>
    </row>
    <row r="109" spans="1:12" x14ac:dyDescent="0.2">
      <c r="A109" s="405"/>
      <c r="B109" s="687"/>
      <c r="C109" s="688"/>
      <c r="D109" s="688"/>
      <c r="E109" s="688"/>
      <c r="F109" s="688"/>
      <c r="G109" s="689"/>
      <c r="H109" s="421"/>
      <c r="I109" s="450"/>
      <c r="J109" s="403"/>
      <c r="K109" s="416"/>
    </row>
    <row r="110" spans="1:12" x14ac:dyDescent="0.2">
      <c r="A110" s="405"/>
      <c r="B110" s="734"/>
      <c r="C110" s="735"/>
      <c r="D110" s="735"/>
      <c r="E110" s="735"/>
      <c r="F110" s="735"/>
      <c r="G110" s="736"/>
      <c r="H110" s="421"/>
      <c r="I110" s="450"/>
      <c r="J110" s="403"/>
      <c r="K110" s="416"/>
    </row>
    <row r="111" spans="1:12" s="439" customFormat="1" x14ac:dyDescent="0.2">
      <c r="A111" s="405"/>
      <c r="B111" s="703"/>
      <c r="C111" s="704"/>
      <c r="D111" s="704"/>
      <c r="E111" s="704"/>
      <c r="F111" s="704"/>
      <c r="G111" s="705"/>
      <c r="H111" s="421"/>
      <c r="I111" s="450"/>
      <c r="J111" s="403"/>
      <c r="K111" s="427"/>
      <c r="L111" s="452"/>
    </row>
    <row r="112" spans="1:12" s="439" customFormat="1" x14ac:dyDescent="0.2">
      <c r="A112" s="405"/>
      <c r="B112" s="666"/>
      <c r="C112" s="676"/>
      <c r="D112" s="676"/>
      <c r="E112" s="676"/>
      <c r="F112" s="676"/>
      <c r="G112" s="677"/>
      <c r="H112" s="421"/>
      <c r="I112" s="450"/>
      <c r="J112" s="403"/>
      <c r="K112" s="416"/>
      <c r="L112" s="452"/>
    </row>
    <row r="113" spans="1:12" ht="13.5" customHeight="1" thickBot="1" x14ac:dyDescent="0.25">
      <c r="A113" s="438"/>
      <c r="B113" s="698"/>
      <c r="C113" s="770"/>
      <c r="D113" s="770"/>
      <c r="E113" s="770"/>
      <c r="F113" s="770"/>
      <c r="G113" s="771"/>
      <c r="H113" s="517"/>
      <c r="I113" s="518"/>
      <c r="J113" s="519"/>
      <c r="K113" s="520"/>
    </row>
    <row r="114" spans="1:12" ht="15" customHeight="1" x14ac:dyDescent="0.2">
      <c r="A114" s="535"/>
      <c r="B114" s="536"/>
      <c r="C114" s="536"/>
      <c r="D114" s="536"/>
      <c r="E114" s="536"/>
      <c r="F114" s="381" t="s">
        <v>2010</v>
      </c>
      <c r="G114" s="382"/>
      <c r="H114" s="381" t="s">
        <v>199</v>
      </c>
      <c r="I114" s="383"/>
      <c r="J114" s="556" t="s">
        <v>2155</v>
      </c>
      <c r="K114" s="382"/>
    </row>
    <row r="115" spans="1:12" x14ac:dyDescent="0.2">
      <c r="A115" s="537"/>
      <c r="B115" s="516"/>
      <c r="C115" s="516"/>
      <c r="D115" s="516"/>
      <c r="E115" s="516"/>
      <c r="F115" s="384"/>
      <c r="G115" s="385"/>
      <c r="H115" s="386" t="str">
        <f>H2</f>
        <v>POTIM-SP</v>
      </c>
      <c r="I115" s="387"/>
      <c r="J115" s="557" t="s">
        <v>2166</v>
      </c>
      <c r="K115" s="388"/>
    </row>
    <row r="116" spans="1:12" ht="14.25" x14ac:dyDescent="0.2">
      <c r="A116" s="537"/>
      <c r="B116" s="516"/>
      <c r="C116" s="516"/>
      <c r="D116" s="516"/>
      <c r="E116" s="516"/>
      <c r="F116" s="389" t="s">
        <v>2011</v>
      </c>
      <c r="G116" s="390"/>
      <c r="H116" s="389" t="s">
        <v>2012</v>
      </c>
      <c r="I116" s="391"/>
      <c r="J116" s="390"/>
      <c r="K116" s="392"/>
    </row>
    <row r="117" spans="1:12" ht="13.5" thickBot="1" x14ac:dyDescent="0.25">
      <c r="A117" s="537"/>
      <c r="B117" s="516"/>
      <c r="C117" s="516"/>
      <c r="D117" s="516"/>
      <c r="E117" s="516"/>
      <c r="F117" s="393"/>
      <c r="G117" s="493" t="s">
        <v>2013</v>
      </c>
      <c r="H117" s="558" t="s">
        <v>2118</v>
      </c>
      <c r="I117" s="559"/>
      <c r="J117" s="559"/>
      <c r="K117" s="560"/>
    </row>
    <row r="118" spans="1:12" x14ac:dyDescent="0.2">
      <c r="A118" s="537"/>
      <c r="B118" s="516"/>
      <c r="C118" s="516"/>
      <c r="D118" s="516"/>
      <c r="E118" s="516"/>
      <c r="F118" s="395"/>
      <c r="G118" s="396"/>
      <c r="H118" s="397"/>
      <c r="I118" s="397"/>
      <c r="J118" s="397"/>
      <c r="K118" s="538"/>
    </row>
    <row r="119" spans="1:12" ht="8.25" customHeight="1" thickBot="1" x14ac:dyDescent="0.25">
      <c r="A119" s="539"/>
      <c r="B119" s="440"/>
      <c r="C119" s="440"/>
      <c r="D119" s="440"/>
      <c r="E119" s="440"/>
      <c r="F119" s="440"/>
      <c r="G119" s="440"/>
      <c r="H119" s="441"/>
      <c r="I119" s="442"/>
      <c r="J119" s="443"/>
      <c r="K119" s="416"/>
    </row>
    <row r="120" spans="1:12" ht="13.5" thickBot="1" x14ac:dyDescent="0.25">
      <c r="A120" s="398" t="s">
        <v>24</v>
      </c>
      <c r="B120" s="701" t="s">
        <v>2083</v>
      </c>
      <c r="C120" s="701"/>
      <c r="D120" s="701"/>
      <c r="E120" s="701"/>
      <c r="F120" s="701"/>
      <c r="G120" s="701"/>
      <c r="H120" s="399" t="s">
        <v>2015</v>
      </c>
      <c r="I120" s="399" t="s">
        <v>6</v>
      </c>
      <c r="J120" s="399" t="s">
        <v>2084</v>
      </c>
      <c r="K120" s="400" t="s">
        <v>2018</v>
      </c>
    </row>
    <row r="121" spans="1:12" x14ac:dyDescent="0.2">
      <c r="A121" s="445"/>
      <c r="B121" s="702"/>
      <c r="C121" s="702"/>
      <c r="D121" s="702"/>
      <c r="E121" s="702"/>
      <c r="F121" s="702"/>
      <c r="G121" s="702"/>
      <c r="H121" s="446"/>
      <c r="I121" s="447"/>
      <c r="J121" s="447"/>
      <c r="K121" s="448"/>
    </row>
    <row r="122" spans="1:12" s="439" customFormat="1" ht="15.75" customHeight="1" x14ac:dyDescent="0.2">
      <c r="A122" s="445" t="s">
        <v>2119</v>
      </c>
      <c r="B122" s="702" t="s">
        <v>2120</v>
      </c>
      <c r="C122" s="702"/>
      <c r="D122" s="702"/>
      <c r="E122" s="702"/>
      <c r="F122" s="702"/>
      <c r="G122" s="702"/>
      <c r="H122" s="446"/>
      <c r="I122" s="447"/>
      <c r="J122" s="447"/>
      <c r="K122" s="448"/>
      <c r="L122" s="452"/>
    </row>
    <row r="123" spans="1:12" s="439" customFormat="1" x14ac:dyDescent="0.2">
      <c r="A123" s="449"/>
      <c r="B123" s="702" t="s">
        <v>2121</v>
      </c>
      <c r="C123" s="702"/>
      <c r="D123" s="702"/>
      <c r="E123" s="702"/>
      <c r="F123" s="702"/>
      <c r="G123" s="702"/>
      <c r="H123" s="446"/>
      <c r="I123" s="447"/>
      <c r="J123" s="447"/>
      <c r="K123" s="448"/>
    </row>
    <row r="124" spans="1:12" s="439" customFormat="1" x14ac:dyDescent="0.2">
      <c r="A124" s="449"/>
      <c r="B124" s="716"/>
      <c r="C124" s="717"/>
      <c r="D124" s="717"/>
      <c r="E124" s="717"/>
      <c r="F124" s="717"/>
      <c r="G124" s="761"/>
      <c r="H124" s="446"/>
      <c r="I124" s="447"/>
      <c r="J124" s="447"/>
      <c r="K124" s="448"/>
    </row>
    <row r="125" spans="1:12" s="439" customFormat="1" ht="12.75" customHeight="1" x14ac:dyDescent="0.2">
      <c r="A125" s="449"/>
      <c r="B125" s="716"/>
      <c r="C125" s="717"/>
      <c r="D125" s="717"/>
      <c r="E125" s="717"/>
      <c r="F125" s="717"/>
      <c r="G125" s="761"/>
      <c r="H125" s="446"/>
      <c r="I125" s="447"/>
      <c r="J125" s="447"/>
      <c r="K125" s="448"/>
    </row>
    <row r="126" spans="1:12" ht="14.25" customHeight="1" x14ac:dyDescent="0.2">
      <c r="A126" s="405"/>
      <c r="B126" s="720" t="s">
        <v>2046</v>
      </c>
      <c r="C126" s="721"/>
      <c r="D126" s="721"/>
      <c r="E126" s="721"/>
      <c r="F126" s="721"/>
      <c r="G126" s="722"/>
      <c r="H126" s="413" t="s">
        <v>18</v>
      </c>
      <c r="I126" s="450">
        <v>230</v>
      </c>
      <c r="J126" s="403">
        <v>5.98</v>
      </c>
      <c r="K126" s="404">
        <f>I126*J126</f>
        <v>1375.4</v>
      </c>
    </row>
    <row r="127" spans="1:12" ht="17.25" customHeight="1" x14ac:dyDescent="0.2">
      <c r="A127" s="405"/>
      <c r="B127" s="720"/>
      <c r="C127" s="721"/>
      <c r="D127" s="721"/>
      <c r="E127" s="721"/>
      <c r="F127" s="721"/>
      <c r="G127" s="722"/>
      <c r="H127" s="446"/>
      <c r="I127" s="451"/>
      <c r="J127" s="403"/>
      <c r="K127" s="404"/>
    </row>
    <row r="128" spans="1:12" ht="12.75" customHeight="1" x14ac:dyDescent="0.2">
      <c r="A128" s="405"/>
      <c r="B128" s="666" t="s">
        <v>2047</v>
      </c>
      <c r="C128" s="667"/>
      <c r="D128" s="667"/>
      <c r="E128" s="667"/>
      <c r="F128" s="667"/>
      <c r="G128" s="668"/>
      <c r="H128" s="402" t="s">
        <v>2023</v>
      </c>
      <c r="I128" s="450">
        <v>45</v>
      </c>
      <c r="J128" s="415">
        <v>0.69</v>
      </c>
      <c r="K128" s="404">
        <f>I128*J128</f>
        <v>31.049999999999997</v>
      </c>
    </row>
    <row r="129" spans="1:11" ht="12.75" customHeight="1" x14ac:dyDescent="0.2">
      <c r="A129" s="405"/>
      <c r="B129" s="675"/>
      <c r="C129" s="676"/>
      <c r="D129" s="676"/>
      <c r="E129" s="676"/>
      <c r="F129" s="676"/>
      <c r="G129" s="677"/>
      <c r="H129" s="402"/>
      <c r="I129" s="450"/>
      <c r="J129" s="415"/>
      <c r="K129" s="404"/>
    </row>
    <row r="130" spans="1:11" ht="12.75" customHeight="1" x14ac:dyDescent="0.2">
      <c r="A130" s="405"/>
      <c r="B130" s="675" t="s">
        <v>2048</v>
      </c>
      <c r="C130" s="676"/>
      <c r="D130" s="676"/>
      <c r="E130" s="676"/>
      <c r="F130" s="676"/>
      <c r="G130" s="677"/>
      <c r="H130" s="402" t="s">
        <v>2023</v>
      </c>
      <c r="I130" s="450">
        <v>12</v>
      </c>
      <c r="J130" s="415">
        <v>7.5</v>
      </c>
      <c r="K130" s="404">
        <f>I130*J130</f>
        <v>90</v>
      </c>
    </row>
    <row r="131" spans="1:11" x14ac:dyDescent="0.2">
      <c r="A131" s="405"/>
      <c r="B131" s="675"/>
      <c r="C131" s="676"/>
      <c r="D131" s="676"/>
      <c r="E131" s="676"/>
      <c r="F131" s="676"/>
      <c r="G131" s="677"/>
      <c r="H131" s="402"/>
      <c r="I131" s="450"/>
      <c r="J131" s="415"/>
      <c r="K131" s="404"/>
    </row>
    <row r="132" spans="1:11" ht="14.25" customHeight="1" x14ac:dyDescent="0.2">
      <c r="A132" s="405"/>
      <c r="B132" s="740" t="s">
        <v>2049</v>
      </c>
      <c r="C132" s="707"/>
      <c r="D132" s="707"/>
      <c r="E132" s="707"/>
      <c r="F132" s="707"/>
      <c r="G132" s="708"/>
      <c r="H132" s="402" t="s">
        <v>2023</v>
      </c>
      <c r="I132" s="450">
        <v>4</v>
      </c>
      <c r="J132" s="415">
        <v>13.23</v>
      </c>
      <c r="K132" s="404">
        <f>I132*J132</f>
        <v>52.92</v>
      </c>
    </row>
    <row r="133" spans="1:11" ht="15.75" customHeight="1" x14ac:dyDescent="0.2">
      <c r="A133" s="405"/>
      <c r="B133" s="675"/>
      <c r="C133" s="676"/>
      <c r="D133" s="676"/>
      <c r="E133" s="676"/>
      <c r="F133" s="676"/>
      <c r="G133" s="677"/>
      <c r="H133" s="402"/>
      <c r="I133" s="450"/>
      <c r="J133" s="415"/>
      <c r="K133" s="404"/>
    </row>
    <row r="134" spans="1:11" ht="12.75" customHeight="1" x14ac:dyDescent="0.2">
      <c r="A134" s="405"/>
      <c r="B134" s="711" t="s">
        <v>2050</v>
      </c>
      <c r="C134" s="709"/>
      <c r="D134" s="709"/>
      <c r="E134" s="709"/>
      <c r="F134" s="709"/>
      <c r="G134" s="710"/>
      <c r="H134" s="402" t="s">
        <v>2023</v>
      </c>
      <c r="I134" s="450">
        <v>4</v>
      </c>
      <c r="J134" s="415">
        <v>60</v>
      </c>
      <c r="K134" s="404">
        <f>I134*J134</f>
        <v>240</v>
      </c>
    </row>
    <row r="135" spans="1:11" ht="13.5" customHeight="1" x14ac:dyDescent="0.2">
      <c r="A135" s="405"/>
      <c r="B135" s="675"/>
      <c r="C135" s="676"/>
      <c r="D135" s="676"/>
      <c r="E135" s="676"/>
      <c r="F135" s="676"/>
      <c r="G135" s="677"/>
      <c r="H135" s="402"/>
      <c r="I135" s="450"/>
      <c r="J135" s="415"/>
      <c r="K135" s="404"/>
    </row>
    <row r="136" spans="1:11" ht="12.75" customHeight="1" x14ac:dyDescent="0.2">
      <c r="A136" s="405"/>
      <c r="B136" s="672" t="s">
        <v>2051</v>
      </c>
      <c r="C136" s="673"/>
      <c r="D136" s="673"/>
      <c r="E136" s="673"/>
      <c r="F136" s="673"/>
      <c r="G136" s="674"/>
      <c r="H136" s="402" t="s">
        <v>2023</v>
      </c>
      <c r="I136" s="450">
        <v>4</v>
      </c>
      <c r="J136" s="403">
        <v>28.26</v>
      </c>
      <c r="K136" s="404">
        <f>I136*J136</f>
        <v>113.04</v>
      </c>
    </row>
    <row r="137" spans="1:11" ht="12" customHeight="1" x14ac:dyDescent="0.2">
      <c r="A137" s="405"/>
      <c r="B137" s="740"/>
      <c r="C137" s="707"/>
      <c r="D137" s="707"/>
      <c r="E137" s="707"/>
      <c r="F137" s="707"/>
      <c r="G137" s="708"/>
      <c r="H137" s="402"/>
      <c r="I137" s="450"/>
      <c r="J137" s="415"/>
      <c r="K137" s="404"/>
    </row>
    <row r="138" spans="1:11" ht="12.75" customHeight="1" x14ac:dyDescent="0.2">
      <c r="A138" s="405"/>
      <c r="B138" s="711" t="s">
        <v>2052</v>
      </c>
      <c r="C138" s="709"/>
      <c r="D138" s="709"/>
      <c r="E138" s="709"/>
      <c r="F138" s="709"/>
      <c r="G138" s="710"/>
      <c r="H138" s="402" t="s">
        <v>2023</v>
      </c>
      <c r="I138" s="450">
        <v>4</v>
      </c>
      <c r="J138" s="415">
        <v>19.89</v>
      </c>
      <c r="K138" s="404">
        <f>I138*J138</f>
        <v>79.56</v>
      </c>
    </row>
    <row r="139" spans="1:11" ht="12.75" customHeight="1" x14ac:dyDescent="0.2">
      <c r="A139" s="405"/>
      <c r="B139" s="711"/>
      <c r="C139" s="709"/>
      <c r="D139" s="709"/>
      <c r="E139" s="709"/>
      <c r="F139" s="709"/>
      <c r="G139" s="710"/>
      <c r="H139" s="402"/>
      <c r="I139" s="450"/>
      <c r="J139" s="415"/>
      <c r="K139" s="404"/>
    </row>
    <row r="140" spans="1:11" ht="12.75" customHeight="1" x14ac:dyDescent="0.2">
      <c r="A140" s="405"/>
      <c r="B140" s="712" t="s">
        <v>2053</v>
      </c>
      <c r="C140" s="768"/>
      <c r="D140" s="768"/>
      <c r="E140" s="768"/>
      <c r="F140" s="768"/>
      <c r="G140" s="769"/>
      <c r="H140" s="402" t="s">
        <v>2023</v>
      </c>
      <c r="I140" s="450">
        <v>4</v>
      </c>
      <c r="J140" s="415">
        <v>2.4700000000000002</v>
      </c>
      <c r="K140" s="404">
        <f>I140*J140</f>
        <v>9.8800000000000008</v>
      </c>
    </row>
    <row r="141" spans="1:11" ht="12.75" customHeight="1" x14ac:dyDescent="0.2">
      <c r="A141" s="405"/>
      <c r="B141" s="687" t="s">
        <v>2054</v>
      </c>
      <c r="C141" s="688"/>
      <c r="D141" s="688"/>
      <c r="E141" s="688"/>
      <c r="F141" s="688"/>
      <c r="G141" s="689"/>
      <c r="H141" s="402" t="s">
        <v>2023</v>
      </c>
      <c r="I141" s="450">
        <v>4</v>
      </c>
      <c r="J141" s="415">
        <v>43</v>
      </c>
      <c r="K141" s="404">
        <f>I141*J141</f>
        <v>172</v>
      </c>
    </row>
    <row r="142" spans="1:11" ht="12.75" customHeight="1" x14ac:dyDescent="0.2">
      <c r="A142" s="405"/>
      <c r="B142" s="687" t="s">
        <v>2055</v>
      </c>
      <c r="C142" s="688"/>
      <c r="D142" s="688"/>
      <c r="E142" s="688"/>
      <c r="F142" s="688"/>
      <c r="G142" s="689"/>
      <c r="H142" s="402" t="s">
        <v>2056</v>
      </c>
      <c r="I142" s="450">
        <v>1</v>
      </c>
      <c r="J142" s="417">
        <v>652.89</v>
      </c>
      <c r="K142" s="404">
        <f>I142*J142</f>
        <v>652.89</v>
      </c>
    </row>
    <row r="143" spans="1:11" x14ac:dyDescent="0.2">
      <c r="A143" s="405"/>
      <c r="B143" s="706" t="s">
        <v>2057</v>
      </c>
      <c r="C143" s="707"/>
      <c r="D143" s="707"/>
      <c r="E143" s="707"/>
      <c r="F143" s="707"/>
      <c r="G143" s="708"/>
      <c r="H143" s="453" t="s">
        <v>2023</v>
      </c>
      <c r="I143" s="454">
        <v>1</v>
      </c>
      <c r="J143" s="417">
        <v>56.34</v>
      </c>
      <c r="K143" s="404">
        <f>I143*J143</f>
        <v>56.34</v>
      </c>
    </row>
    <row r="144" spans="1:11" x14ac:dyDescent="0.2">
      <c r="A144" s="405"/>
      <c r="B144" s="695" t="s">
        <v>2058</v>
      </c>
      <c r="C144" s="696"/>
      <c r="D144" s="696"/>
      <c r="E144" s="696"/>
      <c r="F144" s="696"/>
      <c r="G144" s="697"/>
      <c r="H144" s="421"/>
      <c r="I144" s="450"/>
      <c r="J144" s="403"/>
      <c r="K144" s="427">
        <f>SUM(K125:K143)</f>
        <v>2873.0800000000004</v>
      </c>
    </row>
    <row r="145" spans="1:11" x14ac:dyDescent="0.2">
      <c r="A145" s="405"/>
      <c r="B145" s="695"/>
      <c r="C145" s="696"/>
      <c r="D145" s="696"/>
      <c r="E145" s="696"/>
      <c r="F145" s="696"/>
      <c r="G145" s="697"/>
      <c r="H145" s="421"/>
      <c r="I145" s="450"/>
      <c r="J145" s="403"/>
      <c r="K145" s="427"/>
    </row>
    <row r="146" spans="1:11" x14ac:dyDescent="0.2">
      <c r="A146" s="405"/>
      <c r="B146" s="695" t="s">
        <v>2037</v>
      </c>
      <c r="C146" s="696"/>
      <c r="D146" s="696"/>
      <c r="E146" s="696"/>
      <c r="F146" s="696"/>
      <c r="G146" s="697"/>
      <c r="H146" s="402"/>
      <c r="I146" s="450"/>
      <c r="J146" s="403"/>
      <c r="K146" s="404"/>
    </row>
    <row r="147" spans="1:11" ht="12.75" customHeight="1" x14ac:dyDescent="0.2">
      <c r="A147" s="405"/>
      <c r="B147" s="675"/>
      <c r="C147" s="676"/>
      <c r="D147" s="676"/>
      <c r="E147" s="676"/>
      <c r="F147" s="676"/>
      <c r="G147" s="677"/>
      <c r="H147" s="402"/>
      <c r="I147" s="450"/>
      <c r="J147" s="403"/>
      <c r="K147" s="404"/>
    </row>
    <row r="148" spans="1:11" ht="12.75" customHeight="1" x14ac:dyDescent="0.2">
      <c r="A148" s="405"/>
      <c r="B148" s="713" t="s">
        <v>2038</v>
      </c>
      <c r="C148" s="714"/>
      <c r="D148" s="714"/>
      <c r="E148" s="714"/>
      <c r="F148" s="714"/>
      <c r="G148" s="715"/>
      <c r="H148" s="421" t="s">
        <v>2039</v>
      </c>
      <c r="I148" s="450">
        <v>70</v>
      </c>
      <c r="J148" s="403">
        <v>56.12</v>
      </c>
      <c r="K148" s="416">
        <f>J148*I148</f>
        <v>3928.3999999999996</v>
      </c>
    </row>
    <row r="149" spans="1:11" ht="12.75" customHeight="1" x14ac:dyDescent="0.2">
      <c r="A149" s="405"/>
      <c r="B149" s="666" t="s">
        <v>2040</v>
      </c>
      <c r="C149" s="676"/>
      <c r="D149" s="676"/>
      <c r="E149" s="676"/>
      <c r="F149" s="676"/>
      <c r="G149" s="677"/>
      <c r="H149" s="421" t="s">
        <v>2039</v>
      </c>
      <c r="I149" s="450">
        <v>70</v>
      </c>
      <c r="J149" s="403">
        <v>22.98</v>
      </c>
      <c r="K149" s="416">
        <f>J149*I149</f>
        <v>1608.6000000000001</v>
      </c>
    </row>
    <row r="150" spans="1:11" ht="12.75" customHeight="1" x14ac:dyDescent="0.2">
      <c r="A150" s="405"/>
      <c r="B150" s="675"/>
      <c r="C150" s="676"/>
      <c r="D150" s="676"/>
      <c r="E150" s="676"/>
      <c r="F150" s="676"/>
      <c r="G150" s="677"/>
      <c r="H150" s="402"/>
      <c r="I150" s="450"/>
      <c r="J150" s="403"/>
      <c r="K150" s="404"/>
    </row>
    <row r="151" spans="1:11" x14ac:dyDescent="0.2">
      <c r="A151" s="405"/>
      <c r="B151" s="703" t="s">
        <v>2059</v>
      </c>
      <c r="C151" s="704"/>
      <c r="D151" s="704"/>
      <c r="E151" s="704"/>
      <c r="F151" s="704"/>
      <c r="G151" s="705"/>
      <c r="H151" s="402"/>
      <c r="I151" s="450"/>
      <c r="J151" s="403"/>
      <c r="K151" s="460">
        <f>K148+K149</f>
        <v>5537</v>
      </c>
    </row>
    <row r="152" spans="1:11" ht="12.75" customHeight="1" thickBot="1" x14ac:dyDescent="0.25">
      <c r="A152" s="438"/>
      <c r="B152" s="698" t="s">
        <v>2122</v>
      </c>
      <c r="C152" s="699"/>
      <c r="D152" s="699"/>
      <c r="E152" s="699"/>
      <c r="F152" s="699"/>
      <c r="G152" s="700"/>
      <c r="H152" s="517"/>
      <c r="I152" s="518"/>
      <c r="J152" s="519"/>
      <c r="K152" s="520">
        <f>K144+K151</f>
        <v>8410.08</v>
      </c>
    </row>
    <row r="153" spans="1:11" ht="13.5" customHeight="1" x14ac:dyDescent="0.2">
      <c r="A153" s="535"/>
      <c r="B153" s="536"/>
      <c r="C153" s="536"/>
      <c r="D153" s="536"/>
      <c r="E153" s="536"/>
      <c r="F153" s="381" t="s">
        <v>2010</v>
      </c>
      <c r="G153" s="382"/>
      <c r="H153" s="381" t="s">
        <v>199</v>
      </c>
      <c r="I153" s="383"/>
      <c r="J153" s="556" t="s">
        <v>2155</v>
      </c>
      <c r="K153" s="382"/>
    </row>
    <row r="154" spans="1:11" ht="12.75" customHeight="1" x14ac:dyDescent="0.2">
      <c r="A154" s="537"/>
      <c r="B154" s="516"/>
      <c r="C154" s="516"/>
      <c r="D154" s="516"/>
      <c r="E154" s="516"/>
      <c r="F154" s="384"/>
      <c r="G154" s="385"/>
      <c r="H154" s="386" t="str">
        <f>H2</f>
        <v>POTIM-SP</v>
      </c>
      <c r="I154" s="387"/>
      <c r="J154" s="557" t="s">
        <v>2167</v>
      </c>
      <c r="K154" s="388"/>
    </row>
    <row r="155" spans="1:11" ht="14.25" x14ac:dyDescent="0.2">
      <c r="A155" s="537"/>
      <c r="B155" s="516"/>
      <c r="C155" s="516"/>
      <c r="D155" s="516"/>
      <c r="E155" s="516"/>
      <c r="F155" s="389" t="s">
        <v>2011</v>
      </c>
      <c r="G155" s="390"/>
      <c r="H155" s="389" t="s">
        <v>2012</v>
      </c>
      <c r="I155" s="391"/>
      <c r="J155" s="390"/>
      <c r="K155" s="392"/>
    </row>
    <row r="156" spans="1:11" ht="13.5" thickBot="1" x14ac:dyDescent="0.25">
      <c r="A156" s="537"/>
      <c r="B156" s="516"/>
      <c r="C156" s="516"/>
      <c r="D156" s="516"/>
      <c r="E156" s="516"/>
      <c r="F156" s="393"/>
      <c r="G156" s="493" t="s">
        <v>2013</v>
      </c>
      <c r="H156" s="558" t="s">
        <v>2123</v>
      </c>
      <c r="I156" s="559"/>
      <c r="J156" s="559"/>
      <c r="K156" s="560"/>
    </row>
    <row r="157" spans="1:11" ht="8.25" customHeight="1" thickBot="1" x14ac:dyDescent="0.25">
      <c r="A157" s="539"/>
      <c r="B157" s="516"/>
      <c r="C157" s="516"/>
      <c r="D157" s="516"/>
      <c r="E157" s="516"/>
      <c r="F157" s="395"/>
      <c r="G157" s="396"/>
      <c r="H157" s="397"/>
      <c r="I157" s="397"/>
      <c r="J157" s="397"/>
      <c r="K157" s="538"/>
    </row>
    <row r="158" spans="1:11" s="439" customFormat="1" ht="13.5" thickBot="1" x14ac:dyDescent="0.25">
      <c r="A158" s="398" t="s">
        <v>24</v>
      </c>
      <c r="B158" s="701" t="s">
        <v>2083</v>
      </c>
      <c r="C158" s="701"/>
      <c r="D158" s="701"/>
      <c r="E158" s="701"/>
      <c r="F158" s="701"/>
      <c r="G158" s="701"/>
      <c r="H158" s="399" t="s">
        <v>2015</v>
      </c>
      <c r="I158" s="399" t="s">
        <v>6</v>
      </c>
      <c r="J158" s="399" t="s">
        <v>2084</v>
      </c>
      <c r="K158" s="400" t="s">
        <v>2018</v>
      </c>
    </row>
    <row r="159" spans="1:11" ht="14.25" customHeight="1" x14ac:dyDescent="0.2">
      <c r="A159" s="401">
        <v>4</v>
      </c>
      <c r="B159" s="683" t="s">
        <v>2123</v>
      </c>
      <c r="C159" s="684"/>
      <c r="D159" s="684"/>
      <c r="E159" s="684"/>
      <c r="F159" s="684"/>
      <c r="G159" s="685"/>
      <c r="H159" s="402"/>
      <c r="I159" s="402"/>
      <c r="J159" s="403"/>
      <c r="K159" s="404"/>
    </row>
    <row r="160" spans="1:11" x14ac:dyDescent="0.2">
      <c r="A160" s="405"/>
      <c r="B160" s="737" t="s">
        <v>2020</v>
      </c>
      <c r="C160" s="738"/>
      <c r="D160" s="738"/>
      <c r="E160" s="738"/>
      <c r="F160" s="738"/>
      <c r="G160" s="739"/>
      <c r="H160" s="406"/>
      <c r="I160" s="407"/>
      <c r="J160" s="408"/>
      <c r="K160" s="409"/>
    </row>
    <row r="161" spans="1:11" ht="12.75" customHeight="1" x14ac:dyDescent="0.2">
      <c r="A161" s="405"/>
      <c r="B161" s="720" t="s">
        <v>2124</v>
      </c>
      <c r="C161" s="721"/>
      <c r="D161" s="721"/>
      <c r="E161" s="721"/>
      <c r="F161" s="721"/>
      <c r="G161" s="722"/>
      <c r="H161" s="406"/>
      <c r="I161" s="407"/>
      <c r="J161" s="408"/>
      <c r="K161" s="409"/>
    </row>
    <row r="162" spans="1:11" x14ac:dyDescent="0.2">
      <c r="A162" s="405"/>
      <c r="B162" s="729"/>
      <c r="C162" s="753"/>
      <c r="D162" s="753"/>
      <c r="E162" s="753"/>
      <c r="F162" s="753"/>
      <c r="G162" s="754"/>
      <c r="H162" s="402"/>
      <c r="I162" s="414"/>
      <c r="J162" s="403"/>
      <c r="K162" s="404"/>
    </row>
    <row r="163" spans="1:11" s="420" customFormat="1" ht="14.25" customHeight="1" x14ac:dyDescent="0.2">
      <c r="A163" s="405"/>
      <c r="B163" s="729" t="s">
        <v>2125</v>
      </c>
      <c r="C163" s="753"/>
      <c r="D163" s="753"/>
      <c r="E163" s="753"/>
      <c r="F163" s="753"/>
      <c r="G163" s="754"/>
      <c r="H163" s="402" t="s">
        <v>18</v>
      </c>
      <c r="I163" s="414">
        <v>220</v>
      </c>
      <c r="J163" s="403">
        <v>66.73</v>
      </c>
      <c r="K163" s="404">
        <f>J163*I163</f>
        <v>14680.6</v>
      </c>
    </row>
    <row r="164" spans="1:11" ht="12.75" customHeight="1" x14ac:dyDescent="0.2">
      <c r="A164" s="405"/>
      <c r="B164" s="765"/>
      <c r="C164" s="766"/>
      <c r="D164" s="766"/>
      <c r="E164" s="766"/>
      <c r="F164" s="766"/>
      <c r="G164" s="767"/>
      <c r="H164" s="402"/>
      <c r="I164" s="414"/>
      <c r="J164" s="403"/>
      <c r="K164" s="404"/>
    </row>
    <row r="165" spans="1:11" x14ac:dyDescent="0.2">
      <c r="A165" s="405"/>
      <c r="B165" s="672" t="s">
        <v>2126</v>
      </c>
      <c r="C165" s="709"/>
      <c r="D165" s="709"/>
      <c r="E165" s="709"/>
      <c r="F165" s="709"/>
      <c r="G165" s="710"/>
      <c r="H165" s="402"/>
      <c r="I165" s="414"/>
      <c r="J165" s="415"/>
      <c r="K165" s="416"/>
    </row>
    <row r="166" spans="1:11" x14ac:dyDescent="0.2">
      <c r="A166" s="405"/>
      <c r="B166" s="672" t="s">
        <v>2127</v>
      </c>
      <c r="C166" s="709"/>
      <c r="D166" s="709"/>
      <c r="E166" s="709"/>
      <c r="F166" s="709"/>
      <c r="G166" s="710"/>
      <c r="H166" s="402" t="s">
        <v>18</v>
      </c>
      <c r="I166" s="414">
        <v>450</v>
      </c>
      <c r="J166" s="417">
        <v>41.56</v>
      </c>
      <c r="K166" s="404">
        <f t="shared" ref="K166:K167" si="1">J166*I166</f>
        <v>18702</v>
      </c>
    </row>
    <row r="167" spans="1:11" s="439" customFormat="1" x14ac:dyDescent="0.2">
      <c r="A167" s="405"/>
      <c r="B167" s="672" t="s">
        <v>2128</v>
      </c>
      <c r="C167" s="709"/>
      <c r="D167" s="709"/>
      <c r="E167" s="709"/>
      <c r="F167" s="709"/>
      <c r="G167" s="710"/>
      <c r="H167" s="402" t="s">
        <v>18</v>
      </c>
      <c r="I167" s="414">
        <v>600</v>
      </c>
      <c r="J167" s="417">
        <v>31.83</v>
      </c>
      <c r="K167" s="404">
        <f t="shared" si="1"/>
        <v>19098</v>
      </c>
    </row>
    <row r="168" spans="1:11" s="439" customFormat="1" ht="15.75" customHeight="1" x14ac:dyDescent="0.2">
      <c r="A168" s="405"/>
      <c r="B168" s="672" t="s">
        <v>2028</v>
      </c>
      <c r="C168" s="709"/>
      <c r="D168" s="709"/>
      <c r="E168" s="709"/>
      <c r="F168" s="709"/>
      <c r="G168" s="710"/>
      <c r="H168" s="402" t="s">
        <v>18</v>
      </c>
      <c r="I168" s="414">
        <v>350</v>
      </c>
      <c r="J168" s="417">
        <v>4.83</v>
      </c>
      <c r="K168" s="404">
        <f>J168*I168</f>
        <v>1690.5</v>
      </c>
    </row>
    <row r="169" spans="1:11" s="439" customFormat="1" ht="12.75" customHeight="1" x14ac:dyDescent="0.2">
      <c r="A169" s="405"/>
      <c r="B169" s="672" t="s">
        <v>2129</v>
      </c>
      <c r="C169" s="709"/>
      <c r="D169" s="709"/>
      <c r="E169" s="709"/>
      <c r="F169" s="709"/>
      <c r="G169" s="710"/>
      <c r="H169" s="402" t="s">
        <v>18</v>
      </c>
      <c r="I169" s="414">
        <v>400</v>
      </c>
      <c r="J169" s="417">
        <v>2.1800000000000002</v>
      </c>
      <c r="K169" s="404">
        <f>J169*I169</f>
        <v>872.00000000000011</v>
      </c>
    </row>
    <row r="170" spans="1:11" ht="12.75" customHeight="1" x14ac:dyDescent="0.2">
      <c r="A170" s="405"/>
      <c r="B170" s="672"/>
      <c r="C170" s="709"/>
      <c r="D170" s="709"/>
      <c r="E170" s="709"/>
      <c r="F170" s="709"/>
      <c r="G170" s="710"/>
      <c r="H170" s="402"/>
      <c r="I170" s="414"/>
      <c r="J170" s="417"/>
      <c r="K170" s="404"/>
    </row>
    <row r="171" spans="1:11" x14ac:dyDescent="0.2">
      <c r="A171" s="405"/>
      <c r="B171" s="672"/>
      <c r="C171" s="709"/>
      <c r="D171" s="709"/>
      <c r="E171" s="709"/>
      <c r="F171" s="709"/>
      <c r="G171" s="710"/>
      <c r="H171" s="402"/>
      <c r="I171" s="414"/>
      <c r="J171" s="417"/>
      <c r="K171" s="404"/>
    </row>
    <row r="172" spans="1:11" s="420" customFormat="1" x14ac:dyDescent="0.2">
      <c r="A172" s="405"/>
      <c r="B172" s="672" t="s">
        <v>2130</v>
      </c>
      <c r="C172" s="673"/>
      <c r="D172" s="673"/>
      <c r="E172" s="673"/>
      <c r="F172" s="673"/>
      <c r="G172" s="674"/>
      <c r="H172" s="413" t="s">
        <v>2023</v>
      </c>
      <c r="I172" s="422">
        <v>25</v>
      </c>
      <c r="J172" s="423">
        <v>62.8</v>
      </c>
      <c r="K172" s="404">
        <f>J172*I172</f>
        <v>1570</v>
      </c>
    </row>
    <row r="173" spans="1:11" x14ac:dyDescent="0.2">
      <c r="A173" s="405"/>
      <c r="B173" s="672"/>
      <c r="C173" s="673"/>
      <c r="D173" s="673"/>
      <c r="E173" s="673"/>
      <c r="F173" s="673"/>
      <c r="G173" s="674"/>
      <c r="H173" s="402"/>
      <c r="I173" s="414"/>
      <c r="J173" s="417"/>
      <c r="K173" s="404"/>
    </row>
    <row r="174" spans="1:11" ht="12.75" customHeight="1" x14ac:dyDescent="0.2">
      <c r="A174" s="405"/>
      <c r="B174" s="672"/>
      <c r="C174" s="673"/>
      <c r="D174" s="673"/>
      <c r="E174" s="673"/>
      <c r="F174" s="673"/>
      <c r="G174" s="674"/>
      <c r="H174" s="402"/>
      <c r="I174" s="414"/>
      <c r="J174" s="417"/>
      <c r="K174" s="404"/>
    </row>
    <row r="175" spans="1:11" x14ac:dyDescent="0.2">
      <c r="A175" s="405"/>
      <c r="B175" s="672"/>
      <c r="C175" s="673"/>
      <c r="D175" s="673"/>
      <c r="E175" s="673"/>
      <c r="F175" s="673"/>
      <c r="G175" s="674"/>
      <c r="H175" s="402"/>
      <c r="I175" s="414"/>
      <c r="J175" s="417"/>
      <c r="K175" s="404"/>
    </row>
    <row r="176" spans="1:11" x14ac:dyDescent="0.2">
      <c r="A176" s="405"/>
      <c r="B176" s="672"/>
      <c r="C176" s="673"/>
      <c r="D176" s="673"/>
      <c r="E176" s="673"/>
      <c r="F176" s="673"/>
      <c r="G176" s="674"/>
      <c r="H176" s="402"/>
      <c r="I176" s="422"/>
      <c r="J176" s="423"/>
      <c r="K176" s="416"/>
    </row>
    <row r="177" spans="1:12" x14ac:dyDescent="0.2">
      <c r="A177" s="405"/>
      <c r="B177" s="86"/>
      <c r="C177" s="86"/>
      <c r="D177" s="86"/>
      <c r="E177" s="86"/>
      <c r="F177" s="86"/>
      <c r="G177" s="86"/>
      <c r="H177" s="418"/>
      <c r="I177" s="418"/>
      <c r="J177" s="418"/>
      <c r="K177" s="545"/>
    </row>
    <row r="178" spans="1:12" x14ac:dyDescent="0.2">
      <c r="A178" s="405"/>
      <c r="B178" s="672"/>
      <c r="C178" s="673"/>
      <c r="D178" s="673"/>
      <c r="E178" s="673"/>
      <c r="F178" s="673"/>
      <c r="G178" s="674"/>
      <c r="H178" s="413"/>
      <c r="I178" s="422"/>
      <c r="J178" s="423"/>
      <c r="K178" s="404"/>
    </row>
    <row r="179" spans="1:12" x14ac:dyDescent="0.2">
      <c r="A179" s="405"/>
      <c r="B179" s="716"/>
      <c r="C179" s="717"/>
      <c r="D179" s="717"/>
      <c r="E179" s="717"/>
      <c r="F179" s="717"/>
      <c r="G179" s="761"/>
      <c r="H179" s="402"/>
      <c r="I179" s="414"/>
      <c r="J179" s="415"/>
      <c r="K179" s="416"/>
    </row>
    <row r="180" spans="1:12" x14ac:dyDescent="0.2">
      <c r="A180" s="405"/>
      <c r="B180" s="716" t="s">
        <v>2058</v>
      </c>
      <c r="C180" s="717"/>
      <c r="D180" s="717"/>
      <c r="E180" s="717"/>
      <c r="F180" s="717"/>
      <c r="G180" s="761"/>
      <c r="H180" s="402"/>
      <c r="I180" s="414"/>
      <c r="J180" s="415"/>
      <c r="K180" s="427">
        <f>SUM(K161:K179)</f>
        <v>56613.1</v>
      </c>
    </row>
    <row r="181" spans="1:12" x14ac:dyDescent="0.2">
      <c r="A181" s="405"/>
      <c r="B181" s="691"/>
      <c r="C181" s="714"/>
      <c r="D181" s="714"/>
      <c r="E181" s="714"/>
      <c r="F181" s="714"/>
      <c r="G181" s="715"/>
      <c r="H181" s="421"/>
      <c r="I181" s="414"/>
      <c r="J181" s="403"/>
      <c r="K181" s="416"/>
    </row>
    <row r="182" spans="1:12" x14ac:dyDescent="0.2">
      <c r="A182" s="405"/>
      <c r="B182" s="716" t="s">
        <v>2037</v>
      </c>
      <c r="C182" s="717"/>
      <c r="D182" s="717"/>
      <c r="E182" s="717"/>
      <c r="F182" s="717"/>
      <c r="G182" s="761"/>
      <c r="H182" s="402"/>
      <c r="I182" s="414"/>
      <c r="J182" s="415"/>
      <c r="K182" s="416"/>
    </row>
    <row r="183" spans="1:12" x14ac:dyDescent="0.2">
      <c r="A183" s="405"/>
      <c r="B183" s="726" t="s">
        <v>2038</v>
      </c>
      <c r="C183" s="727"/>
      <c r="D183" s="727"/>
      <c r="E183" s="727"/>
      <c r="F183" s="727"/>
      <c r="G183" s="728"/>
      <c r="H183" s="434" t="s">
        <v>2039</v>
      </c>
      <c r="I183" s="414">
        <v>320</v>
      </c>
      <c r="J183" s="403">
        <v>56.12</v>
      </c>
      <c r="K183" s="416">
        <f>SUM(I183*J183)</f>
        <v>17958.399999999998</v>
      </c>
    </row>
    <row r="184" spans="1:12" x14ac:dyDescent="0.2">
      <c r="A184" s="405"/>
      <c r="B184" s="691" t="s">
        <v>2040</v>
      </c>
      <c r="C184" s="714"/>
      <c r="D184" s="714"/>
      <c r="E184" s="714"/>
      <c r="F184" s="714"/>
      <c r="G184" s="715"/>
      <c r="H184" s="421" t="s">
        <v>2039</v>
      </c>
      <c r="I184" s="414">
        <v>320</v>
      </c>
      <c r="J184" s="403">
        <v>22.98</v>
      </c>
      <c r="K184" s="416">
        <f>J184*I184</f>
        <v>7353.6</v>
      </c>
    </row>
    <row r="185" spans="1:12" x14ac:dyDescent="0.2">
      <c r="A185" s="405"/>
      <c r="B185" s="478" t="s">
        <v>2091</v>
      </c>
      <c r="C185" s="479"/>
      <c r="D185" s="479"/>
      <c r="E185" s="479"/>
      <c r="F185" s="479"/>
      <c r="G185" s="480"/>
      <c r="H185" s="421"/>
      <c r="I185" s="414"/>
      <c r="J185" s="403"/>
      <c r="K185" s="427">
        <f>SUM(K182:K184)</f>
        <v>25312</v>
      </c>
    </row>
    <row r="186" spans="1:12" ht="12.75" customHeight="1" x14ac:dyDescent="0.2">
      <c r="A186" s="405"/>
      <c r="B186" s="703"/>
      <c r="C186" s="704"/>
      <c r="D186" s="704"/>
      <c r="E186" s="704"/>
      <c r="F186" s="704"/>
      <c r="G186" s="705"/>
      <c r="H186" s="421"/>
      <c r="I186" s="414"/>
      <c r="J186" s="403"/>
      <c r="K186" s="427"/>
    </row>
    <row r="187" spans="1:12" ht="12.75" customHeight="1" x14ac:dyDescent="0.2">
      <c r="A187" s="405"/>
      <c r="B187" s="691"/>
      <c r="C187" s="692"/>
      <c r="D187" s="692"/>
      <c r="E187" s="692"/>
      <c r="F187" s="692"/>
      <c r="G187" s="693"/>
      <c r="H187" s="413"/>
      <c r="I187" s="414"/>
      <c r="J187" s="403"/>
      <c r="K187" s="416"/>
    </row>
    <row r="188" spans="1:12" ht="12.75" customHeight="1" x14ac:dyDescent="0.2">
      <c r="A188" s="405"/>
      <c r="B188" s="703" t="s">
        <v>2131</v>
      </c>
      <c r="C188" s="704"/>
      <c r="D188" s="704"/>
      <c r="E188" s="704"/>
      <c r="F188" s="704"/>
      <c r="G188" s="705"/>
      <c r="H188" s="413"/>
      <c r="I188" s="414"/>
      <c r="J188" s="403"/>
      <c r="K188" s="427">
        <f>K180+K185</f>
        <v>81925.100000000006</v>
      </c>
    </row>
    <row r="189" spans="1:12" ht="21" customHeight="1" x14ac:dyDescent="0.2">
      <c r="A189" s="405"/>
      <c r="B189" s="691"/>
      <c r="C189" s="692"/>
      <c r="D189" s="692"/>
      <c r="E189" s="692"/>
      <c r="F189" s="692"/>
      <c r="G189" s="693"/>
      <c r="H189" s="413"/>
      <c r="I189" s="414"/>
      <c r="J189" s="403"/>
      <c r="K189" s="416"/>
    </row>
    <row r="190" spans="1:12" ht="15" customHeight="1" thickBot="1" x14ac:dyDescent="0.25">
      <c r="A190" s="438"/>
      <c r="B190" s="762"/>
      <c r="C190" s="763"/>
      <c r="D190" s="763"/>
      <c r="E190" s="763"/>
      <c r="F190" s="763"/>
      <c r="G190" s="764"/>
      <c r="H190" s="512"/>
      <c r="I190" s="521"/>
      <c r="J190" s="514"/>
      <c r="K190" s="522"/>
      <c r="L190" s="86"/>
    </row>
    <row r="191" spans="1:12" ht="14.25" x14ac:dyDescent="0.2">
      <c r="A191" s="535"/>
      <c r="B191" s="536"/>
      <c r="C191" s="536"/>
      <c r="D191" s="536"/>
      <c r="E191" s="536"/>
      <c r="F191" s="381" t="s">
        <v>2010</v>
      </c>
      <c r="G191" s="382"/>
      <c r="H191" s="381" t="s">
        <v>199</v>
      </c>
      <c r="I191" s="383"/>
      <c r="J191" s="556" t="s">
        <v>2155</v>
      </c>
      <c r="K191" s="382"/>
      <c r="L191" s="86"/>
    </row>
    <row r="192" spans="1:12" x14ac:dyDescent="0.2">
      <c r="A192" s="537"/>
      <c r="B192" s="516"/>
      <c r="C192" s="516"/>
      <c r="D192" s="516"/>
      <c r="E192" s="516"/>
      <c r="F192" s="384"/>
      <c r="G192" s="385"/>
      <c r="H192" s="386" t="str">
        <f>H2</f>
        <v>POTIM-SP</v>
      </c>
      <c r="I192" s="387"/>
      <c r="J192" s="557" t="s">
        <v>2168</v>
      </c>
      <c r="K192" s="388"/>
      <c r="L192" s="86"/>
    </row>
    <row r="193" spans="1:12" ht="14.25" x14ac:dyDescent="0.2">
      <c r="A193" s="537"/>
      <c r="B193" s="516"/>
      <c r="C193" s="516"/>
      <c r="D193" s="516"/>
      <c r="E193" s="516"/>
      <c r="F193" s="389" t="s">
        <v>2011</v>
      </c>
      <c r="G193" s="390"/>
      <c r="H193" s="389" t="s">
        <v>2012</v>
      </c>
      <c r="I193" s="391"/>
      <c r="J193" s="390"/>
      <c r="K193" s="392"/>
      <c r="L193" s="86"/>
    </row>
    <row r="194" spans="1:12" ht="14.25" customHeight="1" thickBot="1" x14ac:dyDescent="0.25">
      <c r="A194" s="537"/>
      <c r="B194" s="516"/>
      <c r="C194" s="516"/>
      <c r="D194" s="516"/>
      <c r="E194" s="516"/>
      <c r="F194" s="393"/>
      <c r="G194" s="493" t="s">
        <v>2013</v>
      </c>
      <c r="H194" s="558" t="s">
        <v>2132</v>
      </c>
      <c r="I194" s="559"/>
      <c r="J194" s="559"/>
      <c r="K194" s="560"/>
      <c r="L194" s="86"/>
    </row>
    <row r="195" spans="1:12" ht="8.25" customHeight="1" thickBot="1" x14ac:dyDescent="0.25">
      <c r="A195" s="741"/>
      <c r="B195" s="742"/>
      <c r="C195" s="742"/>
      <c r="D195" s="742"/>
      <c r="E195" s="742"/>
      <c r="F195" s="742"/>
      <c r="G195" s="742"/>
      <c r="H195" s="742"/>
      <c r="I195" s="742"/>
      <c r="J195" s="742"/>
      <c r="K195" s="743"/>
      <c r="L195" s="86"/>
    </row>
    <row r="196" spans="1:12" ht="8.25" customHeight="1" thickBot="1" x14ac:dyDescent="0.25">
      <c r="A196" s="546"/>
      <c r="B196" s="523"/>
      <c r="C196" s="523"/>
      <c r="D196" s="523"/>
      <c r="E196" s="523"/>
      <c r="F196" s="523"/>
      <c r="G196" s="523"/>
      <c r="H196" s="523"/>
      <c r="I196" s="523"/>
      <c r="J196" s="523"/>
      <c r="K196" s="547"/>
      <c r="L196" s="86"/>
    </row>
    <row r="197" spans="1:12" ht="13.5" thickBot="1" x14ac:dyDescent="0.25">
      <c r="A197" s="398" t="s">
        <v>24</v>
      </c>
      <c r="B197" s="744" t="s">
        <v>2083</v>
      </c>
      <c r="C197" s="745"/>
      <c r="D197" s="745"/>
      <c r="E197" s="745"/>
      <c r="F197" s="745"/>
      <c r="G197" s="746"/>
      <c r="H197" s="399" t="s">
        <v>2015</v>
      </c>
      <c r="I197" s="399" t="s">
        <v>6</v>
      </c>
      <c r="J197" s="399" t="s">
        <v>2084</v>
      </c>
      <c r="K197" s="400" t="s">
        <v>2018</v>
      </c>
      <c r="L197" s="86"/>
    </row>
    <row r="198" spans="1:12" x14ac:dyDescent="0.2">
      <c r="A198" s="461"/>
      <c r="B198" s="672"/>
      <c r="C198" s="709"/>
      <c r="D198" s="709"/>
      <c r="E198" s="709"/>
      <c r="F198" s="709"/>
      <c r="G198" s="710"/>
      <c r="H198" s="524"/>
      <c r="I198" s="524"/>
      <c r="J198" s="524"/>
      <c r="K198" s="525"/>
      <c r="L198" s="86"/>
    </row>
    <row r="199" spans="1:12" x14ac:dyDescent="0.2">
      <c r="A199" s="461">
        <v>5</v>
      </c>
      <c r="B199" s="683" t="s">
        <v>2133</v>
      </c>
      <c r="C199" s="684"/>
      <c r="D199" s="684"/>
      <c r="E199" s="684"/>
      <c r="F199" s="684"/>
      <c r="G199" s="685"/>
      <c r="H199" s="524"/>
      <c r="I199" s="447"/>
      <c r="J199" s="526"/>
      <c r="K199" s="527"/>
      <c r="L199" s="86"/>
    </row>
    <row r="200" spans="1:12" ht="12.75" customHeight="1" x14ac:dyDescent="0.2">
      <c r="A200" s="405"/>
      <c r="B200" s="737" t="s">
        <v>2020</v>
      </c>
      <c r="C200" s="738"/>
      <c r="D200" s="738"/>
      <c r="E200" s="738"/>
      <c r="F200" s="738"/>
      <c r="G200" s="739"/>
      <c r="H200" s="446"/>
      <c r="I200" s="458"/>
      <c r="J200" s="526"/>
      <c r="K200" s="527"/>
      <c r="L200" s="86"/>
    </row>
    <row r="201" spans="1:12" ht="12.75" customHeight="1" x14ac:dyDescent="0.2">
      <c r="A201" s="405"/>
      <c r="B201" s="720" t="s">
        <v>2095</v>
      </c>
      <c r="C201" s="721"/>
      <c r="D201" s="721"/>
      <c r="E201" s="721"/>
      <c r="F201" s="721"/>
      <c r="G201" s="722"/>
      <c r="H201" s="406"/>
      <c r="I201" s="407"/>
      <c r="J201" s="408"/>
      <c r="K201" s="409"/>
      <c r="L201" s="86"/>
    </row>
    <row r="202" spans="1:12" ht="12.75" customHeight="1" x14ac:dyDescent="0.2">
      <c r="A202" s="405"/>
      <c r="B202" s="410" t="s">
        <v>2022</v>
      </c>
      <c r="C202" s="411"/>
      <c r="D202" s="411"/>
      <c r="E202" s="411"/>
      <c r="F202" s="411"/>
      <c r="G202" s="412"/>
      <c r="H202" s="402" t="s">
        <v>18</v>
      </c>
      <c r="I202" s="414">
        <v>40</v>
      </c>
      <c r="J202" s="403">
        <v>9.7899999999999991</v>
      </c>
      <c r="K202" s="404">
        <f>J202*I202</f>
        <v>391.59999999999997</v>
      </c>
      <c r="L202" s="86"/>
    </row>
    <row r="203" spans="1:12" ht="12.75" customHeight="1" x14ac:dyDescent="0.2">
      <c r="A203" s="405"/>
      <c r="B203" s="410" t="s">
        <v>2076</v>
      </c>
      <c r="C203" s="411"/>
      <c r="D203" s="411"/>
      <c r="E203" s="411"/>
      <c r="F203" s="411"/>
      <c r="G203" s="412"/>
      <c r="H203" s="402" t="s">
        <v>18</v>
      </c>
      <c r="I203" s="414">
        <v>10</v>
      </c>
      <c r="J203" s="403">
        <v>66.73</v>
      </c>
      <c r="K203" s="404">
        <f>J203*I203</f>
        <v>667.30000000000007</v>
      </c>
      <c r="L203" s="86"/>
    </row>
    <row r="204" spans="1:12" ht="12.75" customHeight="1" x14ac:dyDescent="0.2">
      <c r="A204" s="405"/>
      <c r="B204" s="711" t="s">
        <v>2025</v>
      </c>
      <c r="C204" s="709"/>
      <c r="D204" s="709"/>
      <c r="E204" s="709"/>
      <c r="F204" s="709"/>
      <c r="G204" s="710"/>
      <c r="H204" s="402"/>
      <c r="I204" s="414"/>
      <c r="J204" s="415"/>
      <c r="K204" s="416"/>
      <c r="L204" s="86"/>
    </row>
    <row r="205" spans="1:12" ht="12.75" customHeight="1" x14ac:dyDescent="0.2">
      <c r="A205" s="405"/>
      <c r="B205" s="711" t="s">
        <v>2026</v>
      </c>
      <c r="C205" s="709"/>
      <c r="D205" s="709"/>
      <c r="E205" s="709"/>
      <c r="F205" s="709"/>
      <c r="G205" s="710"/>
      <c r="H205" s="402" t="s">
        <v>18</v>
      </c>
      <c r="I205" s="414">
        <v>100</v>
      </c>
      <c r="J205" s="417">
        <v>1.49</v>
      </c>
      <c r="K205" s="404">
        <f>J205*I205</f>
        <v>149</v>
      </c>
      <c r="L205" s="86"/>
    </row>
    <row r="206" spans="1:12" ht="12.75" customHeight="1" x14ac:dyDescent="0.2">
      <c r="A206" s="405"/>
      <c r="B206" s="711" t="s">
        <v>2027</v>
      </c>
      <c r="C206" s="709"/>
      <c r="D206" s="709"/>
      <c r="E206" s="709"/>
      <c r="F206" s="709"/>
      <c r="G206" s="710"/>
      <c r="H206" s="402" t="s">
        <v>18</v>
      </c>
      <c r="I206" s="414">
        <v>50</v>
      </c>
      <c r="J206" s="417">
        <v>2.1800000000000002</v>
      </c>
      <c r="K206" s="404">
        <f>J206*I206</f>
        <v>109.00000000000001</v>
      </c>
      <c r="L206" s="86"/>
    </row>
    <row r="207" spans="1:12" ht="12.75" customHeight="1" x14ac:dyDescent="0.2">
      <c r="A207" s="405"/>
      <c r="B207" s="711"/>
      <c r="C207" s="709"/>
      <c r="D207" s="709"/>
      <c r="E207" s="709"/>
      <c r="F207" s="709"/>
      <c r="G207" s="710"/>
      <c r="H207" s="402"/>
      <c r="I207" s="414"/>
      <c r="J207" s="417"/>
      <c r="K207" s="404"/>
      <c r="L207" s="86"/>
    </row>
    <row r="208" spans="1:12" ht="12.75" customHeight="1" x14ac:dyDescent="0.2">
      <c r="A208" s="405"/>
      <c r="B208" s="666" t="s">
        <v>2034</v>
      </c>
      <c r="C208" s="676"/>
      <c r="D208" s="676"/>
      <c r="E208" s="676"/>
      <c r="F208" s="676"/>
      <c r="G208" s="677"/>
      <c r="H208" s="424" t="s">
        <v>2023</v>
      </c>
      <c r="I208" s="414">
        <v>2</v>
      </c>
      <c r="J208" s="425">
        <v>81.12</v>
      </c>
      <c r="K208" s="404">
        <f>J208*I208</f>
        <v>162.24</v>
      </c>
      <c r="L208" s="86"/>
    </row>
    <row r="209" spans="1:12" ht="12.75" customHeight="1" x14ac:dyDescent="0.2">
      <c r="A209" s="405"/>
      <c r="B209" s="713"/>
      <c r="C209" s="714"/>
      <c r="D209" s="714"/>
      <c r="E209" s="714"/>
      <c r="F209" s="714"/>
      <c r="G209" s="715"/>
      <c r="H209" s="421"/>
      <c r="I209" s="414"/>
      <c r="J209" s="403"/>
      <c r="K209" s="416"/>
      <c r="L209" s="86"/>
    </row>
    <row r="210" spans="1:12" ht="12.75" customHeight="1" x14ac:dyDescent="0.2">
      <c r="A210" s="405"/>
      <c r="B210" s="691" t="s">
        <v>2030</v>
      </c>
      <c r="C210" s="692"/>
      <c r="D210" s="692"/>
      <c r="E210" s="692"/>
      <c r="F210" s="692"/>
      <c r="G210" s="693"/>
      <c r="H210" s="402" t="s">
        <v>2023</v>
      </c>
      <c r="I210" s="422">
        <v>1</v>
      </c>
      <c r="J210" s="423">
        <v>23.56</v>
      </c>
      <c r="K210" s="416">
        <f>SUM(I210*J210)</f>
        <v>23.56</v>
      </c>
      <c r="L210" s="86"/>
    </row>
    <row r="211" spans="1:12" ht="12.75" customHeight="1" x14ac:dyDescent="0.2">
      <c r="A211" s="405"/>
      <c r="B211" s="691" t="s">
        <v>2031</v>
      </c>
      <c r="C211" s="692"/>
      <c r="D211" s="692"/>
      <c r="E211" s="692"/>
      <c r="F211" s="692"/>
      <c r="G211" s="693"/>
      <c r="H211" s="402" t="s">
        <v>2023</v>
      </c>
      <c r="I211" s="422">
        <v>1</v>
      </c>
      <c r="J211" s="423">
        <v>59.15</v>
      </c>
      <c r="K211" s="416">
        <f>SUM(I211*J211)</f>
        <v>59.15</v>
      </c>
      <c r="L211" s="86"/>
    </row>
    <row r="212" spans="1:12" ht="12.75" customHeight="1" x14ac:dyDescent="0.2">
      <c r="A212" s="405"/>
      <c r="B212" s="672" t="s">
        <v>2032</v>
      </c>
      <c r="C212" s="709"/>
      <c r="D212" s="709"/>
      <c r="E212" s="709"/>
      <c r="F212" s="709"/>
      <c r="G212" s="710"/>
      <c r="H212" s="402" t="s">
        <v>2023</v>
      </c>
      <c r="I212" s="422">
        <v>1</v>
      </c>
      <c r="J212" s="423">
        <v>23.56</v>
      </c>
      <c r="K212" s="416">
        <f>SUM(I212*J212)</f>
        <v>23.56</v>
      </c>
      <c r="L212" s="86"/>
    </row>
    <row r="213" spans="1:12" ht="12.75" customHeight="1" x14ac:dyDescent="0.2">
      <c r="A213" s="405"/>
      <c r="B213" s="672" t="s">
        <v>2033</v>
      </c>
      <c r="C213" s="709"/>
      <c r="D213" s="709"/>
      <c r="E213" s="709"/>
      <c r="F213" s="709"/>
      <c r="G213" s="710"/>
      <c r="H213" s="402" t="s">
        <v>2023</v>
      </c>
      <c r="I213" s="422">
        <v>1</v>
      </c>
      <c r="J213" s="423">
        <v>23.56</v>
      </c>
      <c r="K213" s="416">
        <f>SUM(I213*J213)</f>
        <v>23.56</v>
      </c>
      <c r="L213" s="86"/>
    </row>
    <row r="214" spans="1:12" ht="12.75" customHeight="1" x14ac:dyDescent="0.2">
      <c r="A214" s="405"/>
      <c r="B214" s="666"/>
      <c r="C214" s="667"/>
      <c r="D214" s="667"/>
      <c r="E214" s="667"/>
      <c r="F214" s="667"/>
      <c r="G214" s="668"/>
      <c r="H214" s="413"/>
      <c r="I214" s="414"/>
      <c r="J214" s="415"/>
      <c r="K214" s="404"/>
      <c r="L214" s="86"/>
    </row>
    <row r="215" spans="1:12" ht="12.75" customHeight="1" x14ac:dyDescent="0.2">
      <c r="A215" s="405"/>
      <c r="B215" s="729" t="s">
        <v>2101</v>
      </c>
      <c r="C215" s="753"/>
      <c r="D215" s="753"/>
      <c r="E215" s="753"/>
      <c r="F215" s="753"/>
      <c r="G215" s="754"/>
      <c r="H215" s="413"/>
      <c r="I215" s="528"/>
      <c r="J215" s="529"/>
      <c r="K215" s="467"/>
      <c r="L215" s="86"/>
    </row>
    <row r="216" spans="1:12" ht="12.75" customHeight="1" x14ac:dyDescent="0.2">
      <c r="A216" s="405"/>
      <c r="B216" s="691" t="s">
        <v>2134</v>
      </c>
      <c r="C216" s="692"/>
      <c r="D216" s="692"/>
      <c r="E216" s="692"/>
      <c r="F216" s="692"/>
      <c r="G216" s="693"/>
      <c r="H216" s="413" t="s">
        <v>19</v>
      </c>
      <c r="I216" s="528">
        <v>1</v>
      </c>
      <c r="J216" s="417">
        <v>232.15</v>
      </c>
      <c r="K216" s="501">
        <f>SUM(I216*J216)</f>
        <v>232.15</v>
      </c>
      <c r="L216" s="86"/>
    </row>
    <row r="217" spans="1:12" ht="12.75" customHeight="1" x14ac:dyDescent="0.2">
      <c r="A217" s="405"/>
      <c r="B217" s="729"/>
      <c r="C217" s="753"/>
      <c r="D217" s="753"/>
      <c r="E217" s="753"/>
      <c r="F217" s="753"/>
      <c r="G217" s="754"/>
      <c r="H217" s="413"/>
      <c r="I217" s="528"/>
      <c r="J217" s="417"/>
      <c r="K217" s="501"/>
      <c r="L217" s="86"/>
    </row>
    <row r="218" spans="1:12" ht="15" customHeight="1" x14ac:dyDescent="0.2">
      <c r="A218" s="405"/>
      <c r="B218" s="672" t="s">
        <v>2135</v>
      </c>
      <c r="C218" s="673"/>
      <c r="D218" s="673"/>
      <c r="E218" s="673"/>
      <c r="F218" s="673"/>
      <c r="G218" s="674"/>
      <c r="H218" s="413" t="s">
        <v>2023</v>
      </c>
      <c r="I218" s="528">
        <v>3</v>
      </c>
      <c r="J218" s="417">
        <v>18.95</v>
      </c>
      <c r="K218" s="501">
        <f>SUM(I218*J218)</f>
        <v>56.849999999999994</v>
      </c>
      <c r="L218" s="86"/>
    </row>
    <row r="219" spans="1:12" ht="12.75" customHeight="1" x14ac:dyDescent="0.2">
      <c r="A219" s="405"/>
      <c r="B219" s="672" t="s">
        <v>2136</v>
      </c>
      <c r="C219" s="673"/>
      <c r="D219" s="673"/>
      <c r="E219" s="673"/>
      <c r="F219" s="673"/>
      <c r="G219" s="674"/>
      <c r="H219" s="413" t="s">
        <v>2023</v>
      </c>
      <c r="I219" s="528">
        <v>1</v>
      </c>
      <c r="J219" s="417">
        <v>34.29</v>
      </c>
      <c r="K219" s="501">
        <f>SUM(I219*J219)</f>
        <v>34.29</v>
      </c>
    </row>
    <row r="220" spans="1:12" s="439" customFormat="1" ht="14.25" customHeight="1" x14ac:dyDescent="0.2">
      <c r="A220" s="506"/>
      <c r="B220" s="672" t="s">
        <v>2137</v>
      </c>
      <c r="C220" s="673"/>
      <c r="D220" s="673"/>
      <c r="E220" s="673"/>
      <c r="F220" s="673"/>
      <c r="G220" s="674"/>
      <c r="H220" s="413" t="s">
        <v>2023</v>
      </c>
      <c r="I220" s="528">
        <v>2</v>
      </c>
      <c r="J220" s="417">
        <v>48.19</v>
      </c>
      <c r="K220" s="501">
        <f>SUM(I220*J220)</f>
        <v>96.38</v>
      </c>
      <c r="L220" s="452"/>
    </row>
    <row r="221" spans="1:12" s="439" customFormat="1" ht="12.75" customHeight="1" x14ac:dyDescent="0.2">
      <c r="A221" s="506"/>
      <c r="B221" s="672" t="s">
        <v>2138</v>
      </c>
      <c r="C221" s="673"/>
      <c r="D221" s="673"/>
      <c r="E221" s="673"/>
      <c r="F221" s="673"/>
      <c r="G221" s="674"/>
      <c r="H221" s="413" t="s">
        <v>2023</v>
      </c>
      <c r="I221" s="528">
        <v>1</v>
      </c>
      <c r="J221" s="417">
        <v>72.28</v>
      </c>
      <c r="K221" s="501">
        <f>SUM(I221*J221)</f>
        <v>72.28</v>
      </c>
      <c r="L221" s="452"/>
    </row>
    <row r="222" spans="1:12" s="439" customFormat="1" ht="23.25" customHeight="1" x14ac:dyDescent="0.2">
      <c r="A222" s="506"/>
      <c r="B222" s="672" t="s">
        <v>2139</v>
      </c>
      <c r="C222" s="673"/>
      <c r="D222" s="673"/>
      <c r="E222" s="673"/>
      <c r="F222" s="673"/>
      <c r="G222" s="674"/>
      <c r="H222" s="402"/>
      <c r="I222" s="414"/>
      <c r="J222" s="417"/>
      <c r="K222" s="404"/>
      <c r="L222" s="452"/>
    </row>
    <row r="223" spans="1:12" s="439" customFormat="1" x14ac:dyDescent="0.2">
      <c r="A223" s="506"/>
      <c r="B223" s="672" t="s">
        <v>2140</v>
      </c>
      <c r="C223" s="709"/>
      <c r="D223" s="709"/>
      <c r="E223" s="709"/>
      <c r="F223" s="709"/>
      <c r="G223" s="710"/>
      <c r="H223" s="402" t="s">
        <v>18</v>
      </c>
      <c r="I223" s="414">
        <v>50</v>
      </c>
      <c r="J223" s="417">
        <v>36.520000000000003</v>
      </c>
      <c r="K223" s="404">
        <f>J223*I223</f>
        <v>1826.0000000000002</v>
      </c>
      <c r="L223" s="452"/>
    </row>
    <row r="224" spans="1:12" s="439" customFormat="1" ht="15" customHeight="1" x14ac:dyDescent="0.2">
      <c r="A224" s="405"/>
      <c r="B224" s="716" t="s">
        <v>2141</v>
      </c>
      <c r="C224" s="717"/>
      <c r="D224" s="717"/>
      <c r="E224" s="717"/>
      <c r="F224" s="717"/>
      <c r="G224" s="761"/>
      <c r="H224" s="402"/>
      <c r="I224" s="414"/>
      <c r="J224" s="415"/>
      <c r="K224" s="427">
        <f>SUM(K202:K223)</f>
        <v>3926.92</v>
      </c>
      <c r="L224" s="452" t="s">
        <v>2142</v>
      </c>
    </row>
    <row r="225" spans="1:12" s="439" customFormat="1" ht="12.75" customHeight="1" x14ac:dyDescent="0.2">
      <c r="A225" s="405"/>
      <c r="B225" s="726"/>
      <c r="C225" s="727"/>
      <c r="D225" s="727"/>
      <c r="E225" s="727"/>
      <c r="F225" s="727"/>
      <c r="G225" s="728"/>
      <c r="H225" s="434"/>
      <c r="I225" s="414"/>
      <c r="J225" s="403"/>
      <c r="K225" s="416"/>
      <c r="L225" s="452"/>
    </row>
    <row r="226" spans="1:12" ht="12.75" customHeight="1" x14ac:dyDescent="0.2">
      <c r="A226" s="405"/>
      <c r="B226" s="734" t="s">
        <v>2037</v>
      </c>
      <c r="C226" s="735"/>
      <c r="D226" s="735"/>
      <c r="E226" s="735"/>
      <c r="F226" s="735"/>
      <c r="G226" s="736"/>
      <c r="H226" s="402"/>
      <c r="I226" s="414"/>
      <c r="J226" s="415"/>
      <c r="K226" s="416"/>
    </row>
    <row r="227" spans="1:12" x14ac:dyDescent="0.2">
      <c r="A227" s="405"/>
      <c r="B227" s="726" t="s">
        <v>2038</v>
      </c>
      <c r="C227" s="727"/>
      <c r="D227" s="727"/>
      <c r="E227" s="727"/>
      <c r="F227" s="727"/>
      <c r="G227" s="728"/>
      <c r="H227" s="434" t="s">
        <v>2039</v>
      </c>
      <c r="I227" s="414">
        <v>80</v>
      </c>
      <c r="J227" s="403">
        <v>56.12</v>
      </c>
      <c r="K227" s="416">
        <f>SUM(I227*J227)</f>
        <v>4489.5999999999995</v>
      </c>
    </row>
    <row r="228" spans="1:12" x14ac:dyDescent="0.2">
      <c r="A228" s="405"/>
      <c r="B228" s="431" t="s">
        <v>2040</v>
      </c>
      <c r="C228" s="476"/>
      <c r="D228" s="476"/>
      <c r="E228" s="476"/>
      <c r="F228" s="476"/>
      <c r="G228" s="477"/>
      <c r="H228" s="421" t="s">
        <v>2039</v>
      </c>
      <c r="I228" s="414">
        <v>80</v>
      </c>
      <c r="J228" s="403">
        <v>22.98</v>
      </c>
      <c r="K228" s="416">
        <f>J228*I228</f>
        <v>1838.4</v>
      </c>
    </row>
    <row r="229" spans="1:12" ht="13.5" thickBot="1" x14ac:dyDescent="0.25">
      <c r="A229" s="438"/>
      <c r="B229" s="758" t="s">
        <v>2143</v>
      </c>
      <c r="C229" s="759"/>
      <c r="D229" s="759"/>
      <c r="E229" s="759"/>
      <c r="F229" s="759"/>
      <c r="G229" s="760"/>
      <c r="H229" s="517"/>
      <c r="I229" s="548"/>
      <c r="J229" s="549"/>
      <c r="K229" s="522">
        <f>SUM(K224:K228)</f>
        <v>10254.92</v>
      </c>
    </row>
    <row r="230" spans="1:12" ht="14.25" x14ac:dyDescent="0.2">
      <c r="A230" s="535"/>
      <c r="B230" s="536"/>
      <c r="C230" s="536"/>
      <c r="D230" s="536"/>
      <c r="E230" s="536"/>
      <c r="F230" s="381" t="s">
        <v>2010</v>
      </c>
      <c r="G230" s="382"/>
      <c r="H230" s="381" t="s">
        <v>199</v>
      </c>
      <c r="I230" s="383"/>
      <c r="J230" s="556" t="s">
        <v>2155</v>
      </c>
      <c r="K230" s="382"/>
    </row>
    <row r="231" spans="1:12" x14ac:dyDescent="0.2">
      <c r="A231" s="537"/>
      <c r="B231" s="516"/>
      <c r="C231" s="516"/>
      <c r="D231" s="516"/>
      <c r="E231" s="516"/>
      <c r="F231" s="384"/>
      <c r="G231" s="385"/>
      <c r="H231" s="386" t="str">
        <f>H2</f>
        <v>POTIM-SP</v>
      </c>
      <c r="I231" s="387"/>
      <c r="J231" s="557" t="s">
        <v>2169</v>
      </c>
      <c r="K231" s="388"/>
    </row>
    <row r="232" spans="1:12" ht="14.25" x14ac:dyDescent="0.2">
      <c r="A232" s="537"/>
      <c r="B232" s="516"/>
      <c r="C232" s="516"/>
      <c r="D232" s="516"/>
      <c r="E232" s="516"/>
      <c r="F232" s="389" t="s">
        <v>2011</v>
      </c>
      <c r="G232" s="390"/>
      <c r="H232" s="389" t="s">
        <v>2012</v>
      </c>
      <c r="I232" s="391"/>
      <c r="J232" s="390"/>
      <c r="K232" s="392"/>
    </row>
    <row r="233" spans="1:12" ht="13.5" thickBot="1" x14ac:dyDescent="0.25">
      <c r="A233" s="537"/>
      <c r="B233" s="516"/>
      <c r="C233" s="516"/>
      <c r="D233" s="516"/>
      <c r="E233" s="516"/>
      <c r="F233" s="393"/>
      <c r="G233" s="493" t="s">
        <v>2013</v>
      </c>
      <c r="H233" s="558" t="s">
        <v>2144</v>
      </c>
      <c r="I233" s="559"/>
      <c r="J233" s="559"/>
      <c r="K233" s="560"/>
    </row>
    <row r="234" spans="1:12" ht="8.25" customHeight="1" thickBot="1" x14ac:dyDescent="0.25">
      <c r="A234" s="741"/>
      <c r="B234" s="742"/>
      <c r="C234" s="742"/>
      <c r="D234" s="742"/>
      <c r="E234" s="742"/>
      <c r="F234" s="742"/>
      <c r="G234" s="742"/>
      <c r="H234" s="742"/>
      <c r="I234" s="742"/>
      <c r="J234" s="742"/>
      <c r="K234" s="743"/>
      <c r="L234" s="86"/>
    </row>
    <row r="235" spans="1:12" s="439" customFormat="1" ht="13.5" thickBot="1" x14ac:dyDescent="0.25">
      <c r="A235" s="398" t="s">
        <v>24</v>
      </c>
      <c r="B235" s="744" t="s">
        <v>2083</v>
      </c>
      <c r="C235" s="745"/>
      <c r="D235" s="745"/>
      <c r="E235" s="745"/>
      <c r="F235" s="745"/>
      <c r="G235" s="746"/>
      <c r="H235" s="399" t="s">
        <v>2015</v>
      </c>
      <c r="I235" s="399" t="s">
        <v>6</v>
      </c>
      <c r="J235" s="399" t="s">
        <v>2084</v>
      </c>
      <c r="K235" s="400" t="s">
        <v>2018</v>
      </c>
      <c r="L235" s="452"/>
    </row>
    <row r="236" spans="1:12" x14ac:dyDescent="0.2">
      <c r="A236" s="506"/>
      <c r="B236" s="755"/>
      <c r="C236" s="756"/>
      <c r="D236" s="756"/>
      <c r="E236" s="756"/>
      <c r="F236" s="756"/>
      <c r="G236" s="757"/>
      <c r="H236" s="530"/>
      <c r="I236" s="414"/>
      <c r="J236" s="417"/>
      <c r="K236" s="404"/>
      <c r="L236" s="86"/>
    </row>
    <row r="237" spans="1:12" s="439" customFormat="1" ht="14.25" customHeight="1" x14ac:dyDescent="0.2">
      <c r="A237" s="461">
        <v>6</v>
      </c>
      <c r="B237" s="683" t="s">
        <v>2145</v>
      </c>
      <c r="C237" s="684"/>
      <c r="D237" s="684"/>
      <c r="E237" s="684"/>
      <c r="F237" s="684"/>
      <c r="G237" s="685"/>
      <c r="H237" s="446"/>
      <c r="I237" s="447"/>
      <c r="J237" s="447"/>
      <c r="K237" s="448"/>
      <c r="L237" s="452"/>
    </row>
    <row r="238" spans="1:12" x14ac:dyDescent="0.2">
      <c r="A238" s="405"/>
      <c r="B238" s="720"/>
      <c r="C238" s="721"/>
      <c r="D238" s="721"/>
      <c r="E238" s="721"/>
      <c r="F238" s="721"/>
      <c r="G238" s="722"/>
      <c r="H238" s="446"/>
      <c r="I238" s="447"/>
      <c r="J238" s="447"/>
      <c r="K238" s="448"/>
      <c r="L238" s="86"/>
    </row>
    <row r="239" spans="1:12" s="439" customFormat="1" ht="12.75" customHeight="1" x14ac:dyDescent="0.2">
      <c r="A239" s="405"/>
      <c r="B239" s="720" t="s">
        <v>2046</v>
      </c>
      <c r="C239" s="721"/>
      <c r="D239" s="721"/>
      <c r="E239" s="721"/>
      <c r="F239" s="721"/>
      <c r="G239" s="722"/>
      <c r="H239" s="413" t="s">
        <v>18</v>
      </c>
      <c r="I239" s="450">
        <v>180</v>
      </c>
      <c r="J239" s="403">
        <v>5.98</v>
      </c>
      <c r="K239" s="404">
        <f>I239*J239</f>
        <v>1076.4000000000001</v>
      </c>
      <c r="L239" s="452"/>
    </row>
    <row r="240" spans="1:12" s="439" customFormat="1" x14ac:dyDescent="0.2">
      <c r="A240" s="405"/>
      <c r="B240" s="720"/>
      <c r="C240" s="721"/>
      <c r="D240" s="721"/>
      <c r="E240" s="721"/>
      <c r="F240" s="721"/>
      <c r="G240" s="722"/>
      <c r="H240" s="446"/>
      <c r="I240" s="451"/>
      <c r="J240" s="403"/>
      <c r="K240" s="404"/>
      <c r="L240" s="452"/>
    </row>
    <row r="241" spans="1:12" s="439" customFormat="1" ht="12.75" customHeight="1" x14ac:dyDescent="0.2">
      <c r="A241" s="405"/>
      <c r="B241" s="666" t="s">
        <v>2047</v>
      </c>
      <c r="C241" s="676"/>
      <c r="D241" s="676"/>
      <c r="E241" s="676"/>
      <c r="F241" s="676"/>
      <c r="G241" s="677"/>
      <c r="H241" s="402" t="s">
        <v>2023</v>
      </c>
      <c r="I241" s="450">
        <v>60</v>
      </c>
      <c r="J241" s="415">
        <v>0.69</v>
      </c>
      <c r="K241" s="404">
        <f>I241*J241</f>
        <v>41.4</v>
      </c>
      <c r="L241" s="452"/>
    </row>
    <row r="242" spans="1:12" s="439" customFormat="1" x14ac:dyDescent="0.2">
      <c r="A242" s="405"/>
      <c r="B242" s="675"/>
      <c r="C242" s="676"/>
      <c r="D242" s="676"/>
      <c r="E242" s="676"/>
      <c r="F242" s="676"/>
      <c r="G242" s="677"/>
      <c r="H242" s="402"/>
      <c r="I242" s="450"/>
      <c r="J242" s="415"/>
      <c r="K242" s="404"/>
      <c r="L242" s="452"/>
    </row>
    <row r="243" spans="1:12" s="439" customFormat="1" ht="13.5" customHeight="1" x14ac:dyDescent="0.2">
      <c r="A243" s="405"/>
      <c r="B243" s="675" t="s">
        <v>2048</v>
      </c>
      <c r="C243" s="676"/>
      <c r="D243" s="676"/>
      <c r="E243" s="676"/>
      <c r="F243" s="676"/>
      <c r="G243" s="677"/>
      <c r="H243" s="402" t="s">
        <v>2023</v>
      </c>
      <c r="I243" s="450">
        <v>25</v>
      </c>
      <c r="J243" s="415">
        <v>7.5</v>
      </c>
      <c r="K243" s="404">
        <f>I243*J243</f>
        <v>187.5</v>
      </c>
      <c r="L243" s="452"/>
    </row>
    <row r="244" spans="1:12" s="439" customFormat="1" x14ac:dyDescent="0.2">
      <c r="A244" s="405"/>
      <c r="B244" s="675"/>
      <c r="C244" s="676"/>
      <c r="D244" s="676"/>
      <c r="E244" s="676"/>
      <c r="F244" s="676"/>
      <c r="G244" s="677"/>
      <c r="H244" s="402"/>
      <c r="I244" s="450"/>
      <c r="J244" s="415"/>
      <c r="K244" s="404"/>
      <c r="L244" s="452"/>
    </row>
    <row r="245" spans="1:12" s="439" customFormat="1" ht="12" customHeight="1" x14ac:dyDescent="0.2">
      <c r="A245" s="405"/>
      <c r="B245" s="690" t="s">
        <v>2049</v>
      </c>
      <c r="C245" s="690"/>
      <c r="D245" s="690"/>
      <c r="E245" s="690"/>
      <c r="F245" s="690"/>
      <c r="G245" s="690"/>
      <c r="H245" s="402" t="s">
        <v>2023</v>
      </c>
      <c r="I245" s="450">
        <v>8</v>
      </c>
      <c r="J245" s="415">
        <v>13.23</v>
      </c>
      <c r="K245" s="404">
        <f>I245*J245</f>
        <v>105.84</v>
      </c>
      <c r="L245" s="452"/>
    </row>
    <row r="246" spans="1:12" s="439" customFormat="1" x14ac:dyDescent="0.2">
      <c r="A246" s="405"/>
      <c r="B246" s="675"/>
      <c r="C246" s="676"/>
      <c r="D246" s="676"/>
      <c r="E246" s="676"/>
      <c r="F246" s="676"/>
      <c r="G246" s="677"/>
      <c r="H246" s="402"/>
      <c r="I246" s="450"/>
      <c r="J246" s="415"/>
      <c r="K246" s="404"/>
      <c r="L246" s="452"/>
    </row>
    <row r="247" spans="1:12" s="439" customFormat="1" ht="14.25" customHeight="1" x14ac:dyDescent="0.2">
      <c r="A247" s="405"/>
      <c r="B247" s="711" t="s">
        <v>2050</v>
      </c>
      <c r="C247" s="709"/>
      <c r="D247" s="709"/>
      <c r="E247" s="709"/>
      <c r="F247" s="709"/>
      <c r="G247" s="710"/>
      <c r="H247" s="402" t="s">
        <v>2023</v>
      </c>
      <c r="I247" s="450">
        <v>8</v>
      </c>
      <c r="J247" s="415">
        <v>60</v>
      </c>
      <c r="K247" s="404">
        <f>I247*J247</f>
        <v>480</v>
      </c>
      <c r="L247" s="452"/>
    </row>
    <row r="248" spans="1:12" s="439" customFormat="1" x14ac:dyDescent="0.2">
      <c r="A248" s="405"/>
      <c r="B248" s="675"/>
      <c r="C248" s="676"/>
      <c r="D248" s="676"/>
      <c r="E248" s="676"/>
      <c r="F248" s="676"/>
      <c r="G248" s="677"/>
      <c r="H248" s="402"/>
      <c r="I248" s="450"/>
      <c r="J248" s="415"/>
      <c r="K248" s="404"/>
      <c r="L248" s="452"/>
    </row>
    <row r="249" spans="1:12" s="439" customFormat="1" x14ac:dyDescent="0.2">
      <c r="A249" s="405"/>
      <c r="B249" s="672" t="s">
        <v>2051</v>
      </c>
      <c r="C249" s="709"/>
      <c r="D249" s="709"/>
      <c r="E249" s="709"/>
      <c r="F249" s="709"/>
      <c r="G249" s="710"/>
      <c r="H249" s="402" t="s">
        <v>2023</v>
      </c>
      <c r="I249" s="450">
        <v>6</v>
      </c>
      <c r="J249" s="403">
        <v>28.26</v>
      </c>
      <c r="K249" s="404">
        <f>I249*J249</f>
        <v>169.56</v>
      </c>
      <c r="L249" s="452"/>
    </row>
    <row r="250" spans="1:12" s="439" customFormat="1" x14ac:dyDescent="0.2">
      <c r="A250" s="405"/>
      <c r="B250" s="690"/>
      <c r="C250" s="690"/>
      <c r="D250" s="690"/>
      <c r="E250" s="690"/>
      <c r="F250" s="690"/>
      <c r="G250" s="690"/>
      <c r="H250" s="402"/>
      <c r="I250" s="450"/>
      <c r="J250" s="415"/>
      <c r="K250" s="404"/>
      <c r="L250" s="452"/>
    </row>
    <row r="251" spans="1:12" s="439" customFormat="1" x14ac:dyDescent="0.2">
      <c r="A251" s="405"/>
      <c r="B251" s="711" t="s">
        <v>2052</v>
      </c>
      <c r="C251" s="709"/>
      <c r="D251" s="709"/>
      <c r="E251" s="709"/>
      <c r="F251" s="709"/>
      <c r="G251" s="710"/>
      <c r="H251" s="402" t="s">
        <v>2023</v>
      </c>
      <c r="I251" s="450">
        <v>6</v>
      </c>
      <c r="J251" s="415">
        <v>19.89</v>
      </c>
      <c r="K251" s="404">
        <f>I251*J251</f>
        <v>119.34</v>
      </c>
      <c r="L251" s="452"/>
    </row>
    <row r="252" spans="1:12" s="439" customFormat="1" x14ac:dyDescent="0.2">
      <c r="A252" s="405"/>
      <c r="B252" s="711"/>
      <c r="C252" s="709"/>
      <c r="D252" s="709"/>
      <c r="E252" s="709"/>
      <c r="F252" s="709"/>
      <c r="G252" s="710"/>
      <c r="H252" s="402"/>
      <c r="I252" s="450"/>
      <c r="J252" s="415"/>
      <c r="K252" s="404"/>
      <c r="L252" s="452"/>
    </row>
    <row r="253" spans="1:12" s="439" customFormat="1" x14ac:dyDescent="0.2">
      <c r="A253" s="405"/>
      <c r="B253" s="712" t="s">
        <v>2053</v>
      </c>
      <c r="C253" s="688"/>
      <c r="D253" s="688"/>
      <c r="E253" s="688"/>
      <c r="F253" s="688"/>
      <c r="G253" s="689"/>
      <c r="H253" s="402" t="s">
        <v>2023</v>
      </c>
      <c r="I253" s="450">
        <v>6</v>
      </c>
      <c r="J253" s="415">
        <v>2.4700000000000002</v>
      </c>
      <c r="K253" s="404">
        <f>I253*J253</f>
        <v>14.82</v>
      </c>
      <c r="L253" s="452"/>
    </row>
    <row r="254" spans="1:12" s="439" customFormat="1" x14ac:dyDescent="0.2">
      <c r="A254" s="405"/>
      <c r="B254" s="711"/>
      <c r="C254" s="709"/>
      <c r="D254" s="709"/>
      <c r="E254" s="709"/>
      <c r="F254" s="709"/>
      <c r="G254" s="710"/>
      <c r="H254" s="402"/>
      <c r="I254" s="450"/>
      <c r="J254" s="403"/>
      <c r="K254" s="404"/>
      <c r="L254" s="452"/>
    </row>
    <row r="255" spans="1:12" s="439" customFormat="1" ht="13.5" customHeight="1" x14ac:dyDescent="0.2">
      <c r="A255" s="405"/>
      <c r="B255" s="687" t="s">
        <v>2054</v>
      </c>
      <c r="C255" s="688"/>
      <c r="D255" s="688"/>
      <c r="E255" s="688"/>
      <c r="F255" s="688"/>
      <c r="G255" s="689"/>
      <c r="H255" s="402" t="s">
        <v>2023</v>
      </c>
      <c r="I255" s="450">
        <v>6</v>
      </c>
      <c r="J255" s="415">
        <v>43</v>
      </c>
      <c r="K255" s="404">
        <f>I255*J255</f>
        <v>258</v>
      </c>
      <c r="L255" s="452"/>
    </row>
    <row r="256" spans="1:12" s="439" customFormat="1" x14ac:dyDescent="0.2">
      <c r="A256" s="405"/>
      <c r="B256" s="711"/>
      <c r="C256" s="709"/>
      <c r="D256" s="709"/>
      <c r="E256" s="709"/>
      <c r="F256" s="709"/>
      <c r="G256" s="710"/>
      <c r="H256" s="402"/>
      <c r="I256" s="450"/>
      <c r="J256" s="415"/>
      <c r="K256" s="404"/>
      <c r="L256" s="452"/>
    </row>
    <row r="257" spans="1:12" s="439" customFormat="1" x14ac:dyDescent="0.2">
      <c r="A257" s="405"/>
      <c r="B257" s="687" t="s">
        <v>2055</v>
      </c>
      <c r="C257" s="688"/>
      <c r="D257" s="688"/>
      <c r="E257" s="688"/>
      <c r="F257" s="688"/>
      <c r="G257" s="689"/>
      <c r="H257" s="402" t="s">
        <v>2056</v>
      </c>
      <c r="I257" s="450">
        <v>1</v>
      </c>
      <c r="J257" s="417">
        <v>652.89</v>
      </c>
      <c r="K257" s="404">
        <f>I257*J257</f>
        <v>652.89</v>
      </c>
      <c r="L257" s="452"/>
    </row>
    <row r="258" spans="1:12" s="439" customFormat="1" x14ac:dyDescent="0.2">
      <c r="A258" s="405"/>
      <c r="B258" s="687"/>
      <c r="C258" s="688"/>
      <c r="D258" s="688"/>
      <c r="E258" s="688"/>
      <c r="F258" s="688"/>
      <c r="G258" s="689"/>
      <c r="H258" s="402"/>
      <c r="I258" s="450"/>
      <c r="J258" s="415"/>
      <c r="K258" s="404"/>
      <c r="L258" s="452"/>
    </row>
    <row r="259" spans="1:12" s="439" customFormat="1" ht="13.5" customHeight="1" x14ac:dyDescent="0.2">
      <c r="A259" s="405"/>
      <c r="B259" s="706" t="s">
        <v>2057</v>
      </c>
      <c r="C259" s="707"/>
      <c r="D259" s="707"/>
      <c r="E259" s="707"/>
      <c r="F259" s="707"/>
      <c r="G259" s="708"/>
      <c r="H259" s="453" t="s">
        <v>2023</v>
      </c>
      <c r="I259" s="454">
        <v>1</v>
      </c>
      <c r="J259" s="417">
        <v>56.34</v>
      </c>
      <c r="K259" s="404">
        <f>I259*J259</f>
        <v>56.34</v>
      </c>
      <c r="L259" s="452"/>
    </row>
    <row r="260" spans="1:12" s="439" customFormat="1" ht="13.5" customHeight="1" x14ac:dyDescent="0.2">
      <c r="A260" s="405"/>
      <c r="B260" s="729"/>
      <c r="C260" s="753"/>
      <c r="D260" s="753"/>
      <c r="E260" s="753"/>
      <c r="F260" s="753"/>
      <c r="G260" s="754"/>
      <c r="H260" s="413"/>
      <c r="I260" s="414"/>
      <c r="J260" s="403"/>
      <c r="K260" s="416"/>
      <c r="L260" s="452"/>
    </row>
    <row r="261" spans="1:12" s="439" customFormat="1" x14ac:dyDescent="0.2">
      <c r="A261" s="405"/>
      <c r="B261" s="695" t="s">
        <v>2058</v>
      </c>
      <c r="C261" s="696"/>
      <c r="D261" s="696"/>
      <c r="E261" s="696"/>
      <c r="F261" s="696"/>
      <c r="G261" s="697"/>
      <c r="H261" s="413"/>
      <c r="I261" s="414"/>
      <c r="J261" s="403"/>
      <c r="K261" s="427">
        <f>SUM(K239:K260)</f>
        <v>3162.0900000000006</v>
      </c>
      <c r="L261" s="452"/>
    </row>
    <row r="262" spans="1:12" s="439" customFormat="1" ht="12.75" customHeight="1" x14ac:dyDescent="0.2">
      <c r="A262" s="405"/>
      <c r="B262" s="691"/>
      <c r="C262" s="692"/>
      <c r="D262" s="692"/>
      <c r="E262" s="692"/>
      <c r="F262" s="692"/>
      <c r="G262" s="693"/>
      <c r="H262" s="413"/>
      <c r="I262" s="414"/>
      <c r="J262" s="403"/>
      <c r="K262" s="416"/>
      <c r="L262" s="452"/>
    </row>
    <row r="263" spans="1:12" s="439" customFormat="1" ht="12.75" customHeight="1" x14ac:dyDescent="0.2">
      <c r="A263" s="405"/>
      <c r="B263" s="734" t="s">
        <v>2037</v>
      </c>
      <c r="C263" s="735"/>
      <c r="D263" s="735"/>
      <c r="E263" s="735"/>
      <c r="F263" s="735"/>
      <c r="G263" s="736"/>
      <c r="H263" s="413"/>
      <c r="I263" s="414"/>
      <c r="J263" s="403"/>
      <c r="K263" s="416"/>
      <c r="L263" s="452"/>
    </row>
    <row r="264" spans="1:12" s="439" customFormat="1" x14ac:dyDescent="0.2">
      <c r="A264" s="405"/>
      <c r="B264" s="734" t="s">
        <v>2038</v>
      </c>
      <c r="C264" s="735"/>
      <c r="D264" s="735"/>
      <c r="E264" s="735"/>
      <c r="F264" s="735"/>
      <c r="G264" s="736"/>
      <c r="H264" s="421" t="s">
        <v>2039</v>
      </c>
      <c r="I264" s="450">
        <v>80</v>
      </c>
      <c r="J264" s="403">
        <v>56.12</v>
      </c>
      <c r="K264" s="416">
        <f>J264*I264</f>
        <v>4489.5999999999995</v>
      </c>
      <c r="L264" s="452"/>
    </row>
    <row r="265" spans="1:12" s="439" customFormat="1" x14ac:dyDescent="0.2">
      <c r="A265" s="405"/>
      <c r="B265" s="729" t="s">
        <v>2040</v>
      </c>
      <c r="C265" s="727"/>
      <c r="D265" s="727"/>
      <c r="E265" s="727"/>
      <c r="F265" s="727"/>
      <c r="G265" s="728"/>
      <c r="H265" s="421" t="s">
        <v>2039</v>
      </c>
      <c r="I265" s="450">
        <v>80</v>
      </c>
      <c r="J265" s="403">
        <v>22.98</v>
      </c>
      <c r="K265" s="416">
        <f>J265*I265</f>
        <v>1838.4</v>
      </c>
      <c r="L265" s="452"/>
    </row>
    <row r="266" spans="1:12" x14ac:dyDescent="0.2">
      <c r="A266" s="405"/>
      <c r="B266" s="691"/>
      <c r="C266" s="714"/>
      <c r="D266" s="714"/>
      <c r="E266" s="714"/>
      <c r="F266" s="714"/>
      <c r="G266" s="715"/>
      <c r="H266" s="421"/>
      <c r="I266" s="414"/>
      <c r="J266" s="403"/>
      <c r="K266" s="416"/>
      <c r="L266" s="86"/>
    </row>
    <row r="267" spans="1:12" x14ac:dyDescent="0.2">
      <c r="A267" s="405"/>
      <c r="B267" s="695" t="s">
        <v>2146</v>
      </c>
      <c r="C267" s="696"/>
      <c r="D267" s="696"/>
      <c r="E267" s="696"/>
      <c r="F267" s="696"/>
      <c r="G267" s="697"/>
      <c r="H267" s="413"/>
      <c r="I267" s="414"/>
      <c r="J267" s="403"/>
      <c r="K267" s="427">
        <f>SUM(K261:K266)</f>
        <v>9490.09</v>
      </c>
      <c r="L267" s="86"/>
    </row>
    <row r="268" spans="1:12" ht="13.5" customHeight="1" thickBot="1" x14ac:dyDescent="0.25">
      <c r="A268" s="550"/>
      <c r="B268" s="750"/>
      <c r="C268" s="751"/>
      <c r="D268" s="751"/>
      <c r="E268" s="751"/>
      <c r="F268" s="751"/>
      <c r="G268" s="752"/>
      <c r="H268" s="551"/>
      <c r="I268" s="521"/>
      <c r="J268" s="552"/>
      <c r="K268" s="515"/>
    </row>
    <row r="269" spans="1:12" ht="17.25" customHeight="1" x14ac:dyDescent="0.2">
      <c r="A269" s="535"/>
      <c r="B269" s="536"/>
      <c r="C269" s="536"/>
      <c r="D269" s="536"/>
      <c r="E269" s="536"/>
      <c r="F269" s="381" t="s">
        <v>2010</v>
      </c>
      <c r="G269" s="382"/>
      <c r="H269" s="381" t="s">
        <v>199</v>
      </c>
      <c r="I269" s="383"/>
      <c r="J269" s="556" t="s">
        <v>2155</v>
      </c>
      <c r="K269" s="382"/>
    </row>
    <row r="270" spans="1:12" x14ac:dyDescent="0.2">
      <c r="A270" s="537"/>
      <c r="B270" s="516"/>
      <c r="C270" s="516"/>
      <c r="D270" s="516"/>
      <c r="E270" s="516"/>
      <c r="F270" s="384"/>
      <c r="G270" s="385"/>
      <c r="H270" s="386" t="str">
        <f>H2</f>
        <v>POTIM-SP</v>
      </c>
      <c r="I270" s="387"/>
      <c r="J270" s="557" t="s">
        <v>2170</v>
      </c>
      <c r="K270" s="388"/>
    </row>
    <row r="271" spans="1:12" ht="14.25" x14ac:dyDescent="0.2">
      <c r="A271" s="537"/>
      <c r="B271" s="516"/>
      <c r="C271" s="516"/>
      <c r="D271" s="516"/>
      <c r="E271" s="516"/>
      <c r="F271" s="389" t="s">
        <v>2011</v>
      </c>
      <c r="G271" s="390"/>
      <c r="H271" s="389" t="s">
        <v>2012</v>
      </c>
      <c r="I271" s="391"/>
      <c r="J271" s="390"/>
      <c r="K271" s="392"/>
    </row>
    <row r="272" spans="1:12" ht="13.5" thickBot="1" x14ac:dyDescent="0.25">
      <c r="A272" s="537"/>
      <c r="B272" s="516"/>
      <c r="C272" s="516"/>
      <c r="D272" s="516"/>
      <c r="E272" s="516"/>
      <c r="F272" s="393"/>
      <c r="G272" s="493" t="s">
        <v>2013</v>
      </c>
      <c r="H272" s="558" t="s">
        <v>2147</v>
      </c>
      <c r="I272" s="559"/>
      <c r="J272" s="559"/>
      <c r="K272" s="560"/>
    </row>
    <row r="273" spans="1:12" ht="8.25" customHeight="1" thickBot="1" x14ac:dyDescent="0.25">
      <c r="A273" s="741"/>
      <c r="B273" s="742"/>
      <c r="C273" s="742"/>
      <c r="D273" s="742"/>
      <c r="E273" s="742"/>
      <c r="F273" s="742"/>
      <c r="G273" s="742"/>
      <c r="H273" s="742"/>
      <c r="I273" s="742"/>
      <c r="J273" s="742"/>
      <c r="K273" s="743"/>
      <c r="L273" s="86"/>
    </row>
    <row r="274" spans="1:12" s="439" customFormat="1" ht="13.5" thickBot="1" x14ac:dyDescent="0.25">
      <c r="A274" s="398" t="s">
        <v>24</v>
      </c>
      <c r="B274" s="744" t="s">
        <v>2083</v>
      </c>
      <c r="C274" s="745"/>
      <c r="D274" s="745"/>
      <c r="E274" s="745"/>
      <c r="F274" s="745"/>
      <c r="G274" s="746"/>
      <c r="H274" s="399" t="s">
        <v>2015</v>
      </c>
      <c r="I274" s="399" t="s">
        <v>6</v>
      </c>
      <c r="J274" s="399" t="s">
        <v>2084</v>
      </c>
      <c r="K274" s="400" t="s">
        <v>2018</v>
      </c>
      <c r="L274" s="452"/>
    </row>
    <row r="275" spans="1:12" s="439" customFormat="1" x14ac:dyDescent="0.2">
      <c r="A275" s="494"/>
      <c r="B275" s="747"/>
      <c r="C275" s="748"/>
      <c r="D275" s="748"/>
      <c r="E275" s="748"/>
      <c r="F275" s="748"/>
      <c r="G275" s="749"/>
      <c r="H275" s="531"/>
      <c r="I275" s="495"/>
      <c r="J275" s="495"/>
      <c r="K275" s="532"/>
      <c r="L275" s="452"/>
    </row>
    <row r="276" spans="1:12" ht="13.5" customHeight="1" x14ac:dyDescent="0.2">
      <c r="A276" s="461">
        <v>7</v>
      </c>
      <c r="B276" s="683" t="s">
        <v>2148</v>
      </c>
      <c r="C276" s="684"/>
      <c r="D276" s="684"/>
      <c r="E276" s="684"/>
      <c r="F276" s="684"/>
      <c r="G276" s="685"/>
      <c r="H276" s="462"/>
      <c r="I276" s="446"/>
      <c r="J276" s="446"/>
      <c r="K276" s="448"/>
    </row>
    <row r="277" spans="1:12" ht="12.75" customHeight="1" x14ac:dyDescent="0.2">
      <c r="A277" s="449"/>
      <c r="B277" s="686" t="s">
        <v>2063</v>
      </c>
      <c r="C277" s="686"/>
      <c r="D277" s="686"/>
      <c r="E277" s="686"/>
      <c r="F277" s="686"/>
      <c r="G277" s="686"/>
      <c r="H277" s="402"/>
      <c r="I277" s="450"/>
      <c r="J277" s="417"/>
      <c r="K277" s="404"/>
    </row>
    <row r="278" spans="1:12" ht="15" customHeight="1" x14ac:dyDescent="0.2">
      <c r="A278" s="449"/>
      <c r="B278" s="687"/>
      <c r="C278" s="688"/>
      <c r="D278" s="688"/>
      <c r="E278" s="688"/>
      <c r="F278" s="688"/>
      <c r="G278" s="689"/>
      <c r="H278" s="446"/>
      <c r="I278" s="450"/>
      <c r="J278" s="417"/>
      <c r="K278" s="404"/>
    </row>
    <row r="279" spans="1:12" ht="15" customHeight="1" x14ac:dyDescent="0.2">
      <c r="A279" s="405"/>
      <c r="B279" s="666" t="s">
        <v>2149</v>
      </c>
      <c r="C279" s="667"/>
      <c r="D279" s="667"/>
      <c r="E279" s="667"/>
      <c r="F279" s="667"/>
      <c r="G279" s="668"/>
      <c r="H279" s="453" t="s">
        <v>2023</v>
      </c>
      <c r="I279" s="454">
        <v>2</v>
      </c>
      <c r="J279" s="417">
        <v>12000</v>
      </c>
      <c r="K279" s="416">
        <f>J279*I279</f>
        <v>24000</v>
      </c>
    </row>
    <row r="280" spans="1:12" ht="15" customHeight="1" x14ac:dyDescent="0.2">
      <c r="A280" s="405"/>
      <c r="B280" s="675"/>
      <c r="C280" s="676"/>
      <c r="D280" s="676"/>
      <c r="E280" s="676"/>
      <c r="F280" s="676"/>
      <c r="G280" s="677"/>
      <c r="H280" s="402"/>
      <c r="I280" s="450"/>
      <c r="J280" s="415"/>
      <c r="K280" s="404"/>
    </row>
    <row r="281" spans="1:12" ht="15" customHeight="1" x14ac:dyDescent="0.2">
      <c r="A281" s="405"/>
      <c r="B281" s="691" t="s">
        <v>2150</v>
      </c>
      <c r="C281" s="692"/>
      <c r="D281" s="692"/>
      <c r="E281" s="692"/>
      <c r="F281" s="692"/>
      <c r="G281" s="693"/>
      <c r="H281" s="453" t="s">
        <v>2023</v>
      </c>
      <c r="I281" s="454">
        <v>1</v>
      </c>
      <c r="J281" s="417">
        <v>9600</v>
      </c>
      <c r="K281" s="416">
        <f>J281*I281</f>
        <v>9600</v>
      </c>
    </row>
    <row r="282" spans="1:12" ht="12.75" customHeight="1" x14ac:dyDescent="0.2">
      <c r="A282" s="405"/>
      <c r="B282" s="690"/>
      <c r="C282" s="690"/>
      <c r="D282" s="690"/>
      <c r="E282" s="690"/>
      <c r="F282" s="690"/>
      <c r="G282" s="740"/>
      <c r="H282" s="402"/>
      <c r="I282" s="450"/>
      <c r="J282" s="415"/>
      <c r="K282" s="404"/>
    </row>
    <row r="283" spans="1:12" ht="12.75" customHeight="1" x14ac:dyDescent="0.2">
      <c r="A283" s="405"/>
      <c r="B283" s="666" t="s">
        <v>2151</v>
      </c>
      <c r="C283" s="676"/>
      <c r="D283" s="676"/>
      <c r="E283" s="676"/>
      <c r="F283" s="676"/>
      <c r="G283" s="676"/>
      <c r="H283" s="453" t="s">
        <v>2023</v>
      </c>
      <c r="I283" s="454">
        <v>1</v>
      </c>
      <c r="J283" s="417">
        <v>2670</v>
      </c>
      <c r="K283" s="404">
        <f>J283*I283</f>
        <v>2670</v>
      </c>
    </row>
    <row r="284" spans="1:12" ht="12.75" customHeight="1" x14ac:dyDescent="0.2">
      <c r="A284" s="405"/>
      <c r="B284" s="86"/>
      <c r="C284" s="86"/>
      <c r="D284" s="86"/>
      <c r="E284" s="86"/>
      <c r="F284" s="86"/>
      <c r="G284" s="86"/>
      <c r="H284" s="418"/>
      <c r="I284" s="418"/>
      <c r="J284" s="418"/>
      <c r="K284" s="545"/>
    </row>
    <row r="285" spans="1:12" s="439" customFormat="1" ht="12.75" customHeight="1" x14ac:dyDescent="0.2">
      <c r="A285" s="405"/>
      <c r="B285" s="666" t="s">
        <v>2152</v>
      </c>
      <c r="C285" s="676"/>
      <c r="D285" s="676"/>
      <c r="E285" s="676"/>
      <c r="F285" s="676"/>
      <c r="G285" s="676"/>
      <c r="H285" s="453" t="s">
        <v>2023</v>
      </c>
      <c r="I285" s="454">
        <v>1</v>
      </c>
      <c r="J285" s="417">
        <v>1820</v>
      </c>
      <c r="K285" s="404">
        <f>J285*I285</f>
        <v>1820</v>
      </c>
    </row>
    <row r="286" spans="1:12" s="439" customFormat="1" ht="12.75" customHeight="1" x14ac:dyDescent="0.2">
      <c r="A286" s="405"/>
      <c r="B286" s="672"/>
      <c r="C286" s="709"/>
      <c r="D286" s="709"/>
      <c r="E286" s="709"/>
      <c r="F286" s="709"/>
      <c r="G286" s="710"/>
      <c r="H286" s="402"/>
      <c r="I286" s="450"/>
      <c r="J286" s="415"/>
      <c r="K286" s="460"/>
    </row>
    <row r="287" spans="1:12" s="439" customFormat="1" ht="12.75" customHeight="1" x14ac:dyDescent="0.2">
      <c r="A287" s="405"/>
      <c r="B287" s="694" t="s">
        <v>2153</v>
      </c>
      <c r="C287" s="690"/>
      <c r="D287" s="690"/>
      <c r="E287" s="690"/>
      <c r="F287" s="690"/>
      <c r="G287" s="740"/>
      <c r="H287" s="453" t="s">
        <v>2023</v>
      </c>
      <c r="I287" s="454">
        <v>1</v>
      </c>
      <c r="J287" s="417">
        <v>7000</v>
      </c>
      <c r="K287" s="404">
        <f>J287*I287</f>
        <v>7000</v>
      </c>
    </row>
    <row r="288" spans="1:12" s="439" customFormat="1" ht="12.75" customHeight="1" x14ac:dyDescent="0.2">
      <c r="A288" s="405"/>
      <c r="B288" s="452"/>
      <c r="C288" s="452"/>
      <c r="D288" s="452"/>
      <c r="E288" s="452"/>
      <c r="F288" s="452"/>
      <c r="G288" s="452"/>
      <c r="H288" s="426"/>
      <c r="I288" s="426"/>
      <c r="J288" s="426"/>
      <c r="K288" s="553"/>
    </row>
    <row r="289" spans="1:11" ht="12.75" customHeight="1" x14ac:dyDescent="0.2">
      <c r="A289" s="405"/>
      <c r="B289" s="86"/>
      <c r="C289" s="86"/>
      <c r="D289" s="86"/>
      <c r="E289" s="86"/>
      <c r="F289" s="86"/>
      <c r="G289" s="86"/>
      <c r="H289" s="418"/>
      <c r="I289" s="418"/>
      <c r="J289" s="418"/>
      <c r="K289" s="545"/>
    </row>
    <row r="290" spans="1:11" ht="12.75" customHeight="1" x14ac:dyDescent="0.2">
      <c r="A290" s="405"/>
      <c r="B290" s="86"/>
      <c r="C290" s="86"/>
      <c r="D290" s="86"/>
      <c r="E290" s="86"/>
      <c r="F290" s="86"/>
      <c r="G290" s="86"/>
      <c r="H290" s="418"/>
      <c r="I290" s="418"/>
      <c r="J290" s="418"/>
      <c r="K290" s="545"/>
    </row>
    <row r="291" spans="1:11" ht="12.75" customHeight="1" x14ac:dyDescent="0.2">
      <c r="A291" s="405"/>
      <c r="B291" s="86"/>
      <c r="C291" s="86"/>
      <c r="D291" s="86"/>
      <c r="E291" s="86"/>
      <c r="F291" s="86"/>
      <c r="G291" s="86"/>
      <c r="H291" s="418"/>
      <c r="I291" s="418"/>
      <c r="J291" s="418"/>
      <c r="K291" s="545"/>
    </row>
    <row r="292" spans="1:11" ht="12.75" customHeight="1" x14ac:dyDescent="0.2">
      <c r="A292" s="405"/>
      <c r="B292" s="86"/>
      <c r="C292" s="86"/>
      <c r="D292" s="86"/>
      <c r="E292" s="86"/>
      <c r="F292" s="86"/>
      <c r="G292" s="86"/>
      <c r="H292" s="418"/>
      <c r="I292" s="418"/>
      <c r="J292" s="418"/>
      <c r="K292" s="545"/>
    </row>
    <row r="293" spans="1:11" ht="14.25" customHeight="1" x14ac:dyDescent="0.2">
      <c r="A293" s="405"/>
      <c r="B293" s="86"/>
      <c r="C293" s="86"/>
      <c r="D293" s="86"/>
      <c r="E293" s="86"/>
      <c r="F293" s="86"/>
      <c r="G293" s="86"/>
      <c r="H293" s="418"/>
      <c r="I293" s="418"/>
      <c r="J293" s="418"/>
      <c r="K293" s="545"/>
    </row>
    <row r="294" spans="1:11" ht="12.75" customHeight="1" x14ac:dyDescent="0.2">
      <c r="A294" s="405"/>
      <c r="B294" s="86"/>
      <c r="C294" s="86"/>
      <c r="D294" s="86"/>
      <c r="E294" s="86"/>
      <c r="F294" s="86"/>
      <c r="G294" s="86"/>
      <c r="H294" s="418"/>
      <c r="I294" s="418"/>
      <c r="J294" s="418"/>
      <c r="K294" s="545"/>
    </row>
    <row r="295" spans="1:11" ht="12.75" customHeight="1" x14ac:dyDescent="0.2">
      <c r="A295" s="405"/>
      <c r="B295" s="86"/>
      <c r="C295" s="86"/>
      <c r="D295" s="86"/>
      <c r="E295" s="86"/>
      <c r="F295" s="86"/>
      <c r="G295" s="86"/>
      <c r="H295" s="418"/>
      <c r="I295" s="418"/>
      <c r="J295" s="418"/>
      <c r="K295" s="545"/>
    </row>
    <row r="296" spans="1:11" ht="12.75" customHeight="1" x14ac:dyDescent="0.2">
      <c r="A296" s="405"/>
      <c r="B296" s="86"/>
      <c r="C296" s="86"/>
      <c r="D296" s="86"/>
      <c r="E296" s="86"/>
      <c r="F296" s="86"/>
      <c r="G296" s="86"/>
      <c r="H296" s="418"/>
      <c r="I296" s="418"/>
      <c r="J296" s="418"/>
      <c r="K296" s="545"/>
    </row>
    <row r="297" spans="1:11" ht="12.75" customHeight="1" x14ac:dyDescent="0.2">
      <c r="A297" s="405"/>
      <c r="B297" s="86"/>
      <c r="C297" s="86"/>
      <c r="D297" s="86"/>
      <c r="E297" s="86"/>
      <c r="F297" s="86"/>
      <c r="G297" s="86"/>
      <c r="H297" s="418"/>
      <c r="I297" s="418"/>
      <c r="J297" s="418"/>
      <c r="K297" s="545"/>
    </row>
    <row r="298" spans="1:11" ht="12.75" customHeight="1" x14ac:dyDescent="0.2">
      <c r="A298" s="405"/>
      <c r="B298" s="474" t="s">
        <v>2037</v>
      </c>
      <c r="C298" s="504"/>
      <c r="D298" s="504"/>
      <c r="E298" s="504"/>
      <c r="F298" s="504"/>
      <c r="G298" s="505"/>
      <c r="H298" s="421"/>
      <c r="I298" s="450"/>
      <c r="J298" s="403"/>
      <c r="K298" s="416"/>
    </row>
    <row r="299" spans="1:11" ht="12.75" customHeight="1" x14ac:dyDescent="0.2">
      <c r="A299" s="405"/>
      <c r="B299" s="474" t="s">
        <v>2038</v>
      </c>
      <c r="C299" s="504"/>
      <c r="D299" s="504"/>
      <c r="E299" s="504"/>
      <c r="F299" s="504"/>
      <c r="G299" s="505"/>
      <c r="H299" s="421" t="s">
        <v>2039</v>
      </c>
      <c r="I299" s="450">
        <v>40</v>
      </c>
      <c r="J299" s="403">
        <v>56.12</v>
      </c>
      <c r="K299" s="416">
        <f>J299*I299</f>
        <v>2244.7999999999997</v>
      </c>
    </row>
    <row r="300" spans="1:11" ht="12.75" customHeight="1" x14ac:dyDescent="0.2">
      <c r="A300" s="405"/>
      <c r="B300" s="428" t="s">
        <v>2040</v>
      </c>
      <c r="C300" s="509"/>
      <c r="D300" s="509"/>
      <c r="E300" s="509"/>
      <c r="F300" s="509"/>
      <c r="G300" s="510"/>
      <c r="H300" s="421" t="s">
        <v>2039</v>
      </c>
      <c r="I300" s="450">
        <v>40</v>
      </c>
      <c r="J300" s="403">
        <v>22.98</v>
      </c>
      <c r="K300" s="416">
        <f>J300*I300</f>
        <v>919.2</v>
      </c>
    </row>
    <row r="301" spans="1:11" ht="12.75" customHeight="1" x14ac:dyDescent="0.2">
      <c r="A301" s="405"/>
      <c r="B301" s="713"/>
      <c r="C301" s="714"/>
      <c r="D301" s="714"/>
      <c r="E301" s="714"/>
      <c r="F301" s="714"/>
      <c r="G301" s="715"/>
      <c r="H301" s="421"/>
      <c r="I301" s="450"/>
      <c r="J301" s="403"/>
      <c r="K301" s="416"/>
    </row>
    <row r="302" spans="1:11" ht="12.75" customHeight="1" x14ac:dyDescent="0.2">
      <c r="A302" s="405"/>
      <c r="B302" s="695"/>
      <c r="C302" s="696"/>
      <c r="D302" s="696"/>
      <c r="E302" s="696"/>
      <c r="F302" s="696"/>
      <c r="G302" s="697"/>
      <c r="H302" s="421"/>
      <c r="I302" s="450"/>
      <c r="J302" s="403"/>
      <c r="K302" s="427"/>
    </row>
    <row r="303" spans="1:11" ht="12.75" customHeight="1" x14ac:dyDescent="0.2">
      <c r="A303" s="405"/>
      <c r="B303" s="695" t="s">
        <v>2154</v>
      </c>
      <c r="C303" s="696"/>
      <c r="D303" s="696"/>
      <c r="E303" s="696"/>
      <c r="F303" s="696"/>
      <c r="G303" s="697"/>
      <c r="H303" s="402"/>
      <c r="I303" s="450"/>
      <c r="J303" s="403"/>
      <c r="K303" s="460">
        <f>SUM(K279:K302)</f>
        <v>48254</v>
      </c>
    </row>
    <row r="304" spans="1:11" ht="12.75" customHeight="1" x14ac:dyDescent="0.2">
      <c r="A304" s="405"/>
      <c r="B304" s="86"/>
      <c r="C304" s="86"/>
      <c r="D304" s="86"/>
      <c r="E304" s="86"/>
      <c r="F304" s="86"/>
      <c r="G304" s="86"/>
      <c r="H304" s="418"/>
      <c r="I304" s="418"/>
      <c r="J304" s="418"/>
      <c r="K304" s="545"/>
    </row>
    <row r="305" spans="1:12" ht="12.75" customHeight="1" x14ac:dyDescent="0.2">
      <c r="A305" s="405"/>
      <c r="B305" s="86"/>
      <c r="C305" s="86"/>
      <c r="D305" s="86"/>
      <c r="E305" s="86"/>
      <c r="F305" s="86"/>
      <c r="G305" s="86"/>
      <c r="H305" s="418"/>
      <c r="I305" s="418"/>
      <c r="J305" s="418"/>
      <c r="K305" s="545"/>
    </row>
    <row r="306" spans="1:12" ht="12.75" customHeight="1" thickBot="1" x14ac:dyDescent="0.25">
      <c r="A306" s="533"/>
      <c r="B306" s="91"/>
      <c r="C306" s="91"/>
      <c r="D306" s="91"/>
      <c r="E306" s="91"/>
      <c r="F306" s="91"/>
      <c r="G306" s="91"/>
      <c r="H306" s="554"/>
      <c r="I306" s="554"/>
      <c r="J306" s="554"/>
      <c r="K306" s="555"/>
    </row>
    <row r="307" spans="1:12" ht="13.5" customHeight="1" x14ac:dyDescent="0.2">
      <c r="L307" s="86"/>
    </row>
    <row r="308" spans="1:12" x14ac:dyDescent="0.2">
      <c r="L308" s="86"/>
    </row>
    <row r="309" spans="1:12" x14ac:dyDescent="0.2">
      <c r="L309" s="86"/>
    </row>
    <row r="310" spans="1:12" x14ac:dyDescent="0.2">
      <c r="L310" s="86"/>
    </row>
    <row r="311" spans="1:12" ht="14.25" customHeight="1" x14ac:dyDescent="0.2">
      <c r="L311" s="86"/>
    </row>
    <row r="312" spans="1:12" ht="8.25" customHeight="1" x14ac:dyDescent="0.2">
      <c r="L312" s="86"/>
    </row>
    <row r="313" spans="1:12" x14ac:dyDescent="0.2">
      <c r="L313" s="86"/>
    </row>
    <row r="314" spans="1:12" x14ac:dyDescent="0.2">
      <c r="L314" s="86"/>
    </row>
    <row r="315" spans="1:12" ht="12.75" customHeight="1" x14ac:dyDescent="0.2">
      <c r="L315" s="86"/>
    </row>
    <row r="316" spans="1:12" ht="12.75" customHeight="1" x14ac:dyDescent="0.2">
      <c r="L316" s="86"/>
    </row>
    <row r="317" spans="1:12" ht="12.75" customHeight="1" x14ac:dyDescent="0.2">
      <c r="L317" s="86"/>
    </row>
    <row r="318" spans="1:12" ht="12.75" customHeight="1" x14ac:dyDescent="0.2">
      <c r="L318" s="86"/>
    </row>
    <row r="319" spans="1:12" ht="12.75" customHeight="1" x14ac:dyDescent="0.2">
      <c r="L319" s="86"/>
    </row>
    <row r="320" spans="1:12" ht="12.75" customHeight="1" x14ac:dyDescent="0.2">
      <c r="L320" s="86"/>
    </row>
    <row r="321" spans="12:12" ht="12.75" customHeight="1" x14ac:dyDescent="0.2">
      <c r="L321" s="86"/>
    </row>
    <row r="322" spans="12:12" ht="12.75" customHeight="1" x14ac:dyDescent="0.2">
      <c r="L322" s="86"/>
    </row>
    <row r="323" spans="12:12" ht="14.25" customHeight="1" x14ac:dyDescent="0.2">
      <c r="L323" s="86"/>
    </row>
    <row r="324" spans="12:12" ht="12.75" customHeight="1" x14ac:dyDescent="0.2">
      <c r="L324" s="86"/>
    </row>
    <row r="325" spans="12:12" ht="14.25" customHeight="1" x14ac:dyDescent="0.2">
      <c r="L325" s="86"/>
    </row>
    <row r="326" spans="12:12" ht="12.75" customHeight="1" x14ac:dyDescent="0.2">
      <c r="L326" s="86"/>
    </row>
    <row r="327" spans="12:12" ht="14.25" customHeight="1" x14ac:dyDescent="0.2">
      <c r="L327" s="86"/>
    </row>
    <row r="328" spans="12:12" ht="12.75" customHeight="1" x14ac:dyDescent="0.2">
      <c r="L328" s="86"/>
    </row>
    <row r="329" spans="12:12" ht="12.75" customHeight="1" x14ac:dyDescent="0.2">
      <c r="L329" s="86"/>
    </row>
    <row r="330" spans="12:12" ht="12.75" customHeight="1" x14ac:dyDescent="0.2">
      <c r="L330" s="86"/>
    </row>
    <row r="331" spans="12:12" ht="12.75" customHeight="1" x14ac:dyDescent="0.2">
      <c r="L331" s="86"/>
    </row>
    <row r="332" spans="12:12" ht="12.75" customHeight="1" x14ac:dyDescent="0.2">
      <c r="L332" s="86"/>
    </row>
    <row r="333" spans="12:12" ht="13.5" customHeight="1" x14ac:dyDescent="0.2">
      <c r="L333" s="86"/>
    </row>
    <row r="334" spans="12:12" ht="12.75" customHeight="1" x14ac:dyDescent="0.2"/>
    <row r="335" spans="12:12" ht="12.75" customHeight="1" x14ac:dyDescent="0.2"/>
    <row r="336" spans="12:12" ht="12.75" customHeight="1" x14ac:dyDescent="0.2">
      <c r="L336" s="86"/>
    </row>
    <row r="337" spans="12:12" ht="14.25" customHeight="1" x14ac:dyDescent="0.2">
      <c r="L337" s="86"/>
    </row>
    <row r="338" spans="12:12" x14ac:dyDescent="0.2">
      <c r="L338" s="86"/>
    </row>
    <row r="339" spans="12:12" x14ac:dyDescent="0.2">
      <c r="L339" s="86"/>
    </row>
    <row r="340" spans="12:12" x14ac:dyDescent="0.2">
      <c r="L340" s="86"/>
    </row>
    <row r="341" spans="12:12" x14ac:dyDescent="0.2">
      <c r="L341" s="86"/>
    </row>
    <row r="342" spans="12:12" x14ac:dyDescent="0.2">
      <c r="L342" s="86"/>
    </row>
    <row r="343" spans="12:12" x14ac:dyDescent="0.2">
      <c r="L343" s="86"/>
    </row>
    <row r="344" spans="12:12" x14ac:dyDescent="0.2">
      <c r="L344" s="86"/>
    </row>
    <row r="345" spans="12:12" x14ac:dyDescent="0.2">
      <c r="L345" s="86"/>
    </row>
    <row r="346" spans="12:12" x14ac:dyDescent="0.2">
      <c r="L346" s="86"/>
    </row>
    <row r="347" spans="12:12" ht="15" customHeight="1" x14ac:dyDescent="0.2">
      <c r="L347" s="86"/>
    </row>
    <row r="348" spans="12:12" ht="13.5" customHeight="1" x14ac:dyDescent="0.2">
      <c r="L348" s="86"/>
    </row>
    <row r="349" spans="12:12" x14ac:dyDescent="0.2">
      <c r="L349" s="86"/>
    </row>
    <row r="350" spans="12:12" ht="11.25" customHeight="1" x14ac:dyDescent="0.2">
      <c r="L350" s="86"/>
    </row>
    <row r="351" spans="12:12" x14ac:dyDescent="0.2">
      <c r="L351" s="86"/>
    </row>
    <row r="352" spans="12:12" x14ac:dyDescent="0.2">
      <c r="L352" s="86"/>
    </row>
    <row r="353" spans="12:16" x14ac:dyDescent="0.2">
      <c r="L353" s="86"/>
    </row>
    <row r="354" spans="12:16" ht="14.25" customHeight="1" x14ac:dyDescent="0.2">
      <c r="L354" s="86"/>
    </row>
    <row r="355" spans="12:16" ht="8.25" customHeight="1" x14ac:dyDescent="0.2">
      <c r="L355" s="86"/>
    </row>
    <row r="356" spans="12:16" x14ac:dyDescent="0.2">
      <c r="L356" s="86"/>
    </row>
    <row r="357" spans="12:16" x14ac:dyDescent="0.2">
      <c r="L357" s="86"/>
    </row>
    <row r="358" spans="12:16" ht="14.25" customHeight="1" x14ac:dyDescent="0.2">
      <c r="L358" s="86"/>
    </row>
    <row r="359" spans="12:16" ht="12.75" customHeight="1" x14ac:dyDescent="0.2">
      <c r="L359" s="86"/>
    </row>
    <row r="360" spans="12:16" ht="12.75" customHeight="1" x14ac:dyDescent="0.2">
      <c r="L360" s="86"/>
    </row>
    <row r="361" spans="12:16" ht="12.75" customHeight="1" x14ac:dyDescent="0.2">
      <c r="L361" s="86"/>
    </row>
    <row r="362" spans="12:16" ht="12.75" customHeight="1" x14ac:dyDescent="0.2"/>
    <row r="363" spans="12:16" ht="12.75" customHeight="1" x14ac:dyDescent="0.2">
      <c r="L363" s="86"/>
    </row>
    <row r="364" spans="12:16" ht="12.75" customHeight="1" x14ac:dyDescent="0.2">
      <c r="L364" s="492"/>
      <c r="M364" s="492"/>
      <c r="N364" s="492"/>
      <c r="O364" s="492"/>
      <c r="P364" s="492"/>
    </row>
    <row r="365" spans="12:16" ht="12.75" customHeight="1" x14ac:dyDescent="0.2">
      <c r="L365" s="492"/>
      <c r="M365" s="492"/>
      <c r="N365" s="492"/>
      <c r="O365" s="492"/>
      <c r="P365" s="492"/>
    </row>
    <row r="366" spans="12:16" ht="12.75" customHeight="1" x14ac:dyDescent="0.2">
      <c r="L366" s="86"/>
    </row>
    <row r="367" spans="12:16" ht="12.75" customHeight="1" x14ac:dyDescent="0.2">
      <c r="L367" s="86"/>
    </row>
    <row r="368" spans="12:16" ht="12.75" customHeight="1" x14ac:dyDescent="0.2">
      <c r="L368" s="86"/>
    </row>
    <row r="369" spans="12:12" ht="12.75" customHeight="1" x14ac:dyDescent="0.2">
      <c r="L369" s="86"/>
    </row>
    <row r="370" spans="12:12" ht="12.75" customHeight="1" x14ac:dyDescent="0.2">
      <c r="L370" s="86"/>
    </row>
    <row r="371" spans="12:12" ht="12.75" customHeight="1" x14ac:dyDescent="0.2">
      <c r="L371" s="86"/>
    </row>
    <row r="372" spans="12:12" ht="12.75" customHeight="1" x14ac:dyDescent="0.2">
      <c r="L372" s="86"/>
    </row>
    <row r="373" spans="12:12" ht="12.75" customHeight="1" x14ac:dyDescent="0.2">
      <c r="L373" s="86"/>
    </row>
    <row r="374" spans="12:12" ht="12.75" customHeight="1" x14ac:dyDescent="0.2">
      <c r="L374" s="86"/>
    </row>
    <row r="375" spans="12:12" ht="12.75" customHeight="1" x14ac:dyDescent="0.2">
      <c r="L375" s="86"/>
    </row>
    <row r="376" spans="12:12" ht="12.75" customHeight="1" x14ac:dyDescent="0.2">
      <c r="L376" s="86"/>
    </row>
    <row r="377" spans="12:12" ht="12.75" customHeight="1" x14ac:dyDescent="0.2">
      <c r="L377" s="86"/>
    </row>
    <row r="378" spans="12:12" ht="12.75" customHeight="1" x14ac:dyDescent="0.2">
      <c r="L378" s="86"/>
    </row>
    <row r="379" spans="12:12" ht="12.75" customHeight="1" x14ac:dyDescent="0.2">
      <c r="L379" s="86"/>
    </row>
    <row r="380" spans="12:12" ht="12.75" customHeight="1" x14ac:dyDescent="0.2">
      <c r="L380" s="86"/>
    </row>
    <row r="381" spans="12:12" ht="12.75" customHeight="1" x14ac:dyDescent="0.2"/>
    <row r="382" spans="12:12" ht="12.75" customHeight="1" x14ac:dyDescent="0.2"/>
    <row r="383" spans="12:12" ht="12.75" customHeight="1" x14ac:dyDescent="0.2"/>
    <row r="384" spans="12:12"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sheetData>
  <mergeCells count="222">
    <mergeCell ref="B7:G7"/>
    <mergeCell ref="B8:G8"/>
    <mergeCell ref="B9:G9"/>
    <mergeCell ref="B10:G10"/>
    <mergeCell ref="B11:G11"/>
    <mergeCell ref="B24:G24"/>
    <mergeCell ref="B25:G25"/>
    <mergeCell ref="B26:G26"/>
    <mergeCell ref="B32:G32"/>
    <mergeCell ref="B33:G33"/>
    <mergeCell ref="B14:G14"/>
    <mergeCell ref="B15:G15"/>
    <mergeCell ref="B20:G20"/>
    <mergeCell ref="B21:G21"/>
    <mergeCell ref="B22:G22"/>
    <mergeCell ref="B23:G23"/>
    <mergeCell ref="B44:G44"/>
    <mergeCell ref="B45:G45"/>
    <mergeCell ref="B46:G46"/>
    <mergeCell ref="B47:G47"/>
    <mergeCell ref="B48:G48"/>
    <mergeCell ref="B34:G34"/>
    <mergeCell ref="B35:G35"/>
    <mergeCell ref="B37:G37"/>
    <mergeCell ref="B38:G38"/>
    <mergeCell ref="B67:G67"/>
    <mergeCell ref="B68:G68"/>
    <mergeCell ref="B69:G69"/>
    <mergeCell ref="B55:G55"/>
    <mergeCell ref="B56:G56"/>
    <mergeCell ref="B57:G57"/>
    <mergeCell ref="B58:G58"/>
    <mergeCell ref="B59:G59"/>
    <mergeCell ref="B49:G49"/>
    <mergeCell ref="B50:G50"/>
    <mergeCell ref="B51:G51"/>
    <mergeCell ref="B52:G52"/>
    <mergeCell ref="B53:G53"/>
    <mergeCell ref="B54:G54"/>
    <mergeCell ref="B82:G82"/>
    <mergeCell ref="B83:G83"/>
    <mergeCell ref="B84:G84"/>
    <mergeCell ref="B85:G85"/>
    <mergeCell ref="B86:G86"/>
    <mergeCell ref="B87:G87"/>
    <mergeCell ref="B70:G70"/>
    <mergeCell ref="B71:G71"/>
    <mergeCell ref="B74:G74"/>
    <mergeCell ref="B80:G80"/>
    <mergeCell ref="B81:G81"/>
    <mergeCell ref="B94:G94"/>
    <mergeCell ref="B95:G95"/>
    <mergeCell ref="B96:G96"/>
    <mergeCell ref="B97:G97"/>
    <mergeCell ref="B98:G98"/>
    <mergeCell ref="B99:G99"/>
    <mergeCell ref="B88:G88"/>
    <mergeCell ref="B89:G89"/>
    <mergeCell ref="B90:G90"/>
    <mergeCell ref="B91:G91"/>
    <mergeCell ref="B92:G92"/>
    <mergeCell ref="B93:G93"/>
    <mergeCell ref="B109:G109"/>
    <mergeCell ref="B110:G110"/>
    <mergeCell ref="B111:G111"/>
    <mergeCell ref="B112:G112"/>
    <mergeCell ref="B113:G113"/>
    <mergeCell ref="B106:G106"/>
    <mergeCell ref="B107:G107"/>
    <mergeCell ref="B100:G100"/>
    <mergeCell ref="B101:G101"/>
    <mergeCell ref="B102:G102"/>
    <mergeCell ref="B103:G103"/>
    <mergeCell ref="B104:G104"/>
    <mergeCell ref="B105:G105"/>
    <mergeCell ref="B125:G125"/>
    <mergeCell ref="B126:G126"/>
    <mergeCell ref="B127:G127"/>
    <mergeCell ref="B128:G128"/>
    <mergeCell ref="B129:G129"/>
    <mergeCell ref="B130:G130"/>
    <mergeCell ref="B120:G120"/>
    <mergeCell ref="B121:G121"/>
    <mergeCell ref="B122:G122"/>
    <mergeCell ref="B123:G123"/>
    <mergeCell ref="B124:G124"/>
    <mergeCell ref="B137:G137"/>
    <mergeCell ref="B138:G138"/>
    <mergeCell ref="B139:G139"/>
    <mergeCell ref="B140:G140"/>
    <mergeCell ref="B141:G141"/>
    <mergeCell ref="B131:G131"/>
    <mergeCell ref="B132:G132"/>
    <mergeCell ref="B133:G133"/>
    <mergeCell ref="B134:G134"/>
    <mergeCell ref="B135:G135"/>
    <mergeCell ref="B136:G136"/>
    <mergeCell ref="B145:G145"/>
    <mergeCell ref="B146:G146"/>
    <mergeCell ref="B147:G147"/>
    <mergeCell ref="B148:G148"/>
    <mergeCell ref="B149:G149"/>
    <mergeCell ref="B150:G150"/>
    <mergeCell ref="B142:G142"/>
    <mergeCell ref="B143:G143"/>
    <mergeCell ref="B144:G144"/>
    <mergeCell ref="B161:G161"/>
    <mergeCell ref="B162:G162"/>
    <mergeCell ref="B163:G163"/>
    <mergeCell ref="B164:G164"/>
    <mergeCell ref="B165:G165"/>
    <mergeCell ref="B166:G166"/>
    <mergeCell ref="B151:G151"/>
    <mergeCell ref="B152:G152"/>
    <mergeCell ref="B158:G158"/>
    <mergeCell ref="B159:G159"/>
    <mergeCell ref="B160:G160"/>
    <mergeCell ref="B173:G173"/>
    <mergeCell ref="B174:G174"/>
    <mergeCell ref="B175:G175"/>
    <mergeCell ref="B176:G176"/>
    <mergeCell ref="B167:G167"/>
    <mergeCell ref="B168:G168"/>
    <mergeCell ref="B169:G169"/>
    <mergeCell ref="B170:G170"/>
    <mergeCell ref="B171:G171"/>
    <mergeCell ref="B172:G172"/>
    <mergeCell ref="B183:G183"/>
    <mergeCell ref="B184:G184"/>
    <mergeCell ref="B186:G186"/>
    <mergeCell ref="B187:G187"/>
    <mergeCell ref="B188:G188"/>
    <mergeCell ref="B189:G189"/>
    <mergeCell ref="B178:G178"/>
    <mergeCell ref="B179:G179"/>
    <mergeCell ref="B180:G180"/>
    <mergeCell ref="B181:G181"/>
    <mergeCell ref="B182:G182"/>
    <mergeCell ref="B200:G200"/>
    <mergeCell ref="B201:G201"/>
    <mergeCell ref="B204:G204"/>
    <mergeCell ref="B205:G205"/>
    <mergeCell ref="B206:G206"/>
    <mergeCell ref="B207:G207"/>
    <mergeCell ref="B190:G190"/>
    <mergeCell ref="A195:K195"/>
    <mergeCell ref="B197:G197"/>
    <mergeCell ref="B198:G198"/>
    <mergeCell ref="B199:G199"/>
    <mergeCell ref="B214:G214"/>
    <mergeCell ref="B215:G215"/>
    <mergeCell ref="B216:G216"/>
    <mergeCell ref="B217:G217"/>
    <mergeCell ref="B218:G218"/>
    <mergeCell ref="B208:G208"/>
    <mergeCell ref="B209:G209"/>
    <mergeCell ref="B210:G210"/>
    <mergeCell ref="B211:G211"/>
    <mergeCell ref="B212:G212"/>
    <mergeCell ref="B213:G213"/>
    <mergeCell ref="A234:K234"/>
    <mergeCell ref="B235:G235"/>
    <mergeCell ref="B236:G236"/>
    <mergeCell ref="B225:G225"/>
    <mergeCell ref="B226:G226"/>
    <mergeCell ref="B227:G227"/>
    <mergeCell ref="B229:G229"/>
    <mergeCell ref="B219:G219"/>
    <mergeCell ref="B220:G220"/>
    <mergeCell ref="B221:G221"/>
    <mergeCell ref="B222:G222"/>
    <mergeCell ref="B223:G223"/>
    <mergeCell ref="B224:G224"/>
    <mergeCell ref="B243:G243"/>
    <mergeCell ref="B244:G244"/>
    <mergeCell ref="B245:G245"/>
    <mergeCell ref="B246:G246"/>
    <mergeCell ref="B247:G247"/>
    <mergeCell ref="B248:G248"/>
    <mergeCell ref="B237:G237"/>
    <mergeCell ref="B238:G238"/>
    <mergeCell ref="B239:G239"/>
    <mergeCell ref="B240:G240"/>
    <mergeCell ref="B241:G241"/>
    <mergeCell ref="B242:G242"/>
    <mergeCell ref="B255:G255"/>
    <mergeCell ref="B256:G256"/>
    <mergeCell ref="B257:G257"/>
    <mergeCell ref="B258:G258"/>
    <mergeCell ref="B259:G259"/>
    <mergeCell ref="B260:G260"/>
    <mergeCell ref="B249:G249"/>
    <mergeCell ref="B250:G250"/>
    <mergeCell ref="B251:G251"/>
    <mergeCell ref="B252:G252"/>
    <mergeCell ref="B253:G253"/>
    <mergeCell ref="B254:G254"/>
    <mergeCell ref="A273:K273"/>
    <mergeCell ref="B274:G274"/>
    <mergeCell ref="B275:G275"/>
    <mergeCell ref="B276:G276"/>
    <mergeCell ref="B277:G277"/>
    <mergeCell ref="B267:G267"/>
    <mergeCell ref="B268:G268"/>
    <mergeCell ref="B261:G261"/>
    <mergeCell ref="B262:G262"/>
    <mergeCell ref="B263:G263"/>
    <mergeCell ref="B264:G264"/>
    <mergeCell ref="B265:G265"/>
    <mergeCell ref="B266:G266"/>
    <mergeCell ref="B303:G303"/>
    <mergeCell ref="B285:G285"/>
    <mergeCell ref="B286:G286"/>
    <mergeCell ref="B287:G287"/>
    <mergeCell ref="B301:G301"/>
    <mergeCell ref="B302:G302"/>
    <mergeCell ref="B278:G278"/>
    <mergeCell ref="B279:G279"/>
    <mergeCell ref="B280:G280"/>
    <mergeCell ref="B281:G281"/>
    <mergeCell ref="B282:G282"/>
    <mergeCell ref="B283:G283"/>
  </mergeCells>
  <pageMargins left="0.51181102362204722" right="0.51181102362204722" top="0.78740157480314965" bottom="0.78740157480314965" header="0.31496062992125984" footer="0.31496062992125984"/>
  <pageSetup paperSize="9" scale="94" orientation="landscape" horizontalDpi="360" verticalDpi="360" r:id="rId1"/>
  <headerFooter>
    <oddHeader>&amp;L&amp;G&amp;R&amp;G</oddHeader>
    <oddFooter>&amp;C&amp;K04+000
&amp;9Rua Nilton Baldo, 744 – Bairro Jardim Paquetá - CEP 31.330-660 – Belo Horizonte / Minas Gerais.
Endereço Eletrônico: ottawaeng@terra.com.br – Telefax (31) 3418-2175 – CNPJ: 04.472.311/0001-04&amp;R&amp;9&amp;K03+000Página &amp;P de &amp;N</oddFooter>
  </headerFooter>
  <colBreaks count="1" manualBreakCount="1">
    <brk id="11" max="1048575" man="1"/>
  </col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R81"/>
  <sheetViews>
    <sheetView topLeftCell="E37" workbookViewId="0">
      <selection activeCell="G55" sqref="G55"/>
    </sheetView>
  </sheetViews>
  <sheetFormatPr defaultRowHeight="12.75" x14ac:dyDescent="0.2"/>
  <cols>
    <col min="1" max="1" width="4.85546875" customWidth="1"/>
    <col min="2" max="2" width="16.85546875" bestFit="1" customWidth="1"/>
    <col min="3" max="3" width="8" customWidth="1"/>
    <col min="4" max="4" width="11" bestFit="1" customWidth="1"/>
    <col min="5" max="5" width="6.28515625" customWidth="1"/>
    <col min="6" max="6" width="8.85546875" customWidth="1"/>
    <col min="7" max="7" width="30.140625" bestFit="1" customWidth="1"/>
    <col min="8" max="8" width="12.85546875" bestFit="1" customWidth="1"/>
    <col min="9" max="9" width="10" customWidth="1"/>
    <col min="10" max="11" width="8" customWidth="1"/>
    <col min="12" max="12" width="16.85546875" bestFit="1" customWidth="1"/>
    <col min="14" max="14" width="11.7109375" bestFit="1" customWidth="1"/>
    <col min="15" max="15" width="12" bestFit="1" customWidth="1"/>
    <col min="16" max="16" width="24.42578125" bestFit="1" customWidth="1"/>
  </cols>
  <sheetData>
    <row r="4" spans="1:18" x14ac:dyDescent="0.2">
      <c r="B4" s="780" t="s">
        <v>807</v>
      </c>
      <c r="C4" s="780"/>
      <c r="E4" s="780"/>
      <c r="F4" s="780"/>
      <c r="H4" s="780"/>
      <c r="I4" s="780"/>
    </row>
    <row r="5" spans="1:18" x14ac:dyDescent="0.2">
      <c r="B5" s="779" t="s">
        <v>808</v>
      </c>
      <c r="C5" s="779"/>
      <c r="D5" s="339"/>
      <c r="E5" s="779"/>
      <c r="F5" s="779"/>
      <c r="H5" s="779"/>
      <c r="I5" s="779"/>
    </row>
    <row r="6" spans="1:18" x14ac:dyDescent="0.2">
      <c r="B6" s="239" t="s">
        <v>809</v>
      </c>
      <c r="C6" s="239" t="s">
        <v>810</v>
      </c>
      <c r="E6" s="239"/>
      <c r="F6" s="239"/>
      <c r="H6" s="239"/>
      <c r="I6" s="239"/>
    </row>
    <row r="7" spans="1:18" x14ac:dyDescent="0.2">
      <c r="A7" s="340" t="s">
        <v>811</v>
      </c>
      <c r="B7" s="339">
        <v>1066.1099999999999</v>
      </c>
      <c r="C7" s="339">
        <v>1208.26</v>
      </c>
      <c r="H7" s="339"/>
      <c r="I7" s="339"/>
    </row>
    <row r="10" spans="1:18" x14ac:dyDescent="0.2">
      <c r="D10" s="339"/>
      <c r="E10" s="339"/>
      <c r="F10" s="339"/>
    </row>
    <row r="13" spans="1:18" x14ac:dyDescent="0.2">
      <c r="I13" s="248">
        <v>1.5</v>
      </c>
      <c r="J13" s="248" t="s">
        <v>812</v>
      </c>
      <c r="K13" s="339" t="s">
        <v>813</v>
      </c>
      <c r="L13" s="339" t="s">
        <v>814</v>
      </c>
      <c r="M13" s="339"/>
      <c r="N13" s="339" t="s">
        <v>815</v>
      </c>
      <c r="O13" s="339"/>
      <c r="P13" s="339" t="s">
        <v>816</v>
      </c>
    </row>
    <row r="14" spans="1:18" x14ac:dyDescent="0.2">
      <c r="A14" s="339" t="s">
        <v>817</v>
      </c>
      <c r="I14" s="341">
        <v>56.96</v>
      </c>
      <c r="J14" s="342">
        <f t="shared" ref="J14:J74" si="0">M14-I14</f>
        <v>0</v>
      </c>
      <c r="K14" s="345">
        <v>0.89</v>
      </c>
      <c r="L14">
        <v>0</v>
      </c>
      <c r="M14" s="345">
        <v>56.96</v>
      </c>
      <c r="N14">
        <v>0</v>
      </c>
      <c r="O14" s="342">
        <f>N14</f>
        <v>0</v>
      </c>
      <c r="P14" s="343">
        <f>N14-O14</f>
        <v>0</v>
      </c>
      <c r="R14">
        <f>Q14-N14</f>
        <v>0</v>
      </c>
    </row>
    <row r="15" spans="1:18" x14ac:dyDescent="0.2">
      <c r="A15" s="340" t="s">
        <v>818</v>
      </c>
      <c r="I15" s="341">
        <v>16.64</v>
      </c>
      <c r="J15" s="342">
        <f t="shared" si="0"/>
        <v>0</v>
      </c>
      <c r="K15" s="345">
        <v>0.26</v>
      </c>
      <c r="L15">
        <v>0</v>
      </c>
      <c r="M15" s="345">
        <v>16.64</v>
      </c>
      <c r="N15">
        <v>0</v>
      </c>
      <c r="O15" s="342">
        <f t="shared" ref="O15:O31" si="1">N15</f>
        <v>0</v>
      </c>
      <c r="P15" s="343">
        <f t="shared" ref="P15:P72" si="2">N15-O15</f>
        <v>0</v>
      </c>
      <c r="R15">
        <f t="shared" ref="R15:R72" si="3">Q15-N15</f>
        <v>0</v>
      </c>
    </row>
    <row r="16" spans="1:18" x14ac:dyDescent="0.2">
      <c r="A16" s="340" t="s">
        <v>819</v>
      </c>
      <c r="I16" s="341">
        <v>0</v>
      </c>
      <c r="J16" s="342">
        <f t="shared" si="0"/>
        <v>0</v>
      </c>
      <c r="K16" s="345">
        <v>-0.28999999999999998</v>
      </c>
      <c r="L16">
        <v>0</v>
      </c>
      <c r="M16" s="345">
        <v>0</v>
      </c>
      <c r="N16">
        <v>0</v>
      </c>
      <c r="O16" s="342">
        <f t="shared" si="1"/>
        <v>0</v>
      </c>
      <c r="P16" s="343">
        <f t="shared" si="2"/>
        <v>0</v>
      </c>
      <c r="R16">
        <f t="shared" si="3"/>
        <v>0</v>
      </c>
    </row>
    <row r="17" spans="9:18" x14ac:dyDescent="0.2">
      <c r="I17" s="341">
        <v>0</v>
      </c>
      <c r="J17" s="342">
        <f t="shared" si="0"/>
        <v>0</v>
      </c>
      <c r="K17" s="345">
        <v>-0.28999999999999998</v>
      </c>
      <c r="L17">
        <v>0</v>
      </c>
      <c r="M17" s="345">
        <v>0</v>
      </c>
      <c r="N17">
        <v>0</v>
      </c>
      <c r="O17" s="342">
        <f t="shared" si="1"/>
        <v>0</v>
      </c>
      <c r="P17" s="343">
        <f t="shared" si="2"/>
        <v>0</v>
      </c>
      <c r="R17">
        <f t="shared" si="3"/>
        <v>0</v>
      </c>
    </row>
    <row r="18" spans="9:18" x14ac:dyDescent="0.2">
      <c r="I18" s="341">
        <v>0</v>
      </c>
      <c r="J18" s="342">
        <f t="shared" si="0"/>
        <v>0</v>
      </c>
      <c r="K18" s="345">
        <v>-0.17</v>
      </c>
      <c r="L18">
        <v>0</v>
      </c>
      <c r="M18" s="345">
        <v>0</v>
      </c>
      <c r="N18">
        <v>0</v>
      </c>
      <c r="O18" s="342">
        <f t="shared" si="1"/>
        <v>0</v>
      </c>
      <c r="P18" s="343">
        <f t="shared" si="2"/>
        <v>0</v>
      </c>
      <c r="R18">
        <f t="shared" si="3"/>
        <v>0</v>
      </c>
    </row>
    <row r="19" spans="9:18" x14ac:dyDescent="0.2">
      <c r="I19" s="341">
        <v>0</v>
      </c>
      <c r="J19" s="342">
        <f t="shared" si="0"/>
        <v>0</v>
      </c>
      <c r="K19" s="345">
        <v>-0.17</v>
      </c>
      <c r="L19">
        <v>0</v>
      </c>
      <c r="M19" s="345">
        <v>0</v>
      </c>
      <c r="N19">
        <v>0</v>
      </c>
      <c r="O19" s="342">
        <f t="shared" si="1"/>
        <v>0</v>
      </c>
      <c r="P19" s="343">
        <f t="shared" si="2"/>
        <v>0</v>
      </c>
      <c r="R19">
        <f t="shared" si="3"/>
        <v>0</v>
      </c>
    </row>
    <row r="20" spans="9:18" x14ac:dyDescent="0.2">
      <c r="I20" s="341">
        <v>0</v>
      </c>
      <c r="J20" s="342">
        <f t="shared" si="0"/>
        <v>0</v>
      </c>
      <c r="K20" s="345">
        <v>-0.1</v>
      </c>
      <c r="L20">
        <v>0</v>
      </c>
      <c r="M20" s="345">
        <v>0</v>
      </c>
      <c r="N20">
        <v>0</v>
      </c>
      <c r="O20" s="342">
        <f t="shared" si="1"/>
        <v>0</v>
      </c>
      <c r="P20" s="343">
        <f t="shared" si="2"/>
        <v>0</v>
      </c>
      <c r="R20">
        <f t="shared" si="3"/>
        <v>0</v>
      </c>
    </row>
    <row r="21" spans="9:18" x14ac:dyDescent="0.2">
      <c r="I21" s="341">
        <v>12.8</v>
      </c>
      <c r="J21" s="342">
        <f t="shared" si="0"/>
        <v>0</v>
      </c>
      <c r="K21" s="345">
        <v>0.2</v>
      </c>
      <c r="L21">
        <v>0</v>
      </c>
      <c r="M21" s="345">
        <v>12.8</v>
      </c>
      <c r="N21">
        <v>0</v>
      </c>
      <c r="O21" s="342">
        <f t="shared" si="1"/>
        <v>0</v>
      </c>
      <c r="P21" s="343">
        <f t="shared" si="2"/>
        <v>0</v>
      </c>
      <c r="R21">
        <f t="shared" si="3"/>
        <v>0</v>
      </c>
    </row>
    <row r="22" spans="9:18" x14ac:dyDescent="0.2">
      <c r="I22" s="341">
        <v>24.96</v>
      </c>
      <c r="J22" s="342">
        <f t="shared" si="0"/>
        <v>0</v>
      </c>
      <c r="K22" s="345">
        <v>0.39</v>
      </c>
      <c r="L22">
        <v>0</v>
      </c>
      <c r="M22" s="345">
        <v>24.96</v>
      </c>
      <c r="N22">
        <v>0</v>
      </c>
      <c r="O22" s="342">
        <f t="shared" si="1"/>
        <v>0</v>
      </c>
      <c r="P22" s="343">
        <f t="shared" si="2"/>
        <v>0</v>
      </c>
      <c r="R22">
        <f t="shared" si="3"/>
        <v>0</v>
      </c>
    </row>
    <row r="23" spans="9:18" x14ac:dyDescent="0.2">
      <c r="I23" s="341">
        <v>0</v>
      </c>
      <c r="J23" s="342">
        <f t="shared" si="0"/>
        <v>0</v>
      </c>
      <c r="K23" s="345">
        <v>-0.01</v>
      </c>
      <c r="L23">
        <v>0</v>
      </c>
      <c r="M23" s="345">
        <v>0</v>
      </c>
      <c r="N23">
        <v>0</v>
      </c>
      <c r="O23" s="342">
        <f t="shared" si="1"/>
        <v>0</v>
      </c>
      <c r="P23" s="343">
        <f t="shared" si="2"/>
        <v>0</v>
      </c>
      <c r="R23">
        <f t="shared" si="3"/>
        <v>0</v>
      </c>
    </row>
    <row r="24" spans="9:18" x14ac:dyDescent="0.2">
      <c r="I24" s="341">
        <v>0</v>
      </c>
      <c r="J24" s="342">
        <f t="shared" si="0"/>
        <v>0</v>
      </c>
      <c r="K24" s="345">
        <v>-0.24</v>
      </c>
      <c r="L24">
        <v>0</v>
      </c>
      <c r="M24" s="345">
        <v>0</v>
      </c>
      <c r="N24">
        <v>0</v>
      </c>
      <c r="O24" s="342">
        <f t="shared" si="1"/>
        <v>0</v>
      </c>
      <c r="P24" s="343">
        <f t="shared" si="2"/>
        <v>0</v>
      </c>
      <c r="R24">
        <f t="shared" si="3"/>
        <v>0</v>
      </c>
    </row>
    <row r="25" spans="9:18" x14ac:dyDescent="0.2">
      <c r="I25" s="341">
        <v>3.84</v>
      </c>
      <c r="J25" s="342">
        <f t="shared" si="0"/>
        <v>0</v>
      </c>
      <c r="K25" s="345">
        <v>0.24</v>
      </c>
      <c r="L25">
        <v>0</v>
      </c>
      <c r="M25" s="345">
        <v>3.84</v>
      </c>
      <c r="N25">
        <v>0</v>
      </c>
      <c r="O25" s="342">
        <f t="shared" si="1"/>
        <v>0</v>
      </c>
      <c r="P25" s="343">
        <f t="shared" si="2"/>
        <v>0</v>
      </c>
      <c r="R25">
        <f t="shared" si="3"/>
        <v>0</v>
      </c>
    </row>
    <row r="26" spans="9:18" x14ac:dyDescent="0.2">
      <c r="I26" s="341">
        <v>47.36</v>
      </c>
      <c r="J26" s="342">
        <f t="shared" si="0"/>
        <v>0</v>
      </c>
      <c r="K26" s="345">
        <v>0.74</v>
      </c>
      <c r="L26">
        <v>0</v>
      </c>
      <c r="M26" s="345">
        <v>47.36</v>
      </c>
      <c r="N26">
        <v>0</v>
      </c>
      <c r="O26" s="342">
        <f t="shared" si="1"/>
        <v>0</v>
      </c>
      <c r="P26" s="343">
        <f t="shared" si="2"/>
        <v>0</v>
      </c>
      <c r="R26">
        <f t="shared" si="3"/>
        <v>0</v>
      </c>
    </row>
    <row r="27" spans="9:18" x14ac:dyDescent="0.2">
      <c r="I27" s="341">
        <v>58.24</v>
      </c>
      <c r="J27" s="342">
        <f t="shared" si="0"/>
        <v>0</v>
      </c>
      <c r="K27" s="345">
        <v>1.1200000000000001</v>
      </c>
      <c r="L27">
        <v>0</v>
      </c>
      <c r="M27" s="345">
        <v>58.24</v>
      </c>
      <c r="N27">
        <v>0</v>
      </c>
      <c r="O27" s="342">
        <f t="shared" si="1"/>
        <v>0</v>
      </c>
      <c r="P27" s="343">
        <f t="shared" si="2"/>
        <v>0</v>
      </c>
      <c r="R27">
        <f t="shared" si="3"/>
        <v>0</v>
      </c>
    </row>
    <row r="28" spans="9:18" x14ac:dyDescent="0.2">
      <c r="I28" s="341">
        <v>62.08</v>
      </c>
      <c r="J28" s="342">
        <f t="shared" si="0"/>
        <v>0</v>
      </c>
      <c r="K28" s="345">
        <v>0.97</v>
      </c>
      <c r="L28">
        <v>0</v>
      </c>
      <c r="M28" s="345">
        <v>62.08</v>
      </c>
      <c r="N28">
        <v>0</v>
      </c>
      <c r="O28" s="342">
        <f t="shared" si="1"/>
        <v>0</v>
      </c>
      <c r="P28" s="343">
        <f t="shared" si="2"/>
        <v>0</v>
      </c>
      <c r="R28">
        <f t="shared" si="3"/>
        <v>0</v>
      </c>
    </row>
    <row r="29" spans="9:18" x14ac:dyDescent="0.2">
      <c r="I29" s="341">
        <v>3.74</v>
      </c>
      <c r="J29" s="342">
        <f t="shared" si="0"/>
        <v>0</v>
      </c>
      <c r="K29" s="345">
        <v>0.6</v>
      </c>
      <c r="L29">
        <v>0</v>
      </c>
      <c r="M29" s="345">
        <v>3.74</v>
      </c>
      <c r="N29">
        <v>0</v>
      </c>
      <c r="O29" s="342">
        <f t="shared" si="1"/>
        <v>0</v>
      </c>
      <c r="P29" s="343">
        <f t="shared" si="2"/>
        <v>0</v>
      </c>
      <c r="R29">
        <f t="shared" si="3"/>
        <v>0</v>
      </c>
    </row>
    <row r="30" spans="9:18" x14ac:dyDescent="0.2">
      <c r="I30" s="341">
        <v>33.92</v>
      </c>
      <c r="J30" s="342">
        <f t="shared" si="0"/>
        <v>0</v>
      </c>
      <c r="K30" s="345">
        <v>0.53</v>
      </c>
      <c r="L30">
        <v>0</v>
      </c>
      <c r="M30" s="345">
        <v>33.92</v>
      </c>
      <c r="N30">
        <v>0</v>
      </c>
      <c r="O30" s="342">
        <f t="shared" si="1"/>
        <v>0</v>
      </c>
      <c r="P30" s="343">
        <f t="shared" si="2"/>
        <v>0</v>
      </c>
      <c r="R30">
        <f t="shared" si="3"/>
        <v>0</v>
      </c>
    </row>
    <row r="31" spans="9:18" x14ac:dyDescent="0.2">
      <c r="I31" s="341">
        <v>64</v>
      </c>
      <c r="J31" s="342">
        <f t="shared" si="0"/>
        <v>0</v>
      </c>
      <c r="K31" s="345">
        <v>1</v>
      </c>
      <c r="L31">
        <v>0</v>
      </c>
      <c r="M31" s="345">
        <v>64</v>
      </c>
      <c r="N31">
        <v>0</v>
      </c>
      <c r="O31" s="342">
        <f t="shared" si="1"/>
        <v>0</v>
      </c>
      <c r="P31" s="343">
        <f t="shared" si="2"/>
        <v>0</v>
      </c>
      <c r="R31">
        <f t="shared" si="3"/>
        <v>0</v>
      </c>
    </row>
    <row r="32" spans="9:18" x14ac:dyDescent="0.2">
      <c r="I32" s="341">
        <f t="shared" ref="I32:I33" si="4">M32*$I$13/K32</f>
        <v>15.598101265822784</v>
      </c>
      <c r="J32" s="342">
        <f t="shared" si="0"/>
        <v>0.83189873417721572</v>
      </c>
      <c r="K32" s="346">
        <v>1.58</v>
      </c>
      <c r="L32">
        <f t="shared" ref="L32:L72" si="5">K32-$I$13</f>
        <v>8.0000000000000071E-2</v>
      </c>
      <c r="M32" s="345">
        <v>16.43</v>
      </c>
      <c r="N32">
        <v>41.08</v>
      </c>
      <c r="O32" s="342">
        <f t="shared" ref="O32:O72" si="6">$I$13*N32/K32</f>
        <v>39</v>
      </c>
      <c r="P32" s="343">
        <f t="shared" si="2"/>
        <v>2.0799999999999983</v>
      </c>
      <c r="Q32" s="78">
        <f>O32+P32</f>
        <v>41.08</v>
      </c>
      <c r="R32">
        <f t="shared" si="3"/>
        <v>0</v>
      </c>
    </row>
    <row r="33" spans="9:18" x14ac:dyDescent="0.2">
      <c r="I33" s="341">
        <f t="shared" si="4"/>
        <v>96</v>
      </c>
      <c r="J33" s="342">
        <f t="shared" si="0"/>
        <v>3.2000000000000028</v>
      </c>
      <c r="K33" s="346">
        <v>1.55</v>
      </c>
      <c r="L33">
        <f t="shared" si="5"/>
        <v>5.0000000000000044E-2</v>
      </c>
      <c r="M33" s="345">
        <v>99.2</v>
      </c>
      <c r="N33">
        <v>248</v>
      </c>
      <c r="O33" s="342">
        <f t="shared" si="6"/>
        <v>240</v>
      </c>
      <c r="P33" s="343">
        <f t="shared" si="2"/>
        <v>8</v>
      </c>
      <c r="Q33" s="78">
        <f>O33+P33</f>
        <v>248</v>
      </c>
      <c r="R33">
        <f t="shared" si="3"/>
        <v>0</v>
      </c>
    </row>
    <row r="34" spans="9:18" x14ac:dyDescent="0.2">
      <c r="I34" s="341">
        <v>44.16</v>
      </c>
      <c r="J34" s="342">
        <f t="shared" si="0"/>
        <v>0</v>
      </c>
      <c r="K34" s="345">
        <v>0.8</v>
      </c>
      <c r="L34">
        <v>0</v>
      </c>
      <c r="M34" s="345">
        <v>44.16</v>
      </c>
      <c r="N34">
        <v>0</v>
      </c>
      <c r="O34" s="342">
        <f t="shared" ref="O34:O36" si="7">N34</f>
        <v>0</v>
      </c>
      <c r="P34" s="343">
        <f t="shared" si="2"/>
        <v>0</v>
      </c>
      <c r="Q34" s="78">
        <f t="shared" ref="Q34:Q74" si="8">O34+P34</f>
        <v>0</v>
      </c>
      <c r="R34">
        <f t="shared" si="3"/>
        <v>0</v>
      </c>
    </row>
    <row r="35" spans="9:18" x14ac:dyDescent="0.2">
      <c r="I35" s="341">
        <v>33.35</v>
      </c>
      <c r="J35" s="342">
        <f t="shared" si="0"/>
        <v>0</v>
      </c>
      <c r="K35" s="345">
        <v>0.95</v>
      </c>
      <c r="L35">
        <v>0</v>
      </c>
      <c r="M35" s="345">
        <v>33.35</v>
      </c>
      <c r="N35">
        <v>0</v>
      </c>
      <c r="O35" s="342">
        <f t="shared" si="7"/>
        <v>0</v>
      </c>
      <c r="P35" s="343">
        <f t="shared" si="2"/>
        <v>0</v>
      </c>
      <c r="Q35" s="78">
        <f t="shared" si="8"/>
        <v>0</v>
      </c>
      <c r="R35">
        <f t="shared" si="3"/>
        <v>0</v>
      </c>
    </row>
    <row r="36" spans="9:18" x14ac:dyDescent="0.2">
      <c r="I36" s="341">
        <v>58.95</v>
      </c>
      <c r="J36" s="342">
        <f t="shared" si="0"/>
        <v>0</v>
      </c>
      <c r="K36" s="345">
        <v>1.31</v>
      </c>
      <c r="L36">
        <v>0</v>
      </c>
      <c r="M36" s="345">
        <v>58.95</v>
      </c>
      <c r="N36">
        <v>131</v>
      </c>
      <c r="O36" s="342">
        <f t="shared" si="7"/>
        <v>131</v>
      </c>
      <c r="P36" s="343">
        <f t="shared" si="2"/>
        <v>0</v>
      </c>
      <c r="Q36" s="78">
        <f t="shared" si="8"/>
        <v>131</v>
      </c>
      <c r="R36">
        <f t="shared" si="3"/>
        <v>0</v>
      </c>
    </row>
    <row r="37" spans="9:18" x14ac:dyDescent="0.2">
      <c r="I37" s="341">
        <f t="shared" ref="I37:I38" si="9">M37*$I$13/K37</f>
        <v>107.99999999999999</v>
      </c>
      <c r="J37" s="342">
        <f t="shared" si="0"/>
        <v>0.72000000000001307</v>
      </c>
      <c r="K37" s="346">
        <v>1.51</v>
      </c>
      <c r="L37">
        <f t="shared" si="5"/>
        <v>1.0000000000000009E-2</v>
      </c>
      <c r="M37" s="345">
        <v>108.72</v>
      </c>
      <c r="N37">
        <v>241.6</v>
      </c>
      <c r="O37" s="342">
        <f t="shared" si="6"/>
        <v>239.99999999999997</v>
      </c>
      <c r="P37" s="343">
        <f t="shared" si="2"/>
        <v>1.6000000000000227</v>
      </c>
      <c r="Q37" s="78">
        <f t="shared" si="8"/>
        <v>241.6</v>
      </c>
      <c r="R37">
        <f t="shared" si="3"/>
        <v>0</v>
      </c>
    </row>
    <row r="38" spans="9:18" x14ac:dyDescent="0.2">
      <c r="I38" s="341">
        <f t="shared" si="9"/>
        <v>29.527397260273968</v>
      </c>
      <c r="J38" s="342">
        <f t="shared" si="0"/>
        <v>13.582602739726031</v>
      </c>
      <c r="K38" s="346">
        <v>2.19</v>
      </c>
      <c r="L38">
        <f t="shared" si="5"/>
        <v>0.69</v>
      </c>
      <c r="M38" s="345">
        <v>43.11</v>
      </c>
      <c r="N38">
        <v>95.81</v>
      </c>
      <c r="O38" s="342">
        <f t="shared" si="6"/>
        <v>65.623287671232873</v>
      </c>
      <c r="P38" s="343">
        <f t="shared" si="2"/>
        <v>30.186712328767129</v>
      </c>
      <c r="Q38" s="78">
        <f t="shared" si="8"/>
        <v>95.81</v>
      </c>
      <c r="R38">
        <f t="shared" si="3"/>
        <v>0</v>
      </c>
    </row>
    <row r="39" spans="9:18" x14ac:dyDescent="0.2">
      <c r="I39" s="341">
        <v>52.72</v>
      </c>
      <c r="J39" s="342">
        <f t="shared" si="0"/>
        <v>0</v>
      </c>
      <c r="K39" s="345">
        <v>1.1100000000000001</v>
      </c>
      <c r="L39">
        <v>0</v>
      </c>
      <c r="M39" s="345">
        <v>52.72</v>
      </c>
      <c r="N39">
        <v>0</v>
      </c>
      <c r="O39" s="342">
        <f t="shared" ref="O39:O41" si="10">N39</f>
        <v>0</v>
      </c>
      <c r="P39" s="343">
        <f t="shared" si="2"/>
        <v>0</v>
      </c>
      <c r="Q39" s="78">
        <f t="shared" si="8"/>
        <v>0</v>
      </c>
      <c r="R39">
        <f t="shared" si="3"/>
        <v>0</v>
      </c>
    </row>
    <row r="40" spans="9:18" x14ac:dyDescent="0.2">
      <c r="I40" s="341">
        <v>20.38</v>
      </c>
      <c r="J40" s="342">
        <f t="shared" si="0"/>
        <v>0</v>
      </c>
      <c r="K40" s="345">
        <v>1.1200000000000001</v>
      </c>
      <c r="L40">
        <v>0</v>
      </c>
      <c r="M40" s="345">
        <v>20.38</v>
      </c>
      <c r="N40">
        <v>0</v>
      </c>
      <c r="O40" s="342">
        <f t="shared" si="10"/>
        <v>0</v>
      </c>
      <c r="P40" s="343">
        <f t="shared" si="2"/>
        <v>0</v>
      </c>
      <c r="Q40" s="78">
        <f t="shared" si="8"/>
        <v>0</v>
      </c>
      <c r="R40">
        <f t="shared" si="3"/>
        <v>0</v>
      </c>
    </row>
    <row r="41" spans="9:18" x14ac:dyDescent="0.2">
      <c r="I41" s="341">
        <v>68.64</v>
      </c>
      <c r="J41" s="342">
        <f t="shared" si="0"/>
        <v>0</v>
      </c>
      <c r="K41" s="345">
        <v>1.32</v>
      </c>
      <c r="L41">
        <v>0</v>
      </c>
      <c r="M41" s="345">
        <v>68.64</v>
      </c>
      <c r="N41">
        <v>211.2</v>
      </c>
      <c r="O41" s="342">
        <f t="shared" si="10"/>
        <v>211.2</v>
      </c>
      <c r="P41" s="343">
        <f t="shared" si="2"/>
        <v>0</v>
      </c>
      <c r="Q41" s="78">
        <f t="shared" si="8"/>
        <v>211.2</v>
      </c>
      <c r="R41">
        <f t="shared" si="3"/>
        <v>0</v>
      </c>
    </row>
    <row r="42" spans="9:18" x14ac:dyDescent="0.2">
      <c r="I42" s="341">
        <f t="shared" ref="I42:I46" si="11">M42*$I$13/K42</f>
        <v>70.201754385964918</v>
      </c>
      <c r="J42" s="342">
        <f t="shared" si="0"/>
        <v>9.8282456140350831</v>
      </c>
      <c r="K42" s="346">
        <v>1.71</v>
      </c>
      <c r="L42">
        <f t="shared" si="5"/>
        <v>0.20999999999999996</v>
      </c>
      <c r="M42" s="345">
        <v>80.03</v>
      </c>
      <c r="N42">
        <v>246.24</v>
      </c>
      <c r="O42" s="342">
        <f t="shared" si="6"/>
        <v>216</v>
      </c>
      <c r="P42" s="343">
        <f t="shared" si="2"/>
        <v>30.240000000000009</v>
      </c>
      <c r="Q42" s="78">
        <f t="shared" si="8"/>
        <v>246.24</v>
      </c>
      <c r="R42">
        <f t="shared" si="3"/>
        <v>0</v>
      </c>
    </row>
    <row r="43" spans="9:18" x14ac:dyDescent="0.2">
      <c r="I43" s="341">
        <f t="shared" si="11"/>
        <v>78.000000000000014</v>
      </c>
      <c r="J43" s="342">
        <f t="shared" si="0"/>
        <v>30.679999999999993</v>
      </c>
      <c r="K43" s="346">
        <v>2.09</v>
      </c>
      <c r="L43">
        <f t="shared" si="5"/>
        <v>0.58999999999999986</v>
      </c>
      <c r="M43" s="345">
        <v>108.68</v>
      </c>
      <c r="N43">
        <v>334.4</v>
      </c>
      <c r="O43" s="342">
        <f t="shared" si="6"/>
        <v>240</v>
      </c>
      <c r="P43" s="343">
        <f t="shared" si="2"/>
        <v>94.399999999999977</v>
      </c>
      <c r="Q43" s="78">
        <f t="shared" si="8"/>
        <v>334.4</v>
      </c>
      <c r="R43">
        <f t="shared" si="3"/>
        <v>0</v>
      </c>
    </row>
    <row r="44" spans="9:18" x14ac:dyDescent="0.2">
      <c r="I44" s="341">
        <f t="shared" si="11"/>
        <v>27.3</v>
      </c>
      <c r="J44" s="342">
        <f t="shared" si="0"/>
        <v>15.470000000000002</v>
      </c>
      <c r="K44" s="346">
        <v>2.35</v>
      </c>
      <c r="L44">
        <f t="shared" si="5"/>
        <v>0.85000000000000009</v>
      </c>
      <c r="M44" s="345">
        <v>42.77</v>
      </c>
      <c r="N44">
        <v>131.6</v>
      </c>
      <c r="O44" s="342">
        <f t="shared" si="6"/>
        <v>83.999999999999986</v>
      </c>
      <c r="P44" s="343">
        <f t="shared" si="2"/>
        <v>47.600000000000009</v>
      </c>
      <c r="Q44" s="78">
        <f t="shared" si="8"/>
        <v>131.6</v>
      </c>
      <c r="R44">
        <f t="shared" si="3"/>
        <v>0</v>
      </c>
    </row>
    <row r="45" spans="9:18" x14ac:dyDescent="0.2">
      <c r="I45" s="341">
        <f t="shared" si="11"/>
        <v>63.372727272727275</v>
      </c>
      <c r="J45" s="342">
        <f t="shared" si="0"/>
        <v>6.337272727272719</v>
      </c>
      <c r="K45" s="346">
        <v>1.65</v>
      </c>
      <c r="L45">
        <f t="shared" si="5"/>
        <v>0.14999999999999991</v>
      </c>
      <c r="M45" s="345">
        <v>69.709999999999994</v>
      </c>
      <c r="N45">
        <v>214.5</v>
      </c>
      <c r="O45" s="342">
        <f t="shared" si="6"/>
        <v>195</v>
      </c>
      <c r="P45" s="343">
        <f t="shared" si="2"/>
        <v>19.5</v>
      </c>
      <c r="Q45" s="78">
        <f t="shared" si="8"/>
        <v>214.5</v>
      </c>
      <c r="R45">
        <f t="shared" si="3"/>
        <v>0</v>
      </c>
    </row>
    <row r="46" spans="9:18" x14ac:dyDescent="0.2">
      <c r="I46" s="341">
        <f t="shared" si="11"/>
        <v>11.398648648648647</v>
      </c>
      <c r="J46" s="342">
        <f t="shared" si="0"/>
        <v>5.4713513513513536</v>
      </c>
      <c r="K46" s="346">
        <v>2.2200000000000002</v>
      </c>
      <c r="L46">
        <f t="shared" si="5"/>
        <v>0.7200000000000002</v>
      </c>
      <c r="M46" s="345">
        <v>16.87</v>
      </c>
      <c r="N46">
        <v>51.9</v>
      </c>
      <c r="O46" s="342">
        <f t="shared" si="6"/>
        <v>35.067567567567565</v>
      </c>
      <c r="P46" s="343">
        <f t="shared" si="2"/>
        <v>16.832432432432434</v>
      </c>
      <c r="Q46" s="78">
        <f t="shared" si="8"/>
        <v>51.9</v>
      </c>
      <c r="R46">
        <f t="shared" si="3"/>
        <v>0</v>
      </c>
    </row>
    <row r="47" spans="9:18" x14ac:dyDescent="0.2">
      <c r="I47" s="341">
        <v>51.2</v>
      </c>
      <c r="J47" s="342">
        <f t="shared" si="0"/>
        <v>0</v>
      </c>
      <c r="K47" s="345">
        <v>0.8</v>
      </c>
      <c r="L47">
        <v>0</v>
      </c>
      <c r="M47" s="345">
        <v>51.2</v>
      </c>
      <c r="N47">
        <v>0</v>
      </c>
      <c r="O47" s="342">
        <f t="shared" ref="O47:O64" si="12">N47</f>
        <v>0</v>
      </c>
      <c r="P47" s="343">
        <f t="shared" si="2"/>
        <v>0</v>
      </c>
      <c r="Q47" s="78">
        <f t="shared" si="8"/>
        <v>0</v>
      </c>
      <c r="R47">
        <f t="shared" si="3"/>
        <v>0</v>
      </c>
    </row>
    <row r="48" spans="9:18" x14ac:dyDescent="0.2">
      <c r="I48" s="341">
        <v>24.26</v>
      </c>
      <c r="J48" s="342">
        <f t="shared" si="0"/>
        <v>0</v>
      </c>
      <c r="K48" s="345">
        <v>0.8</v>
      </c>
      <c r="L48">
        <v>0</v>
      </c>
      <c r="M48" s="345">
        <v>24.26</v>
      </c>
      <c r="N48">
        <v>0</v>
      </c>
      <c r="O48" s="342">
        <f t="shared" si="12"/>
        <v>0</v>
      </c>
      <c r="P48" s="343">
        <f t="shared" si="2"/>
        <v>0</v>
      </c>
      <c r="Q48" s="78">
        <f t="shared" si="8"/>
        <v>0</v>
      </c>
      <c r="R48">
        <f t="shared" si="3"/>
        <v>0</v>
      </c>
    </row>
    <row r="49" spans="9:18" x14ac:dyDescent="0.2">
      <c r="I49" s="341">
        <v>8.32</v>
      </c>
      <c r="J49" s="342">
        <f t="shared" si="0"/>
        <v>0</v>
      </c>
      <c r="K49" s="345">
        <v>0.8</v>
      </c>
      <c r="L49">
        <v>0</v>
      </c>
      <c r="M49" s="345">
        <v>8.32</v>
      </c>
      <c r="N49">
        <v>0</v>
      </c>
      <c r="O49" s="342">
        <f t="shared" si="12"/>
        <v>0</v>
      </c>
      <c r="P49" s="343">
        <f t="shared" si="2"/>
        <v>0</v>
      </c>
      <c r="Q49" s="78">
        <f t="shared" si="8"/>
        <v>0</v>
      </c>
      <c r="R49">
        <f t="shared" si="3"/>
        <v>0</v>
      </c>
    </row>
    <row r="50" spans="9:18" x14ac:dyDescent="0.2">
      <c r="I50" s="341">
        <v>51.39</v>
      </c>
      <c r="J50" s="342">
        <f t="shared" si="0"/>
        <v>0</v>
      </c>
      <c r="K50" s="345">
        <v>0.8</v>
      </c>
      <c r="L50">
        <v>0</v>
      </c>
      <c r="M50" s="345">
        <v>51.39</v>
      </c>
      <c r="N50">
        <v>0</v>
      </c>
      <c r="O50" s="342">
        <f t="shared" si="12"/>
        <v>0</v>
      </c>
      <c r="P50" s="343">
        <f t="shared" si="2"/>
        <v>0</v>
      </c>
      <c r="Q50" s="78">
        <f t="shared" si="8"/>
        <v>0</v>
      </c>
      <c r="R50">
        <f t="shared" si="3"/>
        <v>0</v>
      </c>
    </row>
    <row r="51" spans="9:18" x14ac:dyDescent="0.2">
      <c r="I51" s="341">
        <v>51.01</v>
      </c>
      <c r="J51" s="342">
        <f t="shared" si="0"/>
        <v>0</v>
      </c>
      <c r="K51" s="345">
        <v>0.8</v>
      </c>
      <c r="L51">
        <v>0</v>
      </c>
      <c r="M51" s="345">
        <v>51.01</v>
      </c>
      <c r="N51">
        <v>0</v>
      </c>
      <c r="O51" s="342">
        <f t="shared" si="12"/>
        <v>0</v>
      </c>
      <c r="P51" s="343">
        <f t="shared" si="2"/>
        <v>0</v>
      </c>
      <c r="Q51" s="78">
        <f t="shared" si="8"/>
        <v>0</v>
      </c>
      <c r="R51">
        <f t="shared" si="3"/>
        <v>0</v>
      </c>
    </row>
    <row r="52" spans="9:18" x14ac:dyDescent="0.2">
      <c r="I52" s="341">
        <v>61.2</v>
      </c>
      <c r="J52" s="342">
        <f t="shared" si="0"/>
        <v>0</v>
      </c>
      <c r="K52" s="345">
        <v>0.85</v>
      </c>
      <c r="L52">
        <v>0</v>
      </c>
      <c r="M52" s="345">
        <v>61.2</v>
      </c>
      <c r="N52">
        <v>0</v>
      </c>
      <c r="O52" s="342">
        <f t="shared" si="12"/>
        <v>0</v>
      </c>
      <c r="P52" s="343">
        <f t="shared" si="2"/>
        <v>0</v>
      </c>
      <c r="Q52" s="78">
        <f t="shared" si="8"/>
        <v>0</v>
      </c>
      <c r="R52">
        <f t="shared" si="3"/>
        <v>0</v>
      </c>
    </row>
    <row r="53" spans="9:18" x14ac:dyDescent="0.2">
      <c r="I53" s="341">
        <v>34.43</v>
      </c>
      <c r="J53" s="342">
        <f t="shared" si="0"/>
        <v>0</v>
      </c>
      <c r="K53" s="345">
        <v>0.85</v>
      </c>
      <c r="L53">
        <v>0</v>
      </c>
      <c r="M53" s="345">
        <v>34.43</v>
      </c>
      <c r="N53">
        <v>0</v>
      </c>
      <c r="O53" s="342">
        <f t="shared" si="12"/>
        <v>0</v>
      </c>
      <c r="P53" s="343">
        <f t="shared" si="2"/>
        <v>0</v>
      </c>
      <c r="Q53" s="78">
        <f t="shared" si="8"/>
        <v>0</v>
      </c>
      <c r="R53">
        <f t="shared" si="3"/>
        <v>0</v>
      </c>
    </row>
    <row r="54" spans="9:18" x14ac:dyDescent="0.2">
      <c r="I54" s="341">
        <f t="shared" ref="I54" si="13">M54*$I$13/K54</f>
        <v>68.842696629213492</v>
      </c>
      <c r="J54" s="342">
        <f t="shared" si="0"/>
        <v>53.697303370786514</v>
      </c>
      <c r="K54" s="346">
        <v>2.67</v>
      </c>
      <c r="L54">
        <f t="shared" si="5"/>
        <v>1.17</v>
      </c>
      <c r="M54" s="345">
        <v>122.54</v>
      </c>
      <c r="N54">
        <v>272.32</v>
      </c>
      <c r="O54" s="342">
        <f t="shared" si="6"/>
        <v>152.98876404494382</v>
      </c>
      <c r="P54" s="343">
        <f t="shared" si="2"/>
        <v>119.33123595505617</v>
      </c>
      <c r="Q54" s="78">
        <f t="shared" si="8"/>
        <v>272.32</v>
      </c>
      <c r="R54">
        <f t="shared" si="3"/>
        <v>0</v>
      </c>
    </row>
    <row r="55" spans="9:18" x14ac:dyDescent="0.2">
      <c r="I55" s="341">
        <v>33.799999999999997</v>
      </c>
      <c r="J55" s="342">
        <f>M55-I55</f>
        <v>0</v>
      </c>
      <c r="K55" s="345">
        <v>1.04</v>
      </c>
      <c r="L55">
        <v>0</v>
      </c>
      <c r="M55" s="345">
        <v>33.799999999999997</v>
      </c>
      <c r="N55">
        <v>0</v>
      </c>
      <c r="O55" s="342">
        <f t="shared" si="12"/>
        <v>0</v>
      </c>
      <c r="P55" s="343">
        <f t="shared" si="2"/>
        <v>0</v>
      </c>
      <c r="Q55" s="78">
        <f t="shared" si="8"/>
        <v>0</v>
      </c>
      <c r="R55">
        <f t="shared" si="3"/>
        <v>0</v>
      </c>
    </row>
    <row r="56" spans="9:18" x14ac:dyDescent="0.2">
      <c r="I56" s="341">
        <v>40.56</v>
      </c>
      <c r="J56" s="342">
        <f>M56-I56</f>
        <v>0</v>
      </c>
      <c r="K56" s="345">
        <v>1.04</v>
      </c>
      <c r="L56">
        <v>0</v>
      </c>
      <c r="M56" s="345">
        <v>40.56</v>
      </c>
      <c r="N56">
        <v>0</v>
      </c>
      <c r="O56" s="342">
        <f t="shared" si="12"/>
        <v>0</v>
      </c>
      <c r="P56" s="343">
        <f t="shared" si="2"/>
        <v>0</v>
      </c>
      <c r="Q56" s="78">
        <f t="shared" si="8"/>
        <v>0</v>
      </c>
      <c r="R56">
        <f t="shared" si="3"/>
        <v>0</v>
      </c>
    </row>
    <row r="57" spans="9:18" x14ac:dyDescent="0.2">
      <c r="I57" s="341">
        <v>54.6</v>
      </c>
      <c r="J57" s="342">
        <f t="shared" si="0"/>
        <v>0</v>
      </c>
      <c r="K57" s="345">
        <v>1.05</v>
      </c>
      <c r="L57">
        <v>0</v>
      </c>
      <c r="M57" s="345">
        <v>54.6</v>
      </c>
      <c r="N57">
        <v>0</v>
      </c>
      <c r="O57" s="342">
        <f t="shared" si="12"/>
        <v>0</v>
      </c>
      <c r="P57" s="343">
        <f t="shared" si="2"/>
        <v>0</v>
      </c>
      <c r="Q57" s="78">
        <f t="shared" si="8"/>
        <v>0</v>
      </c>
      <c r="R57">
        <f t="shared" si="3"/>
        <v>0</v>
      </c>
    </row>
    <row r="58" spans="9:18" x14ac:dyDescent="0.2">
      <c r="I58" s="341">
        <v>29.35</v>
      </c>
      <c r="J58" s="342">
        <f t="shared" si="0"/>
        <v>0</v>
      </c>
      <c r="K58" s="345">
        <v>1.05</v>
      </c>
      <c r="L58">
        <v>0</v>
      </c>
      <c r="M58" s="345">
        <v>29.35</v>
      </c>
      <c r="N58">
        <v>0</v>
      </c>
      <c r="O58" s="342">
        <f t="shared" si="12"/>
        <v>0</v>
      </c>
      <c r="P58" s="343">
        <f t="shared" si="2"/>
        <v>0</v>
      </c>
      <c r="Q58" s="78">
        <f t="shared" si="8"/>
        <v>0</v>
      </c>
      <c r="R58">
        <f t="shared" si="3"/>
        <v>0</v>
      </c>
    </row>
    <row r="59" spans="9:18" x14ac:dyDescent="0.2">
      <c r="I59" s="341">
        <v>55.12</v>
      </c>
      <c r="J59" s="342">
        <f t="shared" si="0"/>
        <v>0</v>
      </c>
      <c r="K59" s="345">
        <v>1.06</v>
      </c>
      <c r="L59">
        <v>0</v>
      </c>
      <c r="M59" s="345">
        <v>55.12</v>
      </c>
      <c r="N59">
        <v>0</v>
      </c>
      <c r="O59" s="342">
        <f t="shared" si="12"/>
        <v>0</v>
      </c>
      <c r="P59" s="343">
        <f t="shared" si="2"/>
        <v>0</v>
      </c>
      <c r="Q59" s="78">
        <f t="shared" si="8"/>
        <v>0</v>
      </c>
      <c r="R59">
        <f t="shared" si="3"/>
        <v>0</v>
      </c>
    </row>
    <row r="60" spans="9:18" x14ac:dyDescent="0.2">
      <c r="I60" s="341">
        <v>59.28</v>
      </c>
      <c r="J60" s="342">
        <f t="shared" si="0"/>
        <v>0</v>
      </c>
      <c r="K60" s="345">
        <v>1.1399999999999999</v>
      </c>
      <c r="L60">
        <v>0</v>
      </c>
      <c r="M60" s="345">
        <v>59.28</v>
      </c>
      <c r="N60">
        <v>0</v>
      </c>
      <c r="O60" s="342">
        <f t="shared" si="12"/>
        <v>0</v>
      </c>
      <c r="P60" s="343">
        <f t="shared" si="2"/>
        <v>0</v>
      </c>
      <c r="Q60" s="78">
        <f t="shared" si="8"/>
        <v>0</v>
      </c>
      <c r="R60">
        <f t="shared" si="3"/>
        <v>0</v>
      </c>
    </row>
    <row r="61" spans="9:18" x14ac:dyDescent="0.2">
      <c r="I61" s="341">
        <v>61.43</v>
      </c>
      <c r="J61" s="342">
        <f t="shared" si="0"/>
        <v>0</v>
      </c>
      <c r="K61" s="345">
        <v>1.26</v>
      </c>
      <c r="L61">
        <v>0</v>
      </c>
      <c r="M61" s="345">
        <v>61.43</v>
      </c>
      <c r="N61">
        <v>189</v>
      </c>
      <c r="O61" s="342">
        <f t="shared" si="12"/>
        <v>189</v>
      </c>
      <c r="P61" s="343">
        <f t="shared" si="2"/>
        <v>0</v>
      </c>
      <c r="Q61" s="78">
        <f t="shared" si="8"/>
        <v>189</v>
      </c>
      <c r="R61">
        <f t="shared" si="3"/>
        <v>0</v>
      </c>
    </row>
    <row r="62" spans="9:18" x14ac:dyDescent="0.2">
      <c r="I62" s="341">
        <v>74.88</v>
      </c>
      <c r="J62" s="342">
        <f t="shared" si="0"/>
        <v>0</v>
      </c>
      <c r="K62" s="345">
        <v>1.44</v>
      </c>
      <c r="L62">
        <v>0</v>
      </c>
      <c r="M62" s="345">
        <v>74.88</v>
      </c>
      <c r="N62">
        <v>230.4</v>
      </c>
      <c r="O62" s="342">
        <f t="shared" si="12"/>
        <v>230.4</v>
      </c>
      <c r="P62" s="343">
        <f t="shared" si="2"/>
        <v>0</v>
      </c>
      <c r="Q62" s="78">
        <f t="shared" si="8"/>
        <v>230.4</v>
      </c>
      <c r="R62">
        <f t="shared" si="3"/>
        <v>0</v>
      </c>
    </row>
    <row r="63" spans="9:18" x14ac:dyDescent="0.2">
      <c r="I63" s="341">
        <v>76.44</v>
      </c>
      <c r="J63" s="342">
        <f t="shared" si="0"/>
        <v>0</v>
      </c>
      <c r="K63" s="345">
        <v>1.47</v>
      </c>
      <c r="L63">
        <v>0</v>
      </c>
      <c r="M63" s="345">
        <v>76.44</v>
      </c>
      <c r="N63">
        <v>235.2</v>
      </c>
      <c r="O63" s="342">
        <f t="shared" si="12"/>
        <v>235.2</v>
      </c>
      <c r="P63" s="343">
        <f t="shared" si="2"/>
        <v>0</v>
      </c>
      <c r="Q63" s="78">
        <f t="shared" si="8"/>
        <v>235.2</v>
      </c>
      <c r="R63">
        <f t="shared" si="3"/>
        <v>0</v>
      </c>
    </row>
    <row r="64" spans="9:18" x14ac:dyDescent="0.2">
      <c r="I64" s="341">
        <v>61.98</v>
      </c>
      <c r="J64" s="342">
        <f t="shared" si="0"/>
        <v>0</v>
      </c>
      <c r="K64" s="345">
        <v>1.49</v>
      </c>
      <c r="L64">
        <v>0</v>
      </c>
      <c r="M64" s="345">
        <v>61.98</v>
      </c>
      <c r="N64">
        <v>190.72</v>
      </c>
      <c r="O64" s="342">
        <f t="shared" si="12"/>
        <v>190.72</v>
      </c>
      <c r="P64" s="343">
        <f t="shared" si="2"/>
        <v>0</v>
      </c>
      <c r="Q64" s="78">
        <f t="shared" si="8"/>
        <v>190.72</v>
      </c>
      <c r="R64">
        <f t="shared" si="3"/>
        <v>0</v>
      </c>
    </row>
    <row r="65" spans="8:18" x14ac:dyDescent="0.2">
      <c r="I65" s="341">
        <f t="shared" ref="I65" si="14">M65*$I$13/K65</f>
        <v>78</v>
      </c>
      <c r="J65" s="342">
        <f t="shared" si="0"/>
        <v>9.8799999999999955</v>
      </c>
      <c r="K65" s="346">
        <v>1.69</v>
      </c>
      <c r="L65">
        <f t="shared" si="5"/>
        <v>0.18999999999999995</v>
      </c>
      <c r="M65" s="345">
        <v>87.88</v>
      </c>
      <c r="N65">
        <v>270.39999999999998</v>
      </c>
      <c r="O65" s="342">
        <f t="shared" si="6"/>
        <v>240</v>
      </c>
      <c r="P65" s="343">
        <f t="shared" si="2"/>
        <v>30.399999999999977</v>
      </c>
      <c r="Q65" s="78">
        <f t="shared" si="8"/>
        <v>270.39999999999998</v>
      </c>
      <c r="R65">
        <f t="shared" si="3"/>
        <v>0</v>
      </c>
    </row>
    <row r="66" spans="8:18" x14ac:dyDescent="0.2">
      <c r="I66" s="341">
        <f t="shared" ref="I66:I68" si="15">M66*$I$13/K66</f>
        <v>78</v>
      </c>
      <c r="J66" s="342">
        <f t="shared" si="0"/>
        <v>22.36</v>
      </c>
      <c r="K66" s="346">
        <v>1.93</v>
      </c>
      <c r="L66">
        <f t="shared" si="5"/>
        <v>0.42999999999999994</v>
      </c>
      <c r="M66" s="345">
        <v>100.36</v>
      </c>
      <c r="N66">
        <v>308.8</v>
      </c>
      <c r="O66" s="342">
        <f t="shared" si="6"/>
        <v>240.00000000000003</v>
      </c>
      <c r="P66" s="343">
        <f t="shared" si="2"/>
        <v>68.799999999999983</v>
      </c>
      <c r="Q66" s="78">
        <f t="shared" si="8"/>
        <v>308.8</v>
      </c>
      <c r="R66">
        <f t="shared" si="3"/>
        <v>0</v>
      </c>
    </row>
    <row r="67" spans="8:18" x14ac:dyDescent="0.2">
      <c r="I67" s="341">
        <f t="shared" si="15"/>
        <v>77.999999999999986</v>
      </c>
      <c r="J67" s="342">
        <f t="shared" si="0"/>
        <v>37.440000000000012</v>
      </c>
      <c r="K67" s="346">
        <v>2.2200000000000002</v>
      </c>
      <c r="L67">
        <f t="shared" si="5"/>
        <v>0.7200000000000002</v>
      </c>
      <c r="M67" s="345">
        <v>115.44</v>
      </c>
      <c r="N67">
        <v>355.2</v>
      </c>
      <c r="O67" s="342">
        <f t="shared" si="6"/>
        <v>239.99999999999997</v>
      </c>
      <c r="P67" s="343">
        <f t="shared" si="2"/>
        <v>115.20000000000002</v>
      </c>
      <c r="Q67" s="78">
        <f t="shared" si="8"/>
        <v>355.2</v>
      </c>
      <c r="R67">
        <f t="shared" si="3"/>
        <v>0</v>
      </c>
    </row>
    <row r="68" spans="8:18" x14ac:dyDescent="0.2">
      <c r="I68" s="341">
        <f t="shared" si="15"/>
        <v>78</v>
      </c>
      <c r="J68" s="342">
        <f t="shared" si="0"/>
        <v>46.28</v>
      </c>
      <c r="K68" s="346">
        <v>2.39</v>
      </c>
      <c r="L68">
        <f t="shared" si="5"/>
        <v>0.89000000000000012</v>
      </c>
      <c r="M68" s="345">
        <v>124.28</v>
      </c>
      <c r="N68">
        <v>382.4</v>
      </c>
      <c r="O68" s="342">
        <f t="shared" si="6"/>
        <v>239.99999999999994</v>
      </c>
      <c r="P68" s="343">
        <f t="shared" si="2"/>
        <v>142.40000000000003</v>
      </c>
      <c r="Q68" s="78">
        <f t="shared" si="8"/>
        <v>382.4</v>
      </c>
      <c r="R68">
        <f t="shared" si="3"/>
        <v>0</v>
      </c>
    </row>
    <row r="69" spans="8:18" x14ac:dyDescent="0.2">
      <c r="I69" s="341">
        <f t="shared" ref="I69:I72" si="16">M69*$I$13/K69</f>
        <v>78.000000000000014</v>
      </c>
      <c r="J69" s="342">
        <f t="shared" si="0"/>
        <v>52.519999999999996</v>
      </c>
      <c r="K69" s="346">
        <v>2.5099999999999998</v>
      </c>
      <c r="L69">
        <f t="shared" si="5"/>
        <v>1.0099999999999998</v>
      </c>
      <c r="M69" s="345">
        <v>130.52000000000001</v>
      </c>
      <c r="N69">
        <v>401.6</v>
      </c>
      <c r="O69" s="342">
        <f t="shared" si="6"/>
        <v>240.00000000000006</v>
      </c>
      <c r="P69" s="343">
        <f t="shared" si="2"/>
        <v>161.59999999999997</v>
      </c>
      <c r="Q69" s="78">
        <f t="shared" si="8"/>
        <v>401.6</v>
      </c>
      <c r="R69">
        <f t="shared" si="3"/>
        <v>0</v>
      </c>
    </row>
    <row r="70" spans="8:18" x14ac:dyDescent="0.2">
      <c r="I70" s="341">
        <f t="shared" si="16"/>
        <v>78</v>
      </c>
      <c r="J70" s="342">
        <f t="shared" si="0"/>
        <v>49.400000000000006</v>
      </c>
      <c r="K70" s="346">
        <v>2.4500000000000002</v>
      </c>
      <c r="L70">
        <f t="shared" si="5"/>
        <v>0.95000000000000018</v>
      </c>
      <c r="M70" s="345">
        <v>127.4</v>
      </c>
      <c r="N70">
        <v>392</v>
      </c>
      <c r="O70" s="342">
        <f t="shared" si="6"/>
        <v>239.99999999999997</v>
      </c>
      <c r="P70" s="343">
        <f t="shared" si="2"/>
        <v>152.00000000000003</v>
      </c>
      <c r="Q70" s="78">
        <f t="shared" si="8"/>
        <v>392</v>
      </c>
      <c r="R70">
        <f t="shared" si="3"/>
        <v>0</v>
      </c>
    </row>
    <row r="71" spans="8:18" x14ac:dyDescent="0.2">
      <c r="I71" s="341">
        <f t="shared" si="16"/>
        <v>78.000000000000014</v>
      </c>
      <c r="J71" s="342">
        <f t="shared" si="0"/>
        <v>27.559999999999988</v>
      </c>
      <c r="K71" s="346">
        <v>2.0299999999999998</v>
      </c>
      <c r="L71">
        <f t="shared" si="5"/>
        <v>0.5299999999999998</v>
      </c>
      <c r="M71" s="345">
        <v>105.56</v>
      </c>
      <c r="N71">
        <v>324.8</v>
      </c>
      <c r="O71" s="342">
        <f t="shared" si="6"/>
        <v>240.00000000000006</v>
      </c>
      <c r="P71" s="343">
        <f t="shared" si="2"/>
        <v>84.799999999999955</v>
      </c>
      <c r="Q71" s="78">
        <f t="shared" si="8"/>
        <v>324.8</v>
      </c>
      <c r="R71">
        <f t="shared" si="3"/>
        <v>0</v>
      </c>
    </row>
    <row r="72" spans="8:18" x14ac:dyDescent="0.2">
      <c r="I72" s="341">
        <f t="shared" si="16"/>
        <v>78</v>
      </c>
      <c r="J72" s="342">
        <f t="shared" si="0"/>
        <v>3.1200000000000045</v>
      </c>
      <c r="K72" s="346">
        <v>1.56</v>
      </c>
      <c r="L72">
        <f t="shared" si="5"/>
        <v>6.0000000000000053E-2</v>
      </c>
      <c r="M72" s="345">
        <v>81.12</v>
      </c>
      <c r="N72">
        <v>249.6</v>
      </c>
      <c r="O72" s="342">
        <f t="shared" si="6"/>
        <v>239.99999999999997</v>
      </c>
      <c r="P72" s="343">
        <f t="shared" si="2"/>
        <v>9.6000000000000227</v>
      </c>
      <c r="Q72" s="78">
        <f t="shared" si="8"/>
        <v>249.6</v>
      </c>
      <c r="R72">
        <f t="shared" si="3"/>
        <v>0</v>
      </c>
    </row>
    <row r="73" spans="8:18" x14ac:dyDescent="0.2">
      <c r="I73" s="341">
        <v>74.36</v>
      </c>
      <c r="J73" s="342">
        <f t="shared" si="0"/>
        <v>0</v>
      </c>
      <c r="K73" s="345">
        <v>1.43</v>
      </c>
      <c r="L73">
        <v>0</v>
      </c>
      <c r="M73" s="345">
        <v>74.36</v>
      </c>
      <c r="N73">
        <v>228.8</v>
      </c>
      <c r="O73" s="342">
        <f t="shared" ref="O73:O74" si="17">N73</f>
        <v>228.8</v>
      </c>
      <c r="P73" s="343">
        <v>0</v>
      </c>
      <c r="Q73" s="78">
        <f t="shared" si="8"/>
        <v>228.8</v>
      </c>
    </row>
    <row r="74" spans="8:18" x14ac:dyDescent="0.2">
      <c r="I74" s="341">
        <v>8.8699999999999992</v>
      </c>
      <c r="J74" s="342">
        <f t="shared" si="0"/>
        <v>0</v>
      </c>
      <c r="K74" s="345">
        <v>1.44</v>
      </c>
      <c r="L74">
        <v>0</v>
      </c>
      <c r="M74" s="345">
        <v>8.8699999999999992</v>
      </c>
      <c r="N74">
        <v>27.3</v>
      </c>
      <c r="O74" s="342">
        <f t="shared" si="17"/>
        <v>27.3</v>
      </c>
      <c r="P74" s="343">
        <v>0</v>
      </c>
      <c r="Q74" s="78">
        <f t="shared" si="8"/>
        <v>27.3</v>
      </c>
    </row>
    <row r="75" spans="8:18" x14ac:dyDescent="0.2">
      <c r="H75" s="339" t="s">
        <v>820</v>
      </c>
      <c r="I75" s="253">
        <f>SUM(I14:I74)</f>
        <v>2767.4613254626511</v>
      </c>
      <c r="J75" s="253">
        <f>SUM(J14:J74)</f>
        <v>388.3786745373489</v>
      </c>
      <c r="L75" s="339">
        <f>SUM(L14:L74)</f>
        <v>9.3000000000000007</v>
      </c>
      <c r="N75" s="339">
        <f>SUM(N14:N74)</f>
        <v>6005.8700000000008</v>
      </c>
      <c r="O75" s="347">
        <f>SUM(O15:O74)</f>
        <v>4871.2996192837436</v>
      </c>
      <c r="P75" s="348">
        <f>SUM(P14:P74)</f>
        <v>1134.5703807162558</v>
      </c>
      <c r="Q75" s="78">
        <f>SUM(Q14:Q74)</f>
        <v>6005.8700000000008</v>
      </c>
    </row>
    <row r="76" spans="8:18" x14ac:dyDescent="0.2">
      <c r="H76" s="339"/>
    </row>
    <row r="77" spans="8:18" x14ac:dyDescent="0.2">
      <c r="H77" s="339" t="s">
        <v>821</v>
      </c>
      <c r="I77" s="341">
        <f>405.68+464.8+729.89+1503.23</f>
        <v>3103.6</v>
      </c>
    </row>
    <row r="78" spans="8:18" x14ac:dyDescent="0.2">
      <c r="I78" s="344"/>
      <c r="J78" s="344"/>
      <c r="N78">
        <v>3786.22</v>
      </c>
    </row>
    <row r="79" spans="8:18" x14ac:dyDescent="0.2">
      <c r="H79" s="339" t="s">
        <v>503</v>
      </c>
      <c r="I79" s="68">
        <f>I77-J75</f>
        <v>2715.2213254626508</v>
      </c>
      <c r="J79" s="68">
        <f>J75</f>
        <v>388.3786745373489</v>
      </c>
      <c r="N79">
        <v>272.32</v>
      </c>
    </row>
    <row r="80" spans="8:18" x14ac:dyDescent="0.2">
      <c r="N80">
        <v>1189.8399999999999</v>
      </c>
    </row>
    <row r="81" spans="14:14" x14ac:dyDescent="0.2">
      <c r="N81">
        <v>757.49</v>
      </c>
    </row>
  </sheetData>
  <mergeCells count="6">
    <mergeCell ref="B5:C5"/>
    <mergeCell ref="E5:F5"/>
    <mergeCell ref="H5:I5"/>
    <mergeCell ref="B4:C4"/>
    <mergeCell ref="E4:F4"/>
    <mergeCell ref="H4:I4"/>
  </mergeCells>
  <pageMargins left="0.511811024" right="0.511811024" top="0.78740157499999996" bottom="0.78740157499999996" header="0.31496062000000002" footer="0.3149606200000000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15</vt:i4>
      </vt:variant>
    </vt:vector>
  </HeadingPairs>
  <TitlesOfParts>
    <vt:vector size="29" baseType="lpstr">
      <vt:lpstr>ORÇAMENTO</vt:lpstr>
      <vt:lpstr>CRONOGRAMA</vt:lpstr>
      <vt:lpstr>COMPOSIÇÕES</vt:lpstr>
      <vt:lpstr>BDI S</vt:lpstr>
      <vt:lpstr>BDI M</vt:lpstr>
      <vt:lpstr>EEE01</vt:lpstr>
      <vt:lpstr>EEEF</vt:lpstr>
      <vt:lpstr>ETE</vt:lpstr>
      <vt:lpstr>planilha auxiliar</vt:lpstr>
      <vt:lpstr>ESC.</vt:lpstr>
      <vt:lpstr>PV'S</vt:lpstr>
      <vt:lpstr>BDI-S</vt:lpstr>
      <vt:lpstr>BDI-M</vt:lpstr>
      <vt:lpstr>Plan1</vt:lpstr>
      <vt:lpstr>'BDI-M'!Area_de_impressao</vt:lpstr>
      <vt:lpstr>'BDI-S'!Area_de_impressao</vt:lpstr>
      <vt:lpstr>COMPOSIÇÕES!Area_de_impressao</vt:lpstr>
      <vt:lpstr>CRONOGRAMA!Area_de_impressao</vt:lpstr>
      <vt:lpstr>'EEE01'!Area_de_impressao</vt:lpstr>
      <vt:lpstr>EEEF!Area_de_impressao</vt:lpstr>
      <vt:lpstr>ETE!Area_de_impressao</vt:lpstr>
      <vt:lpstr>ORÇAMENTO!Area_de_impressao</vt:lpstr>
      <vt:lpstr>'planilha auxiliar'!INTERCEPTOR_COLETORA</vt:lpstr>
      <vt:lpstr>'PV''S'!INTPARTEA</vt:lpstr>
      <vt:lpstr>'PV''S'!INTPARTEB</vt:lpstr>
      <vt:lpstr>'PV''S'!INTPARTEC</vt:lpstr>
      <vt:lpstr>'PV''S'!INTPARTED</vt:lpstr>
      <vt:lpstr>COMPOSIÇÕES!Titulos_de_impressao</vt:lpstr>
      <vt:lpstr>ORÇAMENTO!Titulos_de_impressao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PRATA</dc:title>
  <dc:creator>Sarah / OTTAWA ENGENHARIA</dc:creator>
  <cp:lastModifiedBy>Gildácio</cp:lastModifiedBy>
  <cp:lastPrinted>2017-09-20T12:28:45Z</cp:lastPrinted>
  <dcterms:created xsi:type="dcterms:W3CDTF">2011-04-01T04:23:17Z</dcterms:created>
  <dcterms:modified xsi:type="dcterms:W3CDTF">2017-09-20T13:08:45Z</dcterms:modified>
</cp:coreProperties>
</file>