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645" windowWidth="10575" windowHeight="7845"/>
  </bookViews>
  <sheets>
    <sheet name="ORÇAMENTO" sheetId="2" r:id="rId1"/>
    <sheet name="CRONOGRAMA" sheetId="3" state="hidden" r:id="rId2"/>
    <sheet name="COMPOSIÇÕES" sheetId="4" state="hidden" r:id="rId3"/>
    <sheet name="BDI-S" sheetId="6" state="hidden" r:id="rId4"/>
    <sheet name="BDI-M" sheetId="7" state="hidden" r:id="rId5"/>
    <sheet name="planilha auxiliar" sheetId="9" state="hidden" r:id="rId6"/>
    <sheet name="ESC." sheetId="10" state="hidden" r:id="rId7"/>
    <sheet name="PV'S" sheetId="11" state="hidden" r:id="rId8"/>
    <sheet name="Plan1" sheetId="12" state="hidden" r:id="rId9"/>
  </sheets>
  <definedNames>
    <definedName name="_xlnm._FilterDatabase" localSheetId="0" hidden="1">ORÇAMENTO!$A$12:$I$1395</definedName>
    <definedName name="_xlnm.Print_Area" localSheetId="4">'BDI-M'!$A$1:$D$39</definedName>
    <definedName name="_xlnm.Print_Area" localSheetId="3">'BDI-S'!$A$1:$D$39</definedName>
    <definedName name="_xlnm.Print_Area" localSheetId="2">COMPOSIÇÕES!$A$1:$I$786</definedName>
    <definedName name="_xlnm.Print_Area" localSheetId="1">CRONOGRAMA!$A$1:$P$38</definedName>
    <definedName name="_xlnm.Print_Area" localSheetId="0">ORÇAMENTO!$A$1:$D$2025</definedName>
    <definedName name="INTERCEPTOR_A" localSheetId="7">'PV''S'!#REF!</definedName>
    <definedName name="INTERCEPTOR_B" localSheetId="7">'PV''S'!#REF!</definedName>
    <definedName name="INTERCEPTOR_C" localSheetId="7">'PV''S'!#REF!</definedName>
    <definedName name="INTERCEPTOR_COLETORA" localSheetId="5">'planilha auxiliar'!$A$21:$L$362947</definedName>
    <definedName name="INTERCEPTOR_D" localSheetId="7">'PV''S'!#REF!</definedName>
    <definedName name="INTERCEPTOR_E" localSheetId="7">'PV''S'!#REF!</definedName>
    <definedName name="INTERCEPTOR_F" localSheetId="7">'PV''S'!#REF!</definedName>
    <definedName name="INTERCEPTOR_G" localSheetId="7">'PV''S'!#REF!</definedName>
    <definedName name="INTERCEPTOR_H" localSheetId="7">'PV''S'!#REF!</definedName>
    <definedName name="INTERCEPTOR_I" localSheetId="7">'PV''S'!#REF!</definedName>
    <definedName name="INTERCEPTOR_J" localSheetId="7">'PV''S'!#REF!</definedName>
    <definedName name="INTERCEPTOR_M" localSheetId="7">'PV''S'!#REF!</definedName>
    <definedName name="INTPARTEA" localSheetId="7">'PV''S'!$A$1:$Y$25</definedName>
    <definedName name="INTPARTEB" localSheetId="7">'PV''S'!$A$26:$Z$33</definedName>
    <definedName name="INTPARTEC" localSheetId="7">'PV''S'!$A$34:$Z$41</definedName>
    <definedName name="INTPARTEC_1" localSheetId="7">'PV''S'!#REF!</definedName>
    <definedName name="INTPARTED" localSheetId="7">'PV''S'!$A$42:$Z$61</definedName>
    <definedName name="_xlnm.Print_Titles" localSheetId="2">COMPOSIÇÕES!$1:$11</definedName>
    <definedName name="_xlnm.Print_Titles" localSheetId="0">ORÇAMENTO!$1:$11</definedName>
  </definedNames>
  <calcPr calcId="145621"/>
</workbook>
</file>

<file path=xl/calcChain.xml><?xml version="1.0" encoding="utf-8"?>
<calcChain xmlns="http://schemas.openxmlformats.org/spreadsheetml/2006/main">
  <c r="F1956" i="2" l="1"/>
  <c r="F1936" i="2"/>
  <c r="F1932" i="2" s="1"/>
  <c r="F1972" i="2"/>
  <c r="F1960" i="2"/>
  <c r="F1788" i="2"/>
  <c r="F1940" i="2" l="1"/>
  <c r="F1944" i="2"/>
  <c r="F1687" i="2"/>
  <c r="F1619" i="2"/>
  <c r="F1521" i="2" l="1"/>
  <c r="F1375" i="2"/>
  <c r="F1315" i="2"/>
  <c r="F1303" i="2"/>
  <c r="F1147" i="2" l="1"/>
  <c r="F1049" i="2" l="1"/>
  <c r="F720" i="2" l="1"/>
  <c r="K720" i="2"/>
  <c r="F708" i="2"/>
  <c r="F667" i="2" l="1"/>
  <c r="F663" i="2"/>
  <c r="F624" i="2"/>
  <c r="F499" i="2" l="1"/>
  <c r="F471" i="2"/>
  <c r="F467" i="2"/>
  <c r="F350" i="2" l="1"/>
  <c r="F356" i="2"/>
  <c r="K356" i="2"/>
  <c r="F391" i="2"/>
  <c r="F400" i="2"/>
  <c r="K416" i="2"/>
  <c r="F430" i="2"/>
  <c r="F442" i="2"/>
  <c r="F454" i="2"/>
  <c r="F458" i="2"/>
  <c r="F475" i="2"/>
  <c r="F493" i="2" s="1"/>
  <c r="F480" i="2"/>
  <c r="F484" i="2"/>
  <c r="F489" i="2"/>
  <c r="K489" i="2"/>
  <c r="F581" i="2"/>
  <c r="F585" i="2"/>
  <c r="F589" i="2"/>
  <c r="C606" i="2"/>
  <c r="D606" i="2"/>
  <c r="G606" i="2"/>
  <c r="F615" i="2"/>
  <c r="F620" i="2"/>
  <c r="K628" i="2"/>
  <c r="F636" i="2"/>
  <c r="F642" i="2"/>
  <c r="F646" i="2" s="1"/>
  <c r="F659" i="2"/>
  <c r="C667" i="2"/>
  <c r="D667" i="2"/>
  <c r="G667" i="2"/>
  <c r="F675" i="2"/>
  <c r="K675" i="2"/>
  <c r="F679" i="2"/>
  <c r="F683" i="2" s="1"/>
  <c r="F716" i="2"/>
  <c r="F724" i="2"/>
  <c r="K724" i="2"/>
  <c r="F744" i="2"/>
  <c r="F748" i="2"/>
  <c r="C753" i="2"/>
  <c r="G753" i="2"/>
  <c r="C769" i="2"/>
  <c r="G769" i="2"/>
  <c r="C773" i="2"/>
  <c r="D773" i="2"/>
  <c r="G773" i="2"/>
  <c r="C777" i="2"/>
  <c r="D777" i="2"/>
  <c r="G777" i="2"/>
  <c r="C781" i="2"/>
  <c r="D781" i="2"/>
  <c r="G781" i="2"/>
  <c r="C785" i="2"/>
  <c r="D785" i="2"/>
  <c r="G785" i="2"/>
  <c r="C789" i="2"/>
  <c r="D789" i="2"/>
  <c r="G789" i="2"/>
  <c r="C809" i="2"/>
  <c r="G809" i="2"/>
  <c r="F814" i="2"/>
  <c r="F836" i="2"/>
  <c r="F840" i="2"/>
  <c r="F844" i="2"/>
  <c r="C853" i="2"/>
  <c r="D853" i="2"/>
  <c r="G853" i="2"/>
  <c r="F871" i="2"/>
  <c r="K871" i="2"/>
  <c r="K908" i="2"/>
  <c r="F910" i="2"/>
  <c r="K929" i="2"/>
  <c r="C939" i="2"/>
  <c r="D939" i="2"/>
  <c r="F939" i="2"/>
  <c r="G939" i="2"/>
  <c r="F943" i="2"/>
  <c r="F970" i="2"/>
  <c r="F974" i="2" s="1"/>
  <c r="F983" i="2"/>
  <c r="F987" i="2" s="1"/>
  <c r="F991" i="2"/>
  <c r="F1000" i="2"/>
  <c r="F1004" i="2"/>
  <c r="F1008" i="2" s="1"/>
  <c r="C1012" i="2"/>
  <c r="D1012" i="2"/>
  <c r="G1012" i="2"/>
  <c r="H1012" i="2" s="1"/>
  <c r="I1012" i="2" s="1"/>
  <c r="F1016" i="2"/>
  <c r="F1020" i="2"/>
  <c r="F1024" i="2"/>
  <c r="F1057" i="2"/>
  <c r="C1069" i="2"/>
  <c r="D1069" i="2"/>
  <c r="G1069" i="2"/>
  <c r="F1074" i="2"/>
  <c r="F1078" i="2"/>
  <c r="F1082" i="2" s="1"/>
  <c r="C1094" i="2"/>
  <c r="D1094" i="2"/>
  <c r="G1094" i="2"/>
  <c r="H1094" i="2" s="1"/>
  <c r="I1094" i="2" s="1"/>
  <c r="F1098" i="2"/>
  <c r="F1102" i="2"/>
  <c r="M1102" i="2"/>
  <c r="F1106" i="2"/>
  <c r="M1106" i="2"/>
  <c r="F1110" i="2"/>
  <c r="L1110" i="2"/>
  <c r="M1110" i="2"/>
  <c r="F1139" i="2"/>
  <c r="F1151" i="2"/>
  <c r="F1155" i="2"/>
  <c r="C1167" i="2"/>
  <c r="G1167" i="2"/>
  <c r="C1171" i="2"/>
  <c r="D1171" i="2"/>
  <c r="G1171" i="2"/>
  <c r="C1175" i="2"/>
  <c r="G1175" i="2"/>
  <c r="C1179" i="2"/>
  <c r="G1179" i="2"/>
  <c r="C1187" i="2"/>
  <c r="G1187" i="2"/>
  <c r="C1191" i="2"/>
  <c r="G1191" i="2"/>
  <c r="C1195" i="2"/>
  <c r="G1195" i="2"/>
  <c r="F1201" i="2"/>
  <c r="F1205" i="2"/>
  <c r="C1221" i="2"/>
  <c r="D1221" i="2"/>
  <c r="G1221" i="2"/>
  <c r="H1221" i="2" s="1"/>
  <c r="I1221" i="2" s="1"/>
  <c r="F1225" i="2"/>
  <c r="F1233" i="2"/>
  <c r="F1229" i="2" s="1"/>
  <c r="F1270" i="2"/>
  <c r="F1278" i="2"/>
  <c r="F1290" i="2"/>
  <c r="F1294" i="2"/>
  <c r="C1298" i="2"/>
  <c r="G1298" i="2"/>
  <c r="F1307" i="2"/>
  <c r="F1311" i="2"/>
  <c r="F1319" i="2"/>
  <c r="C1335" i="2"/>
  <c r="D1335" i="2"/>
  <c r="G1335" i="2"/>
  <c r="F1339" i="2"/>
  <c r="F1371" i="2"/>
  <c r="F1379" i="2"/>
  <c r="F1387" i="2"/>
  <c r="C1391" i="2"/>
  <c r="G1391" i="2"/>
  <c r="C1395" i="2"/>
  <c r="G1395" i="2"/>
  <c r="F1400" i="2"/>
  <c r="K1400" i="2"/>
  <c r="F1404" i="2"/>
  <c r="F1408" i="2"/>
  <c r="F1432" i="2"/>
  <c r="F1460" i="2"/>
  <c r="D1468" i="2"/>
  <c r="G1468" i="2"/>
  <c r="D1472" i="2"/>
  <c r="G1472" i="2"/>
  <c r="D1484" i="2"/>
  <c r="G1484" i="2"/>
  <c r="G1488" i="2"/>
  <c r="F1493" i="2"/>
  <c r="K1493" i="2"/>
  <c r="F1497" i="2"/>
  <c r="F1501" i="2"/>
  <c r="F1541" i="2"/>
  <c r="G1549" i="2"/>
  <c r="F1553" i="2"/>
  <c r="F1557" i="2"/>
  <c r="D1573" i="2"/>
  <c r="G1573" i="2"/>
  <c r="F1578" i="2"/>
  <c r="F1590" i="2"/>
  <c r="F1607" i="2"/>
  <c r="F1611" i="2"/>
  <c r="F1615" i="2"/>
  <c r="D1635" i="2"/>
  <c r="G1635" i="2"/>
  <c r="F1639" i="2"/>
  <c r="F1675" i="2"/>
  <c r="F1679" i="2"/>
  <c r="F1683" i="2"/>
  <c r="F1691" i="2"/>
  <c r="F1695" i="2"/>
  <c r="D1699" i="2"/>
  <c r="G1699" i="2"/>
  <c r="G1703" i="2"/>
  <c r="G1707" i="2"/>
  <c r="F1736" i="2"/>
  <c r="F1740" i="2" s="1"/>
  <c r="F1772" i="2"/>
  <c r="F1776" i="2"/>
  <c r="G1816" i="2"/>
  <c r="G1820" i="2"/>
  <c r="G1828" i="2"/>
  <c r="F1834" i="2"/>
  <c r="F1842" i="2" s="1"/>
  <c r="F1874" i="2"/>
  <c r="G1882" i="2"/>
  <c r="D1886" i="2"/>
  <c r="G1886" i="2"/>
  <c r="G1890" i="2"/>
  <c r="F1412" i="2" l="1"/>
  <c r="F1416" i="2" s="1"/>
  <c r="F853" i="2"/>
  <c r="F866" i="2"/>
  <c r="F446" i="2"/>
  <c r="F450" i="2" s="1"/>
  <c r="F503" i="2"/>
  <c r="F507" i="2" s="1"/>
  <c r="F995" i="2"/>
  <c r="F1623" i="2"/>
  <c r="F1627" i="2" s="1"/>
  <c r="F462" i="2"/>
  <c r="F412" i="2"/>
  <c r="F416" i="2" s="1"/>
  <c r="F420" i="2" s="1"/>
  <c r="F408" i="2"/>
  <c r="F1796" i="2"/>
  <c r="F1800" i="2" s="1"/>
  <c r="F424" i="2"/>
  <c r="F434" i="2"/>
  <c r="F404" i="2"/>
  <c r="F1323" i="2"/>
  <c r="F1327" i="2" s="1"/>
  <c r="F1159" i="2"/>
  <c r="F1163" i="2" s="1"/>
  <c r="F1505" i="2"/>
  <c r="F1509" i="2" s="1"/>
  <c r="F978" i="2"/>
  <c r="F1838" i="2"/>
  <c r="F1846" i="2" s="1"/>
  <c r="F650" i="2"/>
  <c r="F687" i="2"/>
  <c r="F1209" i="2"/>
  <c r="F848" i="2"/>
  <c r="F861" i="2"/>
  <c r="F914" i="2"/>
  <c r="F922" i="2" s="1"/>
  <c r="F857" i="2"/>
  <c r="K1102" i="2"/>
  <c r="K1110" i="2" s="1"/>
  <c r="F1143" i="2"/>
  <c r="F1086" i="2"/>
  <c r="F1090" i="2"/>
  <c r="F671" i="2"/>
  <c r="F628" i="2"/>
  <c r="F691" i="2"/>
  <c r="F395" i="2"/>
  <c r="F215" i="2"/>
  <c r="F1631" i="2" l="1"/>
  <c r="F515" i="2"/>
  <c r="F1331" i="2"/>
  <c r="F511" i="2"/>
  <c r="F1513" i="2"/>
  <c r="F1517" i="2"/>
  <c r="F880" i="2"/>
  <c r="F1217" i="2"/>
  <c r="F1213" i="2"/>
  <c r="F875" i="2"/>
  <c r="F1424" i="2"/>
  <c r="F1420" i="2"/>
  <c r="F695" i="2"/>
  <c r="F632" i="2"/>
  <c r="F918" i="2"/>
  <c r="F926" i="2"/>
  <c r="F1804" i="2"/>
  <c r="F178" i="2"/>
  <c r="F141" i="2"/>
  <c r="F125" i="2"/>
  <c r="F884" i="2" l="1"/>
  <c r="F893" i="2"/>
  <c r="F703" i="2"/>
  <c r="F699" i="2"/>
  <c r="A14" i="2"/>
  <c r="D14" i="2"/>
  <c r="A16" i="2"/>
  <c r="D16" i="2"/>
  <c r="K16" i="2"/>
  <c r="L16" i="2"/>
  <c r="A18" i="2"/>
  <c r="D18" i="2"/>
  <c r="A20" i="2"/>
  <c r="D20" i="2"/>
  <c r="A22" i="2"/>
  <c r="D22" i="2"/>
  <c r="A24" i="2"/>
  <c r="D24" i="2"/>
  <c r="A26" i="2"/>
  <c r="D26" i="2"/>
  <c r="A28" i="2"/>
  <c r="D28" i="2"/>
  <c r="A30" i="2"/>
  <c r="D30" i="2"/>
  <c r="A32" i="2"/>
  <c r="D32" i="2"/>
  <c r="A34" i="2"/>
  <c r="D34" i="2"/>
  <c r="A36" i="2"/>
  <c r="D36" i="2"/>
  <c r="A38" i="2"/>
  <c r="D38" i="2"/>
  <c r="A40" i="2"/>
  <c r="D40" i="2"/>
  <c r="A42" i="2"/>
  <c r="D42" i="2"/>
  <c r="A44" i="2"/>
  <c r="D44" i="2"/>
  <c r="A46" i="2"/>
  <c r="D46" i="2"/>
  <c r="A48" i="2"/>
  <c r="D48" i="2"/>
  <c r="A50" i="2"/>
  <c r="D50" i="2"/>
  <c r="A52" i="2"/>
  <c r="D52" i="2"/>
  <c r="H1976" i="2" l="1"/>
  <c r="I1976" i="2" s="1"/>
  <c r="H1952" i="2"/>
  <c r="I1952" i="2" s="1"/>
  <c r="H1928" i="2"/>
  <c r="I1928" i="2" s="1"/>
  <c r="H1972" i="2"/>
  <c r="I1972" i="2" s="1"/>
  <c r="H1948" i="2"/>
  <c r="I1948" i="2" s="1"/>
  <c r="H1944" i="2"/>
  <c r="I1944" i="2" s="1"/>
  <c r="H1940" i="2"/>
  <c r="I1940" i="2" s="1"/>
  <c r="H1960" i="2"/>
  <c r="I1960" i="2" s="1"/>
  <c r="H1932" i="2"/>
  <c r="I1932" i="2" s="1"/>
  <c r="H1968" i="2"/>
  <c r="I1968" i="2" s="1"/>
  <c r="H1964" i="2"/>
  <c r="I1964" i="2" s="1"/>
  <c r="H1936" i="2"/>
  <c r="I1936" i="2" s="1"/>
  <c r="H1956" i="2"/>
  <c r="I1956" i="2" s="1"/>
  <c r="H1720" i="2"/>
  <c r="I1720" i="2" s="1"/>
  <c r="H1724" i="2"/>
  <c r="I1724" i="2" s="1"/>
  <c r="H1728" i="2"/>
  <c r="I1728" i="2" s="1"/>
  <c r="H1049" i="2"/>
  <c r="I1049" i="2" s="1"/>
  <c r="H736" i="2"/>
  <c r="I736" i="2" s="1"/>
  <c r="H732" i="2"/>
  <c r="I732" i="2" s="1"/>
  <c r="H728" i="2"/>
  <c r="I728" i="2" s="1"/>
  <c r="H646" i="2"/>
  <c r="I646" i="2" s="1"/>
  <c r="H720" i="2"/>
  <c r="I720" i="2" s="1"/>
  <c r="H507" i="2"/>
  <c r="I507" i="2" s="1"/>
  <c r="H373" i="2"/>
  <c r="H408" i="2"/>
  <c r="I408" i="2" s="1"/>
  <c r="H585" i="2"/>
  <c r="I585" i="2" s="1"/>
  <c r="H450" i="2"/>
  <c r="I450" i="2" s="1"/>
  <c r="H564" i="2"/>
  <c r="I564" i="2" s="1"/>
  <c r="H589" i="2"/>
  <c r="I589" i="2" s="1"/>
  <c r="H947" i="2"/>
  <c r="I947" i="2" s="1"/>
  <c r="H935" i="2"/>
  <c r="I935" i="2" s="1"/>
  <c r="H951" i="2"/>
  <c r="I951" i="2" s="1"/>
  <c r="H391" i="2"/>
  <c r="I391" i="2" s="1"/>
  <c r="H1286" i="2"/>
  <c r="I1286" i="2" s="1"/>
  <c r="H1195" i="2"/>
  <c r="I1195" i="2" s="1"/>
  <c r="H1480" i="2"/>
  <c r="I1480" i="2" s="1"/>
  <c r="H1561" i="2"/>
  <c r="I1561" i="2" s="1"/>
  <c r="H581" i="2"/>
  <c r="I581" i="2" s="1"/>
  <c r="H931" i="2"/>
  <c r="I931" i="2" s="1"/>
  <c r="H1565" i="2"/>
  <c r="I1565" i="2" s="1"/>
  <c r="H1602" i="2"/>
  <c r="I1602" i="2" s="1"/>
  <c r="H1707" i="2"/>
  <c r="I1707" i="2" s="1"/>
  <c r="H1828" i="2"/>
  <c r="I1828" i="2" s="1"/>
  <c r="H1874" i="2"/>
  <c r="I1874" i="2" s="1"/>
  <c r="H1383" i="2"/>
  <c r="I1383" i="2" s="1"/>
  <c r="H1488" i="2"/>
  <c r="I1488" i="2" s="1"/>
  <c r="H1395" i="2"/>
  <c r="I1395" i="2" s="1"/>
  <c r="H1890" i="2"/>
  <c r="I1890" i="2" s="1"/>
  <c r="H1298" i="2"/>
  <c r="I1298" i="2" s="1"/>
  <c r="H356" i="2"/>
  <c r="I356" i="2" s="1"/>
  <c r="H420" i="2"/>
  <c r="I420" i="2" s="1"/>
  <c r="H458" i="2"/>
  <c r="I458" i="2" s="1"/>
  <c r="H544" i="2"/>
  <c r="I544" i="2" s="1"/>
  <c r="H636" i="2"/>
  <c r="I636" i="2" s="1"/>
  <c r="H671" i="2"/>
  <c r="I671" i="2" s="1"/>
  <c r="H703" i="2"/>
  <c r="I703" i="2" s="1"/>
  <c r="H740" i="2"/>
  <c r="I740" i="2" s="1"/>
  <c r="H781" i="2"/>
  <c r="I781" i="2" s="1"/>
  <c r="H822" i="2"/>
  <c r="I822" i="2" s="1"/>
  <c r="H836" i="2"/>
  <c r="I836" i="2" s="1"/>
  <c r="H848" i="2"/>
  <c r="I848" i="2" s="1"/>
  <c r="H861" i="2"/>
  <c r="I861" i="2" s="1"/>
  <c r="H880" i="2"/>
  <c r="I880" i="2" s="1"/>
  <c r="H905" i="2"/>
  <c r="H918" i="2"/>
  <c r="I918" i="2" s="1"/>
  <c r="H987" i="2"/>
  <c r="I987" i="2" s="1"/>
  <c r="H1008" i="2"/>
  <c r="I1008" i="2" s="1"/>
  <c r="H1061" i="2"/>
  <c r="I1061" i="2" s="1"/>
  <c r="H1078" i="2"/>
  <c r="I1078" i="2" s="1"/>
  <c r="H1102" i="2"/>
  <c r="I1102" i="2" s="1"/>
  <c r="H1110" i="2"/>
  <c r="I1110" i="2" s="1"/>
  <c r="H1135" i="2"/>
  <c r="I1135" i="2" s="1"/>
  <c r="H369" i="2"/>
  <c r="H382" i="2"/>
  <c r="H400" i="2"/>
  <c r="I400" i="2" s="1"/>
  <c r="H434" i="2"/>
  <c r="I434" i="2" s="1"/>
  <c r="H446" i="2"/>
  <c r="I446" i="2" s="1"/>
  <c r="H471" i="2"/>
  <c r="I471" i="2" s="1"/>
  <c r="H493" i="2"/>
  <c r="I493" i="2" s="1"/>
  <c r="H515" i="2"/>
  <c r="I515" i="2" s="1"/>
  <c r="H532" i="2"/>
  <c r="I532" i="2" s="1"/>
  <c r="H560" i="2"/>
  <c r="I560" i="2" s="1"/>
  <c r="H577" i="2"/>
  <c r="I577" i="2" s="1"/>
  <c r="H601" i="2"/>
  <c r="I601" i="2" s="1"/>
  <c r="H624" i="2"/>
  <c r="I624" i="2" s="1"/>
  <c r="H650" i="2"/>
  <c r="I650" i="2" s="1"/>
  <c r="H663" i="2"/>
  <c r="I663" i="2" s="1"/>
  <c r="H683" i="2"/>
  <c r="I683" i="2" s="1"/>
  <c r="H716" i="2"/>
  <c r="I716" i="2" s="1"/>
  <c r="H724" i="2"/>
  <c r="I724" i="2" s="1"/>
  <c r="H761" i="2"/>
  <c r="I761" i="2" s="1"/>
  <c r="H777" i="2"/>
  <c r="I777" i="2" s="1"/>
  <c r="H866" i="2"/>
  <c r="I866" i="2" s="1"/>
  <c r="I865" i="2" s="1"/>
  <c r="H884" i="2"/>
  <c r="I884" i="2" s="1"/>
  <c r="H922" i="2"/>
  <c r="I922" i="2" s="1"/>
  <c r="H966" i="2"/>
  <c r="I966" i="2" s="1"/>
  <c r="H978" i="2"/>
  <c r="I978" i="2" s="1"/>
  <c r="H1000" i="2"/>
  <c r="I1000" i="2" s="1"/>
  <c r="H386" i="2"/>
  <c r="H424" i="2"/>
  <c r="I424" i="2" s="1"/>
  <c r="H438" i="2"/>
  <c r="I438" i="2" s="1"/>
  <c r="H484" i="2"/>
  <c r="I484" i="2" s="1"/>
  <c r="H520" i="2"/>
  <c r="I520" i="2" s="1"/>
  <c r="H548" i="2"/>
  <c r="I548" i="2" s="1"/>
  <c r="H615" i="2"/>
  <c r="I615" i="2" s="1"/>
  <c r="H628" i="2"/>
  <c r="I628" i="2" s="1"/>
  <c r="H654" i="2"/>
  <c r="I654" i="2" s="1"/>
  <c r="H675" i="2"/>
  <c r="I675" i="2" s="1"/>
  <c r="H687" i="2"/>
  <c r="I687" i="2" s="1"/>
  <c r="H708" i="2"/>
  <c r="I708" i="2" s="1"/>
  <c r="H765" i="2"/>
  <c r="I765" i="2" s="1"/>
  <c r="H826" i="2"/>
  <c r="I826" i="2" s="1"/>
  <c r="H840" i="2"/>
  <c r="I840" i="2" s="1"/>
  <c r="H888" i="2"/>
  <c r="H360" i="2"/>
  <c r="H412" i="2"/>
  <c r="I412" i="2" s="1"/>
  <c r="H462" i="2"/>
  <c r="I462" i="2" s="1"/>
  <c r="H475" i="2"/>
  <c r="I475" i="2" s="1"/>
  <c r="H499" i="2"/>
  <c r="I499" i="2" s="1"/>
  <c r="H536" i="2"/>
  <c r="I536" i="2" s="1"/>
  <c r="H552" i="2"/>
  <c r="I552" i="2" s="1"/>
  <c r="H642" i="2"/>
  <c r="I642" i="2" s="1"/>
  <c r="H691" i="2"/>
  <c r="I691" i="2" s="1"/>
  <c r="H744" i="2"/>
  <c r="I744" i="2" s="1"/>
  <c r="H753" i="2"/>
  <c r="I753" i="2" s="1"/>
  <c r="H773" i="2"/>
  <c r="I773" i="2" s="1"/>
  <c r="H814" i="2"/>
  <c r="I814" i="2" s="1"/>
  <c r="H830" i="2"/>
  <c r="I830" i="2" s="1"/>
  <c r="H871" i="2"/>
  <c r="I871" i="2" s="1"/>
  <c r="H893" i="2"/>
  <c r="I893" i="2" s="1"/>
  <c r="H910" i="2"/>
  <c r="I910" i="2" s="1"/>
  <c r="H983" i="2"/>
  <c r="I983" i="2" s="1"/>
  <c r="H365" i="2"/>
  <c r="H378" i="2"/>
  <c r="H395" i="2"/>
  <c r="I395" i="2" s="1"/>
  <c r="H467" i="2"/>
  <c r="I467" i="2" s="1"/>
  <c r="H480" i="2"/>
  <c r="I480" i="2" s="1"/>
  <c r="H503" i="2"/>
  <c r="I503" i="2" s="1"/>
  <c r="H528" i="2"/>
  <c r="I528" i="2" s="1"/>
  <c r="H556" i="2"/>
  <c r="I556" i="2" s="1"/>
  <c r="H573" i="2"/>
  <c r="I573" i="2" s="1"/>
  <c r="H597" i="2"/>
  <c r="I597" i="2" s="1"/>
  <c r="H611" i="2"/>
  <c r="I611" i="2" s="1"/>
  <c r="H679" i="2"/>
  <c r="I679" i="2" s="1"/>
  <c r="H699" i="2"/>
  <c r="I699" i="2" s="1"/>
  <c r="H748" i="2"/>
  <c r="I748" i="2" s="1"/>
  <c r="H757" i="2"/>
  <c r="I757" i="2" s="1"/>
  <c r="H785" i="2"/>
  <c r="I785" i="2" s="1"/>
  <c r="H844" i="2"/>
  <c r="I844" i="2" s="1"/>
  <c r="H857" i="2"/>
  <c r="I857" i="2" s="1"/>
  <c r="H875" i="2"/>
  <c r="I875" i="2" s="1"/>
  <c r="H901" i="2"/>
  <c r="H914" i="2"/>
  <c r="I914" i="2" s="1"/>
  <c r="H939" i="2"/>
  <c r="I939" i="2" s="1"/>
  <c r="H974" i="2"/>
  <c r="I974" i="2" s="1"/>
  <c r="H995" i="2"/>
  <c r="I995" i="2" s="1"/>
  <c r="H416" i="2"/>
  <c r="I416" i="2" s="1"/>
  <c r="H593" i="2"/>
  <c r="I593" i="2" s="1"/>
  <c r="H620" i="2"/>
  <c r="I620" i="2" s="1"/>
  <c r="H695" i="2"/>
  <c r="I695" i="2" s="1"/>
  <c r="H1024" i="2"/>
  <c r="I1024" i="2" s="1"/>
  <c r="H1065" i="2"/>
  <c r="I1065" i="2" s="1"/>
  <c r="H1086" i="2"/>
  <c r="I1086" i="2" s="1"/>
  <c r="H1098" i="2"/>
  <c r="I1098" i="2" s="1"/>
  <c r="H1147" i="2"/>
  <c r="I1147" i="2" s="1"/>
  <c r="H1155" i="2"/>
  <c r="I1155" i="2" s="1"/>
  <c r="H1167" i="2"/>
  <c r="I1167" i="2" s="1"/>
  <c r="H1209" i="2"/>
  <c r="I1209" i="2" s="1"/>
  <c r="H1233" i="2"/>
  <c r="I1233" i="2" s="1"/>
  <c r="H1274" i="2"/>
  <c r="I1274" i="2" s="1"/>
  <c r="H1323" i="2"/>
  <c r="I1323" i="2" s="1"/>
  <c r="H1335" i="2"/>
  <c r="I1335" i="2" s="1"/>
  <c r="H1367" i="2"/>
  <c r="I1367" i="2" s="1"/>
  <c r="H1375" i="2"/>
  <c r="I1375" i="2" s="1"/>
  <c r="H1420" i="2"/>
  <c r="I1420" i="2" s="1"/>
  <c r="H1476" i="2"/>
  <c r="I1476" i="2" s="1"/>
  <c r="H1517" i="2"/>
  <c r="I1517" i="2" s="1"/>
  <c r="H1557" i="2"/>
  <c r="I1557" i="2" s="1"/>
  <c r="H1578" i="2"/>
  <c r="I1578" i="2" s="1"/>
  <c r="H1594" i="2"/>
  <c r="I1594" i="2" s="1"/>
  <c r="H1615" i="2"/>
  <c r="I1615" i="2" s="1"/>
  <c r="H1627" i="2"/>
  <c r="I1627" i="2" s="1"/>
  <c r="H1687" i="2"/>
  <c r="I1687" i="2" s="1"/>
  <c r="H1712" i="2"/>
  <c r="I1712" i="2" s="1"/>
  <c r="H1744" i="2"/>
  <c r="I1744" i="2" s="1"/>
  <c r="H1812" i="2"/>
  <c r="I1812" i="2" s="1"/>
  <c r="H442" i="2"/>
  <c r="I442" i="2" s="1"/>
  <c r="H489" i="2"/>
  <c r="I489" i="2" s="1"/>
  <c r="H511" i="2"/>
  <c r="I511" i="2" s="1"/>
  <c r="H569" i="2"/>
  <c r="I569" i="2" s="1"/>
  <c r="H853" i="2"/>
  <c r="I853" i="2" s="1"/>
  <c r="H1004" i="2"/>
  <c r="I1004" i="2" s="1"/>
  <c r="H1016" i="2"/>
  <c r="I1016" i="2" s="1"/>
  <c r="H1053" i="2"/>
  <c r="I1053" i="2" s="1"/>
  <c r="H1090" i="2"/>
  <c r="I1090" i="2" s="1"/>
  <c r="H1175" i="2"/>
  <c r="I1175" i="2" s="1"/>
  <c r="H1213" i="2"/>
  <c r="I1213" i="2" s="1"/>
  <c r="H1311" i="2"/>
  <c r="I1311" i="2" s="1"/>
  <c r="H1327" i="2"/>
  <c r="I1327" i="2" s="1"/>
  <c r="H1387" i="2"/>
  <c r="I1387" i="2" s="1"/>
  <c r="H1424" i="2"/>
  <c r="I1424" i="2" s="1"/>
  <c r="H1484" i="2"/>
  <c r="I1484" i="2" s="1"/>
  <c r="H1493" i="2"/>
  <c r="I1493" i="2" s="1"/>
  <c r="H1501" i="2"/>
  <c r="I1501" i="2" s="1"/>
  <c r="H1582" i="2"/>
  <c r="I1582" i="2" s="1"/>
  <c r="H1607" i="2"/>
  <c r="I1607" i="2" s="1"/>
  <c r="H1631" i="2"/>
  <c r="I1631" i="2" s="1"/>
  <c r="H1639" i="2"/>
  <c r="I1639" i="2" s="1"/>
  <c r="H1679" i="2"/>
  <c r="I1679" i="2" s="1"/>
  <c r="H1736" i="2"/>
  <c r="I1736" i="2" s="1"/>
  <c r="H1796" i="2"/>
  <c r="I1796" i="2" s="1"/>
  <c r="H1834" i="2"/>
  <c r="I1834" i="2" s="1"/>
  <c r="H1854" i="2"/>
  <c r="I1854" i="2" s="1"/>
  <c r="H712" i="2"/>
  <c r="I712" i="2" s="1"/>
  <c r="H926" i="2"/>
  <c r="I926" i="2" s="1"/>
  <c r="H970" i="2"/>
  <c r="I970" i="2" s="1"/>
  <c r="H991" i="2"/>
  <c r="I991" i="2" s="1"/>
  <c r="H1074" i="2"/>
  <c r="I1074" i="2" s="1"/>
  <c r="H1139" i="2"/>
  <c r="I1139" i="2" s="1"/>
  <c r="H1159" i="2"/>
  <c r="I1159" i="2" s="1"/>
  <c r="H1187" i="2"/>
  <c r="I1187" i="2" s="1"/>
  <c r="H1217" i="2"/>
  <c r="I1217" i="2" s="1"/>
  <c r="H1266" i="2"/>
  <c r="I1266" i="2" s="1"/>
  <c r="H1278" i="2"/>
  <c r="I1278" i="2" s="1"/>
  <c r="H1290" i="2"/>
  <c r="I1290" i="2" s="1"/>
  <c r="H1303" i="2"/>
  <c r="I1303" i="2" s="1"/>
  <c r="H1331" i="2"/>
  <c r="I1331" i="2" s="1"/>
  <c r="H1400" i="2"/>
  <c r="I1400" i="2" s="1"/>
  <c r="H1408" i="2"/>
  <c r="I1408" i="2" s="1"/>
  <c r="H1521" i="2"/>
  <c r="I1521" i="2" s="1"/>
  <c r="H1541" i="2"/>
  <c r="I1541" i="2" s="1"/>
  <c r="H1598" i="2"/>
  <c r="I1598" i="2" s="1"/>
  <c r="H1619" i="2"/>
  <c r="I1619" i="2" s="1"/>
  <c r="H1643" i="2"/>
  <c r="I1643" i="2" s="1"/>
  <c r="H1671" i="2"/>
  <c r="I1671" i="2" s="1"/>
  <c r="H1703" i="2"/>
  <c r="I1703" i="2" s="1"/>
  <c r="H1716" i="2"/>
  <c r="I1716" i="2" s="1"/>
  <c r="H1772" i="2"/>
  <c r="I1772" i="2" s="1"/>
  <c r="H1800" i="2"/>
  <c r="I1800" i="2" s="1"/>
  <c r="H1824" i="2"/>
  <c r="I1824" i="2" s="1"/>
  <c r="H1870" i="2"/>
  <c r="I1870" i="2" s="1"/>
  <c r="H404" i="2"/>
  <c r="I404" i="2" s="1"/>
  <c r="H524" i="2"/>
  <c r="I524" i="2" s="1"/>
  <c r="H632" i="2"/>
  <c r="I632" i="2" s="1"/>
  <c r="H659" i="2"/>
  <c r="I659" i="2" s="1"/>
  <c r="H1020" i="2"/>
  <c r="I1020" i="2" s="1"/>
  <c r="H1151" i="2"/>
  <c r="I1151" i="2" s="1"/>
  <c r="H1163" i="2"/>
  <c r="I1163" i="2" s="1"/>
  <c r="H1201" i="2"/>
  <c r="I1201" i="2" s="1"/>
  <c r="H1225" i="2"/>
  <c r="I1225" i="2" s="1"/>
  <c r="H1339" i="2"/>
  <c r="I1339" i="2" s="1"/>
  <c r="H1371" i="2"/>
  <c r="I1371" i="2" s="1"/>
  <c r="H1379" i="2"/>
  <c r="I1379" i="2" s="1"/>
  <c r="H1432" i="2"/>
  <c r="I1432" i="2" s="1"/>
  <c r="H1460" i="2"/>
  <c r="I1460" i="2" s="1"/>
  <c r="H1505" i="2"/>
  <c r="I1505" i="2" s="1"/>
  <c r="H1553" i="2"/>
  <c r="I1553" i="2" s="1"/>
  <c r="H1586" i="2"/>
  <c r="I1586" i="2" s="1"/>
  <c r="H1611" i="2"/>
  <c r="I1611" i="2" s="1"/>
  <c r="H1691" i="2"/>
  <c r="I1691" i="2" s="1"/>
  <c r="H1764" i="2"/>
  <c r="I1764" i="2" s="1"/>
  <c r="H1804" i="2"/>
  <c r="I1804" i="2" s="1"/>
  <c r="H1838" i="2"/>
  <c r="I1838" i="2" s="1"/>
  <c r="H1858" i="2"/>
  <c r="I1858" i="2" s="1"/>
  <c r="H430" i="2"/>
  <c r="I430" i="2" s="1"/>
  <c r="H454" i="2"/>
  <c r="I454" i="2" s="1"/>
  <c r="H540" i="2"/>
  <c r="I540" i="2" s="1"/>
  <c r="H897" i="2"/>
  <c r="H943" i="2"/>
  <c r="I943" i="2" s="1"/>
  <c r="H1057" i="2"/>
  <c r="I1057" i="2" s="1"/>
  <c r="H1143" i="2"/>
  <c r="I1143" i="2" s="1"/>
  <c r="H1229" i="2"/>
  <c r="I1229" i="2" s="1"/>
  <c r="H1270" i="2"/>
  <c r="I1270" i="2" s="1"/>
  <c r="H1282" i="2"/>
  <c r="I1282" i="2" s="1"/>
  <c r="H1294" i="2"/>
  <c r="I1294" i="2" s="1"/>
  <c r="H1315" i="2"/>
  <c r="I1315" i="2" s="1"/>
  <c r="H1343" i="2"/>
  <c r="I1343" i="2" s="1"/>
  <c r="H1412" i="2"/>
  <c r="I1412" i="2" s="1"/>
  <c r="H1464" i="2"/>
  <c r="I1464" i="2" s="1"/>
  <c r="H1509" i="2"/>
  <c r="I1509" i="2" s="1"/>
  <c r="H1545" i="2"/>
  <c r="I1545" i="2" s="1"/>
  <c r="H1683" i="2"/>
  <c r="I1683" i="2" s="1"/>
  <c r="H1740" i="2"/>
  <c r="I1740" i="2" s="1"/>
  <c r="H1776" i="2"/>
  <c r="I1776" i="2" s="1"/>
  <c r="H1808" i="2"/>
  <c r="I1808" i="2" s="1"/>
  <c r="H1842" i="2"/>
  <c r="I1842" i="2" s="1"/>
  <c r="H1695" i="2"/>
  <c r="I1695" i="2" s="1"/>
  <c r="H1846" i="2"/>
  <c r="I1846" i="2" s="1"/>
  <c r="H1862" i="2"/>
  <c r="I1862" i="2" s="1"/>
  <c r="H1850" i="2"/>
  <c r="I1850" i="2" s="1"/>
  <c r="H1866" i="2"/>
  <c r="I1866" i="2" s="1"/>
  <c r="H1878" i="2"/>
  <c r="I1878" i="2" s="1"/>
  <c r="H818" i="2"/>
  <c r="I818" i="2" s="1"/>
  <c r="H1069" i="2"/>
  <c r="I1069" i="2" s="1"/>
  <c r="H1082" i="2"/>
  <c r="I1082" i="2" s="1"/>
  <c r="H1106" i="2"/>
  <c r="I1106" i="2" s="1"/>
  <c r="H1183" i="2"/>
  <c r="I1183" i="2" s="1"/>
  <c r="H1205" i="2"/>
  <c r="I1205" i="2" s="1"/>
  <c r="H1307" i="2"/>
  <c r="I1307" i="2" s="1"/>
  <c r="H1404" i="2"/>
  <c r="I1404" i="2" s="1"/>
  <c r="H1416" i="2"/>
  <c r="I1416" i="2" s="1"/>
  <c r="H1497" i="2"/>
  <c r="I1497" i="2" s="1"/>
  <c r="H1513" i="2"/>
  <c r="I1513" i="2" s="1"/>
  <c r="H1590" i="2"/>
  <c r="I1590" i="2" s="1"/>
  <c r="H1623" i="2"/>
  <c r="I1623" i="2" s="1"/>
  <c r="H1635" i="2"/>
  <c r="I1635" i="2" s="1"/>
  <c r="H1675" i="2"/>
  <c r="I1675" i="2" s="1"/>
  <c r="H1768" i="2"/>
  <c r="I1768" i="2" s="1"/>
  <c r="H1816" i="2"/>
  <c r="I1816" i="2" s="1"/>
  <c r="H1472" i="2"/>
  <c r="I1472" i="2" s="1"/>
  <c r="H667" i="2"/>
  <c r="I667" i="2" s="1"/>
  <c r="H1179" i="2"/>
  <c r="I1179" i="2" s="1"/>
  <c r="H1468" i="2"/>
  <c r="I1468" i="2" s="1"/>
  <c r="H1882" i="2"/>
  <c r="I1882" i="2" s="1"/>
  <c r="H1191" i="2"/>
  <c r="I1191" i="2" s="1"/>
  <c r="H1820" i="2"/>
  <c r="I1820" i="2" s="1"/>
  <c r="H789" i="2"/>
  <c r="I789" i="2" s="1"/>
  <c r="H1391" i="2"/>
  <c r="I1391" i="2" s="1"/>
  <c r="H1573" i="2"/>
  <c r="I1573" i="2" s="1"/>
  <c r="H1886" i="2"/>
  <c r="I1886" i="2" s="1"/>
  <c r="H1171" i="2"/>
  <c r="I1171" i="2" s="1"/>
  <c r="H606" i="2"/>
  <c r="I606" i="2" s="1"/>
  <c r="I605" i="2" s="1"/>
  <c r="H1549" i="2"/>
  <c r="I1549" i="2" s="1"/>
  <c r="H1699" i="2"/>
  <c r="I1699" i="2" s="1"/>
  <c r="H769" i="2"/>
  <c r="I769" i="2" s="1"/>
  <c r="H809" i="2"/>
  <c r="I809" i="2" s="1"/>
  <c r="F888" i="2"/>
  <c r="F897" i="2"/>
  <c r="H527" i="4"/>
  <c r="I527" i="4"/>
  <c r="F147" i="4"/>
  <c r="H666" i="4"/>
  <c r="I666" i="4" s="1"/>
  <c r="H667" i="4"/>
  <c r="I667" i="4" s="1"/>
  <c r="H668" i="4"/>
  <c r="I668" i="4" s="1"/>
  <c r="H669" i="4"/>
  <c r="I669" i="4" s="1"/>
  <c r="H670" i="4"/>
  <c r="I670" i="4" s="1"/>
  <c r="H671" i="4"/>
  <c r="I671" i="4" s="1"/>
  <c r="H672" i="4"/>
  <c r="I672" i="4" s="1"/>
  <c r="H673" i="4"/>
  <c r="I673" i="4" s="1"/>
  <c r="H674" i="4"/>
  <c r="I674" i="4" s="1"/>
  <c r="H675" i="4"/>
  <c r="I675" i="4" s="1"/>
  <c r="H676" i="4"/>
  <c r="I676" i="4"/>
  <c r="H677" i="4"/>
  <c r="I677" i="4" s="1"/>
  <c r="H678" i="4"/>
  <c r="I678" i="4" s="1"/>
  <c r="H679" i="4"/>
  <c r="I679" i="4" s="1"/>
  <c r="H680" i="4"/>
  <c r="I680" i="4" s="1"/>
  <c r="H681" i="4"/>
  <c r="I681" i="4" s="1"/>
  <c r="H682" i="4"/>
  <c r="I682" i="4" s="1"/>
  <c r="H652" i="4"/>
  <c r="I652" i="4" s="1"/>
  <c r="H653" i="4"/>
  <c r="I653" i="4" s="1"/>
  <c r="H654" i="4"/>
  <c r="I654" i="4" s="1"/>
  <c r="H655" i="4"/>
  <c r="I655" i="4" s="1"/>
  <c r="H656" i="4"/>
  <c r="I656" i="4" s="1"/>
  <c r="H657" i="4"/>
  <c r="I657" i="4" s="1"/>
  <c r="H658" i="4"/>
  <c r="I658" i="4" s="1"/>
  <c r="H659" i="4"/>
  <c r="I659" i="4" s="1"/>
  <c r="H660" i="4"/>
  <c r="I660" i="4" s="1"/>
  <c r="H661" i="4"/>
  <c r="I661" i="4" s="1"/>
  <c r="H662" i="4"/>
  <c r="I662" i="4" s="1"/>
  <c r="H663" i="4"/>
  <c r="I663" i="4" s="1"/>
  <c r="H664" i="4"/>
  <c r="I664" i="4" s="1"/>
  <c r="H665" i="4"/>
  <c r="I665" i="4" s="1"/>
  <c r="H626" i="4"/>
  <c r="I626" i="4" s="1"/>
  <c r="H627" i="4"/>
  <c r="I627" i="4" s="1"/>
  <c r="H628" i="4"/>
  <c r="I628" i="4" s="1"/>
  <c r="H629" i="4"/>
  <c r="I629" i="4" s="1"/>
  <c r="H630" i="4"/>
  <c r="I630" i="4" s="1"/>
  <c r="H631" i="4"/>
  <c r="I631" i="4" s="1"/>
  <c r="H632" i="4"/>
  <c r="I632" i="4" s="1"/>
  <c r="H633" i="4"/>
  <c r="I633" i="4"/>
  <c r="H634" i="4"/>
  <c r="I634" i="4" s="1"/>
  <c r="H635" i="4"/>
  <c r="I635" i="4" s="1"/>
  <c r="H636" i="4"/>
  <c r="I636" i="4" s="1"/>
  <c r="H637" i="4"/>
  <c r="I637" i="4"/>
  <c r="H638" i="4"/>
  <c r="I638" i="4" s="1"/>
  <c r="H639" i="4"/>
  <c r="I639" i="4"/>
  <c r="H640" i="4"/>
  <c r="I640" i="4" s="1"/>
  <c r="H641" i="4"/>
  <c r="I641" i="4" s="1"/>
  <c r="H642" i="4"/>
  <c r="I642" i="4" s="1"/>
  <c r="H643" i="4"/>
  <c r="I643" i="4" s="1"/>
  <c r="H644" i="4"/>
  <c r="I644" i="4" s="1"/>
  <c r="H645" i="4"/>
  <c r="I645" i="4"/>
  <c r="H646" i="4"/>
  <c r="I646" i="4"/>
  <c r="H647" i="4"/>
  <c r="I647" i="4" s="1"/>
  <c r="H648" i="4"/>
  <c r="I648" i="4" s="1"/>
  <c r="H649" i="4"/>
  <c r="I649" i="4" s="1"/>
  <c r="H650" i="4"/>
  <c r="I650" i="4" s="1"/>
  <c r="H651" i="4"/>
  <c r="I651" i="4" s="1"/>
  <c r="H620" i="4"/>
  <c r="I620" i="4" s="1"/>
  <c r="H621" i="4"/>
  <c r="I621" i="4" s="1"/>
  <c r="H622" i="4"/>
  <c r="I622" i="4" s="1"/>
  <c r="H623" i="4"/>
  <c r="I623" i="4" s="1"/>
  <c r="H624" i="4"/>
  <c r="I624" i="4" s="1"/>
  <c r="H625" i="4"/>
  <c r="I625" i="4"/>
  <c r="H603" i="4"/>
  <c r="I603" i="4" s="1"/>
  <c r="H604" i="4"/>
  <c r="I604" i="4" s="1"/>
  <c r="H605" i="4"/>
  <c r="I605" i="4" s="1"/>
  <c r="H606" i="4"/>
  <c r="I606" i="4" s="1"/>
  <c r="H607" i="4"/>
  <c r="I607" i="4" s="1"/>
  <c r="H608" i="4"/>
  <c r="I608" i="4" s="1"/>
  <c r="H609" i="4"/>
  <c r="I609" i="4" s="1"/>
  <c r="H610" i="4"/>
  <c r="I610" i="4" s="1"/>
  <c r="H611" i="4"/>
  <c r="I611" i="4"/>
  <c r="H612" i="4"/>
  <c r="I612" i="4" s="1"/>
  <c r="H613" i="4"/>
  <c r="I613" i="4" s="1"/>
  <c r="H614" i="4"/>
  <c r="I614" i="4" s="1"/>
  <c r="H615" i="4"/>
  <c r="I615" i="4" s="1"/>
  <c r="H616" i="4"/>
  <c r="I616" i="4" s="1"/>
  <c r="H617" i="4"/>
  <c r="I617" i="4" s="1"/>
  <c r="H618" i="4"/>
  <c r="I618" i="4" s="1"/>
  <c r="H619" i="4"/>
  <c r="I619" i="4" s="1"/>
  <c r="I488" i="2" l="1"/>
  <c r="I888" i="2"/>
  <c r="I879" i="2" s="1"/>
  <c r="I466" i="2"/>
  <c r="I390" i="2"/>
  <c r="I641" i="2"/>
  <c r="I870" i="2"/>
  <c r="I813" i="2"/>
  <c r="I658" i="2"/>
  <c r="I1927" i="2"/>
  <c r="I1399" i="2"/>
  <c r="I999" i="2"/>
  <c r="I982" i="2"/>
  <c r="I519" i="2"/>
  <c r="I930" i="2"/>
  <c r="I1711" i="2"/>
  <c r="I1073" i="2"/>
  <c r="I1302" i="2"/>
  <c r="I1492" i="2"/>
  <c r="I852" i="2"/>
  <c r="I1577" i="2"/>
  <c r="I610" i="2"/>
  <c r="I479" i="2"/>
  <c r="I909" i="2"/>
  <c r="I498" i="2"/>
  <c r="I835" i="2"/>
  <c r="I707" i="2"/>
  <c r="I965" i="2"/>
  <c r="I1833" i="2"/>
  <c r="I2027" i="2"/>
  <c r="I429" i="2"/>
  <c r="I1606" i="2"/>
  <c r="I568" i="2"/>
  <c r="I1200" i="2"/>
  <c r="I752" i="2"/>
  <c r="I399" i="2"/>
  <c r="F905" i="2"/>
  <c r="I905" i="2" s="1"/>
  <c r="I897" i="2"/>
  <c r="F901" i="2"/>
  <c r="I901" i="2" s="1"/>
  <c r="F488" i="4"/>
  <c r="H487" i="4"/>
  <c r="H488" i="4"/>
  <c r="H489" i="4"/>
  <c r="H490" i="4"/>
  <c r="H491" i="4"/>
  <c r="H492" i="4"/>
  <c r="H483" i="4"/>
  <c r="I483" i="4" s="1"/>
  <c r="H484" i="4"/>
  <c r="I484" i="4" s="1"/>
  <c r="H485" i="4"/>
  <c r="I485" i="4" s="1"/>
  <c r="H486" i="4"/>
  <c r="H103" i="4"/>
  <c r="I103" i="4" s="1"/>
  <c r="F477" i="4"/>
  <c r="F470" i="4"/>
  <c r="H471" i="4"/>
  <c r="I471" i="4" s="1"/>
  <c r="H470" i="4"/>
  <c r="H469" i="4"/>
  <c r="I469" i="4" s="1"/>
  <c r="H468" i="4"/>
  <c r="I468" i="4" s="1"/>
  <c r="H467" i="4"/>
  <c r="H466" i="4"/>
  <c r="I466" i="4" s="1"/>
  <c r="F486" i="4"/>
  <c r="F487" i="4" s="1"/>
  <c r="I487" i="4" s="1"/>
  <c r="F464" i="4"/>
  <c r="F472" i="4" s="1"/>
  <c r="F463" i="4"/>
  <c r="F473" i="4" s="1"/>
  <c r="F491" i="4"/>
  <c r="F490" i="4"/>
  <c r="F492" i="4"/>
  <c r="I492" i="4" s="1"/>
  <c r="H482" i="4"/>
  <c r="I482" i="4" s="1"/>
  <c r="H481" i="4"/>
  <c r="I481" i="4" s="1"/>
  <c r="H480" i="4"/>
  <c r="I480" i="4" s="1"/>
  <c r="H479" i="4"/>
  <c r="I479" i="4" s="1"/>
  <c r="H478" i="4"/>
  <c r="I478" i="4" s="1"/>
  <c r="H477" i="4"/>
  <c r="H476" i="4"/>
  <c r="I476" i="4" s="1"/>
  <c r="H475" i="4"/>
  <c r="I475" i="4" s="1"/>
  <c r="H474" i="4"/>
  <c r="I474" i="4" s="1"/>
  <c r="H473" i="4"/>
  <c r="H472" i="4"/>
  <c r="H465" i="4"/>
  <c r="H464" i="4"/>
  <c r="H463" i="4"/>
  <c r="H92" i="4"/>
  <c r="F88" i="4"/>
  <c r="F92" i="4" s="1"/>
  <c r="F89" i="4"/>
  <c r="F91" i="4" s="1"/>
  <c r="H104" i="4"/>
  <c r="H105" i="4"/>
  <c r="F104" i="4"/>
  <c r="F105" i="4" s="1"/>
  <c r="F109" i="4"/>
  <c r="F108" i="4"/>
  <c r="I892" i="2" l="1"/>
  <c r="I834" i="2" s="1"/>
  <c r="I964" i="2"/>
  <c r="I963" i="2" s="1"/>
  <c r="I640" i="2"/>
  <c r="I428" i="2"/>
  <c r="I470" i="4"/>
  <c r="I490" i="4"/>
  <c r="I486" i="4"/>
  <c r="I491" i="4"/>
  <c r="I488" i="4"/>
  <c r="I463" i="4"/>
  <c r="I462" i="4" s="1"/>
  <c r="F465" i="4"/>
  <c r="I465" i="4" s="1"/>
  <c r="F489" i="4"/>
  <c r="I489" i="4" s="1"/>
  <c r="I92" i="4"/>
  <c r="I467" i="4"/>
  <c r="I104" i="4"/>
  <c r="I473" i="4"/>
  <c r="I477" i="4"/>
  <c r="I105" i="4"/>
  <c r="I472" i="4"/>
  <c r="I464" i="4"/>
  <c r="H548" i="4"/>
  <c r="I548" i="4" s="1"/>
  <c r="H547" i="4"/>
  <c r="I547" i="4" s="1"/>
  <c r="H546" i="4"/>
  <c r="F546" i="4"/>
  <c r="H545" i="4"/>
  <c r="I545" i="4" s="1"/>
  <c r="H544" i="4"/>
  <c r="F544" i="4"/>
  <c r="H543" i="4"/>
  <c r="I543" i="4" s="1"/>
  <c r="H417" i="4"/>
  <c r="I417" i="4" s="1"/>
  <c r="H416" i="4"/>
  <c r="I416" i="4" s="1"/>
  <c r="H415" i="4"/>
  <c r="F415" i="4"/>
  <c r="H414" i="4"/>
  <c r="I414" i="4" s="1"/>
  <c r="H413" i="4"/>
  <c r="F413" i="4"/>
  <c r="H412" i="4"/>
  <c r="I412" i="4" s="1"/>
  <c r="F106" i="4"/>
  <c r="F110" i="4" s="1"/>
  <c r="H96" i="4"/>
  <c r="H97" i="4"/>
  <c r="I97" i="4" s="1"/>
  <c r="H98" i="4"/>
  <c r="I98" i="4" s="1"/>
  <c r="H99" i="4"/>
  <c r="I99" i="4" s="1"/>
  <c r="H100" i="4"/>
  <c r="I100" i="4" s="1"/>
  <c r="H101" i="4"/>
  <c r="I101" i="4" s="1"/>
  <c r="H95" i="4"/>
  <c r="I95" i="4" s="1"/>
  <c r="H94" i="4"/>
  <c r="I94" i="4" s="1"/>
  <c r="F96" i="4"/>
  <c r="F385" i="4"/>
  <c r="H386" i="4"/>
  <c r="I386" i="4" s="1"/>
  <c r="H385" i="4"/>
  <c r="H384" i="4"/>
  <c r="F384" i="4"/>
  <c r="H383" i="4"/>
  <c r="I383" i="4" s="1"/>
  <c r="H382" i="4"/>
  <c r="F382" i="4"/>
  <c r="H381" i="4"/>
  <c r="I381" i="4" s="1"/>
  <c r="F272" i="4"/>
  <c r="H273" i="4"/>
  <c r="I273" i="4" s="1"/>
  <c r="H272" i="4"/>
  <c r="H271" i="4"/>
  <c r="F271" i="4"/>
  <c r="H270" i="4"/>
  <c r="I270" i="4" s="1"/>
  <c r="H269" i="4"/>
  <c r="F269" i="4"/>
  <c r="H268" i="4"/>
  <c r="I268" i="4" s="1"/>
  <c r="F242" i="4"/>
  <c r="I96" i="4" l="1"/>
  <c r="I384" i="4"/>
  <c r="I413" i="4"/>
  <c r="I415" i="4"/>
  <c r="I546" i="4"/>
  <c r="I544" i="4"/>
  <c r="I385" i="4"/>
  <c r="I271" i="4"/>
  <c r="I382" i="4"/>
  <c r="I272" i="4"/>
  <c r="I269" i="4"/>
  <c r="F174" i="2"/>
  <c r="F145" i="2"/>
  <c r="F133" i="2"/>
  <c r="F182" i="2"/>
  <c r="K141" i="2"/>
  <c r="F129" i="2"/>
  <c r="D133" i="2"/>
  <c r="C133" i="2"/>
  <c r="H48" i="4"/>
  <c r="I48" i="4" s="1"/>
  <c r="H47" i="4"/>
  <c r="I47" i="4" s="1"/>
  <c r="K194" i="2"/>
  <c r="K190" i="2"/>
  <c r="H153" i="4"/>
  <c r="I153" i="4" s="1"/>
  <c r="H146" i="4"/>
  <c r="I146" i="4" s="1"/>
  <c r="F150" i="4"/>
  <c r="F149" i="4"/>
  <c r="F145" i="4"/>
  <c r="J147" i="4"/>
  <c r="F148" i="4"/>
  <c r="I542" i="4" l="1"/>
  <c r="I411" i="4"/>
  <c r="I380" i="4"/>
  <c r="I267" i="4"/>
  <c r="F157" i="2"/>
  <c r="F137" i="2"/>
  <c r="I46" i="4"/>
  <c r="H247" i="4"/>
  <c r="H248" i="4"/>
  <c r="H249" i="4"/>
  <c r="I249" i="4" s="1"/>
  <c r="H250" i="4"/>
  <c r="I250" i="4" s="1"/>
  <c r="H251" i="4"/>
  <c r="I251" i="4" s="1"/>
  <c r="H252" i="4"/>
  <c r="I252" i="4" s="1"/>
  <c r="H253" i="4"/>
  <c r="I253" i="4" s="1"/>
  <c r="H254" i="4"/>
  <c r="I254" i="4" s="1"/>
  <c r="H255" i="4"/>
  <c r="H256" i="4"/>
  <c r="H257" i="4"/>
  <c r="H258" i="4"/>
  <c r="I258" i="4" s="1"/>
  <c r="H259" i="4"/>
  <c r="I259" i="4" s="1"/>
  <c r="H260" i="4"/>
  <c r="I260" i="4" s="1"/>
  <c r="H261" i="4"/>
  <c r="I261" i="4" s="1"/>
  <c r="H262" i="4"/>
  <c r="H263" i="4"/>
  <c r="H264" i="4"/>
  <c r="H265" i="4"/>
  <c r="H246" i="4"/>
  <c r="H239" i="4"/>
  <c r="H240" i="4"/>
  <c r="I240" i="4" s="1"/>
  <c r="H241" i="4"/>
  <c r="H242" i="4"/>
  <c r="H243" i="4"/>
  <c r="I243" i="4" s="1"/>
  <c r="H238" i="4"/>
  <c r="I238" i="4" s="1"/>
  <c r="H82" i="4"/>
  <c r="H77" i="4"/>
  <c r="H78" i="4"/>
  <c r="I78" i="4" s="1"/>
  <c r="H79" i="4"/>
  <c r="I79" i="4" s="1"/>
  <c r="G133" i="2" s="1"/>
  <c r="H76" i="4"/>
  <c r="H59" i="4"/>
  <c r="I59" i="4" s="1"/>
  <c r="H60" i="4"/>
  <c r="I60" i="4" s="1"/>
  <c r="H61" i="4"/>
  <c r="H62" i="4"/>
  <c r="I62" i="4" s="1"/>
  <c r="H63" i="4"/>
  <c r="I63" i="4" s="1"/>
  <c r="H64" i="4"/>
  <c r="I64" i="4" s="1"/>
  <c r="H65" i="4"/>
  <c r="I65" i="4" s="1"/>
  <c r="H66" i="4"/>
  <c r="I66" i="4" s="1"/>
  <c r="H67" i="4"/>
  <c r="I67" i="4" s="1"/>
  <c r="H58" i="4"/>
  <c r="I58" i="4" s="1"/>
  <c r="H52" i="4"/>
  <c r="I52" i="4" s="1"/>
  <c r="H53" i="4"/>
  <c r="I53" i="4" s="1"/>
  <c r="H54" i="4"/>
  <c r="I54" i="4" s="1"/>
  <c r="H55" i="4"/>
  <c r="I55" i="4" s="1"/>
  <c r="H51" i="4"/>
  <c r="H43" i="4"/>
  <c r="I43" i="4" s="1"/>
  <c r="H44" i="4"/>
  <c r="I44" i="4" s="1"/>
  <c r="H42" i="4"/>
  <c r="I42" i="4" s="1"/>
  <c r="H33" i="4"/>
  <c r="I33" i="4" s="1"/>
  <c r="H34" i="4"/>
  <c r="I34" i="4" s="1"/>
  <c r="H35" i="4"/>
  <c r="I35" i="4" s="1"/>
  <c r="H36" i="4"/>
  <c r="I36" i="4" s="1"/>
  <c r="H37" i="4"/>
  <c r="I37" i="4" s="1"/>
  <c r="H38" i="4"/>
  <c r="I38" i="4" s="1"/>
  <c r="H32" i="4"/>
  <c r="I32" i="4" s="1"/>
  <c r="H17" i="4"/>
  <c r="I17" i="4" s="1"/>
  <c r="H18" i="4"/>
  <c r="I18" i="4" s="1"/>
  <c r="H19" i="4"/>
  <c r="I19" i="4" s="1"/>
  <c r="H20" i="4"/>
  <c r="I20" i="4" s="1"/>
  <c r="H21" i="4"/>
  <c r="I21" i="4" s="1"/>
  <c r="H22" i="4"/>
  <c r="I22" i="4" s="1"/>
  <c r="H23" i="4"/>
  <c r="I23" i="4" s="1"/>
  <c r="H24" i="4"/>
  <c r="I24" i="4" s="1"/>
  <c r="H25" i="4"/>
  <c r="I25" i="4" s="1"/>
  <c r="H26" i="4"/>
  <c r="I26" i="4" s="1"/>
  <c r="H27" i="4"/>
  <c r="I27" i="4" s="1"/>
  <c r="H28" i="4"/>
  <c r="I28" i="4" s="1"/>
  <c r="H29" i="4"/>
  <c r="I29" i="4" s="1"/>
  <c r="J44" i="4"/>
  <c r="J43" i="4"/>
  <c r="J42" i="4"/>
  <c r="J41" i="4"/>
  <c r="J40" i="4"/>
  <c r="J39" i="4"/>
  <c r="J38" i="4"/>
  <c r="J37" i="4"/>
  <c r="J36" i="4"/>
  <c r="J35" i="4"/>
  <c r="J34" i="4"/>
  <c r="J33" i="4"/>
  <c r="J32" i="4"/>
  <c r="J31" i="4"/>
  <c r="J30" i="4"/>
  <c r="J29" i="4"/>
  <c r="J28" i="4"/>
  <c r="J27" i="4"/>
  <c r="J26" i="4"/>
  <c r="J25" i="4"/>
  <c r="J24" i="4"/>
  <c r="J23" i="4"/>
  <c r="J22" i="4"/>
  <c r="J21" i="4"/>
  <c r="J20" i="4"/>
  <c r="J19" i="4"/>
  <c r="J18" i="4"/>
  <c r="J17" i="4"/>
  <c r="J16" i="4"/>
  <c r="H16" i="4"/>
  <c r="I16" i="4" s="1"/>
  <c r="I15" i="4" l="1"/>
  <c r="I31" i="4"/>
  <c r="I41" i="4"/>
  <c r="I13" i="4" l="1"/>
  <c r="C102" i="2" l="1"/>
  <c r="H576" i="4" l="1"/>
  <c r="I576" i="4" s="1"/>
  <c r="H575" i="4"/>
  <c r="I575" i="4" s="1"/>
  <c r="H574" i="4"/>
  <c r="I574" i="4" s="1"/>
  <c r="H565" i="4"/>
  <c r="H566" i="4"/>
  <c r="H567" i="4"/>
  <c r="H568" i="4"/>
  <c r="H569" i="4"/>
  <c r="H570" i="4"/>
  <c r="H571" i="4"/>
  <c r="H572" i="4"/>
  <c r="H573" i="4"/>
  <c r="H705" i="4"/>
  <c r="I705" i="4" s="1"/>
  <c r="H706" i="4"/>
  <c r="I706" i="4" s="1"/>
  <c r="H707" i="4"/>
  <c r="I707" i="4" s="1"/>
  <c r="H708" i="4"/>
  <c r="I708" i="4" s="1"/>
  <c r="H712" i="4"/>
  <c r="I712" i="4" s="1"/>
  <c r="H713" i="4"/>
  <c r="I713" i="4" s="1"/>
  <c r="H714" i="4"/>
  <c r="I714" i="4" s="1"/>
  <c r="H715" i="4"/>
  <c r="I715" i="4" s="1"/>
  <c r="H718" i="4"/>
  <c r="I718" i="4" s="1"/>
  <c r="H722" i="4"/>
  <c r="I722" i="4" s="1"/>
  <c r="H723" i="4"/>
  <c r="I723" i="4" s="1"/>
  <c r="H726" i="4"/>
  <c r="I726" i="4" s="1"/>
  <c r="H727" i="4"/>
  <c r="I727" i="4" s="1"/>
  <c r="H730" i="4"/>
  <c r="I730" i="4" s="1"/>
  <c r="H733" i="4"/>
  <c r="I733" i="4" s="1"/>
  <c r="H737" i="4"/>
  <c r="I737" i="4" s="1"/>
  <c r="H738" i="4"/>
  <c r="I738" i="4" s="1"/>
  <c r="H741" i="4"/>
  <c r="I741" i="4" s="1"/>
  <c r="H744" i="4"/>
  <c r="I744" i="4" s="1"/>
  <c r="H747" i="4"/>
  <c r="I747" i="4" s="1"/>
  <c r="H748" i="4"/>
  <c r="I748" i="4" s="1"/>
  <c r="H751" i="4"/>
  <c r="I751" i="4" s="1"/>
  <c r="H754" i="4"/>
  <c r="I754" i="4" s="1"/>
  <c r="H755" i="4"/>
  <c r="I755" i="4" s="1"/>
  <c r="H756" i="4"/>
  <c r="I756" i="4" s="1"/>
  <c r="H757" i="4"/>
  <c r="I757" i="4" s="1"/>
  <c r="H758" i="4"/>
  <c r="I758" i="4" s="1"/>
  <c r="H761" i="4"/>
  <c r="I761" i="4" s="1"/>
  <c r="H762" i="4"/>
  <c r="I762" i="4" s="1"/>
  <c r="H763" i="4"/>
  <c r="I763" i="4" s="1"/>
  <c r="H764" i="4"/>
  <c r="I764" i="4" s="1"/>
  <c r="H765" i="4"/>
  <c r="I765" i="4" s="1"/>
  <c r="H766" i="4"/>
  <c r="I766" i="4" s="1"/>
  <c r="H767" i="4"/>
  <c r="I767" i="4" s="1"/>
  <c r="H768" i="4"/>
  <c r="I768" i="4" s="1"/>
  <c r="H769" i="4"/>
  <c r="I769" i="4" s="1"/>
  <c r="H770" i="4"/>
  <c r="I770" i="4" s="1"/>
  <c r="H771" i="4"/>
  <c r="I771" i="4" s="1"/>
  <c r="H772" i="4"/>
  <c r="I772" i="4" s="1"/>
  <c r="H773" i="4"/>
  <c r="I773" i="4" s="1"/>
  <c r="H774" i="4"/>
  <c r="I774" i="4" s="1"/>
  <c r="H775" i="4"/>
  <c r="I775" i="4" s="1"/>
  <c r="H776" i="4"/>
  <c r="I776" i="4" s="1"/>
  <c r="H777" i="4"/>
  <c r="I777" i="4" s="1"/>
  <c r="H778" i="4"/>
  <c r="I778" i="4" s="1"/>
  <c r="H779" i="4"/>
  <c r="I779" i="4" s="1"/>
  <c r="H780" i="4"/>
  <c r="I780" i="4" s="1"/>
  <c r="H704" i="4"/>
  <c r="I704" i="4" s="1"/>
  <c r="H517" i="4"/>
  <c r="I517" i="4" s="1"/>
  <c r="H516" i="4"/>
  <c r="I516" i="4" s="1"/>
  <c r="H515" i="4"/>
  <c r="I515" i="4" s="1"/>
  <c r="H540" i="4"/>
  <c r="I540" i="4" s="1"/>
  <c r="H539" i="4"/>
  <c r="I539" i="4" s="1"/>
  <c r="H538" i="4"/>
  <c r="I538" i="4" s="1"/>
  <c r="H528" i="4"/>
  <c r="I528" i="4" s="1"/>
  <c r="H529" i="4"/>
  <c r="I529" i="4" s="1"/>
  <c r="H530" i="4"/>
  <c r="I530" i="4" s="1"/>
  <c r="H531" i="4"/>
  <c r="I531" i="4" s="1"/>
  <c r="H532" i="4"/>
  <c r="I532" i="4" s="1"/>
  <c r="H533" i="4"/>
  <c r="I533" i="4" s="1"/>
  <c r="H534" i="4"/>
  <c r="I534" i="4" s="1"/>
  <c r="H447" i="4"/>
  <c r="I447" i="4" s="1"/>
  <c r="H446" i="4"/>
  <c r="I446" i="4" s="1"/>
  <c r="H445" i="4"/>
  <c r="I445" i="4" s="1"/>
  <c r="H427" i="4"/>
  <c r="I427" i="4" s="1"/>
  <c r="H428" i="4"/>
  <c r="I428" i="4" s="1"/>
  <c r="H429" i="4"/>
  <c r="I429" i="4" s="1"/>
  <c r="H430" i="4"/>
  <c r="I430" i="4" s="1"/>
  <c r="H431" i="4"/>
  <c r="I431" i="4" s="1"/>
  <c r="H432" i="4"/>
  <c r="I432" i="4" s="1"/>
  <c r="H433" i="4"/>
  <c r="I433" i="4" s="1"/>
  <c r="H434" i="4"/>
  <c r="I434" i="4" s="1"/>
  <c r="H435" i="4"/>
  <c r="I435" i="4" s="1"/>
  <c r="H436" i="4"/>
  <c r="I436" i="4" s="1"/>
  <c r="H437" i="4"/>
  <c r="I437" i="4" s="1"/>
  <c r="H438" i="4"/>
  <c r="I438" i="4" s="1"/>
  <c r="H439" i="4"/>
  <c r="I439" i="4" s="1"/>
  <c r="H440" i="4"/>
  <c r="I440" i="4" s="1"/>
  <c r="H441" i="4"/>
  <c r="I441" i="4" s="1"/>
  <c r="H442" i="4"/>
  <c r="I442" i="4" s="1"/>
  <c r="H443" i="4"/>
  <c r="I443" i="4" s="1"/>
  <c r="H444" i="4"/>
  <c r="I444" i="4" s="1"/>
  <c r="H409" i="4"/>
  <c r="I409" i="4" s="1"/>
  <c r="H408" i="4"/>
  <c r="I408" i="4" s="1"/>
  <c r="H407" i="4"/>
  <c r="I407" i="4" s="1"/>
  <c r="H404" i="4"/>
  <c r="I404" i="4" s="1"/>
  <c r="H405" i="4"/>
  <c r="I405" i="4" s="1"/>
  <c r="H406" i="4"/>
  <c r="I406" i="4" s="1"/>
  <c r="H390" i="4"/>
  <c r="I390" i="4" s="1"/>
  <c r="H391" i="4"/>
  <c r="I391" i="4" s="1"/>
  <c r="H392" i="4"/>
  <c r="I392" i="4" s="1"/>
  <c r="H393" i="4"/>
  <c r="I393" i="4" s="1"/>
  <c r="H394" i="4"/>
  <c r="I394" i="4" s="1"/>
  <c r="H395" i="4"/>
  <c r="I395" i="4" s="1"/>
  <c r="H396" i="4"/>
  <c r="I396" i="4" s="1"/>
  <c r="H397" i="4"/>
  <c r="I397" i="4" s="1"/>
  <c r="H398" i="4"/>
  <c r="I398" i="4" s="1"/>
  <c r="H399" i="4"/>
  <c r="I399" i="4" s="1"/>
  <c r="H400" i="4"/>
  <c r="I400" i="4" s="1"/>
  <c r="H401" i="4"/>
  <c r="I401" i="4" s="1"/>
  <c r="H402" i="4"/>
  <c r="I402" i="4" s="1"/>
  <c r="H403" i="4"/>
  <c r="I403" i="4" s="1"/>
  <c r="H378" i="4"/>
  <c r="I378" i="4" s="1"/>
  <c r="H377" i="4"/>
  <c r="I377" i="4" s="1"/>
  <c r="H376" i="4"/>
  <c r="I376" i="4" s="1"/>
  <c r="H323" i="4"/>
  <c r="I323" i="4" s="1"/>
  <c r="H324" i="4"/>
  <c r="I324" i="4" s="1"/>
  <c r="H325" i="4"/>
  <c r="I325" i="4" s="1"/>
  <c r="H326" i="4"/>
  <c r="I326" i="4" s="1"/>
  <c r="H327" i="4"/>
  <c r="I327" i="4" s="1"/>
  <c r="H328" i="4"/>
  <c r="I328" i="4" s="1"/>
  <c r="H329" i="4"/>
  <c r="I329" i="4" s="1"/>
  <c r="H330" i="4"/>
  <c r="I330" i="4" s="1"/>
  <c r="H331" i="4"/>
  <c r="I331" i="4" s="1"/>
  <c r="H332" i="4"/>
  <c r="I332" i="4" s="1"/>
  <c r="H333" i="4"/>
  <c r="I333" i="4" s="1"/>
  <c r="H334" i="4"/>
  <c r="I334" i="4" s="1"/>
  <c r="H335" i="4"/>
  <c r="I335" i="4" s="1"/>
  <c r="H336" i="4"/>
  <c r="I336" i="4" s="1"/>
  <c r="H337" i="4"/>
  <c r="I337" i="4" s="1"/>
  <c r="H338" i="4"/>
  <c r="I338" i="4" s="1"/>
  <c r="H339" i="4"/>
  <c r="I339" i="4" s="1"/>
  <c r="H340" i="4"/>
  <c r="I340" i="4" s="1"/>
  <c r="H341" i="4"/>
  <c r="I341" i="4" s="1"/>
  <c r="H342" i="4"/>
  <c r="I342" i="4" s="1"/>
  <c r="H343" i="4"/>
  <c r="I343" i="4" s="1"/>
  <c r="H344" i="4"/>
  <c r="I344" i="4" s="1"/>
  <c r="H345" i="4"/>
  <c r="I345" i="4" s="1"/>
  <c r="H346" i="4"/>
  <c r="I346" i="4" s="1"/>
  <c r="H347" i="4"/>
  <c r="I347" i="4" s="1"/>
  <c r="H348" i="4"/>
  <c r="I348" i="4" s="1"/>
  <c r="H349" i="4"/>
  <c r="I349" i="4" s="1"/>
  <c r="H350" i="4"/>
  <c r="I350" i="4" s="1"/>
  <c r="H351" i="4"/>
  <c r="I351" i="4" s="1"/>
  <c r="H352" i="4"/>
  <c r="I352" i="4" s="1"/>
  <c r="H353" i="4"/>
  <c r="I353" i="4" s="1"/>
  <c r="H354" i="4"/>
  <c r="I354" i="4" s="1"/>
  <c r="H355" i="4"/>
  <c r="I355" i="4" s="1"/>
  <c r="H356" i="4"/>
  <c r="I356" i="4" s="1"/>
  <c r="H357" i="4"/>
  <c r="I357" i="4" s="1"/>
  <c r="H358" i="4"/>
  <c r="I358" i="4" s="1"/>
  <c r="H359" i="4"/>
  <c r="I359" i="4" s="1"/>
  <c r="H360" i="4"/>
  <c r="I360" i="4" s="1"/>
  <c r="H361" i="4"/>
  <c r="I361" i="4" s="1"/>
  <c r="H362" i="4"/>
  <c r="I362" i="4" s="1"/>
  <c r="H363" i="4"/>
  <c r="I363" i="4" s="1"/>
  <c r="H364" i="4"/>
  <c r="I364" i="4" s="1"/>
  <c r="H365" i="4"/>
  <c r="I365" i="4" s="1"/>
  <c r="H366" i="4"/>
  <c r="I366" i="4" s="1"/>
  <c r="H367" i="4"/>
  <c r="I367" i="4" s="1"/>
  <c r="H368" i="4"/>
  <c r="I368" i="4" s="1"/>
  <c r="H369" i="4"/>
  <c r="I369" i="4" s="1"/>
  <c r="H370" i="4"/>
  <c r="I370" i="4" s="1"/>
  <c r="H371" i="4"/>
  <c r="I371" i="4" s="1"/>
  <c r="H372" i="4"/>
  <c r="I372" i="4" s="1"/>
  <c r="H373" i="4"/>
  <c r="I373" i="4" s="1"/>
  <c r="H374" i="4"/>
  <c r="I374" i="4" s="1"/>
  <c r="H375" i="4"/>
  <c r="I375" i="4" s="1"/>
  <c r="H322" i="4"/>
  <c r="I322" i="4" s="1"/>
  <c r="H230" i="4"/>
  <c r="I230" i="4" s="1"/>
  <c r="H229" i="4"/>
  <c r="I229" i="4" s="1"/>
  <c r="H228" i="4"/>
  <c r="I228" i="4" s="1"/>
  <c r="H200" i="4"/>
  <c r="I200" i="4" s="1"/>
  <c r="H201" i="4"/>
  <c r="I201" i="4" s="1"/>
  <c r="H202" i="4"/>
  <c r="I202" i="4" s="1"/>
  <c r="H203" i="4"/>
  <c r="I203" i="4" s="1"/>
  <c r="H204" i="4"/>
  <c r="I204" i="4" s="1"/>
  <c r="H205" i="4"/>
  <c r="I205" i="4" s="1"/>
  <c r="H206" i="4"/>
  <c r="I206" i="4" s="1"/>
  <c r="H207" i="4"/>
  <c r="I207" i="4" s="1"/>
  <c r="H208" i="4"/>
  <c r="I208" i="4" s="1"/>
  <c r="H209" i="4"/>
  <c r="I209" i="4" s="1"/>
  <c r="H210" i="4"/>
  <c r="I210" i="4" s="1"/>
  <c r="H211" i="4"/>
  <c r="I211" i="4" s="1"/>
  <c r="H212" i="4"/>
  <c r="I212" i="4" s="1"/>
  <c r="H213" i="4"/>
  <c r="I213" i="4" s="1"/>
  <c r="H214" i="4"/>
  <c r="I214" i="4" s="1"/>
  <c r="H215" i="4"/>
  <c r="I215" i="4" s="1"/>
  <c r="H216" i="4"/>
  <c r="I216" i="4" s="1"/>
  <c r="H217" i="4"/>
  <c r="I217" i="4" s="1"/>
  <c r="H218" i="4"/>
  <c r="I218" i="4" s="1"/>
  <c r="H219" i="4"/>
  <c r="I219" i="4" s="1"/>
  <c r="H220" i="4"/>
  <c r="I220" i="4" s="1"/>
  <c r="H221" i="4"/>
  <c r="I221" i="4" s="1"/>
  <c r="H222" i="4"/>
  <c r="I222" i="4" s="1"/>
  <c r="H223" i="4"/>
  <c r="I223" i="4" s="1"/>
  <c r="H224" i="4"/>
  <c r="I224" i="4" s="1"/>
  <c r="H225" i="4"/>
  <c r="I225" i="4" s="1"/>
  <c r="H226" i="4"/>
  <c r="I226" i="4" s="1"/>
  <c r="H227" i="4"/>
  <c r="I227" i="4" s="1"/>
  <c r="I526" i="4" l="1"/>
  <c r="I321" i="4"/>
  <c r="H116" i="4"/>
  <c r="I116" i="4" s="1"/>
  <c r="H117" i="4"/>
  <c r="I117" i="4" s="1"/>
  <c r="H118" i="4"/>
  <c r="I118" i="4" s="1"/>
  <c r="H119" i="4"/>
  <c r="I119" i="4" s="1"/>
  <c r="H120" i="4"/>
  <c r="I120" i="4" s="1"/>
  <c r="H121" i="4"/>
  <c r="I121" i="4" s="1"/>
  <c r="H122" i="4"/>
  <c r="I122" i="4" s="1"/>
  <c r="H123" i="4"/>
  <c r="I123" i="4" s="1"/>
  <c r="H124" i="4"/>
  <c r="I124" i="4" s="1"/>
  <c r="H699" i="4" l="1"/>
  <c r="I699" i="4" s="1"/>
  <c r="H698" i="4"/>
  <c r="I698" i="4" s="1"/>
  <c r="H697" i="4"/>
  <c r="I697" i="4" s="1"/>
  <c r="H696" i="4"/>
  <c r="I696" i="4" s="1"/>
  <c r="H695" i="4"/>
  <c r="I695" i="4" s="1"/>
  <c r="H694" i="4"/>
  <c r="I694" i="4" s="1"/>
  <c r="H693" i="4"/>
  <c r="I693" i="4" s="1"/>
  <c r="H692" i="4"/>
  <c r="I692" i="4" s="1"/>
  <c r="H784" i="4" l="1"/>
  <c r="I784" i="4" s="1"/>
  <c r="H785" i="4"/>
  <c r="I785" i="4" s="1"/>
  <c r="H786" i="4"/>
  <c r="I786" i="4" s="1"/>
  <c r="D519" i="4" l="1"/>
  <c r="F520" i="4"/>
  <c r="I524" i="4"/>
  <c r="H524" i="4"/>
  <c r="I523" i="4"/>
  <c r="H523" i="4"/>
  <c r="I522" i="4"/>
  <c r="H522" i="4"/>
  <c r="I521" i="4"/>
  <c r="H521" i="4"/>
  <c r="H520" i="4"/>
  <c r="I520" i="4" l="1"/>
  <c r="I519" i="4" s="1"/>
  <c r="F458" i="4" l="1"/>
  <c r="F457" i="4"/>
  <c r="H460" i="4"/>
  <c r="I460" i="4" s="1"/>
  <c r="H459" i="4"/>
  <c r="I459" i="4" s="1"/>
  <c r="H458" i="4"/>
  <c r="H457" i="4"/>
  <c r="F450" i="4"/>
  <c r="I454" i="4"/>
  <c r="H454" i="4"/>
  <c r="I453" i="4"/>
  <c r="H453" i="4"/>
  <c r="I452" i="4"/>
  <c r="H452" i="4"/>
  <c r="I451" i="4"/>
  <c r="H451" i="4"/>
  <c r="H450" i="4"/>
  <c r="I457" i="4" l="1"/>
  <c r="I458" i="4"/>
  <c r="I450" i="4"/>
  <c r="I449" i="4" s="1"/>
  <c r="F558" i="4"/>
  <c r="H553" i="4"/>
  <c r="H554" i="4"/>
  <c r="I554" i="4" s="1"/>
  <c r="H555" i="4"/>
  <c r="I555" i="4" s="1"/>
  <c r="F553" i="4"/>
  <c r="H552" i="4"/>
  <c r="F552" i="4"/>
  <c r="F573" i="4"/>
  <c r="I573" i="4" s="1"/>
  <c r="F572" i="4"/>
  <c r="I572" i="4" s="1"/>
  <c r="F571" i="4"/>
  <c r="I571" i="4" s="1"/>
  <c r="F570" i="4"/>
  <c r="I570" i="4" s="1"/>
  <c r="F569" i="4"/>
  <c r="I569" i="4" s="1"/>
  <c r="F568" i="4"/>
  <c r="I568" i="4" s="1"/>
  <c r="F567" i="4"/>
  <c r="I567" i="4" s="1"/>
  <c r="F566" i="4"/>
  <c r="I566" i="4" s="1"/>
  <c r="F565" i="4"/>
  <c r="I565" i="4" s="1"/>
  <c r="F564" i="4"/>
  <c r="I553" i="4" l="1"/>
  <c r="I456" i="4"/>
  <c r="I552" i="4"/>
  <c r="I551" i="4" l="1"/>
  <c r="F303" i="4" l="1"/>
  <c r="D495" i="4"/>
  <c r="F309" i="4" l="1"/>
  <c r="F315" i="4"/>
  <c r="H316" i="4"/>
  <c r="H317" i="4"/>
  <c r="I317" i="4" s="1"/>
  <c r="H318" i="4"/>
  <c r="I318" i="4" s="1"/>
  <c r="H319" i="4"/>
  <c r="I319" i="4" s="1"/>
  <c r="F316" i="4"/>
  <c r="F289" i="4"/>
  <c r="F288" i="4"/>
  <c r="F285" i="4"/>
  <c r="F286" i="4"/>
  <c r="F284" i="4"/>
  <c r="H284" i="4"/>
  <c r="H285" i="4"/>
  <c r="H286" i="4"/>
  <c r="H287" i="4"/>
  <c r="I287" i="4" s="1"/>
  <c r="H288" i="4"/>
  <c r="H289" i="4"/>
  <c r="H290" i="4"/>
  <c r="I290" i="4" s="1"/>
  <c r="F291" i="4"/>
  <c r="H291" i="4"/>
  <c r="F292" i="4"/>
  <c r="H292" i="4"/>
  <c r="F293" i="4"/>
  <c r="H293" i="4"/>
  <c r="F294" i="4"/>
  <c r="H294" i="4"/>
  <c r="H281" i="4"/>
  <c r="I281" i="4" s="1"/>
  <c r="H280" i="4"/>
  <c r="I280" i="4" s="1"/>
  <c r="H279" i="4"/>
  <c r="I279" i="4" s="1"/>
  <c r="H278" i="4"/>
  <c r="I278" i="4" s="1"/>
  <c r="H277" i="4"/>
  <c r="I277" i="4" s="1"/>
  <c r="H276" i="4"/>
  <c r="I276" i="4" s="1"/>
  <c r="I275" i="4" l="1"/>
  <c r="I316" i="4"/>
  <c r="I292" i="4"/>
  <c r="I289" i="4"/>
  <c r="I288" i="4"/>
  <c r="I286" i="4"/>
  <c r="I284" i="4"/>
  <c r="I294" i="4"/>
  <c r="I293" i="4"/>
  <c r="I291" i="4"/>
  <c r="I285" i="4"/>
  <c r="F193" i="4" l="1"/>
  <c r="F187" i="4"/>
  <c r="H196" i="4"/>
  <c r="I196" i="4" s="1"/>
  <c r="H195" i="4"/>
  <c r="I195" i="4" s="1"/>
  <c r="H194" i="4"/>
  <c r="F194" i="4"/>
  <c r="H193" i="4"/>
  <c r="F341" i="2"/>
  <c r="F337" i="2"/>
  <c r="F365" i="2" s="1"/>
  <c r="D337" i="2"/>
  <c r="C337" i="2"/>
  <c r="F369" i="2" l="1"/>
  <c r="F373" i="2" s="1"/>
  <c r="I373" i="2" s="1"/>
  <c r="F378" i="2"/>
  <c r="I365" i="2"/>
  <c r="I194" i="4"/>
  <c r="I193" i="4"/>
  <c r="F247" i="4"/>
  <c r="F246" i="4"/>
  <c r="I246" i="4" s="1"/>
  <c r="F264" i="4"/>
  <c r="I264" i="4" s="1"/>
  <c r="F265" i="4"/>
  <c r="I265" i="4" s="1"/>
  <c r="F262" i="4"/>
  <c r="F257" i="4"/>
  <c r="I257" i="4" s="1"/>
  <c r="F256" i="4"/>
  <c r="I256" i="4" s="1"/>
  <c r="F255" i="4"/>
  <c r="I255" i="4" s="1"/>
  <c r="F382" i="2" l="1"/>
  <c r="F386" i="2" s="1"/>
  <c r="I378" i="2"/>
  <c r="I369" i="2"/>
  <c r="F248" i="4"/>
  <c r="I248" i="4" s="1"/>
  <c r="I247" i="4"/>
  <c r="F263" i="4"/>
  <c r="I263" i="4" s="1"/>
  <c r="I262" i="4"/>
  <c r="I192" i="4"/>
  <c r="I364" i="2" l="1"/>
  <c r="I386" i="2"/>
  <c r="I382" i="2"/>
  <c r="I245" i="4"/>
  <c r="I377" i="2" l="1"/>
  <c r="F241" i="4"/>
  <c r="I241" i="4" s="1"/>
  <c r="F239" i="4"/>
  <c r="I239" i="4" s="1"/>
  <c r="I242" i="4"/>
  <c r="I237" i="4" l="1"/>
  <c r="H152" i="4" l="1"/>
  <c r="I152" i="4" s="1"/>
  <c r="H234" i="4"/>
  <c r="I234" i="4" s="1"/>
  <c r="H235" i="4"/>
  <c r="I235" i="4" s="1"/>
  <c r="H142" i="4"/>
  <c r="I142" i="4" s="1"/>
  <c r="H141" i="4"/>
  <c r="I141" i="4" s="1"/>
  <c r="I233" i="4" l="1"/>
  <c r="I140" i="4"/>
  <c r="G337" i="2" s="1"/>
  <c r="D198" i="4" l="1"/>
  <c r="H199" i="4"/>
  <c r="I199" i="4" s="1"/>
  <c r="I198" i="4" s="1"/>
  <c r="F176" i="4" l="1"/>
  <c r="F188" i="4"/>
  <c r="F175" i="4"/>
  <c r="F166" i="4"/>
  <c r="F156" i="4"/>
  <c r="H190" i="4"/>
  <c r="I190" i="4" s="1"/>
  <c r="H189" i="4"/>
  <c r="I189" i="4" s="1"/>
  <c r="H188" i="4"/>
  <c r="H187" i="4"/>
  <c r="H184" i="4"/>
  <c r="I184" i="4" s="1"/>
  <c r="H183" i="4"/>
  <c r="I183" i="4" s="1"/>
  <c r="H182" i="4"/>
  <c r="F182" i="4"/>
  <c r="H181" i="4"/>
  <c r="F181" i="4"/>
  <c r="H178" i="4"/>
  <c r="I178" i="4" s="1"/>
  <c r="H177" i="4"/>
  <c r="I177" i="4" s="1"/>
  <c r="H176" i="4"/>
  <c r="H175" i="4"/>
  <c r="H172" i="4"/>
  <c r="I172" i="4" s="1"/>
  <c r="H171" i="4"/>
  <c r="I171" i="4" s="1"/>
  <c r="H170" i="4"/>
  <c r="I170" i="4" s="1"/>
  <c r="H169" i="4"/>
  <c r="I169" i="4" s="1"/>
  <c r="H168" i="4"/>
  <c r="I168" i="4" s="1"/>
  <c r="H167" i="4"/>
  <c r="I167" i="4" s="1"/>
  <c r="H166" i="4"/>
  <c r="H165" i="4"/>
  <c r="I165" i="4" s="1"/>
  <c r="H164" i="4"/>
  <c r="I164" i="4" s="1"/>
  <c r="H163" i="4"/>
  <c r="I163" i="4" s="1"/>
  <c r="I160" i="4"/>
  <c r="H160" i="4"/>
  <c r="I159" i="4"/>
  <c r="H159" i="4"/>
  <c r="I158" i="4"/>
  <c r="H158" i="4"/>
  <c r="I157" i="4"/>
  <c r="H157" i="4"/>
  <c r="H156" i="4"/>
  <c r="I166" i="4" l="1"/>
  <c r="I162" i="4" s="1"/>
  <c r="I188" i="4"/>
  <c r="I176" i="4"/>
  <c r="I187" i="4"/>
  <c r="I182" i="4"/>
  <c r="I175" i="4"/>
  <c r="I181" i="4"/>
  <c r="I156" i="4"/>
  <c r="I155" i="4" s="1"/>
  <c r="I186" i="4" l="1"/>
  <c r="I174" i="4"/>
  <c r="I180" i="4"/>
  <c r="D65" i="11" l="1"/>
  <c r="Q2" i="11"/>
  <c r="Q3" i="11"/>
  <c r="Q4" i="11"/>
  <c r="Q5" i="11"/>
  <c r="Q6" i="11"/>
  <c r="Q7" i="11"/>
  <c r="Q8" i="11"/>
  <c r="Q9" i="11"/>
  <c r="Q10" i="11"/>
  <c r="Q11" i="11"/>
  <c r="Q12" i="11"/>
  <c r="Q13" i="11"/>
  <c r="Q14" i="11"/>
  <c r="Q15" i="11"/>
  <c r="Q16" i="11"/>
  <c r="Q17" i="11"/>
  <c r="Q18" i="11"/>
  <c r="Q19" i="11"/>
  <c r="Q20" i="11"/>
  <c r="Q21" i="11"/>
  <c r="Q22" i="11"/>
  <c r="Q23" i="11"/>
  <c r="Q24" i="11"/>
  <c r="Q25" i="11"/>
  <c r="Q26" i="11"/>
  <c r="Q27" i="11"/>
  <c r="Q28" i="11"/>
  <c r="Q29" i="11"/>
  <c r="Q30" i="11"/>
  <c r="Q31" i="11"/>
  <c r="Q32" i="11"/>
  <c r="Q33" i="11"/>
  <c r="Q34" i="11"/>
  <c r="Q35" i="11"/>
  <c r="Q36" i="11"/>
  <c r="Q37" i="11"/>
  <c r="Q38" i="11"/>
  <c r="Q39" i="11"/>
  <c r="Q40" i="11"/>
  <c r="Q41" i="11"/>
  <c r="Q42" i="11"/>
  <c r="Q43" i="11"/>
  <c r="Q44" i="11"/>
  <c r="Q45" i="11"/>
  <c r="Q46" i="11"/>
  <c r="Q47" i="11"/>
  <c r="Q48" i="11"/>
  <c r="Q49" i="11"/>
  <c r="Q50" i="11"/>
  <c r="Q51" i="11"/>
  <c r="Q52" i="11"/>
  <c r="Q53" i="11"/>
  <c r="Q54" i="11"/>
  <c r="Q55" i="11"/>
  <c r="Q56" i="11"/>
  <c r="Q57" i="11"/>
  <c r="Q58" i="11"/>
  <c r="Q59" i="11"/>
  <c r="Q60" i="11"/>
  <c r="Q61" i="11"/>
  <c r="Q1" i="11"/>
  <c r="D77" i="11" s="1"/>
  <c r="D84" i="11"/>
  <c r="D83" i="11"/>
  <c r="D82" i="11"/>
  <c r="D81" i="11"/>
  <c r="D80" i="11"/>
  <c r="D79" i="11"/>
  <c r="D72" i="11" l="1"/>
  <c r="D73" i="11"/>
  <c r="D74" i="11"/>
  <c r="D75" i="11"/>
  <c r="D76" i="11"/>
  <c r="D69" i="11"/>
  <c r="D67" i="11"/>
  <c r="D68" i="11"/>
  <c r="D66" i="11"/>
  <c r="D70" i="11"/>
  <c r="D78" i="11"/>
  <c r="D71" i="11"/>
  <c r="D85" i="11" l="1"/>
  <c r="H151" i="4"/>
  <c r="I151" i="4" s="1"/>
  <c r="H150" i="4"/>
  <c r="I150" i="4" s="1"/>
  <c r="H149" i="4"/>
  <c r="H148" i="4"/>
  <c r="H147" i="4"/>
  <c r="H145" i="4"/>
  <c r="I145" i="4" s="1"/>
  <c r="I149" i="4" l="1"/>
  <c r="I148" i="4"/>
  <c r="I147" i="4"/>
  <c r="I144" i="4" l="1"/>
  <c r="O74" i="9"/>
  <c r="O73" i="9"/>
  <c r="Q73" i="9" s="1"/>
  <c r="O56" i="9"/>
  <c r="P56" i="9" s="1"/>
  <c r="Q56" i="9" s="1"/>
  <c r="R56" i="9" s="1"/>
  <c r="O57" i="9"/>
  <c r="O58" i="9"/>
  <c r="O59" i="9"/>
  <c r="P59" i="9" s="1"/>
  <c r="Q59" i="9" s="1"/>
  <c r="R59" i="9" s="1"/>
  <c r="O60" i="9"/>
  <c r="P60" i="9" s="1"/>
  <c r="Q60" i="9" s="1"/>
  <c r="R60" i="9" s="1"/>
  <c r="O61" i="9"/>
  <c r="P61" i="9" s="1"/>
  <c r="Q61" i="9" s="1"/>
  <c r="R61" i="9" s="1"/>
  <c r="O62" i="9"/>
  <c r="P62" i="9" s="1"/>
  <c r="Q62" i="9" s="1"/>
  <c r="R62" i="9" s="1"/>
  <c r="O63" i="9"/>
  <c r="O64" i="9"/>
  <c r="O55" i="9"/>
  <c r="O48" i="9"/>
  <c r="O49" i="9"/>
  <c r="P49" i="9" s="1"/>
  <c r="Q49" i="9" s="1"/>
  <c r="R49" i="9" s="1"/>
  <c r="O50" i="9"/>
  <c r="P50" i="9" s="1"/>
  <c r="Q50" i="9" s="1"/>
  <c r="R50" i="9" s="1"/>
  <c r="O51" i="9"/>
  <c r="O52" i="9"/>
  <c r="O53" i="9"/>
  <c r="O47" i="9"/>
  <c r="O40" i="9"/>
  <c r="P40" i="9" s="1"/>
  <c r="Q40" i="9" s="1"/>
  <c r="R40" i="9" s="1"/>
  <c r="O41" i="9"/>
  <c r="P41" i="9" s="1"/>
  <c r="Q41" i="9" s="1"/>
  <c r="R41" i="9" s="1"/>
  <c r="O39" i="9"/>
  <c r="O35" i="9"/>
  <c r="O36" i="9"/>
  <c r="O34" i="9"/>
  <c r="O15" i="9"/>
  <c r="O16" i="9"/>
  <c r="P16" i="9" s="1"/>
  <c r="O17" i="9"/>
  <c r="O18" i="9"/>
  <c r="O19" i="9"/>
  <c r="O20" i="9"/>
  <c r="O21" i="9"/>
  <c r="O22" i="9"/>
  <c r="O23" i="9"/>
  <c r="P23" i="9" s="1"/>
  <c r="O24" i="9"/>
  <c r="P24" i="9" s="1"/>
  <c r="O25" i="9"/>
  <c r="O26" i="9"/>
  <c r="O27" i="9"/>
  <c r="P27" i="9" s="1"/>
  <c r="O28" i="9"/>
  <c r="P28" i="9" s="1"/>
  <c r="O29" i="9"/>
  <c r="O30" i="9"/>
  <c r="O31" i="9"/>
  <c r="O14" i="9"/>
  <c r="O33" i="9"/>
  <c r="P33" i="9" s="1"/>
  <c r="Q33" i="9" s="1"/>
  <c r="R33" i="9" s="1"/>
  <c r="O37" i="9"/>
  <c r="O38" i="9"/>
  <c r="O42" i="9"/>
  <c r="P42" i="9" s="1"/>
  <c r="O43" i="9"/>
  <c r="O44" i="9"/>
  <c r="O45" i="9"/>
  <c r="P45" i="9" s="1"/>
  <c r="Q45" i="9" s="1"/>
  <c r="R45" i="9" s="1"/>
  <c r="O46" i="9"/>
  <c r="P46" i="9" s="1"/>
  <c r="Q46" i="9" s="1"/>
  <c r="R46" i="9" s="1"/>
  <c r="P48" i="9"/>
  <c r="Q48" i="9" s="1"/>
  <c r="R48" i="9" s="1"/>
  <c r="O54" i="9"/>
  <c r="O65" i="9"/>
  <c r="O66" i="9"/>
  <c r="P66" i="9" s="1"/>
  <c r="Q66" i="9" s="1"/>
  <c r="R66" i="9" s="1"/>
  <c r="O67" i="9"/>
  <c r="P67" i="9" s="1"/>
  <c r="Q67" i="9" s="1"/>
  <c r="R67" i="9" s="1"/>
  <c r="O68" i="9"/>
  <c r="P68" i="9" s="1"/>
  <c r="Q68" i="9" s="1"/>
  <c r="R68" i="9" s="1"/>
  <c r="O69" i="9"/>
  <c r="O70" i="9"/>
  <c r="O71" i="9"/>
  <c r="O72" i="9"/>
  <c r="P72" i="9" s="1"/>
  <c r="Q72" i="9" s="1"/>
  <c r="R72" i="9" s="1"/>
  <c r="Q74" i="9"/>
  <c r="P18" i="9"/>
  <c r="P30" i="9"/>
  <c r="P63" i="9"/>
  <c r="Q63" i="9" s="1"/>
  <c r="R63" i="9" s="1"/>
  <c r="N75" i="9"/>
  <c r="R15" i="9"/>
  <c r="R16" i="9"/>
  <c r="R17" i="9"/>
  <c r="R18" i="9"/>
  <c r="R19" i="9"/>
  <c r="R20" i="9"/>
  <c r="R21" i="9"/>
  <c r="R22" i="9"/>
  <c r="R23" i="9"/>
  <c r="R24" i="9"/>
  <c r="R25" i="9"/>
  <c r="R26" i="9"/>
  <c r="R27" i="9"/>
  <c r="R28" i="9"/>
  <c r="R29" i="9"/>
  <c r="R30" i="9"/>
  <c r="R31" i="9"/>
  <c r="R14" i="9"/>
  <c r="O32" i="9"/>
  <c r="P32" i="9" s="1"/>
  <c r="Q32" i="9" s="1"/>
  <c r="R32" i="9" s="1"/>
  <c r="P15" i="9"/>
  <c r="P17" i="9"/>
  <c r="P19" i="9"/>
  <c r="P20" i="9"/>
  <c r="P21" i="9"/>
  <c r="P22" i="9"/>
  <c r="P25" i="9"/>
  <c r="P26" i="9"/>
  <c r="P29" i="9"/>
  <c r="P31" i="9"/>
  <c r="P34" i="9"/>
  <c r="Q34" i="9" s="1"/>
  <c r="R34" i="9" s="1"/>
  <c r="P35" i="9"/>
  <c r="Q35" i="9" s="1"/>
  <c r="R35" i="9" s="1"/>
  <c r="P36" i="9"/>
  <c r="Q36" i="9" s="1"/>
  <c r="R36" i="9" s="1"/>
  <c r="P37" i="9"/>
  <c r="Q37" i="9" s="1"/>
  <c r="R37" i="9" s="1"/>
  <c r="P38" i="9"/>
  <c r="Q38" i="9" s="1"/>
  <c r="R38" i="9" s="1"/>
  <c r="P39" i="9"/>
  <c r="Q39" i="9" s="1"/>
  <c r="R39" i="9" s="1"/>
  <c r="P43" i="9"/>
  <c r="Q43" i="9" s="1"/>
  <c r="R43" i="9" s="1"/>
  <c r="P44" i="9"/>
  <c r="Q44" i="9" s="1"/>
  <c r="R44" i="9" s="1"/>
  <c r="P47" i="9"/>
  <c r="Q47" i="9" s="1"/>
  <c r="R47" i="9" s="1"/>
  <c r="P51" i="9"/>
  <c r="Q51" i="9" s="1"/>
  <c r="R51" i="9" s="1"/>
  <c r="P52" i="9"/>
  <c r="Q52" i="9" s="1"/>
  <c r="R52" i="9" s="1"/>
  <c r="P53" i="9"/>
  <c r="Q53" i="9" s="1"/>
  <c r="R53" i="9" s="1"/>
  <c r="P55" i="9"/>
  <c r="Q55" i="9" s="1"/>
  <c r="R55" i="9" s="1"/>
  <c r="P57" i="9"/>
  <c r="Q57" i="9" s="1"/>
  <c r="R57" i="9" s="1"/>
  <c r="P58" i="9"/>
  <c r="Q58" i="9" s="1"/>
  <c r="R58" i="9" s="1"/>
  <c r="P64" i="9"/>
  <c r="Q64" i="9" s="1"/>
  <c r="R64" i="9" s="1"/>
  <c r="P65" i="9"/>
  <c r="Q65" i="9" s="1"/>
  <c r="R65" i="9" s="1"/>
  <c r="P69" i="9"/>
  <c r="Q69" i="9" s="1"/>
  <c r="R69" i="9" s="1"/>
  <c r="P70" i="9"/>
  <c r="Q70" i="9" s="1"/>
  <c r="R70" i="9" s="1"/>
  <c r="P71" i="9"/>
  <c r="Q71" i="9" s="1"/>
  <c r="R71" i="9" s="1"/>
  <c r="I77" i="9"/>
  <c r="O75" i="9" l="1"/>
  <c r="Q42" i="9"/>
  <c r="R42" i="9" s="1"/>
  <c r="P54" i="9"/>
  <c r="Q54" i="9" s="1"/>
  <c r="I65" i="9"/>
  <c r="I33" i="9"/>
  <c r="I32" i="9"/>
  <c r="I38" i="9"/>
  <c r="I37" i="9"/>
  <c r="I68" i="9"/>
  <c r="I67" i="9"/>
  <c r="I66" i="9"/>
  <c r="I45" i="9"/>
  <c r="I46" i="9"/>
  <c r="I44" i="9"/>
  <c r="I43" i="9"/>
  <c r="I42" i="9"/>
  <c r="I54" i="9"/>
  <c r="R54" i="9" l="1"/>
  <c r="Q75" i="9"/>
  <c r="J66" i="9"/>
  <c r="I69" i="9"/>
  <c r="J69" i="9" s="1"/>
  <c r="I70" i="9"/>
  <c r="J70" i="9" s="1"/>
  <c r="I71" i="9"/>
  <c r="J71" i="9" s="1"/>
  <c r="I72" i="9"/>
  <c r="J72" i="9" s="1"/>
  <c r="J68" i="9"/>
  <c r="L65" i="9"/>
  <c r="L66" i="9"/>
  <c r="L67" i="9"/>
  <c r="L68" i="9"/>
  <c r="L69" i="9"/>
  <c r="L70" i="9"/>
  <c r="L71" i="9"/>
  <c r="L72" i="9"/>
  <c r="J55" i="9"/>
  <c r="J56" i="9"/>
  <c r="J57" i="9"/>
  <c r="J58" i="9"/>
  <c r="J59" i="9"/>
  <c r="J60" i="9"/>
  <c r="J61" i="9"/>
  <c r="J62" i="9"/>
  <c r="J63" i="9"/>
  <c r="J64" i="9"/>
  <c r="J67" i="9"/>
  <c r="J73" i="9"/>
  <c r="J74" i="9" l="1"/>
  <c r="L54" i="9"/>
  <c r="J54" i="9"/>
  <c r="J53" i="9"/>
  <c r="J52" i="9"/>
  <c r="J51" i="9"/>
  <c r="J50" i="9"/>
  <c r="J49" i="9"/>
  <c r="J48" i="9"/>
  <c r="J47" i="9"/>
  <c r="L46" i="9"/>
  <c r="J46" i="9"/>
  <c r="L45" i="9"/>
  <c r="J45" i="9"/>
  <c r="L44" i="9"/>
  <c r="J44" i="9"/>
  <c r="L43" i="9"/>
  <c r="J43" i="9"/>
  <c r="L42" i="9"/>
  <c r="J42" i="9"/>
  <c r="J41" i="9"/>
  <c r="J40" i="9"/>
  <c r="J39" i="9"/>
  <c r="L38" i="9"/>
  <c r="J38" i="9"/>
  <c r="L37" i="9"/>
  <c r="J37" i="9"/>
  <c r="J36" i="9"/>
  <c r="J35" i="9"/>
  <c r="J34" i="9"/>
  <c r="L33" i="9"/>
  <c r="J33" i="9"/>
  <c r="L32" i="9"/>
  <c r="J32" i="9"/>
  <c r="J31" i="9"/>
  <c r="J30" i="9"/>
  <c r="J29" i="9"/>
  <c r="J28" i="9"/>
  <c r="J27" i="9"/>
  <c r="J26" i="9"/>
  <c r="J25" i="9"/>
  <c r="J24" i="9"/>
  <c r="J23" i="9"/>
  <c r="J22" i="9"/>
  <c r="J21" i="9"/>
  <c r="J20" i="9"/>
  <c r="J19" i="9"/>
  <c r="J18" i="9"/>
  <c r="J17" i="9"/>
  <c r="J16" i="9"/>
  <c r="J15" i="9"/>
  <c r="P14" i="9"/>
  <c r="J14" i="9"/>
  <c r="L75" i="9" l="1"/>
  <c r="P75" i="9"/>
  <c r="F328" i="2" l="1"/>
  <c r="F324" i="2"/>
  <c r="F312" i="2"/>
  <c r="C275" i="2" l="1"/>
  <c r="C255" i="2"/>
  <c r="C251" i="2"/>
  <c r="C247" i="2"/>
  <c r="C243" i="2"/>
  <c r="C223" i="2"/>
  <c r="C239" i="2"/>
  <c r="F71" i="4"/>
  <c r="F70" i="4"/>
  <c r="H73" i="4"/>
  <c r="I73" i="4" s="1"/>
  <c r="H72" i="4"/>
  <c r="I72" i="4" s="1"/>
  <c r="H71" i="4"/>
  <c r="H70" i="4"/>
  <c r="I71" i="4" l="1"/>
  <c r="I70" i="4"/>
  <c r="F76" i="4"/>
  <c r="I76" i="4" s="1"/>
  <c r="F77" i="4"/>
  <c r="I77" i="4" s="1"/>
  <c r="I69" i="4" l="1"/>
  <c r="G243" i="2" s="1"/>
  <c r="F51" i="4"/>
  <c r="I51" i="4" s="1"/>
  <c r="F190" i="2" l="1"/>
  <c r="F194" i="2" s="1"/>
  <c r="F186" i="2" l="1"/>
  <c r="F281" i="2"/>
  <c r="F108" i="2"/>
  <c r="F112" i="2" s="1"/>
  <c r="F149" i="2" l="1"/>
  <c r="F153" i="2" s="1"/>
  <c r="F161" i="2"/>
  <c r="F116" i="2"/>
  <c r="F211" i="2"/>
  <c r="F169" i="2" l="1"/>
  <c r="F165" i="2"/>
  <c r="H138" i="4" l="1"/>
  <c r="I138" i="4" s="1"/>
  <c r="H137" i="4"/>
  <c r="I137" i="4" s="1"/>
  <c r="H136" i="4"/>
  <c r="I136" i="4" s="1"/>
  <c r="H135" i="4"/>
  <c r="I135" i="4" s="1"/>
  <c r="H134" i="4"/>
  <c r="I134" i="4" s="1"/>
  <c r="H133" i="4"/>
  <c r="I133" i="4" s="1"/>
  <c r="H132" i="4"/>
  <c r="I132" i="4" s="1"/>
  <c r="H131" i="4"/>
  <c r="I131" i="4" s="1"/>
  <c r="H130" i="4"/>
  <c r="I130" i="4" s="1"/>
  <c r="H129" i="4"/>
  <c r="I129" i="4" s="1"/>
  <c r="H128" i="4"/>
  <c r="I128" i="4" s="1"/>
  <c r="H127" i="4"/>
  <c r="I127" i="4" s="1"/>
  <c r="H126" i="4"/>
  <c r="I126" i="4" s="1"/>
  <c r="H125" i="4"/>
  <c r="I125" i="4" s="1"/>
  <c r="H115" i="4"/>
  <c r="I115" i="4" s="1"/>
  <c r="H114" i="4"/>
  <c r="I114" i="4" s="1"/>
  <c r="H110" i="4"/>
  <c r="H109" i="4"/>
  <c r="I109" i="4" s="1"/>
  <c r="H108" i="4"/>
  <c r="I108" i="4" s="1"/>
  <c r="H107" i="4"/>
  <c r="H106" i="4"/>
  <c r="F107" i="4"/>
  <c r="H93" i="4"/>
  <c r="I93" i="4" s="1"/>
  <c r="H102" i="4"/>
  <c r="I102" i="4" s="1"/>
  <c r="H91" i="4"/>
  <c r="H90" i="4"/>
  <c r="F90" i="4"/>
  <c r="H89" i="4"/>
  <c r="I89" i="4" s="1"/>
  <c r="H88" i="4"/>
  <c r="I88" i="4" s="1"/>
  <c r="H85" i="4"/>
  <c r="I85" i="4" s="1"/>
  <c r="H84" i="4"/>
  <c r="I84" i="4" s="1"/>
  <c r="H83" i="4"/>
  <c r="F83" i="4"/>
  <c r="F82" i="4"/>
  <c r="I82" i="4" s="1"/>
  <c r="F61" i="4"/>
  <c r="I61" i="4" s="1"/>
  <c r="I106" i="4" l="1"/>
  <c r="I110" i="4"/>
  <c r="I107" i="4"/>
  <c r="I91" i="4"/>
  <c r="I90" i="4"/>
  <c r="I83" i="4"/>
  <c r="I75" i="4"/>
  <c r="G247" i="2" s="1"/>
  <c r="I57" i="4"/>
  <c r="G239" i="2" s="1"/>
  <c r="I50" i="4"/>
  <c r="G223" i="2" s="1"/>
  <c r="I113" i="4"/>
  <c r="G275" i="2" s="1"/>
  <c r="I81" i="4" l="1"/>
  <c r="G251" i="2" s="1"/>
  <c r="I87" i="4"/>
  <c r="G255" i="2" l="1"/>
  <c r="H497" i="4" l="1"/>
  <c r="I497" i="4" s="1"/>
  <c r="H498" i="4"/>
  <c r="I498" i="4" s="1"/>
  <c r="H499" i="4"/>
  <c r="I499" i="4" s="1"/>
  <c r="H500" i="4"/>
  <c r="I500" i="4" s="1"/>
  <c r="H501" i="4"/>
  <c r="I501" i="4" s="1"/>
  <c r="H502" i="4"/>
  <c r="I502" i="4" s="1"/>
  <c r="H503" i="4"/>
  <c r="I503" i="4" s="1"/>
  <c r="H504" i="4"/>
  <c r="I504" i="4" s="1"/>
  <c r="H505" i="4"/>
  <c r="I505" i="4" s="1"/>
  <c r="H506" i="4"/>
  <c r="I506" i="4" s="1"/>
  <c r="H507" i="4"/>
  <c r="I507" i="4" s="1"/>
  <c r="H508" i="4"/>
  <c r="I508" i="4" s="1"/>
  <c r="H509" i="4"/>
  <c r="I509" i="4" s="1"/>
  <c r="H510" i="4"/>
  <c r="I510" i="4" s="1"/>
  <c r="H511" i="4"/>
  <c r="I511" i="4" s="1"/>
  <c r="H512" i="4"/>
  <c r="I512" i="4" s="1"/>
  <c r="H513" i="4"/>
  <c r="I513" i="4" s="1"/>
  <c r="H514" i="4"/>
  <c r="I514" i="4" s="1"/>
  <c r="H6" i="12" l="1"/>
  <c r="H7" i="12"/>
  <c r="H8" i="12"/>
  <c r="H9" i="12"/>
  <c r="H5" i="12"/>
  <c r="G6" i="12"/>
  <c r="G7" i="12"/>
  <c r="G8" i="12"/>
  <c r="G9" i="12"/>
  <c r="G5" i="12"/>
  <c r="H11" i="12" l="1"/>
  <c r="H13" i="12" s="1"/>
  <c r="G11" i="12"/>
  <c r="G13" i="12" s="1"/>
  <c r="H15" i="12" s="1"/>
  <c r="N8" i="10" l="1"/>
  <c r="N9" i="10"/>
  <c r="N10" i="10"/>
  <c r="N11" i="10"/>
  <c r="N12" i="10"/>
  <c r="N13" i="10"/>
  <c r="M7" i="10"/>
  <c r="L7" i="10"/>
  <c r="K7" i="10"/>
  <c r="J7" i="10"/>
  <c r="I7" i="10"/>
  <c r="H7" i="10"/>
  <c r="G7" i="10"/>
  <c r="F7" i="10"/>
  <c r="E7" i="10"/>
  <c r="D7" i="10"/>
  <c r="C7" i="10"/>
  <c r="N7" i="10" s="1"/>
  <c r="R15" i="3" l="1"/>
  <c r="A15" i="3"/>
  <c r="B15" i="3"/>
  <c r="R11" i="3" l="1"/>
  <c r="R12" i="3"/>
  <c r="R13" i="3"/>
  <c r="R26" i="3" l="1"/>
  <c r="H687" i="4" l="1"/>
  <c r="I687" i="4" s="1"/>
  <c r="H688" i="4"/>
  <c r="I688" i="4" s="1"/>
  <c r="H686" i="4"/>
  <c r="I686" i="4" s="1"/>
  <c r="H685" i="4"/>
  <c r="I685" i="4" s="1"/>
  <c r="I684" i="4" l="1"/>
  <c r="H426" i="4" l="1"/>
  <c r="I426" i="4" s="1"/>
  <c r="I425" i="4" s="1"/>
  <c r="H315" i="4" l="1"/>
  <c r="I315" i="4" s="1"/>
  <c r="I314" i="4" s="1"/>
  <c r="I283" i="4" l="1"/>
  <c r="B25" i="3"/>
  <c r="B26" i="3"/>
  <c r="A26" i="3"/>
  <c r="A25" i="3"/>
  <c r="B17" i="3"/>
  <c r="A17" i="3"/>
  <c r="C24" i="6" l="1"/>
  <c r="C36" i="6" s="1"/>
  <c r="H174" i="2" l="1"/>
  <c r="I174" i="2" s="1"/>
  <c r="H145" i="2"/>
  <c r="I145" i="2" s="1"/>
  <c r="H169" i="2"/>
  <c r="I169" i="2" s="1"/>
  <c r="H161" i="2"/>
  <c r="I161" i="2" s="1"/>
  <c r="H153" i="2"/>
  <c r="I153" i="2" s="1"/>
  <c r="H165" i="2"/>
  <c r="I165" i="2" s="1"/>
  <c r="H157" i="2"/>
  <c r="I157" i="2" s="1"/>
  <c r="H149" i="2"/>
  <c r="I149" i="2" s="1"/>
  <c r="H133" i="2"/>
  <c r="I133" i="2" s="1"/>
  <c r="H182" i="2"/>
  <c r="I182" i="2" s="1"/>
  <c r="H60" i="2"/>
  <c r="I60" i="2" s="1"/>
  <c r="H80" i="2"/>
  <c r="I80" i="2" s="1"/>
  <c r="H84" i="2"/>
  <c r="I84" i="2" s="1"/>
  <c r="H88" i="2"/>
  <c r="I88" i="2" s="1"/>
  <c r="H96" i="2"/>
  <c r="I96" i="2" s="1"/>
  <c r="H64" i="2"/>
  <c r="I64" i="2" s="1"/>
  <c r="H68" i="2"/>
  <c r="I68" i="2" s="1"/>
  <c r="H76" i="2"/>
  <c r="I76" i="2" s="1"/>
  <c r="H92" i="2"/>
  <c r="I92" i="2" s="1"/>
  <c r="H72" i="2"/>
  <c r="I72" i="2" s="1"/>
  <c r="H337" i="2"/>
  <c r="I337" i="2" s="1"/>
  <c r="H316" i="2"/>
  <c r="H341" i="2"/>
  <c r="H275" i="2"/>
  <c r="I275" i="2" s="1"/>
  <c r="H211" i="2"/>
  <c r="I211" i="2" s="1"/>
  <c r="H137" i="2"/>
  <c r="I137" i="2" s="1"/>
  <c r="H186" i="2"/>
  <c r="I186" i="2" s="1"/>
  <c r="H223" i="2"/>
  <c r="I223" i="2" s="1"/>
  <c r="H328" i="2"/>
  <c r="I328" i="2" s="1"/>
  <c r="H304" i="2"/>
  <c r="I304" i="2" s="1"/>
  <c r="H285" i="2"/>
  <c r="I285" i="2" s="1"/>
  <c r="H239" i="2"/>
  <c r="I239" i="2" s="1"/>
  <c r="H215" i="2"/>
  <c r="I215" i="2" s="1"/>
  <c r="H141" i="2"/>
  <c r="I141" i="2" s="1"/>
  <c r="H190" i="2"/>
  <c r="I190" i="2" s="1"/>
  <c r="H227" i="2"/>
  <c r="I227" i="2" s="1"/>
  <c r="H332" i="2"/>
  <c r="H289" i="2"/>
  <c r="I289" i="2" s="1"/>
  <c r="H243" i="2"/>
  <c r="I243" i="2" s="1"/>
  <c r="H125" i="2"/>
  <c r="I125" i="2" s="1"/>
  <c r="H231" i="2"/>
  <c r="I231" i="2" s="1"/>
  <c r="H324" i="2"/>
  <c r="I324" i="2" s="1"/>
  <c r="H293" i="2"/>
  <c r="I293" i="2" s="1"/>
  <c r="H247" i="2"/>
  <c r="I247" i="2" s="1"/>
  <c r="H112" i="2"/>
  <c r="I112" i="2" s="1"/>
  <c r="H235" i="2"/>
  <c r="I235" i="2" s="1"/>
  <c r="H312" i="2"/>
  <c r="I312" i="2" s="1"/>
  <c r="H255" i="2"/>
  <c r="I255" i="2" s="1"/>
  <c r="H120" i="2"/>
  <c r="I120" i="2" s="1"/>
  <c r="H350" i="2"/>
  <c r="H194" i="2"/>
  <c r="I194" i="2" s="1"/>
  <c r="H345" i="2"/>
  <c r="H129" i="2"/>
  <c r="I129" i="2" s="1"/>
  <c r="H297" i="2"/>
  <c r="I297" i="2" s="1"/>
  <c r="H108" i="2"/>
  <c r="I108" i="2" s="1"/>
  <c r="H178" i="2"/>
  <c r="I178" i="2" s="1"/>
  <c r="H207" i="2"/>
  <c r="I207" i="2" s="1"/>
  <c r="H308" i="2"/>
  <c r="I308" i="2" s="1"/>
  <c r="H251" i="2"/>
  <c r="I251" i="2" s="1"/>
  <c r="H116" i="2"/>
  <c r="I116" i="2" s="1"/>
  <c r="H281" i="2"/>
  <c r="I281" i="2" s="1"/>
  <c r="I124" i="2" l="1"/>
  <c r="I280" i="2"/>
  <c r="I222" i="2"/>
  <c r="I107" i="2"/>
  <c r="I30" i="2" l="1"/>
  <c r="H700" i="4" l="1"/>
  <c r="H691" i="4"/>
  <c r="H783" i="4"/>
  <c r="H602" i="4"/>
  <c r="R14" i="3" l="1"/>
  <c r="R16" i="3"/>
  <c r="R17" i="3"/>
  <c r="R18" i="3"/>
  <c r="R19" i="3"/>
  <c r="R20" i="3"/>
  <c r="R21" i="3"/>
  <c r="R22" i="3"/>
  <c r="R23" i="3"/>
  <c r="R24" i="3"/>
  <c r="R25" i="3"/>
  <c r="A13" i="3"/>
  <c r="I783" i="4" l="1"/>
  <c r="F691" i="4"/>
  <c r="I702" i="4" l="1"/>
  <c r="I691" i="4"/>
  <c r="F700" i="4"/>
  <c r="I700" i="4" s="1"/>
  <c r="I690" i="4" l="1"/>
  <c r="D702" i="4" l="1"/>
  <c r="D601" i="4"/>
  <c r="I602" i="4"/>
  <c r="D563" i="4"/>
  <c r="D425" i="4"/>
  <c r="D388" i="4"/>
  <c r="D321" i="4"/>
  <c r="I601" i="4" l="1"/>
  <c r="H564" i="4"/>
  <c r="I564" i="4" s="1"/>
  <c r="I563" i="4" s="1"/>
  <c r="H496" i="4" l="1"/>
  <c r="I496" i="4" s="1"/>
  <c r="I495" i="4" s="1"/>
  <c r="A14" i="3"/>
  <c r="H389" i="4" l="1"/>
  <c r="I389" i="4" s="1"/>
  <c r="I388" i="4" s="1"/>
  <c r="C24" i="7" l="1"/>
  <c r="C35" i="7" s="1"/>
  <c r="C14" i="7"/>
  <c r="C14" i="6"/>
  <c r="H320" i="2" l="1"/>
  <c r="H203" i="2"/>
  <c r="I203" i="2" s="1"/>
  <c r="H199" i="2"/>
  <c r="I199" i="2" s="1"/>
  <c r="O14" i="2" l="1"/>
  <c r="I173" i="2"/>
  <c r="I106" i="2" s="1"/>
  <c r="I18" i="2" s="1"/>
  <c r="K18" i="2" s="1"/>
  <c r="I42" i="2"/>
  <c r="I24" i="2"/>
  <c r="I44" i="2" l="1"/>
  <c r="P25" i="3" s="1"/>
  <c r="I26" i="2"/>
  <c r="I50" i="2"/>
  <c r="H56" i="2" l="1"/>
  <c r="I56" i="2" s="1"/>
  <c r="B24" i="3"/>
  <c r="A24" i="3"/>
  <c r="B23" i="3"/>
  <c r="A23" i="3"/>
  <c r="B22" i="3"/>
  <c r="A22" i="3"/>
  <c r="B21" i="3"/>
  <c r="A21" i="3"/>
  <c r="B20" i="3"/>
  <c r="A20" i="3"/>
  <c r="B19" i="3"/>
  <c r="A19" i="3"/>
  <c r="B18" i="3"/>
  <c r="A18" i="3"/>
  <c r="B16" i="3"/>
  <c r="A16" i="3"/>
  <c r="B14" i="3"/>
  <c r="B13" i="3"/>
  <c r="A12" i="3"/>
  <c r="A11" i="3"/>
  <c r="A10" i="3"/>
  <c r="I55" i="2" l="1"/>
  <c r="I14" i="2" s="1"/>
  <c r="H599" i="4" l="1"/>
  <c r="I599" i="4" s="1"/>
  <c r="H598" i="4"/>
  <c r="I598" i="4" s="1"/>
  <c r="H597" i="4"/>
  <c r="I597" i="4" s="1"/>
  <c r="H596" i="4"/>
  <c r="I596" i="4" s="1"/>
  <c r="H595" i="4"/>
  <c r="I595" i="4" s="1"/>
  <c r="H594" i="4"/>
  <c r="I594" i="4" s="1"/>
  <c r="H593" i="4"/>
  <c r="I593" i="4" s="1"/>
  <c r="H592" i="4"/>
  <c r="I592" i="4" s="1"/>
  <c r="H591" i="4"/>
  <c r="I591" i="4" s="1"/>
  <c r="H588" i="4"/>
  <c r="I588" i="4" s="1"/>
  <c r="H587" i="4"/>
  <c r="I587" i="4" s="1"/>
  <c r="H586" i="4"/>
  <c r="I586" i="4" s="1"/>
  <c r="H585" i="4"/>
  <c r="I585" i="4" s="1"/>
  <c r="H584" i="4"/>
  <c r="I584" i="4" s="1"/>
  <c r="H583" i="4"/>
  <c r="I583" i="4" s="1"/>
  <c r="H582" i="4"/>
  <c r="I582" i="4" s="1"/>
  <c r="H581" i="4"/>
  <c r="I581" i="4" s="1"/>
  <c r="H580" i="4"/>
  <c r="F580" i="4"/>
  <c r="H579" i="4"/>
  <c r="F579" i="4"/>
  <c r="H561" i="4"/>
  <c r="I561" i="4" s="1"/>
  <c r="H560" i="4"/>
  <c r="I560" i="4" s="1"/>
  <c r="H559" i="4"/>
  <c r="I559" i="4" s="1"/>
  <c r="H558" i="4"/>
  <c r="H423" i="4"/>
  <c r="I423" i="4" s="1"/>
  <c r="H422" i="4"/>
  <c r="I422" i="4" s="1"/>
  <c r="H421" i="4"/>
  <c r="I421" i="4" s="1"/>
  <c r="H420" i="4"/>
  <c r="F420" i="4"/>
  <c r="H312" i="4"/>
  <c r="I312" i="4" s="1"/>
  <c r="H311" i="4"/>
  <c r="I311" i="4" s="1"/>
  <c r="H310" i="4"/>
  <c r="I310" i="4" s="1"/>
  <c r="H309" i="4"/>
  <c r="H306" i="4"/>
  <c r="I306" i="4" s="1"/>
  <c r="H305" i="4"/>
  <c r="I305" i="4" s="1"/>
  <c r="H304" i="4"/>
  <c r="I304" i="4" s="1"/>
  <c r="H303" i="4"/>
  <c r="H300" i="4"/>
  <c r="I300" i="4" s="1"/>
  <c r="H299" i="4"/>
  <c r="I299" i="4" s="1"/>
  <c r="H298" i="4"/>
  <c r="I298" i="4" s="1"/>
  <c r="H297" i="4"/>
  <c r="F297" i="4"/>
  <c r="I309" i="4" l="1"/>
  <c r="I558" i="4"/>
  <c r="I297" i="4"/>
  <c r="I579" i="4"/>
  <c r="I420" i="4"/>
  <c r="I303" i="4"/>
  <c r="I580" i="4"/>
  <c r="I590" i="4"/>
  <c r="I296" i="4" l="1"/>
  <c r="I557" i="4"/>
  <c r="I308" i="4"/>
  <c r="I578" i="4"/>
  <c r="I302" i="4"/>
  <c r="I419" i="4"/>
  <c r="I48" i="2" l="1"/>
  <c r="D33" i="7"/>
  <c r="G102" i="2"/>
  <c r="H102" i="2" s="1"/>
  <c r="P17" i="3"/>
  <c r="I46" i="2"/>
  <c r="B11" i="3"/>
  <c r="R10" i="3"/>
  <c r="B12" i="3"/>
  <c r="B10" i="3"/>
  <c r="I32" i="2" l="1"/>
  <c r="I40" i="2"/>
  <c r="P15" i="3"/>
  <c r="D26" i="7"/>
  <c r="D25" i="7"/>
  <c r="D27" i="7"/>
  <c r="I52" i="2"/>
  <c r="I36" i="2"/>
  <c r="P21" i="3"/>
  <c r="I102" i="2"/>
  <c r="N14" i="2" s="1"/>
  <c r="P23" i="3"/>
  <c r="I38" i="2" l="1"/>
  <c r="P20" i="3" s="1"/>
  <c r="P16" i="3"/>
  <c r="P22" i="3"/>
  <c r="V22" i="3" s="1"/>
  <c r="AB15" i="3"/>
  <c r="Y15" i="3"/>
  <c r="AC15" i="3"/>
  <c r="Z15" i="3"/>
  <c r="W15" i="3"/>
  <c r="AE15" i="3"/>
  <c r="U15" i="3"/>
  <c r="V15" i="3"/>
  <c r="X15" i="3"/>
  <c r="AD15" i="3"/>
  <c r="T15" i="3"/>
  <c r="AA15" i="3"/>
  <c r="D24" i="7"/>
  <c r="D30" i="7" s="1"/>
  <c r="D22" i="7" s="1"/>
  <c r="D17" i="7" s="1"/>
  <c r="P14" i="3"/>
  <c r="P26" i="3"/>
  <c r="P19" i="3"/>
  <c r="T21" i="3"/>
  <c r="AA21" i="3"/>
  <c r="AD21" i="3"/>
  <c r="AC21" i="3"/>
  <c r="AB21" i="3"/>
  <c r="W21" i="3"/>
  <c r="Z21" i="3"/>
  <c r="Y21" i="3"/>
  <c r="X21" i="3"/>
  <c r="V21" i="3"/>
  <c r="U21" i="3"/>
  <c r="AE21" i="3"/>
  <c r="T25" i="3"/>
  <c r="W25" i="3"/>
  <c r="Z25" i="3"/>
  <c r="AC25" i="3"/>
  <c r="AB25" i="3"/>
  <c r="V25" i="3"/>
  <c r="Y25" i="3"/>
  <c r="X25" i="3"/>
  <c r="AE25" i="3"/>
  <c r="U25" i="3"/>
  <c r="AA25" i="3"/>
  <c r="AD25" i="3"/>
  <c r="T23" i="3"/>
  <c r="AE23" i="3"/>
  <c r="U23" i="3"/>
  <c r="AB23" i="3"/>
  <c r="AA23" i="3"/>
  <c r="AD23" i="3"/>
  <c r="X23" i="3"/>
  <c r="W23" i="3"/>
  <c r="Z23" i="3"/>
  <c r="AC23" i="3"/>
  <c r="V23" i="3"/>
  <c r="Y23" i="3"/>
  <c r="I101" i="2"/>
  <c r="P24" i="3"/>
  <c r="Y20" i="3" l="1"/>
  <c r="AD20" i="3"/>
  <c r="X20" i="3"/>
  <c r="T20" i="3"/>
  <c r="V20" i="3"/>
  <c r="AC20" i="3"/>
  <c r="AE20" i="3"/>
  <c r="U20" i="3"/>
  <c r="W20" i="3"/>
  <c r="AB20" i="3"/>
  <c r="Z20" i="3"/>
  <c r="AA20" i="3"/>
  <c r="I28" i="2"/>
  <c r="I34" i="2"/>
  <c r="P18" i="3" s="1"/>
  <c r="I16" i="2"/>
  <c r="T22" i="3"/>
  <c r="AE22" i="3"/>
  <c r="AC22" i="3"/>
  <c r="Z22" i="3"/>
  <c r="AD22" i="3"/>
  <c r="X22" i="3"/>
  <c r="W22" i="3"/>
  <c r="Y22" i="3"/>
  <c r="AB22" i="3"/>
  <c r="AA22" i="3"/>
  <c r="U22" i="3"/>
  <c r="D16" i="7"/>
  <c r="D19" i="7"/>
  <c r="D15" i="7"/>
  <c r="D18" i="7"/>
  <c r="Y26" i="3"/>
  <c r="AE26" i="3"/>
  <c r="T26" i="3"/>
  <c r="Z26" i="3"/>
  <c r="U26" i="3"/>
  <c r="AA26" i="3"/>
  <c r="V26" i="3"/>
  <c r="AB26" i="3"/>
  <c r="W26" i="3"/>
  <c r="AC26" i="3"/>
  <c r="X26" i="3"/>
  <c r="AD26" i="3"/>
  <c r="T14" i="3"/>
  <c r="AB14" i="3"/>
  <c r="AE14" i="3"/>
  <c r="W14" i="3"/>
  <c r="Z14" i="3"/>
  <c r="AC14" i="3"/>
  <c r="U14" i="3"/>
  <c r="X14" i="3"/>
  <c r="AA14" i="3"/>
  <c r="AD14" i="3"/>
  <c r="V14" i="3"/>
  <c r="Y14" i="3"/>
  <c r="AE19" i="3"/>
  <c r="Z19" i="3"/>
  <c r="Y19" i="3"/>
  <c r="AD19" i="3"/>
  <c r="X19" i="3"/>
  <c r="AC19" i="3"/>
  <c r="T19" i="3"/>
  <c r="AA19" i="3"/>
  <c r="W19" i="3"/>
  <c r="V19" i="3"/>
  <c r="U19" i="3"/>
  <c r="AB19" i="3"/>
  <c r="T16" i="3"/>
  <c r="W16" i="3"/>
  <c r="Z16" i="3"/>
  <c r="Y16" i="3"/>
  <c r="V16" i="3"/>
  <c r="U16" i="3"/>
  <c r="AE16" i="3"/>
  <c r="AB16" i="3"/>
  <c r="AA16" i="3"/>
  <c r="AD16" i="3"/>
  <c r="AC16" i="3"/>
  <c r="X16" i="3"/>
  <c r="T17" i="3"/>
  <c r="AA17" i="3"/>
  <c r="AD17" i="3"/>
  <c r="AC17" i="3"/>
  <c r="AB17" i="3"/>
  <c r="W17" i="3"/>
  <c r="Z17" i="3"/>
  <c r="Y17" i="3"/>
  <c r="X17" i="3"/>
  <c r="V17" i="3"/>
  <c r="U17" i="3"/>
  <c r="AE17" i="3"/>
  <c r="T24" i="3"/>
  <c r="V24" i="3"/>
  <c r="Y24" i="3"/>
  <c r="AE24" i="3"/>
  <c r="U24" i="3"/>
  <c r="AA24" i="3"/>
  <c r="AD24" i="3"/>
  <c r="AB24" i="3"/>
  <c r="W24" i="3"/>
  <c r="Z24" i="3"/>
  <c r="AC24" i="3"/>
  <c r="X24" i="3"/>
  <c r="P10" i="3"/>
  <c r="P11" i="3" l="1"/>
  <c r="AC11" i="3" s="1"/>
  <c r="D14" i="7"/>
  <c r="D12" i="7" s="1"/>
  <c r="AC18" i="3"/>
  <c r="U18" i="3"/>
  <c r="W18" i="3"/>
  <c r="X18" i="3"/>
  <c r="AB18" i="3"/>
  <c r="T18" i="3"/>
  <c r="Z18" i="3"/>
  <c r="AE18" i="3"/>
  <c r="Y18" i="3"/>
  <c r="AA18" i="3"/>
  <c r="AD18" i="3"/>
  <c r="V18" i="3"/>
  <c r="T13" i="3"/>
  <c r="X13" i="3"/>
  <c r="AB13" i="3"/>
  <c r="Y13" i="3"/>
  <c r="AC13" i="3"/>
  <c r="AD13" i="3"/>
  <c r="U13" i="3"/>
  <c r="AE13" i="3"/>
  <c r="V13" i="3"/>
  <c r="Z13" i="3"/>
  <c r="AA13" i="3"/>
  <c r="W13" i="3"/>
  <c r="U10" i="3"/>
  <c r="Y10" i="3"/>
  <c r="AC10" i="3"/>
  <c r="V10" i="3"/>
  <c r="Z10" i="3"/>
  <c r="AD10" i="3"/>
  <c r="W10" i="3"/>
  <c r="AA10" i="3"/>
  <c r="AE10" i="3"/>
  <c r="X10" i="3"/>
  <c r="AB10" i="3"/>
  <c r="T10" i="3"/>
  <c r="AA11" i="3" l="1"/>
  <c r="Y11" i="3"/>
  <c r="AD11" i="3"/>
  <c r="AB11" i="3"/>
  <c r="W11" i="3"/>
  <c r="U11" i="3"/>
  <c r="Z11" i="3"/>
  <c r="V11" i="3"/>
  <c r="X11" i="3"/>
  <c r="T11" i="3"/>
  <c r="AE11" i="3"/>
  <c r="I75" i="9" l="1"/>
  <c r="J65" i="9"/>
  <c r="J75" i="9"/>
  <c r="J79" i="9" l="1"/>
  <c r="I79" i="9"/>
  <c r="F345" i="2"/>
  <c r="I350" i="2"/>
  <c r="I349" i="2" s="1"/>
  <c r="F332" i="2"/>
  <c r="I332" i="2" s="1"/>
  <c r="F316" i="2"/>
  <c r="I316" i="2" s="1"/>
  <c r="I345" i="2" l="1"/>
  <c r="F360" i="2"/>
  <c r="I360" i="2" s="1"/>
  <c r="I355" i="2" s="1"/>
  <c r="F320" i="2"/>
  <c r="I320" i="2" s="1"/>
  <c r="I303" i="2" s="1"/>
  <c r="I341" i="2"/>
  <c r="I336" i="2" l="1"/>
  <c r="I22" i="2"/>
  <c r="I302" i="2" l="1"/>
  <c r="I20" i="2" s="1"/>
  <c r="I54" i="2" s="1"/>
  <c r="I2029" i="2" s="1"/>
  <c r="I2031" i="2" s="1"/>
  <c r="M54" i="2" l="1"/>
  <c r="N54" i="2"/>
  <c r="P14" i="2"/>
  <c r="K302" i="2"/>
  <c r="K106" i="2" l="1"/>
  <c r="P12" i="3" l="1"/>
  <c r="M55" i="2"/>
  <c r="K102" i="2" l="1"/>
  <c r="P42" i="3"/>
  <c r="K55" i="2"/>
  <c r="P35" i="3"/>
  <c r="AE12" i="3"/>
  <c r="O36" i="3" s="1"/>
  <c r="T12" i="3"/>
  <c r="D36" i="3" s="1"/>
  <c r="W12" i="3"/>
  <c r="G36" i="3" s="1"/>
  <c r="U12" i="3"/>
  <c r="E36" i="3" s="1"/>
  <c r="P36" i="3"/>
  <c r="C12" i="3" s="1"/>
  <c r="AC12" i="3"/>
  <c r="M36" i="3" s="1"/>
  <c r="Z12" i="3"/>
  <c r="J36" i="3" s="1"/>
  <c r="AD12" i="3"/>
  <c r="N36" i="3" s="1"/>
  <c r="AB12" i="3"/>
  <c r="L36" i="3" s="1"/>
  <c r="AA12" i="3"/>
  <c r="K36" i="3" s="1"/>
  <c r="V12" i="3"/>
  <c r="F36" i="3" s="1"/>
  <c r="X12" i="3"/>
  <c r="H36" i="3" s="1"/>
  <c r="Y12" i="3"/>
  <c r="I36" i="3" s="1"/>
  <c r="F35" i="3" l="1"/>
  <c r="K35" i="3"/>
  <c r="G35" i="3"/>
  <c r="L35" i="3"/>
  <c r="I35" i="3"/>
  <c r="E35" i="3"/>
  <c r="N35" i="3"/>
  <c r="J35" i="3"/>
  <c r="O35" i="3"/>
  <c r="H35" i="3"/>
  <c r="M35" i="3"/>
  <c r="D38" i="3"/>
  <c r="E38" i="3" s="1"/>
  <c r="F38" i="3" s="1"/>
  <c r="G38" i="3" s="1"/>
  <c r="H38" i="3" s="1"/>
  <c r="I38" i="3" s="1"/>
  <c r="J38" i="3" s="1"/>
  <c r="K38" i="3" s="1"/>
  <c r="L38" i="3" s="1"/>
  <c r="M38" i="3" s="1"/>
  <c r="N38" i="3" s="1"/>
  <c r="O38" i="3" s="1"/>
  <c r="D35" i="3"/>
  <c r="D37" i="3" s="1"/>
  <c r="C18" i="3"/>
  <c r="C21" i="3"/>
  <c r="C22" i="3"/>
  <c r="C17" i="3"/>
  <c r="C10" i="3"/>
  <c r="C25" i="3"/>
  <c r="C11" i="3"/>
  <c r="C14" i="3"/>
  <c r="C20" i="3"/>
  <c r="C23" i="3"/>
  <c r="C24" i="3"/>
  <c r="C19" i="3"/>
  <c r="C16" i="3"/>
  <c r="C15" i="3"/>
  <c r="C26" i="3"/>
  <c r="D34" i="6"/>
  <c r="E37" i="3" l="1"/>
  <c r="F37" i="3" s="1"/>
  <c r="G37" i="3" s="1"/>
  <c r="H37" i="3" s="1"/>
  <c r="I37" i="3" s="1"/>
  <c r="J37" i="3" s="1"/>
  <c r="K37" i="3" s="1"/>
  <c r="L37" i="3" s="1"/>
  <c r="M37" i="3" s="1"/>
  <c r="N37" i="3" s="1"/>
  <c r="O37" i="3" s="1"/>
  <c r="D27" i="6"/>
  <c r="D28" i="6"/>
  <c r="D26" i="6"/>
  <c r="D25" i="6"/>
  <c r="D24" i="6" l="1"/>
  <c r="D31" i="6" s="1"/>
  <c r="D22" i="6" s="1"/>
  <c r="D16" i="6" s="1"/>
  <c r="D18" i="6" l="1"/>
  <c r="D17" i="6"/>
  <c r="D19" i="6"/>
  <c r="D15" i="6"/>
  <c r="D14" i="6" s="1"/>
  <c r="D12" i="6" s="1"/>
  <c r="G13" i="6" s="1"/>
  <c r="G12" i="6" l="1"/>
</calcChain>
</file>

<file path=xl/connections.xml><?xml version="1.0" encoding="utf-8"?>
<connections xmlns="http://schemas.openxmlformats.org/spreadsheetml/2006/main">
  <connection id="1" name="INTERCEPTOR A" type="6" refreshedVersion="4" background="1" saveData="1">
    <textPr codePage="850" sourceFile="Z:\Itambacuri\DIMENSIONAMENTO\ESGINI\INTERCEPTOR A.ege" delimited="0" decimal="," thousands=".">
      <textFields count="26">
        <textField/>
        <textField position="8"/>
        <textField position="14"/>
        <textField position="21"/>
        <textField position="29"/>
        <textField position="38"/>
        <textField position="47"/>
        <textField position="56"/>
        <textField position="61"/>
        <textField position="69"/>
        <textField position="72"/>
        <textField position="78"/>
        <textField position="86"/>
        <textField position="94"/>
        <textField position="102"/>
        <textField position="107"/>
        <textField position="110"/>
        <textField position="112"/>
        <textField position="115"/>
        <textField position="118"/>
        <textField position="121"/>
        <textField position="126"/>
        <textField position="143"/>
        <textField position="159"/>
        <textField position="175"/>
        <textField position="203"/>
      </textFields>
    </textPr>
  </connection>
  <connection id="2" name="INTERCEPTOR B" type="6" refreshedVersion="4" background="1" saveData="1">
    <textPr codePage="850" sourceFile="Z:\Itambacuri\DIMENSIONAMENTO\ESGINI\INTERCEPTOR B.ege" delimited="0" decimal="," thousands=".">
      <textFields count="26">
        <textField/>
        <textField position="5"/>
        <textField position="14"/>
        <textField position="21"/>
        <textField position="29"/>
        <textField position="38"/>
        <textField position="47"/>
        <textField position="56"/>
        <textField position="61"/>
        <textField position="69"/>
        <textField position="72"/>
        <textField position="78"/>
        <textField position="86"/>
        <textField position="94"/>
        <textField position="102"/>
        <textField position="107"/>
        <textField position="110"/>
        <textField position="112"/>
        <textField position="115"/>
        <textField position="118"/>
        <textField position="121"/>
        <textField position="126"/>
        <textField position="143"/>
        <textField position="159"/>
        <textField position="175"/>
        <textField position="203"/>
      </textFields>
    </textPr>
  </connection>
  <connection id="3" name="INTERCEPTOR C" type="6" refreshedVersion="4" background="1" saveData="1">
    <textPr codePage="850" sourceFile="Z:\Itambacuri\DIMENSIONAMENTO\ESGINI\INTERCEPTOR C.ege" delimited="0" decimal="," thousands=".">
      <textFields count="26">
        <textField/>
        <textField position="5"/>
        <textField position="14"/>
        <textField position="21"/>
        <textField position="29"/>
        <textField position="38"/>
        <textField position="47"/>
        <textField position="56"/>
        <textField position="61"/>
        <textField position="66"/>
        <textField position="72"/>
        <textField position="78"/>
        <textField position="86"/>
        <textField position="94"/>
        <textField position="102"/>
        <textField position="107"/>
        <textField position="110"/>
        <textField position="112"/>
        <textField position="115"/>
        <textField position="118"/>
        <textField position="121"/>
        <textField position="126"/>
        <textField position="143"/>
        <textField position="159"/>
        <textField position="175"/>
        <textField position="203"/>
      </textFields>
    </textPr>
  </connection>
  <connection id="4" name="INTERCEPTOR D" type="6" refreshedVersion="4" background="1" saveData="1">
    <textPr codePage="850" sourceFile="Z:\Itambacuri\DIMENSIONAMENTO\ESGINI\INTERCEPTOR D.ege" delimited="0" decimal="," thousands=".">
      <textFields count="26">
        <textField/>
        <textField position="5"/>
        <textField position="14"/>
        <textField position="21"/>
        <textField position="29"/>
        <textField position="38"/>
        <textField position="47"/>
        <textField position="56"/>
        <textField position="61"/>
        <textField position="66"/>
        <textField position="72"/>
        <textField position="78"/>
        <textField position="86"/>
        <textField position="94"/>
        <textField position="102"/>
        <textField position="107"/>
        <textField position="110"/>
        <textField position="112"/>
        <textField position="115"/>
        <textField position="118"/>
        <textField position="121"/>
        <textField position="126"/>
        <textField position="143"/>
        <textField position="159"/>
        <textField position="175"/>
        <textField position="203"/>
      </textFields>
    </textPr>
  </connection>
  <connection id="5" name="INTERCEPTOR E" type="6" refreshedVersion="4" background="1" saveData="1">
    <textPr codePage="850" sourceFile="Z:\Itambacuri\ORÇAMENTO\INTERCEPTOR E.ege" delimited="0" decimal="," thousands=".">
      <textFields count="25">
        <textField/>
        <textField position="5"/>
        <textField position="14"/>
        <textField position="21"/>
        <textField position="29"/>
        <textField position="38"/>
        <textField position="47"/>
        <textField position="56"/>
        <textField position="61"/>
        <textField position="66"/>
        <textField position="78"/>
        <textField position="86"/>
        <textField position="94"/>
        <textField position="102"/>
        <textField position="107"/>
        <textField position="110"/>
        <textField position="112"/>
        <textField position="115"/>
        <textField position="118"/>
        <textField position="121"/>
        <textField position="126"/>
        <textField position="143"/>
        <textField position="159"/>
        <textField position="175"/>
        <textField position="203"/>
      </textFields>
    </textPr>
  </connection>
  <connection id="6" name="INTERCEPTOR F" type="6" refreshedVersion="4" background="1" saveData="1">
    <textPr codePage="850" sourceFile="Z:\Itambacuri\DIMENSIONAMENTO\ESGINI\INTERCEPTOR F.ege" delimited="0" decimal="," thousands=".">
      <textFields count="26">
        <textField/>
        <textField position="5"/>
        <textField position="14"/>
        <textField position="21"/>
        <textField position="29"/>
        <textField position="38"/>
        <textField position="47"/>
        <textField position="56"/>
        <textField position="61"/>
        <textField position="67"/>
        <textField position="72"/>
        <textField position="78"/>
        <textField position="86"/>
        <textField position="94"/>
        <textField position="102"/>
        <textField position="107"/>
        <textField position="110"/>
        <textField position="112"/>
        <textField position="115"/>
        <textField position="118"/>
        <textField position="121"/>
        <textField position="126"/>
        <textField position="143"/>
        <textField position="159"/>
        <textField position="175"/>
        <textField position="203"/>
      </textFields>
    </textPr>
  </connection>
  <connection id="7" name="INTERCEPTOR G" type="6" refreshedVersion="4" background="1" saveData="1">
    <textPr codePage="850" sourceFile="Z:\Itambacuri\DIMENSIONAMENTO\ESGINI\INTERCEPTOR G.ege" delimited="0" decimal="," thousands=".">
      <textFields count="26">
        <textField/>
        <textField position="5"/>
        <textField position="14"/>
        <textField position="21"/>
        <textField position="29"/>
        <textField position="38"/>
        <textField position="47"/>
        <textField position="56"/>
        <textField position="61"/>
        <textField position="67"/>
        <textField position="72"/>
        <textField position="78"/>
        <textField position="86"/>
        <textField position="94"/>
        <textField position="102"/>
        <textField position="107"/>
        <textField position="110"/>
        <textField position="112"/>
        <textField position="115"/>
        <textField position="118"/>
        <textField position="121"/>
        <textField position="126"/>
        <textField position="143"/>
        <textField position="159"/>
        <textField position="175"/>
        <textField position="203"/>
      </textFields>
    </textPr>
  </connection>
  <connection id="8" name="INTERCEPTOR H" type="6" refreshedVersion="4" background="1" saveData="1">
    <textPr codePage="850" sourceFile="Z:\Itambacuri\DIMENSIONAMENTO\ESGINI\INTERCEPTOR H.ege" delimited="0" decimal="," thousands=".">
      <textFields count="26">
        <textField/>
        <textField position="5"/>
        <textField position="14"/>
        <textField position="21"/>
        <textField position="29"/>
        <textField position="38"/>
        <textField position="47"/>
        <textField position="56"/>
        <textField position="61"/>
        <textField position="67"/>
        <textField position="72"/>
        <textField position="78"/>
        <textField position="86"/>
        <textField position="94"/>
        <textField position="102"/>
        <textField position="107"/>
        <textField position="110"/>
        <textField position="112"/>
        <textField position="115"/>
        <textField position="118"/>
        <textField position="121"/>
        <textField position="126"/>
        <textField position="143"/>
        <textField position="159"/>
        <textField position="177"/>
        <textField position="203"/>
      </textFields>
    </textPr>
  </connection>
  <connection id="9" name="INTERCEPTOR I" type="6" refreshedVersion="4" background="1" saveData="1">
    <textPr codePage="850" sourceFile="Z:\Itambacuri\DIMENSIONAMENTO\ESGINI\INTERCEPTOR I.ege" delimited="0" decimal="," thousands=".">
      <textFields count="26">
        <textField/>
        <textField position="5"/>
        <textField position="14"/>
        <textField position="21"/>
        <textField position="29"/>
        <textField position="38"/>
        <textField position="47"/>
        <textField position="56"/>
        <textField position="61"/>
        <textField position="69"/>
        <textField position="72"/>
        <textField position="78"/>
        <textField position="86"/>
        <textField position="94"/>
        <textField position="102"/>
        <textField position="107"/>
        <textField position="110"/>
        <textField position="112"/>
        <textField position="115"/>
        <textField position="118"/>
        <textField position="121"/>
        <textField position="126"/>
        <textField position="143"/>
        <textField position="159"/>
        <textField position="175"/>
        <textField position="203"/>
      </textFields>
    </textPr>
  </connection>
  <connection id="10" name="INTERCEPTOR J" type="6" refreshedVersion="4" background="1" saveData="1">
    <textPr codePage="850" sourceFile="Z:\Itambacuri\DIMENSIONAMENTO\ESGINI\INTERCEPTOR J.ege" delimited="0" decimal="," thousands=".">
      <textFields count="26">
        <textField/>
        <textField position="5"/>
        <textField position="14"/>
        <textField position="21"/>
        <textField position="29"/>
        <textField position="38"/>
        <textField position="47"/>
        <textField position="56"/>
        <textField position="61"/>
        <textField position="67"/>
        <textField position="72"/>
        <textField position="78"/>
        <textField position="86"/>
        <textField position="94"/>
        <textField position="102"/>
        <textField position="107"/>
        <textField position="110"/>
        <textField position="112"/>
        <textField position="115"/>
        <textField position="118"/>
        <textField position="121"/>
        <textField position="126"/>
        <textField position="143"/>
        <textField position="159"/>
        <textField position="175"/>
        <textField position="203"/>
      </textFields>
    </textPr>
  </connection>
  <connection id="11" name="INTERCEPTOR M" type="6" refreshedVersion="4" background="1" saveData="1">
    <textPr codePage="850" sourceFile="Z:\Itambacuri\DIMENSIONAMENTO\ESGINI\INTERCEPTOR M.ege" delimited="0" decimal="," thousands=".">
      <textFields count="25">
        <textField/>
        <textField position="5"/>
        <textField position="14"/>
        <textField position="21"/>
        <textField position="29"/>
        <textField position="38"/>
        <textField position="47"/>
        <textField position="56"/>
        <textField position="61"/>
        <textField position="69"/>
        <textField position="78"/>
        <textField position="86"/>
        <textField position="94"/>
        <textField position="102"/>
        <textField position="107"/>
        <textField position="110"/>
        <textField position="112"/>
        <textField position="115"/>
        <textField position="118"/>
        <textField position="121"/>
        <textField position="126"/>
        <textField position="143"/>
        <textField position="159"/>
        <textField position="175"/>
        <textField position="203"/>
      </textFields>
    </textPr>
  </connection>
  <connection id="12" name="INTERCEPTOR-COLETORA" type="6" refreshedVersion="4" background="1" saveData="1">
    <textPr codePage="932" sourceFile="Z:\Sem Peixe\Dimensionamentos\PROGRAMA\INTERCEPTOR-COLETORA.epl" delimited="0" decimal="," thousands=".">
      <textFields count="13">
        <textField/>
        <textField position="4"/>
        <textField position="17"/>
        <textField position="24"/>
        <textField position="33"/>
        <textField position="39"/>
        <textField position="46"/>
        <textField position="72"/>
        <textField position="82"/>
        <textField position="91"/>
        <textField position="100"/>
        <textField position="108"/>
        <textField position="129"/>
      </textFields>
    </textPr>
  </connection>
  <connection id="13" name="INTPARTEA" type="6" refreshedVersion="4" background="1" saveData="1">
    <textPr codePage="850" sourceFile="Z:\POTIM - SP\DIMENSIONAMENTOS\PROGRAMA\PARTE A\INTPARTEA.ege" delimited="0" decimal="," thousands=".">
      <textFields count="25">
        <textField/>
        <textField position="5"/>
        <textField position="14"/>
        <textField position="21"/>
        <textField position="29"/>
        <textField position="40"/>
        <textField position="47"/>
        <textField position="56"/>
        <textField position="61"/>
        <textField position="67"/>
        <textField position="78"/>
        <textField position="89"/>
        <textField position="94"/>
        <textField position="103"/>
        <textField position="107"/>
        <textField position="110"/>
        <textField position="112"/>
        <textField position="115"/>
        <textField position="118"/>
        <textField position="121"/>
        <textField position="126"/>
        <textField position="143"/>
        <textField position="159"/>
        <textField position="175"/>
        <textField position="203"/>
      </textFields>
    </textPr>
  </connection>
  <connection id="14" name="INTPARTEB" type="6" refreshedVersion="4" background="1" saveData="1">
    <textPr codePage="850" sourceFile="Z:\POTIM - SP\DIMENSIONAMENTOS\PROGRAMA\PARTE B\INTPARTEB.ege" delimited="0" decimal="," thousands=".">
      <textFields count="26">
        <textField/>
        <textField position="5"/>
        <textField position="14"/>
        <textField position="21"/>
        <textField position="29"/>
        <textField position="40"/>
        <textField position="47"/>
        <textField position="56"/>
        <textField position="61"/>
        <textField position="67"/>
        <textField position="72"/>
        <textField position="78"/>
        <textField position="86"/>
        <textField position="94"/>
        <textField position="102"/>
        <textField position="107"/>
        <textField position="110"/>
        <textField position="112"/>
        <textField position="115"/>
        <textField position="118"/>
        <textField position="121"/>
        <textField position="126"/>
        <textField position="143"/>
        <textField position="159"/>
        <textField position="175"/>
        <textField position="203"/>
      </textFields>
    </textPr>
  </connection>
  <connection id="15" name="INTPARTEC" type="6" refreshedVersion="4" background="1" saveData="1">
    <textPr codePage="850" sourceFile="Z:\POTIM - SP\DIMENSIONAMENTOS\PROGRAMA\PARTE C\INTPARTEC.ege" delimited="0" decimal="," thousands=".">
      <textFields count="26">
        <textField/>
        <textField position="5"/>
        <textField position="14"/>
        <textField position="21"/>
        <textField position="29"/>
        <textField position="40"/>
        <textField position="47"/>
        <textField position="56"/>
        <textField position="61"/>
        <textField position="67"/>
        <textField position="72"/>
        <textField position="78"/>
        <textField position="89"/>
        <textField position="97"/>
        <textField position="103"/>
        <textField position="107"/>
        <textField position="110"/>
        <textField position="112"/>
        <textField position="115"/>
        <textField position="118"/>
        <textField position="121"/>
        <textField position="126"/>
        <textField position="143"/>
        <textField position="159"/>
        <textField position="175"/>
        <textField position="203"/>
      </textFields>
    </textPr>
  </connection>
  <connection id="16" name="INTPARTEC1" type="6" refreshedVersion="4" background="1">
    <textPr codePage="850" sourceFile="Z:\POTIM - SP\DIMENSIONAMENTOS\PROGRAMA\PARTE C\INTPARTEC.ege" delimited="0" decimal="," thousands=".">
      <textFields count="26">
        <textField/>
        <textField position="5"/>
        <textField position="14"/>
        <textField position="21"/>
        <textField position="29"/>
        <textField position="40"/>
        <textField position="47"/>
        <textField position="56"/>
        <textField position="61"/>
        <textField position="67"/>
        <textField position="72"/>
        <textField position="78"/>
        <textField position="89"/>
        <textField position="97"/>
        <textField position="103"/>
        <textField position="107"/>
        <textField position="110"/>
        <textField position="112"/>
        <textField position="115"/>
        <textField position="118"/>
        <textField position="121"/>
        <textField position="126"/>
        <textField position="143"/>
        <textField position="159"/>
        <textField position="175"/>
        <textField position="203"/>
      </textFields>
    </textPr>
  </connection>
  <connection id="17" name="INTPARTED" type="6" refreshedVersion="4" background="1" saveData="1">
    <textPr codePage="850" sourceFile="Z:\POTIM - SP\DIMENSIONAMENTOS\PROGRAMA\PARTE D\INTPARTED.ege" delimited="0" decimal="," thousands=".">
      <textFields count="26">
        <textField/>
        <textField position="5"/>
        <textField position="14"/>
        <textField position="21"/>
        <textField position="29"/>
        <textField position="40"/>
        <textField position="47"/>
        <textField position="56"/>
        <textField position="61"/>
        <textField position="69"/>
        <textField position="72"/>
        <textField position="78"/>
        <textField position="86"/>
        <textField position="94"/>
        <textField position="102"/>
        <textField position="107"/>
        <textField position="110"/>
        <textField position="112"/>
        <textField position="115"/>
        <textField position="118"/>
        <textField position="121"/>
        <textField position="126"/>
        <textField position="143"/>
        <textField position="159"/>
        <textField position="175"/>
        <textField position="203"/>
      </textFields>
    </textPr>
  </connection>
</connections>
</file>

<file path=xl/sharedStrings.xml><?xml version="1.0" encoding="utf-8"?>
<sst xmlns="http://schemas.openxmlformats.org/spreadsheetml/2006/main" count="5930" uniqueCount="2733">
  <si>
    <t>PLANTIO DE ARVORE COM ALTURA MAIOR DO QUE 2,00 METROS</t>
  </si>
  <si>
    <t>LEITO FILTRANTE - COLOCACAO DE AREIA NOS FILTROS</t>
  </si>
  <si>
    <t>ELETRODUTO PVC FLEXIVEL CORRUGADO 32MM TIPO TIGREFLEX OU EQUIV</t>
  </si>
  <si>
    <t>DISCRIMINAÇÃO</t>
  </si>
  <si>
    <t>CÓDIGO</t>
  </si>
  <si>
    <t>FONTE</t>
  </si>
  <si>
    <t>QUANTIDADE</t>
  </si>
  <si>
    <t xml:space="preserve">DATA: </t>
  </si>
  <si>
    <t>05.01</t>
  </si>
  <si>
    <t>05.02</t>
  </si>
  <si>
    <t>05.03</t>
  </si>
  <si>
    <t>05.04</t>
  </si>
  <si>
    <t>C R O N O G R A M A     F Í S I C O - F I N A N C E I R O</t>
  </si>
  <si>
    <t>PREÇO              TOTAL (R$)</t>
  </si>
  <si>
    <t>h</t>
  </si>
  <si>
    <t>m²</t>
  </si>
  <si>
    <t>m³</t>
  </si>
  <si>
    <t>m</t>
  </si>
  <si>
    <t>un</t>
  </si>
  <si>
    <t xml:space="preserve">un </t>
  </si>
  <si>
    <t>mês</t>
  </si>
  <si>
    <t>tXkm</t>
  </si>
  <si>
    <t>PROJETO:</t>
  </si>
  <si>
    <t>ITEM</t>
  </si>
  <si>
    <t xml:space="preserve">ATIVIDADES </t>
  </si>
  <si>
    <t>PART.%</t>
  </si>
  <si>
    <t>MÊS 01</t>
  </si>
  <si>
    <t>MÊS 02</t>
  </si>
  <si>
    <t>MÊS 03</t>
  </si>
  <si>
    <t>MÊS 04</t>
  </si>
  <si>
    <t>SUB-TOTAL</t>
  </si>
  <si>
    <t>PERCENTUAL GLOBAL SIMPLES</t>
  </si>
  <si>
    <t>VALOR SIMPLES EM R$</t>
  </si>
  <si>
    <t>PERCENTUAL GLOBAL ACUMULADO</t>
  </si>
  <si>
    <t>VALOR ACUMULADO EM R$</t>
  </si>
  <si>
    <t>ESTAÇÃO DE TRATAMENTO DE ESGOTOS</t>
  </si>
  <si>
    <t>74236/001</t>
  </si>
  <si>
    <t>GRAMA BATATAIS EM PLACAS</t>
  </si>
  <si>
    <t xml:space="preserve">CLIENTE: </t>
  </si>
  <si>
    <t>CIDADE:</t>
  </si>
  <si>
    <t>PREÇO</t>
  </si>
  <si>
    <t>Unitário (R$)</t>
  </si>
  <si>
    <t>SIMPLES</t>
  </si>
  <si>
    <t>BDI OU ADM</t>
  </si>
  <si>
    <t xml:space="preserve">FOLHA RESUMO </t>
  </si>
  <si>
    <t>SINAPI</t>
  </si>
  <si>
    <t>74209/001</t>
  </si>
  <si>
    <t>PLACA DE OBRA EM CHAPA DE ACO GALVANIZADO</t>
  </si>
  <si>
    <t xml:space="preserve">TRANSPORTE COMERCIAL COM CAMINHAO CARROCERIA 9 T, RODOVIA PAVIMENTADA     </t>
  </si>
  <si>
    <t>74219/001</t>
  </si>
  <si>
    <t>74151/001</t>
  </si>
  <si>
    <t>MÊS 07</t>
  </si>
  <si>
    <t>MÊS 08</t>
  </si>
  <si>
    <t>MÊS 09</t>
  </si>
  <si>
    <t>MÊS 10</t>
  </si>
  <si>
    <t>MÊS 11</t>
  </si>
  <si>
    <t>MÊS 12</t>
  </si>
  <si>
    <t>74034/001</t>
  </si>
  <si>
    <t>ESPALHAMENTO DE MATERIAL DE 1A CATEGORIA COM TRATOR DE ESTEIRA COM 153 HP</t>
  </si>
  <si>
    <t>73891/001</t>
  </si>
  <si>
    <t>ESGOTAMENTO COM MOTO-BOMBA AUTOESCOVANTE</t>
  </si>
  <si>
    <t/>
  </si>
  <si>
    <t>73859/001</t>
  </si>
  <si>
    <t>74005/001</t>
  </si>
  <si>
    <t xml:space="preserve">COMPACTACAO MECANICA, SEM CONTROLE DO GC (C/COMPACTADOR PLACA 400 KG)     </t>
  </si>
  <si>
    <t>COTAÇÃO</t>
  </si>
  <si>
    <t>FORNECIMENTO E INSTALAÇÃO DE TERMINAIS DOS TUBOS DE DISTRIBUIÇÃO, EM FIBRA DE VIDRO E RESINA DE POLIÉSTER, CONFORME PROJETO</t>
  </si>
  <si>
    <t>01.02</t>
  </si>
  <si>
    <t>01.03</t>
  </si>
  <si>
    <t>01.04</t>
  </si>
  <si>
    <t>01.05</t>
  </si>
  <si>
    <t>02.01</t>
  </si>
  <si>
    <t>03.01</t>
  </si>
  <si>
    <t>EDIFICAÇÃO ADMINISTRATIVA - UNIDADE DE APOIO</t>
  </si>
  <si>
    <t>03.02</t>
  </si>
  <si>
    <t>04.01</t>
  </si>
  <si>
    <t>01.01</t>
  </si>
  <si>
    <t xml:space="preserve">MOBILIZAÇÃO E DESMOBILIZAÇÃO                                 </t>
  </si>
  <si>
    <t>01.06</t>
  </si>
  <si>
    <t>73887/003</t>
  </si>
  <si>
    <t>73967/002</t>
  </si>
  <si>
    <t>TERRAPLENAGEM GERAL</t>
  </si>
  <si>
    <t xml:space="preserve">REATORES UASB </t>
  </si>
  <si>
    <t>FORNECIMENTO E INSTALAÇÃO DE PLACA VERTEDORA, EM PRFV, NAS DIMENSÕES (38X65)CM, COM VEDAÇÃO EM BORRACHA E FECHAMENTO EM PARAFUSOS, CONFORME PROJETO</t>
  </si>
  <si>
    <t>FORNECIMENTO E INSTALAÇÃO DE PLACA VERTEDORA, EM PRFV, NAS DIMENSÕES (46X45)CM, COM VEDAÇÃO EM BORRACHA E FECHAMENTO EM PARAFUSOS, CONFORME PROJETO</t>
  </si>
  <si>
    <t>FILTRO BIOLÓGICO PERCOLADOR</t>
  </si>
  <si>
    <t>DECANTADOR</t>
  </si>
  <si>
    <t>LEITOS DE SECAGEM</t>
  </si>
  <si>
    <t>73816/001</t>
  </si>
  <si>
    <t>73873/003</t>
  </si>
  <si>
    <t>73963/002</t>
  </si>
  <si>
    <t>CURVA PVC SOLD 90G P/ AGUA FRIA PREDIAL 25 MM</t>
  </si>
  <si>
    <t>ELEVATÓRIA DE RECIRCULAÇÃO</t>
  </si>
  <si>
    <t>ELEVATÓRIA FINAL</t>
  </si>
  <si>
    <t>MÊS 05</t>
  </si>
  <si>
    <t>MÊS 06</t>
  </si>
  <si>
    <t>ESCAVACAO E CARGA MATERIAL 1A CATEGORIA, UTILIZANDO TRATOR DE ESTEIRAS</t>
  </si>
  <si>
    <t>73873/002</t>
  </si>
  <si>
    <t>LEITO FILTRANTE - FORN.E ENCHIMENTO C/ BRITA NO. 4</t>
  </si>
  <si>
    <t>04.02</t>
  </si>
  <si>
    <t>TUBO PVC SOLDAVEL EB-892 P/AGUA FRIA PREDIAL DN 32MM</t>
  </si>
  <si>
    <t>00009869</t>
  </si>
  <si>
    <t>TUBO PVC SOLDAVEL EB-892 P/AGUA FRIA PREDIAL DN 25MM</t>
  </si>
  <si>
    <t>00009868</t>
  </si>
  <si>
    <t>00009867</t>
  </si>
  <si>
    <t>TE PVC SOLD 90G P/ AGUA FRIA PREDIAL 32MM</t>
  </si>
  <si>
    <t>00007140</t>
  </si>
  <si>
    <t>BUCHA REDUCAO PVC SOLD CURTA P/ AGUA FRIA PRED 32MM X 25MM</t>
  </si>
  <si>
    <t>00000829</t>
  </si>
  <si>
    <t>00000828</t>
  </si>
  <si>
    <t>00007104</t>
  </si>
  <si>
    <t>00003536</t>
  </si>
  <si>
    <t>00003542</t>
  </si>
  <si>
    <t>00009895</t>
  </si>
  <si>
    <t>ADAPTADOR PVC SOLDAVEL CURTO C/ BOLSA E ROSCA P/ REGISTRO 32MM X 1"</t>
  </si>
  <si>
    <t>00000108</t>
  </si>
  <si>
    <t>00000065</t>
  </si>
  <si>
    <t>00000098</t>
  </si>
  <si>
    <t>00000097</t>
  </si>
  <si>
    <t>00000096</t>
  </si>
  <si>
    <t>00003500</t>
  </si>
  <si>
    <t>00007141</t>
  </si>
  <si>
    <t>00006005</t>
  </si>
  <si>
    <t>00006014</t>
  </si>
  <si>
    <t>00000109</t>
  </si>
  <si>
    <t>00003855</t>
  </si>
  <si>
    <t>TE PVC SOLD 90G P/ AGUA FRIA PREDIAL 25MM</t>
  </si>
  <si>
    <t>00007139</t>
  </si>
  <si>
    <t>ADAPTADOR PVC SOLDAVEL CURTO C/ BOLSA E ROSCA P/ REGISTRO 20MM X 1/2"</t>
  </si>
  <si>
    <t>00000107</t>
  </si>
  <si>
    <t>00009906</t>
  </si>
  <si>
    <t>00009905</t>
  </si>
  <si>
    <t>00009837</t>
  </si>
  <si>
    <t>00001966</t>
  </si>
  <si>
    <t>00007097</t>
  </si>
  <si>
    <t>00020155</t>
  </si>
  <si>
    <t>00003848</t>
  </si>
  <si>
    <t>CAIXA SIFONADA PVC 150 X 185 X 75MM C/ GRELHA QUADRADA BRANCA</t>
  </si>
  <si>
    <t>00011714</t>
  </si>
  <si>
    <t>00011715</t>
  </si>
  <si>
    <t>JOELHO PVC SOLD 90G BB P/ ESG PREDIAL DN 40MM</t>
  </si>
  <si>
    <t>00005103</t>
  </si>
  <si>
    <t>00003895</t>
  </si>
  <si>
    <t>00003893</t>
  </si>
  <si>
    <t>00006145</t>
  </si>
  <si>
    <t>00000819</t>
  </si>
  <si>
    <t>00003662</t>
  </si>
  <si>
    <t>00003658</t>
  </si>
  <si>
    <t>00007091</t>
  </si>
  <si>
    <t>00020088</t>
  </si>
  <si>
    <t>00001970</t>
  </si>
  <si>
    <t>00011679</t>
  </si>
  <si>
    <t>00010432</t>
  </si>
  <si>
    <t>CAIXA DE GORDURA DUPLA EM CONCRETO PRE-MOLDADO DN 60MM COM TAMPA - FORNECIMENTO E INSTALACAO</t>
  </si>
  <si>
    <t>74051/001</t>
  </si>
  <si>
    <t>BANCADA DO LABORATÓRIO EM LAMINADO MELAMÍNICO TIPO POST-FORMING E CUBA DE AÇO INOX 40X35X15 CM</t>
  </si>
  <si>
    <t>DIVISORIA EM MARMORITE ESPESSURA 35MM, CHUMBAMENTO NO PISO E PAREDE COM ARGAMASSA DE CIMENTO E AREIA, POLIMENTO MANUAL, EXCLUSIVE FERRAGENSDIVISORIAS EM MADEIRA OU PAINEIS PRE-FABRICADOS</t>
  </si>
  <si>
    <t>73774/001</t>
  </si>
  <si>
    <t>ADMINISTRAÇÃO DA OBRA</t>
  </si>
  <si>
    <t>01.07</t>
  </si>
  <si>
    <t>01.08</t>
  </si>
  <si>
    <t>74220/001</t>
  </si>
  <si>
    <t xml:space="preserve">74039/001 </t>
  </si>
  <si>
    <t>CERCA COM MOURÕES DE MADEIRA ROLIÇA D=11CM, ESPAÇAMENTO DE 2M, ALTURA LIVRE DE 1M, CRAVADOS 0,50M, COM 5 FIOS DE ARAME FARPADO Nº14 CLASSE 2 50 - FORNEC E COLOC.</t>
  </si>
  <si>
    <t>74219/002</t>
  </si>
  <si>
    <t>TAPUME DE CHAPA DE MADEIRA COMPENSADA (6MM) - PINTURA A CAL- APROVEITAMENTO 2 X</t>
  </si>
  <si>
    <t>02.03</t>
  </si>
  <si>
    <t>02.04</t>
  </si>
  <si>
    <t>02.05</t>
  </si>
  <si>
    <t>kg</t>
  </si>
  <si>
    <t>02.02</t>
  </si>
  <si>
    <t>00006138</t>
  </si>
  <si>
    <t>00011711</t>
  </si>
  <si>
    <t>00010420</t>
  </si>
  <si>
    <t>00010429</t>
  </si>
  <si>
    <t>00011955</t>
  </si>
  <si>
    <t>00011868</t>
  </si>
  <si>
    <t>00013399</t>
  </si>
  <si>
    <t>00002690</t>
  </si>
  <si>
    <t>00003080</t>
  </si>
  <si>
    <t>00003097</t>
  </si>
  <si>
    <t>00006021</t>
  </si>
  <si>
    <t>00007606</t>
  </si>
  <si>
    <t>00009838</t>
  </si>
  <si>
    <t>00009835</t>
  </si>
  <si>
    <t>00003517</t>
  </si>
  <si>
    <t>QUEIMADOR DE BIOGÁS</t>
  </si>
  <si>
    <t>00006013</t>
  </si>
  <si>
    <t>FORNECIMENTO E INSTALAÇÃO DE TAMPAS  EM FIBRA DE VIDRO OU AÇO INOX, NAS DIMENSÕES (80X80)CM, CONFORME PROJETO</t>
  </si>
  <si>
    <t>FORNECIMENTO E INSTALAÇÃO DE PLACA VERTEDORA, EM PRFV OU AÇO INOX, NAS DIMENSÕES (54X58)CM, COM VEDAÇÃO EM BORRACHA E FECHAMENTO EM PARAFUSOS, CONFORME PROJETO</t>
  </si>
  <si>
    <t>FORNECIMENTO E INSTALAÇÃO DE COMPORTA EM ARDÓSIA OU AÇO INOX, NAS DIMENSÕES (27X80X2)CM, COM VEDAÇÃO EM BORRACHA E FECHAMENTO EM PARAFUSOS, CONFORME PROJETO</t>
  </si>
  <si>
    <t>BANCADA DA COPA EM MÁRMORE DUPLA POLIDA, ESPESSURA 2 CM, COM CUBA DE AÇO INOX 40X35X15 CM</t>
  </si>
  <si>
    <t>UNIDADE</t>
  </si>
  <si>
    <t>00003516</t>
  </si>
  <si>
    <t>TOTAL GERAL</t>
  </si>
  <si>
    <t>COMPOSIÇÕES DE CUSTO</t>
  </si>
  <si>
    <t xml:space="preserve">DATA   : </t>
  </si>
  <si>
    <t xml:space="preserve">PROJETO:        </t>
  </si>
  <si>
    <t>LOCALIDADE:</t>
  </si>
  <si>
    <t>Item</t>
  </si>
  <si>
    <t>Fonte</t>
  </si>
  <si>
    <t>Código</t>
  </si>
  <si>
    <t>Discriminação</t>
  </si>
  <si>
    <t>Unidade</t>
  </si>
  <si>
    <t>Quantidade</t>
  </si>
  <si>
    <t>TOTAL (R$)</t>
  </si>
  <si>
    <t>L.SOCIAIS</t>
  </si>
  <si>
    <t>CE-001</t>
  </si>
  <si>
    <t>CUSTO MENSAL DA ADMINISTRAÇÃO LOCAL DA OBRA</t>
  </si>
  <si>
    <t>MÃO DE OBRA INDIRETA</t>
  </si>
  <si>
    <t>01.01.01</t>
  </si>
  <si>
    <t>01.01.02</t>
  </si>
  <si>
    <t>01.01.03</t>
  </si>
  <si>
    <t>01.01.04</t>
  </si>
  <si>
    <t>01.01.05</t>
  </si>
  <si>
    <t>AUXILIAR DE ESCRITÓRIO</t>
  </si>
  <si>
    <t>01.01.06</t>
  </si>
  <si>
    <t>ALMOXARIFE</t>
  </si>
  <si>
    <t>01.01.07</t>
  </si>
  <si>
    <t>TOPÓGRAFO</t>
  </si>
  <si>
    <t>01.01.08</t>
  </si>
  <si>
    <t>AUXILIAR DE TOPOGRAFIA</t>
  </si>
  <si>
    <t>01.01.09</t>
  </si>
  <si>
    <t>APONTADOR OU APROPRIADOR</t>
  </si>
  <si>
    <t>01.01.10</t>
  </si>
  <si>
    <t>01.01.11</t>
  </si>
  <si>
    <t>01.01.12</t>
  </si>
  <si>
    <t>MOTORISTA DE BASCULANTE</t>
  </si>
  <si>
    <t>01.01.13</t>
  </si>
  <si>
    <t>MOTORISTA DE CAMINHAO</t>
  </si>
  <si>
    <t xml:space="preserve">VEÍCULOS, MÁQUINAS EQUIPAMENTOS </t>
  </si>
  <si>
    <t>01.02.01</t>
  </si>
  <si>
    <t>01.02.03</t>
  </si>
  <si>
    <t>01.02.05</t>
  </si>
  <si>
    <t>01.02.06</t>
  </si>
  <si>
    <t>CONSUMOS</t>
  </si>
  <si>
    <t>01.03.01</t>
  </si>
  <si>
    <t>kwh</t>
  </si>
  <si>
    <t>01.03.02</t>
  </si>
  <si>
    <t>OLEO DIESEL COMBUSTIVEL COMUM</t>
  </si>
  <si>
    <t>L</t>
  </si>
  <si>
    <t>01.03.03</t>
  </si>
  <si>
    <t>GASOLINA COMUM</t>
  </si>
  <si>
    <t>SOLDADOR</t>
  </si>
  <si>
    <t>AUXILIAR</t>
  </si>
  <si>
    <t>SERRALHEIRO</t>
  </si>
  <si>
    <t>FORNECIMENTO E INSTALAÇÃO DE TERMINAIS DOS TUBOS DE DISTRIBUIÇÃO, EM FIBRA DE VIDRO E RESINA DE POLIÉSTER OU CHAPA DE AÇO INOX, CONFORME PROJETO</t>
  </si>
  <si>
    <t xml:space="preserve">AUXILIAR DE SERRALHEIRO </t>
  </si>
  <si>
    <t>03.03</t>
  </si>
  <si>
    <t>CE-004</t>
  </si>
  <si>
    <t>FORNECIMENTO E INSTALAÇÃO DE PLACA VERTEDORA, EM PRFV OU AÇO INOX, NAS DIMENSÕES (38X65)CM, COM VEDAÇÃO EM BORRACHA E FECHAMENTO EM PARAFUSOS, CONFORME PROJETO</t>
  </si>
  <si>
    <t xml:space="preserve">CANTONEIRA "U" ALUMINIO ABAS IGUAIS 1" E = 3/32 " </t>
  </si>
  <si>
    <t>04.03</t>
  </si>
  <si>
    <t>04.04</t>
  </si>
  <si>
    <t>CE-005</t>
  </si>
  <si>
    <t>FORNECIMENTO E INSTALAÇÃO DE PLACA VERTEDORA, EM PRFV OU AÇO INOX, NAS DIMENSÕES (46X45)CM, COM VEDAÇÃO EM BORRACHA E FECHAMENTO EM PARAFUSOS, CONFORME PROJETO</t>
  </si>
  <si>
    <t>06.01</t>
  </si>
  <si>
    <t>06.02</t>
  </si>
  <si>
    <t>06.03</t>
  </si>
  <si>
    <t>06.04</t>
  </si>
  <si>
    <t>07.01</t>
  </si>
  <si>
    <t>07.02</t>
  </si>
  <si>
    <t>07.03</t>
  </si>
  <si>
    <t>07.04</t>
  </si>
  <si>
    <t>CE-008</t>
  </si>
  <si>
    <t>08.01</t>
  </si>
  <si>
    <t>08.02</t>
  </si>
  <si>
    <t>08.03</t>
  </si>
  <si>
    <t>08.04</t>
  </si>
  <si>
    <t>CE-010</t>
  </si>
  <si>
    <t>FORNECIMENTO E INSTALAÇÃO DE COMPORTA EM ARDÓSIA OU AÇO INOX, NAS DIMENSÕES (27X80)CM, COM VEDAÇÃO EM BORRACHA E FECHAMENTO EM PARAFUSOS, CONFORME PROJETO</t>
  </si>
  <si>
    <t xml:space="preserve">TORNEIRA CROMADA 1/2" OU 3/4" REF 1159 P/ PIA COZ - PADRAO POPULAR </t>
  </si>
  <si>
    <t xml:space="preserve">CUBA ACO INOXIDAVEL NUM 3 (40,0X34,0X11,5) CM </t>
  </si>
  <si>
    <t>VALVULA EM METAL CROMADO TIPO AMERICANA 3.1/2" X 1.1/2" P/ PIA DE COZINHA</t>
  </si>
  <si>
    <t>PEDREIRO</t>
  </si>
  <si>
    <t>SERVENTE</t>
  </si>
  <si>
    <t>BOMBEIRO HIDRAULICO</t>
  </si>
  <si>
    <t>AUXILIAR DE BOMBEIRO HIDRAULICO</t>
  </si>
  <si>
    <t>CE-018</t>
  </si>
  <si>
    <t>CE-020</t>
  </si>
  <si>
    <t>CE-022</t>
  </si>
  <si>
    <t>CE-023</t>
  </si>
  <si>
    <t>CE-024</t>
  </si>
  <si>
    <t>01.02.02</t>
  </si>
  <si>
    <t>DEMONSTRATIVO DO CÁLCULO DO BDI DE SERVIÇOS</t>
  </si>
  <si>
    <t>Descrição</t>
  </si>
  <si>
    <t>Percentual</t>
  </si>
  <si>
    <t>Valor</t>
  </si>
  <si>
    <t>01.00</t>
  </si>
  <si>
    <t>CUSTO DIRETO</t>
  </si>
  <si>
    <t>02.00</t>
  </si>
  <si>
    <t>CUSTOS INDIRETOS</t>
  </si>
  <si>
    <t>Administração central</t>
  </si>
  <si>
    <t>Riscos</t>
  </si>
  <si>
    <t>Despesas Financeiras</t>
  </si>
  <si>
    <t>03.00</t>
  </si>
  <si>
    <t>PREÇO DE CUSTO</t>
  </si>
  <si>
    <t>04.00</t>
  </si>
  <si>
    <t>TRIBUTOS</t>
  </si>
  <si>
    <t>Cofins</t>
  </si>
  <si>
    <t>Pis/Pasep</t>
  </si>
  <si>
    <t>Iss</t>
  </si>
  <si>
    <t>Percentuais incidentes sobre o preço de venda</t>
  </si>
  <si>
    <t>05.00</t>
  </si>
  <si>
    <t>LUCRO LÍQUIDO</t>
  </si>
  <si>
    <t>06.00</t>
  </si>
  <si>
    <t>PREÇO DE VENDA</t>
  </si>
  <si>
    <t>07.00</t>
  </si>
  <si>
    <t>BDI</t>
  </si>
  <si>
    <t xml:space="preserve">Tribunal de Contas da União - TCU </t>
  </si>
  <si>
    <t>DEMONSTRATIVO DO CÁLCULO DO BDI DE MATERIAIS</t>
  </si>
  <si>
    <t>MÊS REF.:</t>
  </si>
  <si>
    <t>CUSTO DIRETO DO MATERIAL</t>
  </si>
  <si>
    <t>LUCRO</t>
  </si>
  <si>
    <t>PREÇO DE VENDA DO MATERIAL</t>
  </si>
  <si>
    <t>04.05</t>
  </si>
  <si>
    <t>03.04</t>
  </si>
  <si>
    <t>05.05</t>
  </si>
  <si>
    <t>05.06</t>
  </si>
  <si>
    <t>05.07</t>
  </si>
  <si>
    <t>05.08</t>
  </si>
  <si>
    <t>05.09</t>
  </si>
  <si>
    <t>08.05</t>
  </si>
  <si>
    <t>08.06</t>
  </si>
  <si>
    <t>08.07</t>
  </si>
  <si>
    <t>08.08</t>
  </si>
  <si>
    <t>08.09</t>
  </si>
  <si>
    <t>08.10</t>
  </si>
  <si>
    <t>08.11</t>
  </si>
  <si>
    <t>08.12</t>
  </si>
  <si>
    <t>08.13</t>
  </si>
  <si>
    <t>08.14</t>
  </si>
  <si>
    <t>REGULARIZACAO E COMPACTACAO DE SUBLEITO ATE 20 CM DE ESPESSURA</t>
  </si>
  <si>
    <t>TRANSPORTE COMERCIAL COM CAMINHAO BASCULANTE 6 M3, RODOVIA EM LEITO NATURAL</t>
  </si>
  <si>
    <t>txkm</t>
  </si>
  <si>
    <t>COMPOSIÇÃO</t>
  </si>
  <si>
    <t>FORNECIMENTO E INSTALACAO DE TALHA E TROLEY MANUAL DE 1 TONELADA</t>
  </si>
  <si>
    <t>GUARDA-CORPO EM TUBO DE ACO GALVANIZADO 1 1/2"</t>
  </si>
  <si>
    <t>SERVIÇOS PRELIMINARES</t>
  </si>
  <si>
    <t>ESCAVAÇÃO DE VALAS</t>
  </si>
  <si>
    <t>ESCORAMENTO DE VALAS</t>
  </si>
  <si>
    <t xml:space="preserve">DRENAGEM                                                                                                              </t>
  </si>
  <si>
    <t>POÇOS DE VISITA</t>
  </si>
  <si>
    <t>73963/028</t>
  </si>
  <si>
    <t>73963/029</t>
  </si>
  <si>
    <t>73963/034</t>
  </si>
  <si>
    <t>FORNECIMENTO E ASSENTAMENTO DE TUBULAÇÃO</t>
  </si>
  <si>
    <t>ASSENTAMENTO SIMPLES DE TUBOS DE FERRO FUNDIDO (FOFO) C/ JUNTA ELASTICA - DN 150 - INCLUSIVE TRANSPORTE</t>
  </si>
  <si>
    <t>01.09</t>
  </si>
  <si>
    <t>01.10</t>
  </si>
  <si>
    <t>TORNEIRA METAL AMARELO 3/4" CURTA REF 1128 P/ JARDIM</t>
  </si>
  <si>
    <t>JOELHO FERRO GALV 90G ROSCA MACHO/FEMEA 1/2"</t>
  </si>
  <si>
    <t>DISSIPADOR DE ENERGIA CONFORME PROJETO</t>
  </si>
  <si>
    <t>ENROCAMENTO COM PEDRA ARGAMASSADA TRAÇO 1:4 COM PEDRA DE MÃO</t>
  </si>
  <si>
    <t>CE-026</t>
  </si>
  <si>
    <t>DEMOLIÇÃO E RECOMPOSIÇÃO DE PAVIMENTOS</t>
  </si>
  <si>
    <t>CE-028</t>
  </si>
  <si>
    <t>CE-029</t>
  </si>
  <si>
    <t>BASE PARA PAVIMENTACAO COM BRITA GRADUADA, INCLUSIVE COMPACTACAO</t>
  </si>
  <si>
    <t>74221/001</t>
  </si>
  <si>
    <t>SINALIZACAO DE TRANSITO - NOTURNA</t>
  </si>
  <si>
    <t>DISTRIBUIDOR ROTATIVO, CONFORME PROJETO</t>
  </si>
  <si>
    <t>REMOVEDOR DE LODO, CONFORME PROJETO</t>
  </si>
  <si>
    <t>CE-027</t>
  </si>
  <si>
    <t xml:space="preserve">BDI </t>
  </si>
  <si>
    <t>MATERIAIS</t>
  </si>
  <si>
    <t>SERVIÇOS</t>
  </si>
  <si>
    <t>POR METRO</t>
  </si>
  <si>
    <t>CE-031</t>
  </si>
  <si>
    <t>CE-032</t>
  </si>
  <si>
    <t>CE-034</t>
  </si>
  <si>
    <t>CE-035</t>
  </si>
  <si>
    <t>CE-036</t>
  </si>
  <si>
    <t>CE-037</t>
  </si>
  <si>
    <t>74156/003</t>
  </si>
  <si>
    <t>74198/002</t>
  </si>
  <si>
    <t>SUMIDOURO EM ALVENARIA DE TIJOLO CERAMICO MACIÇO DIAMETRO 1,40M E ALTURA 5,00M, COM TAMPA EM CONCRETO ARMADO DIAMETRO 1,60M E ESPESSURA 10CM</t>
  </si>
  <si>
    <t>73929/001</t>
  </si>
  <si>
    <t>IMPERMEABILIZACAO DE SUPERFICIE COM CIMENTO ESPECIAL CRISTALIZANTE COM ADESIVO LIQUIDO DE ALTA PERFORMANCE A BASE DE RESINA ACRÍLICA, UMA DE MAO.</t>
  </si>
  <si>
    <t>DESMATAMENTO E LIMPEZA MECANIZADA DE TERRENO COM REMOCAO DE CAMADA VEGETAL, UTILIZANDO TRATOR DE ESTEIRAS</t>
  </si>
  <si>
    <t>TANQUE DE MÁRMORE SINTÉTICO SUSPENSO, 22L OU EQUIVALENTE, INCLUSO SIFÃ O TIPO GARRAFA EM PVC, VÁLVULA PLÁSTICA E TORNEIRA DE METAL CROMADO PADRÃO POPULAR - FORNECIMENTO E INSTALAÇÃO. AF_12/2013_P</t>
  </si>
  <si>
    <t xml:space="preserve">Planilha elaborada conforme proferido no acordão 2622/2013 do </t>
  </si>
  <si>
    <t>Risco</t>
  </si>
  <si>
    <t>CPRB</t>
  </si>
  <si>
    <t>ADMINISTRAÇÃO LOCAL DA OBRA, COMPOSIÇÃO EM APENSO, CONFORME ACORDÃO 2622/2013 DO TRIBUNAL DE CONTAS DA UNIÃO - TCU</t>
  </si>
  <si>
    <t>de 4,13 a 10,89%</t>
  </si>
  <si>
    <t>AGOSTO/2014</t>
  </si>
  <si>
    <t>FORNECIMENTO E INSTALAÇÃO DO SEPARADOR TRIFÁSICO</t>
  </si>
  <si>
    <t>10.01</t>
  </si>
  <si>
    <t>10.02</t>
  </si>
  <si>
    <t>CANTONEIRA - DN 2"X2" e=3mm</t>
  </si>
  <si>
    <t>CHAPA DE ALUMINIO e= 3mm</t>
  </si>
  <si>
    <t>CARPINTEIRO DE FORMAS</t>
  </si>
  <si>
    <t>REBITE DE ALUMINIO VAZADO DE REPUXO, 4,76 X 12 MM - (1KG=1025UNID)</t>
  </si>
  <si>
    <t xml:space="preserve">CHUMBADOR OMEGA C/PARAFUSO OM1404 1/4" </t>
  </si>
  <si>
    <t>CHUMBADOR 5/8 X 6"</t>
  </si>
  <si>
    <t>FORNECIMENTO E INSTALAÇÃO DE TAMPAS  EM FIBRA DE VIDRO OU AÇO INOX, NAS DIMENSÕES (120X30)CM, CONFORME PROJETO</t>
  </si>
  <si>
    <t>18.01</t>
  </si>
  <si>
    <t>18.02</t>
  </si>
  <si>
    <t>18.03</t>
  </si>
  <si>
    <t>18.04</t>
  </si>
  <si>
    <t>73834/001</t>
  </si>
  <si>
    <t>INSTALACAO DE CONJ.MOTO BOMBA SUBMERSIVEL ATE 10 CV</t>
  </si>
  <si>
    <t>ARRUELA BORRACHA FLANGE PN10 DN150</t>
  </si>
  <si>
    <t>REDUÇÃO FOFO FF CONCÊNTRICA DN 200X150</t>
  </si>
  <si>
    <t>JUNTA GIBAULT FOFO DN 200</t>
  </si>
  <si>
    <t>JUNCAO FOFO 45 GR C/FLANGES PN-16 DN 200X200</t>
  </si>
  <si>
    <t>ARRUELA BORRACHA FLANGE PN10 DN200</t>
  </si>
  <si>
    <t>APLICAÇÃO MANUAL DE PINTURA COM TINTA LÁTEX ACRÍLICA EM PAREDES, DUAS DEMÃOS. AF_06/2014</t>
  </si>
  <si>
    <t>TE REDUCAO PVC SOLD 90G P/ AGUA FRIA PREDIAL 32 MM X 25 MM</t>
  </si>
  <si>
    <t>TUBO ACO GALV C/ COSTURA DIN 2440/NBR 5580 CLASSE MEDIA DN 1/2" (15MM) E = 2,65MM - 1,22KG/M</t>
  </si>
  <si>
    <t>NIPEL FERRO GALV ROSCA 3/4"</t>
  </si>
  <si>
    <t>KIT CAVALETE PVC C/ REGISTRO 3/4"</t>
  </si>
  <si>
    <t>NÃO TEM</t>
  </si>
  <si>
    <t>CANTONEIRA ALUMINIO ABAS IGUAIS 2" E = 1/4"</t>
  </si>
  <si>
    <t>CHAPA ALUMINIO E = 6MM KG</t>
  </si>
  <si>
    <t>TELA ARAME GALV FIO 10 BWG (3,4MM) MALHA 2" (5 X 5CM) QUADRADA OU LOSANGO H= 2,0M</t>
  </si>
  <si>
    <t>TUBO ACO GALV C/ COSTURA DIN 2440/NBR 5580 CLASSE MEDIA DN 2" (50MM) E=3,65MM - 5,10KG/M</t>
  </si>
  <si>
    <t>PARAFUSO ACO CHUMBADOR PARABOLT 3/8" X 75MM</t>
  </si>
  <si>
    <t>REBITE DE ALUMINIO VAZADO DE REPUXO, 3,2 X 8MM - (1KG=1025UNID)</t>
  </si>
  <si>
    <t>PADRÃO DE ENTRADA DE ÁGUA</t>
  </si>
  <si>
    <t>PLANTIO DE ARBUSTO COM ALTURA 50 A 100CM, EM CAVA DE 60X60X60CM</t>
  </si>
  <si>
    <t>74104/001</t>
  </si>
  <si>
    <t>CHAPISCO APLICADO TANTO EM PILARES E VIGAS DE CONCRETO COMO EM ALVENARIAS DE PAREDES INTERNAS, COM ROLO PARA TEXTURA ACRÍLICA. ARGAMASSA TRAÇO 1:4 E EMULSÃO POLIMÉRICA (ADESIVO) COM PREPARO EM BETONEIRA 400L. AF_06/2014</t>
  </si>
  <si>
    <t>ALVENARIA DE VEDAÇÃO DE BLOCOS VAZADOS DE CONCRETO DE 14X19X39CM (ESPESSURA 14CM) DE PAREDES COM ÁREA LÍQUIDA MENOR QUE 6M² SEM VÃOS E ARGAMASSA DE ASSENTAMENTO COM PREPARO EM BETONEIRA. AF_06/2014_P</t>
  </si>
  <si>
    <t>73827/001</t>
  </si>
  <si>
    <t>KIT CAVALETE PVC COM REGISTRO 1/2" - FORNECIMENTO E INSTALAÇÃO</t>
  </si>
  <si>
    <t>74253/001</t>
  </si>
  <si>
    <t>RAMAL PREDIAL EM TUBO PEAD 20MM - FORNECIMENTO, INSTALAÇÃO, ESCAVAÇÃO E REATERRO</t>
  </si>
  <si>
    <t>LIGACAO DA REDE 50MM AO RAMAL PREDIAL 1/2"</t>
  </si>
  <si>
    <t>01.02.07</t>
  </si>
  <si>
    <t>AJUDANTE DE PEDREIRO</t>
  </si>
  <si>
    <t>73759/002</t>
  </si>
  <si>
    <t>23.01</t>
  </si>
  <si>
    <t>23.02</t>
  </si>
  <si>
    <t>23.03</t>
  </si>
  <si>
    <t>23.04</t>
  </si>
  <si>
    <t>24.01</t>
  </si>
  <si>
    <t>24.02</t>
  </si>
  <si>
    <t>29.01</t>
  </si>
  <si>
    <t>29.02</t>
  </si>
  <si>
    <t>29.03</t>
  </si>
  <si>
    <t>29.04</t>
  </si>
  <si>
    <t>CE-039</t>
  </si>
  <si>
    <t>CE-044</t>
  </si>
  <si>
    <t>EMBOÇO, PARA RECEBIMENTO DE CERÂMICA, EM ARGAMASSA TRAÇO 1:2:8, PREPARO MECÂNICO COM BETONEIRA 400L, APLICADO MANUALMENTE EM FACES INTERNAS DE PAREDES DE AMBIENTES COM ÁREA MENOR QUE 5M2, ESPESSURA DE 20MM, COM EXECUÇÃO DE TALISCAS. AF_06/2014</t>
  </si>
  <si>
    <t>73963/035</t>
  </si>
  <si>
    <t>Garantias</t>
  </si>
  <si>
    <t>Seguros</t>
  </si>
  <si>
    <t>Percentuais incidentes sobre o preço de custo</t>
  </si>
  <si>
    <t>Percentual incidente sobre a diferença entre o preço de venda e os tributos</t>
  </si>
  <si>
    <t>C/BDI-M</t>
  </si>
  <si>
    <t>=</t>
  </si>
  <si>
    <t>C/BDI-S</t>
  </si>
  <si>
    <t>PISO CIMENTADO TRACO 1:3 (CIMENTO E AREIA) ACABAMENTO RUSTICO ESPESSURA 2 CM COM JUNTAS PLASTICAS DE DILATACAO, PREPARO MANUAL DA ARGAMASSA</t>
  </si>
  <si>
    <t>AGO/2015</t>
  </si>
  <si>
    <t>AGOSTO/2015</t>
  </si>
  <si>
    <t>03.01.01</t>
  </si>
  <si>
    <t>03.01.02</t>
  </si>
  <si>
    <t>03.01.03</t>
  </si>
  <si>
    <t>03.01.04</t>
  </si>
  <si>
    <t>03.02.01</t>
  </si>
  <si>
    <t>03.02.02</t>
  </si>
  <si>
    <t>03.02.03</t>
  </si>
  <si>
    <t>03.02.04</t>
  </si>
  <si>
    <t>03.02.05</t>
  </si>
  <si>
    <t>03.02.06</t>
  </si>
  <si>
    <t>03.02.07</t>
  </si>
  <si>
    <t>03.02.08</t>
  </si>
  <si>
    <t>03.02.09</t>
  </si>
  <si>
    <t>03.02.10</t>
  </si>
  <si>
    <t>03.03.01</t>
  </si>
  <si>
    <t>03.03.02</t>
  </si>
  <si>
    <t>03.03.03</t>
  </si>
  <si>
    <t>03.03.04</t>
  </si>
  <si>
    <t>03.04.01</t>
  </si>
  <si>
    <t>03.04.02</t>
  </si>
  <si>
    <t>04.01.01</t>
  </si>
  <si>
    <t>04.01.02</t>
  </si>
  <si>
    <t>04.02.01</t>
  </si>
  <si>
    <t>04.02.02</t>
  </si>
  <si>
    <t>04.03.01</t>
  </si>
  <si>
    <t>04.06.01</t>
  </si>
  <si>
    <t>04.06.02</t>
  </si>
  <si>
    <t>04.06.03</t>
  </si>
  <si>
    <t>73887/004</t>
  </si>
  <si>
    <t>ASSENTAMENTO SIMPLES DE TUBOS DE FERRO FUNDIDO (FOFO) C/ JUNTA ELASTICA - DN 200 - INCLUSIVE TRANSPORTE</t>
  </si>
  <si>
    <t>ESCAVAÇÕES / REATERROS E ESCORAMENTOS</t>
  </si>
  <si>
    <t>B</t>
  </si>
  <si>
    <t xml:space="preserve">A </t>
  </si>
  <si>
    <t>C</t>
  </si>
  <si>
    <t xml:space="preserve">D </t>
  </si>
  <si>
    <t xml:space="preserve">E </t>
  </si>
  <si>
    <t>F</t>
  </si>
  <si>
    <t>G</t>
  </si>
  <si>
    <t>H</t>
  </si>
  <si>
    <t>I</t>
  </si>
  <si>
    <t>J</t>
  </si>
  <si>
    <t>M</t>
  </si>
  <si>
    <t>ESCAVAÇÃO</t>
  </si>
  <si>
    <t>REATERRO</t>
  </si>
  <si>
    <t>ESCOR. PONTALET.</t>
  </si>
  <si>
    <t>ESCOR. DESC.</t>
  </si>
  <si>
    <t>ESCOR. CONT.</t>
  </si>
  <si>
    <t>APILOAMENTO</t>
  </si>
  <si>
    <t>ESCOR. ESP.</t>
  </si>
  <si>
    <t>TOTAL</t>
  </si>
  <si>
    <t>03.02.11</t>
  </si>
  <si>
    <t>PVC</t>
  </si>
  <si>
    <t>PVA01</t>
  </si>
  <si>
    <t>PVA02</t>
  </si>
  <si>
    <t>P</t>
  </si>
  <si>
    <t>PVA03</t>
  </si>
  <si>
    <t>PVA04</t>
  </si>
  <si>
    <t>PVA05</t>
  </si>
  <si>
    <t>FoF</t>
  </si>
  <si>
    <t>o0,00</t>
  </si>
  <si>
    <t>PVA06</t>
  </si>
  <si>
    <t>PVA07</t>
  </si>
  <si>
    <t>PVA08</t>
  </si>
  <si>
    <t>PVA09</t>
  </si>
  <si>
    <t>PVA10</t>
  </si>
  <si>
    <t>PVA11</t>
  </si>
  <si>
    <t>PVA12</t>
  </si>
  <si>
    <t>PVA13</t>
  </si>
  <si>
    <t>PVA14</t>
  </si>
  <si>
    <t>PVA15</t>
  </si>
  <si>
    <t>PVA16</t>
  </si>
  <si>
    <t>PVA17</t>
  </si>
  <si>
    <t>PVA18</t>
  </si>
  <si>
    <t>PVA19</t>
  </si>
  <si>
    <t>PVA20</t>
  </si>
  <si>
    <t>PVA21</t>
  </si>
  <si>
    <t>PVA22</t>
  </si>
  <si>
    <t>PVA23</t>
  </si>
  <si>
    <t>PVA24</t>
  </si>
  <si>
    <t>PVA25</t>
  </si>
  <si>
    <t>PVB01</t>
  </si>
  <si>
    <t>PVB02</t>
  </si>
  <si>
    <t>PVB03</t>
  </si>
  <si>
    <t>PVB04</t>
  </si>
  <si>
    <t>PVB05</t>
  </si>
  <si>
    <t>PVB06</t>
  </si>
  <si>
    <t>PVB07</t>
  </si>
  <si>
    <t>PVB08</t>
  </si>
  <si>
    <t>PVC01</t>
  </si>
  <si>
    <t>PVC02</t>
  </si>
  <si>
    <t>PVC03</t>
  </si>
  <si>
    <t>PVC04</t>
  </si>
  <si>
    <t>PVC05</t>
  </si>
  <si>
    <t>PVC06</t>
  </si>
  <si>
    <t>PVC07</t>
  </si>
  <si>
    <t>PVC08</t>
  </si>
  <si>
    <t>PVD01</t>
  </si>
  <si>
    <t>PVD02</t>
  </si>
  <si>
    <t>PVD03</t>
  </si>
  <si>
    <t>PVD04</t>
  </si>
  <si>
    <t>PVD05</t>
  </si>
  <si>
    <t>PVD06</t>
  </si>
  <si>
    <t>PVD07</t>
  </si>
  <si>
    <t>PVD08</t>
  </si>
  <si>
    <t>PVD09</t>
  </si>
  <si>
    <t>PVD10</t>
  </si>
  <si>
    <t>PVD11</t>
  </si>
  <si>
    <t>PVD12</t>
  </si>
  <si>
    <t>PVD13</t>
  </si>
  <si>
    <t>PVD14</t>
  </si>
  <si>
    <t>PVD15</t>
  </si>
  <si>
    <t>PVD16</t>
  </si>
  <si>
    <t>PVD17</t>
  </si>
  <si>
    <t>PVD18</t>
  </si>
  <si>
    <t>PVD19</t>
  </si>
  <si>
    <t>PVD20</t>
  </si>
  <si>
    <t>FoFo0,00</t>
  </si>
  <si>
    <t>PVC 0,00</t>
  </si>
  <si>
    <t>Profundidade do PV's (m)</t>
  </si>
  <si>
    <t>qnt</t>
  </si>
  <si>
    <t>AÉREO</t>
  </si>
  <si>
    <t>QUANTITATIVOS</t>
  </si>
  <si>
    <t>CORTE</t>
  </si>
  <si>
    <t>ATERRO</t>
  </si>
  <si>
    <t>SEÇÃO</t>
  </si>
  <si>
    <t>A</t>
  </si>
  <si>
    <t>D</t>
  </si>
  <si>
    <t>E</t>
  </si>
  <si>
    <t>dx =</t>
  </si>
  <si>
    <t>BOTA FORA</t>
  </si>
  <si>
    <t>TERRAPLENAGEM</t>
  </si>
  <si>
    <t>URBANIZAÇÃO</t>
  </si>
  <si>
    <t>IMPRIMACAO DE BASE DE PAVIMENTACAO COM EMULSAO CM-30</t>
  </si>
  <si>
    <t xml:space="preserve">PINTURA DE LIGACAO COM EMULSAO RR-2C </t>
  </si>
  <si>
    <t>CE-006</t>
  </si>
  <si>
    <t>CE-007</t>
  </si>
  <si>
    <t>CE-009</t>
  </si>
  <si>
    <t>CE-011</t>
  </si>
  <si>
    <t>CE-012</t>
  </si>
  <si>
    <t>CE-013</t>
  </si>
  <si>
    <t>CE-014</t>
  </si>
  <si>
    <t>CE-015</t>
  </si>
  <si>
    <t>CE-016</t>
  </si>
  <si>
    <t>CE-019</t>
  </si>
  <si>
    <t>INTERLIGAÇÕES DE PROCESSOS, DRENAGEM E ÁGUA FRIA</t>
  </si>
  <si>
    <t>LOCAÇÃO DE REDES DE ÁGUA OU DE ESGOTO, INCLUSIVE TOPOGRAFO</t>
  </si>
  <si>
    <t>ARRUELA BORRACHA FLANGE PN10 DN100</t>
  </si>
  <si>
    <t>PARAFUSO C/PORCAS P/ FLANGE PN10 DN16x80</t>
  </si>
  <si>
    <t>PARAFUSO C/PORCAS P/ FLANGES DN20 x 90</t>
  </si>
  <si>
    <t>09.01</t>
  </si>
  <si>
    <t>09.02</t>
  </si>
  <si>
    <t>11.01</t>
  </si>
  <si>
    <t>11.02</t>
  </si>
  <si>
    <t>11.03</t>
  </si>
  <si>
    <t>11.04</t>
  </si>
  <si>
    <t>11.05</t>
  </si>
  <si>
    <t>12.01</t>
  </si>
  <si>
    <t>12.02</t>
  </si>
  <si>
    <t>12.03</t>
  </si>
  <si>
    <t>12.04</t>
  </si>
  <si>
    <t>12.05</t>
  </si>
  <si>
    <t>13.01</t>
  </si>
  <si>
    <t>13.02</t>
  </si>
  <si>
    <t>14.01</t>
  </si>
  <si>
    <t>14.02</t>
  </si>
  <si>
    <t>14.03</t>
  </si>
  <si>
    <t>15.01</t>
  </si>
  <si>
    <t>15.02</t>
  </si>
  <si>
    <t>15.03</t>
  </si>
  <si>
    <t>15.04</t>
  </si>
  <si>
    <t>17.01</t>
  </si>
  <si>
    <t>17.02</t>
  </si>
  <si>
    <t>17.03</t>
  </si>
  <si>
    <t>17.04</t>
  </si>
  <si>
    <t>19.01</t>
  </si>
  <si>
    <t>19.02</t>
  </si>
  <si>
    <t>22.01</t>
  </si>
  <si>
    <t>22.02</t>
  </si>
  <si>
    <t>22.03</t>
  </si>
  <si>
    <t>22.04</t>
  </si>
  <si>
    <t>24.03</t>
  </si>
  <si>
    <t>24.04</t>
  </si>
  <si>
    <t>26.01</t>
  </si>
  <si>
    <t>26.02</t>
  </si>
  <si>
    <t>26.03</t>
  </si>
  <si>
    <t>26.04</t>
  </si>
  <si>
    <t>27.01</t>
  </si>
  <si>
    <t>27.02</t>
  </si>
  <si>
    <t>27.03</t>
  </si>
  <si>
    <t>27.04</t>
  </si>
  <si>
    <t>28.01</t>
  </si>
  <si>
    <t>28.02</t>
  </si>
  <si>
    <t>28.03</t>
  </si>
  <si>
    <t>28.04</t>
  </si>
  <si>
    <t>29.05</t>
  </si>
  <si>
    <t>29.06</t>
  </si>
  <si>
    <t>29.07</t>
  </si>
  <si>
    <t>29.08</t>
  </si>
  <si>
    <t>29.09</t>
  </si>
  <si>
    <t>29.10</t>
  </si>
  <si>
    <t>29.11</t>
  </si>
  <si>
    <t>29.12</t>
  </si>
  <si>
    <t>29.13</t>
  </si>
  <si>
    <t>29.14</t>
  </si>
  <si>
    <t>31.01</t>
  </si>
  <si>
    <t>31.02</t>
  </si>
  <si>
    <t>31.03</t>
  </si>
  <si>
    <t>31.04</t>
  </si>
  <si>
    <t>32.01</t>
  </si>
  <si>
    <t>32.02</t>
  </si>
  <si>
    <t>32.03</t>
  </si>
  <si>
    <t>32.04</t>
  </si>
  <si>
    <t>32.05</t>
  </si>
  <si>
    <t>32.06</t>
  </si>
  <si>
    <t>34.01</t>
  </si>
  <si>
    <t>34.02</t>
  </si>
  <si>
    <t>34.03</t>
  </si>
  <si>
    <t>34.04</t>
  </si>
  <si>
    <t>35.01</t>
  </si>
  <si>
    <t>35.02</t>
  </si>
  <si>
    <t>36.01</t>
  </si>
  <si>
    <t>36.02</t>
  </si>
  <si>
    <t>36.03</t>
  </si>
  <si>
    <t>36.04</t>
  </si>
  <si>
    <t>37.01</t>
  </si>
  <si>
    <t>37.02</t>
  </si>
  <si>
    <t>37.03</t>
  </si>
  <si>
    <t>37.04</t>
  </si>
  <si>
    <t>37.05</t>
  </si>
  <si>
    <t>39.01</t>
  </si>
  <si>
    <t>39.02</t>
  </si>
  <si>
    <t>44.01</t>
  </si>
  <si>
    <t>44.02</t>
  </si>
  <si>
    <t>44.03</t>
  </si>
  <si>
    <t>44.04</t>
  </si>
  <si>
    <t>44.05</t>
  </si>
  <si>
    <t>44.06</t>
  </si>
  <si>
    <t>44.07</t>
  </si>
  <si>
    <t>44.08</t>
  </si>
  <si>
    <t>45.01</t>
  </si>
  <si>
    <t>45.02</t>
  </si>
  <si>
    <t>CE-045</t>
  </si>
  <si>
    <t>44.09</t>
  </si>
  <si>
    <t>44.10</t>
  </si>
  <si>
    <t>44.11</t>
  </si>
  <si>
    <t>44.12</t>
  </si>
  <si>
    <t>44.13</t>
  </si>
  <si>
    <t>45.03</t>
  </si>
  <si>
    <t>45.04</t>
  </si>
  <si>
    <t>46.01</t>
  </si>
  <si>
    <t>46.02</t>
  </si>
  <si>
    <t>CE-046</t>
  </si>
  <si>
    <t>47.01</t>
  </si>
  <si>
    <t>47.02</t>
  </si>
  <si>
    <t>47.03</t>
  </si>
  <si>
    <t>47.04</t>
  </si>
  <si>
    <t>CE-047</t>
  </si>
  <si>
    <t>02.01.00</t>
  </si>
  <si>
    <t>CLIENTE: PREFEITURA MUNICIPAL DE POTIM</t>
  </si>
  <si>
    <t>PREFEITURA MUNICIPAL DE POTIM</t>
  </si>
  <si>
    <t>PROJETO: SISTEMA DE ESGOTOS SANITÁRIOS DE POTIM</t>
  </si>
  <si>
    <t xml:space="preserve"> SISTEMA DE ESGOTOS SANITÁRIOS DE POTIM</t>
  </si>
  <si>
    <t>SISTEMA DE ESGOTOS SANITÁRIOS DE POTIM</t>
  </si>
  <si>
    <t>CIDADE:  POTIM - SP</t>
  </si>
  <si>
    <t>POTIM - SP</t>
  </si>
  <si>
    <t>TRATAMENTO PRELIMINAR MECANIZADO</t>
  </si>
  <si>
    <t>DESMATAMENTO E LIMPEZA MECANIZADA DE TERRENO COM ARVORES ATE Ø 15CM, UTILIZANDO TRATOR DE ESTEIRAS</t>
  </si>
  <si>
    <t>LIMPEZA MECANIZADA DE TERRENO, INCLUSIVE RETIRADA DE ARVORE ENTRE 0,05 M E 0,15 M DE DIAMETRO</t>
  </si>
  <si>
    <t>m³Xkm</t>
  </si>
  <si>
    <t xml:space="preserve">ESPALHAMENTO DE MATERIAL DE 1A CATEGORIA COM TRATOR DE ESTEIRA COM 153 HP </t>
  </si>
  <si>
    <t>EMPRESTIMOS / ATERRO</t>
  </si>
  <si>
    <t>74005/002</t>
  </si>
  <si>
    <t xml:space="preserve">COMPACTAÇÃO MEC. C/ CONTROLE DO GC&gt;=95% DO PN </t>
  </si>
  <si>
    <t>73992/001</t>
  </si>
  <si>
    <t>LOCACAO CONVENCIONAL DE OBRA, ATRAVÉS DE GABARITO DE TABUAS CORRIDAS PONTALETADAS A CADA 1,50M, SEM REAPROVEITAMENTO</t>
  </si>
  <si>
    <t>REATERRO MANUAL DE VALAS COM COMPACTAÇÃO MECANIZADA. AF_04/2016</t>
  </si>
  <si>
    <t>LASTRO DE CONCRETO, E = 5 CM, PREPARO MECÂNICO, INCLUSOS LANÇAMENTO E ADENSAMENTO. AF_07_2016</t>
  </si>
  <si>
    <t>CONCRETO FCK = 40MPA, TRAÇO 1:1,6:1,9 (CIMENTO/ AREIA MÉDIA/ BRITA 1) - PREPARO MECÂNICO COM BETONEIRA 600 L. AF_07/2016</t>
  </si>
  <si>
    <t>IMPERMEABILIZACAO DE SUPERFICIE COM CIMENTO ESPECIAL CRISTALIZANTE COM ADESIVO LIQUIDO, UMA DEMAO.</t>
  </si>
  <si>
    <t>FORNECIMENTO E INSTALAÇÃO DA TAMPA  EM  CHAPA DE ALUMÍNIO, NAS DIMENSÕES (115X80)CM</t>
  </si>
  <si>
    <t>ABRIGO DOS QUADROS DE COMANDO DOS MOTORES "QCM's"</t>
  </si>
  <si>
    <t>cj</t>
  </si>
  <si>
    <t>FORNECIMENTO E INSTALAÇÃO DA TAMPA  EM  CHAPA DE ALUMÍNIO, NAS DIMENSÕES (80X80)CM</t>
  </si>
  <si>
    <t>PERFIL "I" DE ACO LAMINADO, "W" 250 X 44,8</t>
  </si>
  <si>
    <t>FORNECIMENTO DE CESTO EM FIO DE AÇO DE 3 MM, MALHA DE 5 CM, NAS DIMENSÕES (45x45x45) CM, INCLUSIVE GUIAS LATERAIS EM TUBO GALVANIZADO DN 2" E SISTEMA DE FIXAÇÃO,  CONFORME PROJETO (ELEVATÓRIA DE REVERSÃO DE BACIA)</t>
  </si>
  <si>
    <t>CHAPA DE ALUMINIO, E = 5 MM, L = 1060 MM - 13,5 KG/M2 (LIGA 1200 - H14)</t>
  </si>
  <si>
    <t>CANTONEIRA ALUMINIO ABAS IGUAIS 2 ", E = 1/4 "</t>
  </si>
  <si>
    <t>TRANSPORTE HORIZONTAL, MASSA/GRANEL, JERICA 90L, 100M. AF_06/2014</t>
  </si>
  <si>
    <t>ALVENARIA DE VEDAÇÃO DE BLOCOS CERÂMICOS FURADOS NA VERTICAL DE 14X19X39CM (ESPESSURA 14CM) DE PAREDES COM ÁREA LÍQUIDA MAIOR OU IGUAL A 6M² SEM VÃOS E ARGAMASSA DE ASSENTAMENTO COM PREPARO EM BETONEIRA. AF_06/2014</t>
  </si>
  <si>
    <t>CHAPISCO APLICADO EM ALVENARIAS E ESTRUTURAS DE CONCRETO INTERNAS, COM COLHER DE PEDREIRO. ARGAMASSA TRAÇO 1:3 COM PREPARO MANUAL. AF_06/2014</t>
  </si>
  <si>
    <t>APLICAÇÃO MANUAL DE PINTURA COM TINTA LÁTEX PVA EM PAREDES, DUAS DEMÃOS. AF_06/2014</t>
  </si>
  <si>
    <t>REDUÇÃO F°F° COM FLANGES PN10 DN80X40</t>
  </si>
  <si>
    <t>CURVA 90º FOFO ESG.FF PN10 DN  80</t>
  </si>
  <si>
    <t>VALVULA RET.FOFO PORT.UN.FF PN10 DN 80</t>
  </si>
  <si>
    <t>CURVA 45° F°F° FLANGEADA PN10 DN80</t>
  </si>
  <si>
    <t>TE FOFO FFF PN10 DN  80</t>
  </si>
  <si>
    <t>JUNÇÃO F°F° FLANGEADA PN10 DN 80</t>
  </si>
  <si>
    <t>LIMPEZA FINAL DA OBRA</t>
  </si>
  <si>
    <t>TAPUME DE CHAPA DE MADEIRA COMPENSADA, E= 6MM, COM PINTURA A CAL E REAPROVEITAMENTO DE 2X</t>
  </si>
  <si>
    <t>CONE DE SINALIZACAO EM PVC RIGIDO COM FAIXA REFLETIVA, H = 70 / 76 CM</t>
  </si>
  <si>
    <t>PASSADICOS COM TÁBUAS DE MADEIRA PARA PEDESTRES</t>
  </si>
  <si>
    <t>TRAVESSIA COM TÁBUAS DE MADEIRA PARA VEICULOS</t>
  </si>
  <si>
    <t>ESCAVAÇÃO MECANIZADA DE VALA COM PROFUNDIDADE ATÉ 1,5 M (MÉDIA ENTRE MONTANTE E JUSANTE/UMA COMPOSIÇÃO POR TRECHO) COM RETROESCAVADEIRA (CAPACIDADE DA CAÇAMBA DA RETRO: 0,26 M3 / POTÊNCIA: 88 HP), LARGURA MENOR QUE 0,8 M, EM SOLO DE 1A CATEGORIA, LOCAISCOM BAIXO NÍVEL DE INTERFERÊNCIA. AF_01/2015</t>
  </si>
  <si>
    <t>ESCORAMENTO DE VALA, TIPO PONTALETEAMENTO, COM PROFUNDIDADE DE 0 A 1,5 M, LARGURA MENOR QUE 1,5 M, EM LOCAL COM NÍVEL BAIXO DE INTERFERÊNCIA . AF_06/2016</t>
  </si>
  <si>
    <t>APILOAMENTO, ATERRO E REATERRO DE VALAS</t>
  </si>
  <si>
    <t>PREPARO DE FUNDO DE VALA COM LARGURA MENOR QUE 1,5 M, EM LOCAL COM NÍVEL BAIXO DE INTERFERÊNCIA. AF_06/2016</t>
  </si>
  <si>
    <t>REATERRO MECANIZADO DE VALA COM RETROESCAVADEIRA (CAPACIDADE DA CAÇAMBA DA RETRO: 0,26 M³ / POTÊNCIA: 88 HP), LARGURA ATÉ 0,8 M, PROFUNDIDADE ATÉ 1,5 M, COM SOLO (SEM SUBSTITUIÇÃO) DE 1ª CATEGORIA EM LOCAIS COMBAIXO NÍVEL DE INTERFERÊNCIA. AF_04/2016</t>
  </si>
  <si>
    <t>03.04.03</t>
  </si>
  <si>
    <t>EMPRESTIMOS</t>
  </si>
  <si>
    <t>EXECUCAO DE DRENO COM TUBOS DE PVC CORRUGADO FLEXIVEL PERFURADO - DN 100</t>
  </si>
  <si>
    <t>ESTRUTURAS DE SUSTENTAÇÃO DAS TUBULAÇÕES</t>
  </si>
  <si>
    <t>TUBO DE PVC PARA REDE COLETORA DE ESGOTO DE PAREDE MACIÇA, DN 150 MM, JUNTA ELÁSTICA, INSTALADO EM LOCAL COM NÍVEL BAIXO DE INTERFERÊNCIAS - FORNECIMENTO E ASSENTAMENTO. AF_06/2015</t>
  </si>
  <si>
    <t>DEMOLIÇÃO DE PAVIMENTAÇÃO ASFÁLTICA COM UTILIZAÇÃO DE MARTELO PERFURADOR, ESPESSURA ATÉ 15 CM, EXCLUSIVE CARGA E TRANSPORTE</t>
  </si>
  <si>
    <t>CARGA E DESCARGA MECANIZADAS DE ENTULHO EM CAMINHAO BASCULANTE 6 M3</t>
  </si>
  <si>
    <t>TRANSPORTE DE ENTULHO COM CAMINHAO BASCULANTE 6 M3, RODOVIA PAVIMENTADA, DMT 0,5 A 1,0 KM</t>
  </si>
  <si>
    <t>ESPALHAMENTO DE MATERIAL EM BOTA FORA, COM UTILIZACAO DE TRATOR DE ESTEIRAS DE 165 HP</t>
  </si>
  <si>
    <t>BL</t>
  </si>
  <si>
    <t>PARA</t>
  </si>
  <si>
    <t>PASS</t>
  </si>
  <si>
    <t>ELEVATÓRIA 01</t>
  </si>
  <si>
    <t>LINHA DE RECALQUE 01</t>
  </si>
  <si>
    <t>LINHA DE RECALQUE 02</t>
  </si>
  <si>
    <t>PÓRTICO PARA RETIRADA DAS BOMBAS EM PERFIS METÁLICOS, CONFORME PROJETO (ELEVATÓRIA FINAL)</t>
  </si>
  <si>
    <t>FORNECIMENTO DE CESTO EM FIO DE AÇO DE 3 MM, MALHA DE 5 CM, NAS DIMENSÕES (45x45x45) CM, INCLUSIVE GUIAS LATERAIS EM TUBO GALVANIZADO DN 2" E SISTEMA DE FIXAÇÃO,  CONFORME PROJETO (ELEVATÓRIA FINAL)</t>
  </si>
  <si>
    <t>URBANIZAÇÃO E PAISAGISMO</t>
  </si>
  <si>
    <t>EXECUÇÃO DE PASSEIO (CALÇADA) OU PISO DE CONCRETO COM CONCRETO MOLDADO IN LOCO, FEITO EM OBRA, ACABAMENTO CONVENCIONAL, ESPESSURA 6 CM, ARMADO. AF_07/2016</t>
  </si>
  <si>
    <t>PLANTIO DE GRAMA BATATAIS EM PLACAS</t>
  </si>
  <si>
    <t>EXECUÇÃO DE SARJETA DE CONCRETO USINADO, MOLDADA IN LOCO EM TRECHO RETO, 30 CM BASE X 15 CM ALTURA. AF_06/2016</t>
  </si>
  <si>
    <t>73822/002</t>
  </si>
  <si>
    <t>LIMPEZA MECANIZADA DE TERRENO COM REMOCAO DE CAMADA VEGETAL, UTILIZANDO MOTONIVELADORA</t>
  </si>
  <si>
    <t>REGULARIZACAO DE SUPERFICIES EM TERRA COM MOTONIVELADORA</t>
  </si>
  <si>
    <t>03.03.05</t>
  </si>
  <si>
    <t>03.04.04</t>
  </si>
  <si>
    <t>REGULARIZAÇÃO DE SUPERFICIE DE CONCRETO APARENTE</t>
  </si>
  <si>
    <t>74238/002</t>
  </si>
  <si>
    <t>PORTAO EM TELA ARAME GALVANIZADO N.12 MALHA 2" E MOLDURA EM TUBOS DE ACO COM DUAS FOLHAS DE ABRIR, INCLUSO FERRAGENS</t>
  </si>
  <si>
    <t>EXECUÇÃO DE PAVIMENTO EM PISO INTERTRAVADO, COM BLOCO SEXTAVADO DE 25 X 25 CM, ESPESSURA 6 CM. AF_12/2015</t>
  </si>
  <si>
    <t>ESCAVAÇÃO MANUAL DE VALAS. AF_03/201</t>
  </si>
  <si>
    <t>ESCAVACAO MECANICA, A CEU ABERTO, EM MATERIAL DE 1A CATEGORIA, COM ESCAVADEIRA HIDRAULICA, CAPACIDADE DE 0,78 M3</t>
  </si>
  <si>
    <t>MONTAGEM E DESMONTAGEM DE FÔRMA DE LAJE MACIÇA COM ÁREA MÉDIA MENOR OU IGUAL A 20 M², PÉ-DIREITO SIMPLES, EM MADEIRA SERRADA, 1 UTILIZAÇÃO.</t>
  </si>
  <si>
    <t>MONTAGEM E DESMONTAGEM DE FÔRMA DE PILARES RETANGULARES E ESTRUTURAS SIMILARES COM ÁREA MÉDIA DAS SEÇÕES MENOR OU IGUAL A 0,25 M², PÉ-DIREITO SIMPLES, EM MADEIRA SERRADA, 1 UTILIZAÇÃO. AF_12/2015</t>
  </si>
  <si>
    <t>ACO CA-50, 10,0 MM, DOBRADO E CORTADO</t>
  </si>
  <si>
    <t>ACO CA-50, 8,0 MM, VERGALHAO</t>
  </si>
  <si>
    <t>LANÇAMENTO COM USO DE BOMBA, ADENSAMENTO E ACABAMENTO DE CONCRETO EM ESTRUTURAS. AF_12/2015</t>
  </si>
  <si>
    <t>AJUDANTE DE SERRALHEIRO</t>
  </si>
  <si>
    <t>BOMBA SUBMERSÍVEL KSB KRT K 40-250/5 4 W ∅ROTOR 210 POTÊNCIA 5,0 cv, 1.750 RPM OU SIMILAR</t>
  </si>
  <si>
    <t>ESCAVAÇÃO MANUAL DE VALAS. AF_03/2016</t>
  </si>
  <si>
    <t>MASSA ÚNICA, PARA RECEBIMENTO DE PINTURA OU CERÂMICA, EM ARGAMASSUSTRIALIZADA, PREPARO MECÂNICO, APLICADO COM EQUIPAMENTO DE MISTURA E PROJEÇÃO DE 1,5 M3/H DE ARGAMASSA EM FACES INTERNAS DE PAREDES, ESPESSURA DE 10MM, SEM EXECUÇÃO DE TALISCAS. AF_06/2014</t>
  </si>
  <si>
    <t>FORNECIMENTO E INSTALAÇÃO DA TAMPA  EM  CHAPA DE ALUMÍNIO, NAS DIMENSÕES (160X80)CM</t>
  </si>
  <si>
    <t>ADUFA DE PAREDE EM F°F° COM TUBO PROLONGADOR L = 0,40m DN150</t>
  </si>
  <si>
    <t>HASTE DE PROLONGAMENTO COM ROSCAS L=1,80m DN1.1/8"</t>
  </si>
  <si>
    <t>PEDESTAL DE SUSPENSÃO SIMPLES EM F°F°</t>
  </si>
  <si>
    <t>TUBO DE F°F° COM FLANGES PN10 L=1,36m DN80</t>
  </si>
  <si>
    <t>TUBO DE F°F° COM FLANGES PN10 L=0,54m DN80</t>
  </si>
  <si>
    <t>TUBO DE F°F° FLANGE PONTA PN10 L=0,18m DN80</t>
  </si>
  <si>
    <t>TUBO DE F°F° COM FLANGES PN10 L=0,55m DN80</t>
  </si>
  <si>
    <t>TUBO F°F° FLANGE PONTA PN10 L=0,75m DN80</t>
  </si>
  <si>
    <t>TUBO DE F°F° COM FLANGES PN10 L=1,04m DN80</t>
  </si>
  <si>
    <t>TUBO DE F°F° COM FLANGES PN10 L=0,15m DN80</t>
  </si>
  <si>
    <t>JUNTA GIBAULT FOFO P/FOFO DN  80</t>
  </si>
  <si>
    <t>REGISTRO CHATO F°F° COM FLANGES E VOLANTE PN10 DN80</t>
  </si>
  <si>
    <t>REDUÇÃO F°F° PONTA BOLSA DN100X80</t>
  </si>
  <si>
    <t>EXTREMIDADE FOFO BF JE PN16 DN  80</t>
  </si>
  <si>
    <t>PARAFUSO PARA FLANGES 16x80</t>
  </si>
  <si>
    <t>ARRUELA BORRACHA FLANGE PN10 DN80</t>
  </si>
  <si>
    <t>ENCANADOR OU BOMBEIRO HIDRÁULICO COM ENCARGOS COMPLEMENTARES</t>
  </si>
  <si>
    <t>AUXILIAR DE ENCANADOR OU BOMBEIRO HIDRÁULICO COM ENCARGOS COMPLEMENTAR</t>
  </si>
  <si>
    <t>SERVENTE COM ENCARGOS COMPLEMENTARES</t>
  </si>
  <si>
    <t>73888/003</t>
  </si>
  <si>
    <t xml:space="preserve">ASSENTAMENTO TUBO PVC COM JUNTA ELASTICA, DN 100 MM - (OU RPVC, OU PDEFOFO, OU PRFV) </t>
  </si>
  <si>
    <t>TUBO PVC DEFOFO, JEI, 1 MPA, DN 100 MM (NBR 7665)</t>
  </si>
  <si>
    <t>PRE-MISTURADO A FRIO COM EMULSAO RM-1C, INCLUSO USINAGEM E APLICACAO, EXCLUSIVE TRANSPORTE</t>
  </si>
  <si>
    <t>BASE PARA PAVIMENTACAO COM BRITA CORRIDA, INCLUSIVE COMPACTACAO</t>
  </si>
  <si>
    <t>REDE INTERCEPTORA E COLETORA DE ESGOTOS</t>
  </si>
  <si>
    <t>TUBO DE PVC PARA REDE COLETORA DE ESGOTO DE PAREDE MACIÇA, DN 200 MM, JUNTA ELÁSTICA, INSTALADO EM LOCAL COM NÍVEL BAIXO DE INTERFERÊNCIAS - FORNECIMENTO E ASSENTAMENTO. AF_06/2015</t>
  </si>
  <si>
    <t>ASSENTAMENTO SIMPLES DE TUBOS DE FERRO FUNDIDO (FOFO) C/ JUNTA ELASTICA - DN 250 - INCLUSIVE TRANSPORTE</t>
  </si>
  <si>
    <t>73887/005</t>
  </si>
  <si>
    <t>PAVIMENTOS</t>
  </si>
  <si>
    <t>ASFALTO (m²)</t>
  </si>
  <si>
    <t xml:space="preserve">DEMOLIÇÃO </t>
  </si>
  <si>
    <t>RECOMPOSIÇÃO</t>
  </si>
  <si>
    <t>total</t>
  </si>
  <si>
    <t>1,5 A 3</t>
  </si>
  <si>
    <t>prof</t>
  </si>
  <si>
    <t>adicional pv</t>
  </si>
  <si>
    <t>escoramento</t>
  </si>
  <si>
    <t>escoramento àcima de 1,50</t>
  </si>
  <si>
    <t>ESCAVAÇÕES</t>
  </si>
  <si>
    <t>ATÉ 1,50 m</t>
  </si>
  <si>
    <t>DE 1,50 À 3,00 m</t>
  </si>
  <si>
    <t>subtotal</t>
  </si>
  <si>
    <t>total programa</t>
  </si>
  <si>
    <t xml:space="preserve">  </t>
  </si>
  <si>
    <t>ESCAVAÇÃO MECANIZADA DE VALA COM PROFUNDIDADE MAIOR QUE 1,5 M ATÉ 3,0M, COM (MÉDIA ENTRE MONTANTE E JUSANTE/UMA COMPOSIÇÃO POR TRECHO) COM RETROESCAVADEIRA (CAPACIDADE DA CAÇAMBA DA RETRO: 0,26 M3 / POTÊNCIA:88 HP), LARGURA MENOR QUE 0,8 M, EM SOLO DE1A CATEGORIA, LOCAIS COM BAIXO NÍVEL DE INTERFERÊNCIA. AF_01/201</t>
  </si>
  <si>
    <t>ESCORAMENTO DE VALA, TIPO PONTALETEAMENTO, COM PROFUNDIDADE DE 1,5 A 3,0 M, LARGURA MAIOR OU IGUAL A 1,5 M E MENOR QUE 2,5 M, EM LOCAL COM NÍVEL BAIXO DE INTERFERÊNCIA. AF_06/2016</t>
  </si>
  <si>
    <t>ESCAVACAO MECANICA CAMPO ABERTO EM SOLO EXCETO ROCHA ATE 2,00M DE PROFUNDIDADE</t>
  </si>
  <si>
    <t>CAMADA HORIZONTAL DRENANTE C/ PEDRA BRITADA 1 E 2</t>
  </si>
  <si>
    <t>CE-003</t>
  </si>
  <si>
    <t>TRECHO COM TUBULAÇÃO APARENTE (APOIADA EM MANILHAS PREENCHIDAS COM CONCRETO)</t>
  </si>
  <si>
    <t>SERVENTE COM ENCARGOS COMPLEMENTARES (ESCAVAÇÃO MANUAL)</t>
  </si>
  <si>
    <t>03.05</t>
  </si>
  <si>
    <t>74157/004</t>
  </si>
  <si>
    <t>LANCAMENTO/APLICACAO MANUAL DE CONCRETO EM FUNDACOES</t>
  </si>
  <si>
    <t>CHAPA ACO INOX AISI 304 NUMERO 9 (E = 4 MM), ACABAMENTO NUMERO 1 (LAMINADO A QUENTE, FOSCO)</t>
  </si>
  <si>
    <t>PARAFUSO DE ACO TIPO CHUMBADOR PARABOLT, DIAMETRO 3/8", COMPRIMENTO 75 MM</t>
  </si>
  <si>
    <t>TUBO CONCRETO ARMADO, CLASSE EA-2, PB JE, DN 600 MM, PARA ESGOTO SANITARIO (NBR8890)</t>
  </si>
  <si>
    <t>73883/001</t>
  </si>
  <si>
    <t>EXECUCAO DE DRENO FRANCES COM AREIA MEDIA</t>
  </si>
  <si>
    <t>ENROCAMENTO MANUAL, COM ARRUMACAO DO MATERIAL</t>
  </si>
  <si>
    <t>CAMINHÃO TOCO, PBT 16.000 KG, CARGA ÚTIL MÁX. 10.685 KG, DIST. ENTRE EIXOS 4,8 M, POTÊNCIA 189 CV, INCLUSIVE CARROCERIA FIXA ABERTA DE MADEIRA P/ TRANSPORTE GERAL DE CARGA SECA, DIMEN. APROX. 2,5 X 7,00 X 0,50M - CHP DIURNO. AF_06/2014</t>
  </si>
  <si>
    <t>chp</t>
  </si>
  <si>
    <t>04.06</t>
  </si>
  <si>
    <t>04.07</t>
  </si>
  <si>
    <t>04.08</t>
  </si>
  <si>
    <t>ACO CA-50, 6,3 MM, DOBRADO E CORTADO</t>
  </si>
  <si>
    <t>GUINDASTE HIDRÁULICO AUTOPROPELIDO, COM LANÇA TELESCÓPICA 28,80 M, CAPACIDADE MÁXIMA 30 T, POTÊNCIA 97 KW, TRAÇÃO 4 X 4 - CHP DIURNO. AF2014</t>
  </si>
  <si>
    <t>MOTORISTA DE VEÍCULO PESADO COM ENCARGOS COMPLEMENTARES</t>
  </si>
  <si>
    <t>OPERADOR DE GUINDASTE COM ENCARGOS COMPLEMENTARES</t>
  </si>
  <si>
    <t>PVC 5,03</t>
  </si>
  <si>
    <t>7475735.5915040,570,740,99</t>
  </si>
  <si>
    <t>7475717.47918 0,470,601,10</t>
  </si>
  <si>
    <t>7475704.7464760,470,601,10</t>
  </si>
  <si>
    <t>7475668.6557380,470,601,10</t>
  </si>
  <si>
    <t>7475590.9414780,470,601,10</t>
  </si>
  <si>
    <t>7475571.2881850,470,601,10</t>
  </si>
  <si>
    <t>7475520.4080610,470,601,10</t>
  </si>
  <si>
    <t>7475468.36943 0,470,601,10</t>
  </si>
  <si>
    <t>7475418.4893240,470,601,10</t>
  </si>
  <si>
    <t>7475381.0929880,470,601,10</t>
  </si>
  <si>
    <t>7475365.7809430,470,601,10</t>
  </si>
  <si>
    <t>7475361.8656560,470,601,10</t>
  </si>
  <si>
    <t>7475356.3580780,470,601,10</t>
  </si>
  <si>
    <t>7475351.5269220,570,740,99</t>
  </si>
  <si>
    <t>7475359.15295 0,570,740,99</t>
  </si>
  <si>
    <t>7475359.7525670,470,601,10</t>
  </si>
  <si>
    <t>FoFo0,71</t>
  </si>
  <si>
    <t>7475342.8032710,490,621,16</t>
  </si>
  <si>
    <t>7475323.9736490,590,761,04</t>
  </si>
  <si>
    <t>7475320.8973530,590,771,04</t>
  </si>
  <si>
    <t>7475308.04836 0,590,761,04</t>
  </si>
  <si>
    <t>7475328.3040740,490,621,16</t>
  </si>
  <si>
    <t>FoFo0,55</t>
  </si>
  <si>
    <t>7475313.2195410,490,651,18</t>
  </si>
  <si>
    <t>7475268.9147550,600,791,05</t>
  </si>
  <si>
    <t>7475207.11259 0,600,791,05</t>
  </si>
  <si>
    <t>PVE</t>
  </si>
  <si>
    <t>7475192.0343210,600,791,05</t>
  </si>
  <si>
    <t>7474776.8344580,520,521,02</t>
  </si>
  <si>
    <t>7474768.3484070,520,521,02</t>
  </si>
  <si>
    <t>7474724.3243010,520,521,02</t>
  </si>
  <si>
    <t>7474684.0819740,520,521,02</t>
  </si>
  <si>
    <t>7474654.6604250,520,671,02</t>
  </si>
  <si>
    <t>7474644.5440820,520,671,02</t>
  </si>
  <si>
    <t>7474584.03784 0,801,062,30</t>
  </si>
  <si>
    <t>7474577.5995520,460,601,18</t>
  </si>
  <si>
    <t>7473660.7320461,011,353,56</t>
  </si>
  <si>
    <t>7473687.1788690,580,761,04</t>
  </si>
  <si>
    <t>7473695.8407870,680,901,49</t>
  </si>
  <si>
    <t>7473760.7799261,271,695,84</t>
  </si>
  <si>
    <t>7473824.3288441,191,554,31</t>
  </si>
  <si>
    <t>7473894.6230730,750,961,54</t>
  </si>
  <si>
    <t>7473936.8448690,750,961,52</t>
  </si>
  <si>
    <t>ELEV</t>
  </si>
  <si>
    <t>7473982.9543640,740,941,48</t>
  </si>
  <si>
    <t>7475699.1130910,670,881,76</t>
  </si>
  <si>
    <t>7475711.7343840,630,831,52</t>
  </si>
  <si>
    <t>7475713.0229490,520,691,02</t>
  </si>
  <si>
    <t>7475711.7385150,600,791,38</t>
  </si>
  <si>
    <t>7475686.8743940,420,540,61</t>
  </si>
  <si>
    <t>7475671.5173330,420,540,61</t>
  </si>
  <si>
    <t>7475663.1433630,420,540,61</t>
  </si>
  <si>
    <t>7475682.6298470,420,540,61</t>
  </si>
  <si>
    <t>7475702.0136560,420,540,61</t>
  </si>
  <si>
    <t>7475713.6761380,420,540,61</t>
  </si>
  <si>
    <t>7475716.8557740,420,540,61</t>
  </si>
  <si>
    <t>7475719.0933860,420,540,61</t>
  </si>
  <si>
    <t>7475720.7261760,420,540,61</t>
  </si>
  <si>
    <t>7475721.2893540,420,540,61</t>
  </si>
  <si>
    <t>7475719.96314 0,420,540,61</t>
  </si>
  <si>
    <t>7475718.9056150,420,540,61</t>
  </si>
  <si>
    <t>7475717.6098810,420,540,61</t>
  </si>
  <si>
    <t>7475715.97139 0,420,540,61</t>
  </si>
  <si>
    <t>7475713.3443540,420,540,61</t>
  </si>
  <si>
    <t>7475710.0434750,420,540,61</t>
  </si>
  <si>
    <t>73963/003</t>
  </si>
  <si>
    <t>POCO DE VISITA PARA REDE DE ESG. SANIT., EM ANEIS DE CONCRETO, DIÂMETRO = 60CM, PROF = 60CM, INCLUINDO DEGRAU, EXCLUINDO TAMPAO FERRO FUNDIDO.</t>
  </si>
  <si>
    <t>POCO DE VISITA PARA REDE DE ESG. SANIT., EM ANEIS DE CONCRETO, DIÂMETRO = 60CM, PROF = 100CM, EXCLUINDO TAMPAO FERRO FUNDIDO.</t>
  </si>
  <si>
    <t>POCO DE VISITA PARA REDE DE ESG. SANIT., EM ANEIS DE CONCRETO, DIÂMETRO = 60CM E 110CM, PROF = 260CM, EXCLUINDO TAMPAO FERRO FUNDIDO.</t>
  </si>
  <si>
    <t>LOCACAO E NIVELAMENTO DE EMISSARIO/REDE COLETORA COM AUXILIO DE EQUIPAMENTO TOPOGRAFICO</t>
  </si>
  <si>
    <t>PÓRTICO PARA RETIRADA DAS BOMBAS EM PERFIS METÁLICOS, CONFORME PROJETO (ELEVATÓRIA 01)</t>
  </si>
  <si>
    <t>PÓRTICO PARA RETIRADA DAS BOMBAS EM PERFIS METÁLICOS, CONFORME PROJETO- (ELEVATÓRIA 01)</t>
  </si>
  <si>
    <t>FORNECIMENTO E INSTALAÇÃO DA TAMPA  EM  CHAPA DE ALUMÍNIO, NAS DIMENSÕES (90X90)CM</t>
  </si>
  <si>
    <t>FORNECIMENTO E INSTALAÇÃO DA TAMPA  EM  CHAPA DE ALUMÍNIO, NAS DIMENSÕES (170X90)CM</t>
  </si>
  <si>
    <t>BOMBA SUBMERSÍVEL KSB KRT K 150-401/32 6 U ROTOR 375 POTÊNCIA 40 CV, 1160 RPM, OU SIMILAR</t>
  </si>
  <si>
    <t>73834/003</t>
  </si>
  <si>
    <t>INSTALACAO DE CONJ.MOTO BOMBA SUBMERSIVEL DE 26 A 50 CV</t>
  </si>
  <si>
    <t>HASTE DE PROLONGAMENTO COM ROSCAS L=5,65m</t>
  </si>
  <si>
    <t>TUBO PVC PBV SERIE R P/ ESG OU AGUAS PLUVIAIS PREDIAL DN 75MM</t>
  </si>
  <si>
    <t>TUBO PVC PBV SERIE R P/ ESG OU AGUAS PLUVIAIS PREDIAL DN 50MM</t>
  </si>
  <si>
    <t>CURVA 90° F°F° FLANGEADA DN200</t>
  </si>
  <si>
    <t>TUBO F°F° FLANGEADO L=0,63m DN200</t>
  </si>
  <si>
    <t>VÁLVULA DE RETENÇÃO C/ PORTINHOLAS F°F° FF DN200</t>
  </si>
  <si>
    <t>REGISTRO CHATO F°F° FLANGEADO E COM VOLANTE DN200</t>
  </si>
  <si>
    <t>TUBO F°F° FLANGEADO L=0,68m DN200</t>
  </si>
  <si>
    <t>CURVA 45° F°F° FLANGEADA DN200</t>
  </si>
  <si>
    <t>TÊ REDUÇÃO F°F° FLANGEADO DN200X100</t>
  </si>
  <si>
    <t>TUBO F°F° FLANGE PONTA L=0,80m DN200</t>
  </si>
  <si>
    <t>TUBO F°F° FLANGEADO L = 4,38m DN200</t>
  </si>
  <si>
    <t>REDUÇÃO F°F° PONTA E BOLSA JGS DN250X200</t>
  </si>
  <si>
    <t>CURVA 90° F°F° FLANGEADA DN100</t>
  </si>
  <si>
    <t xml:space="preserve">TOCO F°F° FLANGEADO L=0,50m DN100 </t>
  </si>
  <si>
    <t>REGISTRO CHATO F°F° FLANGEADO E COM VOLANTE DN100</t>
  </si>
  <si>
    <t>TUBO F°F° FLANGEADO L = 1,00m DN100</t>
  </si>
  <si>
    <t>COMPORTA CIRCULAR DE SENTIDO DUPLO DN300</t>
  </si>
  <si>
    <t>PEDESTAL DE SUSPENSÃO C/ ENGRENAGENS</t>
  </si>
  <si>
    <t>TUBO DE F°F° COM PONTAS LISAS L=0,30 m DN300</t>
  </si>
  <si>
    <t>03.03.06</t>
  </si>
  <si>
    <t>03.03.07</t>
  </si>
  <si>
    <t>03.03.08</t>
  </si>
  <si>
    <t>03.03.09</t>
  </si>
  <si>
    <t>03.03.10</t>
  </si>
  <si>
    <t>03.03.11</t>
  </si>
  <si>
    <t>04.01.03</t>
  </si>
  <si>
    <t>04.01.04</t>
  </si>
  <si>
    <t>04.01.05</t>
  </si>
  <si>
    <t>04.01.06</t>
  </si>
  <si>
    <t>04.01.07</t>
  </si>
  <si>
    <t>04.01.08</t>
  </si>
  <si>
    <t>04.04.01</t>
  </si>
  <si>
    <t>04.04.02</t>
  </si>
  <si>
    <t>05.01.01</t>
  </si>
  <si>
    <t>05.01.02</t>
  </si>
  <si>
    <t>05.01.03</t>
  </si>
  <si>
    <t>05.01.04</t>
  </si>
  <si>
    <t>05.01.05</t>
  </si>
  <si>
    <t>05.01.06</t>
  </si>
  <si>
    <t>05.01.07</t>
  </si>
  <si>
    <t>05.01.08</t>
  </si>
  <si>
    <t>05.01.09</t>
  </si>
  <si>
    <t>05.02.01</t>
  </si>
  <si>
    <t>05.02.02</t>
  </si>
  <si>
    <t>05.02.03</t>
  </si>
  <si>
    <t>05.03.01</t>
  </si>
  <si>
    <t>05.03.02</t>
  </si>
  <si>
    <t>05.04.01</t>
  </si>
  <si>
    <t>05.04.02</t>
  </si>
  <si>
    <t>05.05.01</t>
  </si>
  <si>
    <t>05.05.02</t>
  </si>
  <si>
    <t>05.05.03</t>
  </si>
  <si>
    <t>05.06.01</t>
  </si>
  <si>
    <t>05.06.02</t>
  </si>
  <si>
    <t>05.06.03</t>
  </si>
  <si>
    <t>05.07.01</t>
  </si>
  <si>
    <t>05.07.02</t>
  </si>
  <si>
    <t>05.07.03</t>
  </si>
  <si>
    <t>05.07.04</t>
  </si>
  <si>
    <t>05.07.05</t>
  </si>
  <si>
    <t>05.08.01</t>
  </si>
  <si>
    <t>05.09.01</t>
  </si>
  <si>
    <t>05.09.02</t>
  </si>
  <si>
    <t>05.09.03</t>
  </si>
  <si>
    <t>05.09.04</t>
  </si>
  <si>
    <t>05.09.05</t>
  </si>
  <si>
    <t>05.09.06</t>
  </si>
  <si>
    <t>05.09.07</t>
  </si>
  <si>
    <t>06.01.01</t>
  </si>
  <si>
    <t>06.01.02</t>
  </si>
  <si>
    <t>06.01.03</t>
  </si>
  <si>
    <t>06.01.04</t>
  </si>
  <si>
    <t>06.02.08</t>
  </si>
  <si>
    <t>06.02.09</t>
  </si>
  <si>
    <t>06.02.10</t>
  </si>
  <si>
    <t>06.02.11</t>
  </si>
  <si>
    <t>06.02.12</t>
  </si>
  <si>
    <t>06.03.01</t>
  </si>
  <si>
    <t>06.03.02</t>
  </si>
  <si>
    <t>06.03.03</t>
  </si>
  <si>
    <t>06.03.04</t>
  </si>
  <si>
    <t>06.03.05</t>
  </si>
  <si>
    <t>06.03.06</t>
  </si>
  <si>
    <t>06.03.07</t>
  </si>
  <si>
    <t>06.03.08</t>
  </si>
  <si>
    <t>06.03.09</t>
  </si>
  <si>
    <t>06.03.10</t>
  </si>
  <si>
    <t>06.04.01</t>
  </si>
  <si>
    <t>06.04.02</t>
  </si>
  <si>
    <t>06.04.03</t>
  </si>
  <si>
    <t>06.04.04</t>
  </si>
  <si>
    <t>06.04.05</t>
  </si>
  <si>
    <t>ESCAVACAO MECANICA DE VALAS (SOLO COM AGUA), PROFUNDIDADE ATE 1,50 M.</t>
  </si>
  <si>
    <t>RETROESCAVADEIRA SOBRE RODAS COM CARREGADEIRA, TRAÇÃO 4X4, POTÊNCIA LÍQ. 72 HP, CAÇAMBA CARREG. CAP. MÍN. 0,79 M3, CAÇAMBA RETRO CAP. 0,18 M3, PESO OPERACIONAL MÍN. 7.140 KG, PROFUNDIDADE ESCAVAÇÃO MÁX. 4,50 M - CHP DIURNO. AF_06/2014</t>
  </si>
  <si>
    <t>TUBO PVC DEFOFO, JEI, 1 MPA, DN 250 MM, PARA REDE DE AGUA (NBR 7665)</t>
  </si>
  <si>
    <t xml:space="preserve">TUBOS DE FERRO FUNDIDO (FOFO) C/ JUNTA ELASTICA - DN 250 </t>
  </si>
  <si>
    <t xml:space="preserve">ASSENTAMENTO TUBO PVC COM JUNTA ELASTICA, DN 250 MM - (OU RPVC, OU PDEFOFO, OU PRFV) </t>
  </si>
  <si>
    <t>ASSENTADOR DE TUBOS COM ENCARGOS COMPLEMENTARES</t>
  </si>
  <si>
    <t>TRANSPORTE DE TUBOS DN 600</t>
  </si>
  <si>
    <t>FORNECIMENTO E INSTALAÇÃO DOS MATERIAIS HIDRÁULICOS DA ELEVATÓRIA 01</t>
  </si>
  <si>
    <t>07</t>
  </si>
  <si>
    <t>07.01.01</t>
  </si>
  <si>
    <t>07.01.02</t>
  </si>
  <si>
    <t>07.01.03</t>
  </si>
  <si>
    <t>07.01.04</t>
  </si>
  <si>
    <t>07.02.01</t>
  </si>
  <si>
    <t>07.02.02</t>
  </si>
  <si>
    <t>07.02.03</t>
  </si>
  <si>
    <t>07.03.01</t>
  </si>
  <si>
    <t>07.04.01</t>
  </si>
  <si>
    <t>07.04.02</t>
  </si>
  <si>
    <t>07.05</t>
  </si>
  <si>
    <t>07.05.01</t>
  </si>
  <si>
    <t>07.05.02</t>
  </si>
  <si>
    <t>07.05.03</t>
  </si>
  <si>
    <t>07.06</t>
  </si>
  <si>
    <t>07.06.01</t>
  </si>
  <si>
    <t>07.06.02</t>
  </si>
  <si>
    <t>07.06.03</t>
  </si>
  <si>
    <t>07.06.04</t>
  </si>
  <si>
    <t>07.08</t>
  </si>
  <si>
    <t>07.07</t>
  </si>
  <si>
    <t>07.07.01</t>
  </si>
  <si>
    <t>07.07.02</t>
  </si>
  <si>
    <t>07.07.03</t>
  </si>
  <si>
    <t>07.07.04</t>
  </si>
  <si>
    <t>07.07.05</t>
  </si>
  <si>
    <t>07.08.01</t>
  </si>
  <si>
    <t>07.08.02</t>
  </si>
  <si>
    <t>07.08.03</t>
  </si>
  <si>
    <t>07.08.04</t>
  </si>
  <si>
    <t>01</t>
  </si>
  <si>
    <t>02</t>
  </si>
  <si>
    <t>03</t>
  </si>
  <si>
    <t>04</t>
  </si>
  <si>
    <t>05</t>
  </si>
  <si>
    <t>06</t>
  </si>
  <si>
    <t>FORNECIMENTO E ASSENTAMENTO DE TUBOS E CONEXÕES</t>
  </si>
  <si>
    <t>CURVA 45° F°F° BB JE CONFORME NBR 7664 DN250</t>
  </si>
  <si>
    <t>CURVA 90° F°F° BB JE CONFORME NBR 7664 DN250</t>
  </si>
  <si>
    <t>08</t>
  </si>
  <si>
    <t>08.01.01</t>
  </si>
  <si>
    <t>08.01.01.01</t>
  </si>
  <si>
    <t>08.01.01.02</t>
  </si>
  <si>
    <t>08.01.01.03</t>
  </si>
  <si>
    <t>08.01.01.04</t>
  </si>
  <si>
    <t>08.01.02</t>
  </si>
  <si>
    <t>08.01.02.01</t>
  </si>
  <si>
    <t>08.01.02.02</t>
  </si>
  <si>
    <t>08.01.02.03</t>
  </si>
  <si>
    <t>08.01.02.04</t>
  </si>
  <si>
    <t>08.02.01</t>
  </si>
  <si>
    <t>08.02.02</t>
  </si>
  <si>
    <t>08.02.03</t>
  </si>
  <si>
    <t>08.02.04</t>
  </si>
  <si>
    <t>08.02.05</t>
  </si>
  <si>
    <t>08.02.07</t>
  </si>
  <si>
    <t>08.02.08</t>
  </si>
  <si>
    <t>08.02.09</t>
  </si>
  <si>
    <t>08.02.10</t>
  </si>
  <si>
    <t>08.02.11</t>
  </si>
  <si>
    <t>08.02.12</t>
  </si>
  <si>
    <t>08.02.13</t>
  </si>
  <si>
    <t>08.03.01</t>
  </si>
  <si>
    <t>08.03.02</t>
  </si>
  <si>
    <t>08.03.07</t>
  </si>
  <si>
    <t>08.03.09</t>
  </si>
  <si>
    <t>08.03.13</t>
  </si>
  <si>
    <t>08.03.14</t>
  </si>
  <si>
    <t>08.03.15</t>
  </si>
  <si>
    <t>08.03.16</t>
  </si>
  <si>
    <t>08.03.17</t>
  </si>
  <si>
    <t>08.03.18</t>
  </si>
  <si>
    <t>08.03.20</t>
  </si>
  <si>
    <t>08.03.21</t>
  </si>
  <si>
    <t>08.03.22</t>
  </si>
  <si>
    <t>08.03.23</t>
  </si>
  <si>
    <t>08.03.24</t>
  </si>
  <si>
    <t>08.03.25</t>
  </si>
  <si>
    <t>08.03.26</t>
  </si>
  <si>
    <t>08.03.27</t>
  </si>
  <si>
    <t>08.04.01</t>
  </si>
  <si>
    <t>08.04.02</t>
  </si>
  <si>
    <t>08.04.13</t>
  </si>
  <si>
    <t>08.04.14</t>
  </si>
  <si>
    <t>08.04.15</t>
  </si>
  <si>
    <t>08.04.17</t>
  </si>
  <si>
    <t>08.04.18</t>
  </si>
  <si>
    <t>08.04.19</t>
  </si>
  <si>
    <t>08.05.01</t>
  </si>
  <si>
    <t>08.05.02</t>
  </si>
  <si>
    <t>08.05.03</t>
  </si>
  <si>
    <t>08.05.12</t>
  </si>
  <si>
    <t>08.05.13</t>
  </si>
  <si>
    <t>08.05.17</t>
  </si>
  <si>
    <t>08.05.18</t>
  </si>
  <si>
    <t>08.05.19</t>
  </si>
  <si>
    <t>08.06.01</t>
  </si>
  <si>
    <t>08.06.02</t>
  </si>
  <si>
    <t>08.06.03</t>
  </si>
  <si>
    <t>08.06.04</t>
  </si>
  <si>
    <t>08.06.05</t>
  </si>
  <si>
    <t>08.06.06</t>
  </si>
  <si>
    <t>08.06.07</t>
  </si>
  <si>
    <t>08.06.08</t>
  </si>
  <si>
    <t>08.06.09</t>
  </si>
  <si>
    <t>08.06.10</t>
  </si>
  <si>
    <t>08.06.13</t>
  </si>
  <si>
    <t>08.06.14</t>
  </si>
  <si>
    <t>08.06.15</t>
  </si>
  <si>
    <t>08.06.17</t>
  </si>
  <si>
    <t>08.06.18</t>
  </si>
  <si>
    <t>08.07.01</t>
  </si>
  <si>
    <t>08.07.02</t>
  </si>
  <si>
    <t>08.07.07</t>
  </si>
  <si>
    <t>08.07.08</t>
  </si>
  <si>
    <t>08.07.09</t>
  </si>
  <si>
    <t>08.07.10</t>
  </si>
  <si>
    <t>08.07.11</t>
  </si>
  <si>
    <t>08.07.12</t>
  </si>
  <si>
    <t>08.07.13</t>
  </si>
  <si>
    <t>08.07.14</t>
  </si>
  <si>
    <t>08.07.15</t>
  </si>
  <si>
    <t>08.07.16</t>
  </si>
  <si>
    <t>08.07.17</t>
  </si>
  <si>
    <t>08.07.18</t>
  </si>
  <si>
    <t>08.07.19</t>
  </si>
  <si>
    <t>08.07.20</t>
  </si>
  <si>
    <t>08.07.21</t>
  </si>
  <si>
    <t>08.08.01</t>
  </si>
  <si>
    <t>08.08.02</t>
  </si>
  <si>
    <t>08.08.04</t>
  </si>
  <si>
    <t>08.08.05</t>
  </si>
  <si>
    <t>08.08.06</t>
  </si>
  <si>
    <t>08.08.07</t>
  </si>
  <si>
    <t>08.09.01</t>
  </si>
  <si>
    <t>08.09.02</t>
  </si>
  <si>
    <t>08.09.12</t>
  </si>
  <si>
    <t>08.10.01</t>
  </si>
  <si>
    <t>08.10.02</t>
  </si>
  <si>
    <t>08.10.04</t>
  </si>
  <si>
    <t>08.10.05</t>
  </si>
  <si>
    <t>08.10.06</t>
  </si>
  <si>
    <t>08.10.08</t>
  </si>
  <si>
    <t>08.10.09</t>
  </si>
  <si>
    <t>08.11.02</t>
  </si>
  <si>
    <t>08.11.03</t>
  </si>
  <si>
    <t>08.11.04</t>
  </si>
  <si>
    <t>08.11.05</t>
  </si>
  <si>
    <t>08.11.06</t>
  </si>
  <si>
    <t>08.11.07</t>
  </si>
  <si>
    <t>08.11.08</t>
  </si>
  <si>
    <t>08.11.09</t>
  </si>
  <si>
    <t>08.11.10</t>
  </si>
  <si>
    <t>08.11.11</t>
  </si>
  <si>
    <t>08.11.12</t>
  </si>
  <si>
    <t>08.11.13</t>
  </si>
  <si>
    <t>08.11.14</t>
  </si>
  <si>
    <t>corte</t>
  </si>
  <si>
    <t>aterro</t>
  </si>
  <si>
    <t>ESCAVAÇÃO VERTICAL A CÉU ABERTO, INCLUINDO CARGA, DESCARGA E TRANSPORTE, EM SOLO DE 1ª CATEGORIA COM ESCAVADEIRA HIDRÁULICA (CAÇAMBA: 1,2 M³ / 155 HP), FROTA DE 7 CAMINHÕES BASCULANTES DE 14 M³, DMT DE 3 KM E VELOCIDADE MÉDIA 20 KM/H. AF_12/2013</t>
  </si>
  <si>
    <t>TRATAMENTO PRELIMINAR MECANIZADO (UNIDADE COMBINADA)</t>
  </si>
  <si>
    <t>CAÇAMBA ESTACIONÁRIA 3,0m³</t>
  </si>
  <si>
    <t>TÊ DE F°F° COM FLANGES DN300</t>
  </si>
  <si>
    <t>TUBO DE F°F° COM FLANGES LISAS L=0,45m DN300</t>
  </si>
  <si>
    <t>CURVA 90° F°F° COM FLANGES DN300</t>
  </si>
  <si>
    <t>TUBO DE F°F° FLANGE PONTA L=0,20m DN300</t>
  </si>
  <si>
    <t>TUBO DE F°F° PONTA BOLSA L=6,00 m DN100</t>
  </si>
  <si>
    <t>TUBO DE F°F° COM PONTAS LISAS L=1,50 m DN100</t>
  </si>
  <si>
    <t>CURVA 90° F°F° COM BOLSAS DN100</t>
  </si>
  <si>
    <t>TUBO DE F°F° COM PONTAS LISAS L=2,04 m DN100</t>
  </si>
  <si>
    <t>TUBO DE F°F° COM PONTAS LISAS L=0,25 m DN100</t>
  </si>
  <si>
    <t>TUBO DE F°F° COM PONTAS LISAS L=4,70 m DN 100</t>
  </si>
  <si>
    <t>TUBO DE F°F° COM PONTAS LISAS L=1,64 m DN100</t>
  </si>
  <si>
    <t>TUBO DE F°F° COM PONTAS LISAS L=1,90 m DN100</t>
  </si>
  <si>
    <t>TUBO DE F°F° COM PONTAS LISAS L=1,24 m DN100</t>
  </si>
  <si>
    <t>FLANGE CEGO DN600</t>
  </si>
  <si>
    <t>JOELHO 90° EM AÇO CARBONO DN1"</t>
  </si>
  <si>
    <t>TÊ EM AÇO CARBONO DN1"</t>
  </si>
  <si>
    <t>TUBO F°F° PONTA BOLSA DN300</t>
  </si>
  <si>
    <t>CURVA 90° F°F° COM BOLSAS DN300</t>
  </si>
  <si>
    <t>CURVA 45° F°F° COM BOLSAS DN100</t>
  </si>
  <si>
    <t>TUBO DE F°F° COM PONTAS LISAS L=1,75 m DN100</t>
  </si>
  <si>
    <t>CRUZETA DE F°F° COM BOLSAS DN100X100</t>
  </si>
  <si>
    <t>TUBO DE F°F° PONTA FLANGE L=2,75m DN100</t>
  </si>
  <si>
    <t>TÊ DE F°F° COM FLANGES DN100</t>
  </si>
  <si>
    <t>TUBO F°F° COM FLANGES L=0,22 m DN100</t>
  </si>
  <si>
    <t>REGISTRO DE F°F° CHATO COM FLANGES E VOLANTE DN100</t>
  </si>
  <si>
    <t>FLANGE CEGO DE F°F° DN150</t>
  </si>
  <si>
    <t>TÊ DE F°F° COM FLANGES DN150X100</t>
  </si>
  <si>
    <t>TUBO DE F°F° COM FLANGES L=2,36m DN150</t>
  </si>
  <si>
    <t>TUBO DE F°F° FLANGE PONTA L=0,60m DN150</t>
  </si>
  <si>
    <t>CURVA 90° F°F° COM BOLSAS DN150</t>
  </si>
  <si>
    <t>TUBO DE F°F° FLANGE PONTA L=5,00m DN100</t>
  </si>
  <si>
    <t>CAP DE F°F° COM BOLSA DN100</t>
  </si>
  <si>
    <t>TUBO F°F° COM PONTAS LISAS L=0,25 m DN150</t>
  </si>
  <si>
    <t>JOELHO 90° PVC RÍGIDO ROSCÁVEL DN2"</t>
  </si>
  <si>
    <t>EXTREMIDADE FLANGE PONTA COM ABA DE VEDAÇÃO DN600</t>
  </si>
  <si>
    <t>REDUÇÃO CONCÊNTRICA, AÇO CARBONO COM EXTREMIDADES BISELADAS PARA SOLDA DN3"x2"</t>
  </si>
  <si>
    <t>VÁVULA CORTA CHAMAS DN3"</t>
  </si>
  <si>
    <t>TÊ 90º DE REDUÇÃO, AÇO CARBONO COM EXTREMIDADES BISELADAS PARA SOLDA DN3"x2.1/2"</t>
  </si>
  <si>
    <t>FLANGE COM PESCOÇO AÇO FORJADO DN2.1/2"</t>
  </si>
  <si>
    <t>VÁVULA BORBOLETA TIPO "WAFER" DN3"</t>
  </si>
  <si>
    <t>ABF 10 DN600</t>
  </si>
  <si>
    <t>ABF 10 DN300</t>
  </si>
  <si>
    <t>ABF 10 DN150</t>
  </si>
  <si>
    <t>ABF 10 DN100</t>
  </si>
  <si>
    <t>PARAFUSO PARA FLANGES 16x80mm</t>
  </si>
  <si>
    <t>PARAFUSO PARA FLANGES 27x120mm</t>
  </si>
  <si>
    <t>PEDESTAL DE SUSPENSÃO SIMPLES PARA COMPORTA</t>
  </si>
  <si>
    <t>PARAFUSO PARA FLANGES 20x90mm</t>
  </si>
  <si>
    <t>TUBO DE F°F° PONTA FLANGE L=1,00m DN300</t>
  </si>
  <si>
    <t xml:space="preserve">TÊ DE F°F° COM FLANGES DN300 </t>
  </si>
  <si>
    <t>TÊ DE F°F° COM BOLSAS DN300</t>
  </si>
  <si>
    <t>TUBO DE F°F° PONTA FLANGE L=5,05m DN300</t>
  </si>
  <si>
    <t>TUBO DE F°F° PONTA FLANGE L=3,50m DN300</t>
  </si>
  <si>
    <t>TUBO DE F°F° PONTA BOLSA DN300</t>
  </si>
  <si>
    <t>COMPORTA QUADRADA, SENTIDO DUPLO DE FLUXO DN300</t>
  </si>
  <si>
    <t>HASTE DE PROLONGAMENTO ROSCADA, L=4,10m DN1.1/8"</t>
  </si>
  <si>
    <t>MANCAL INTERMEDIÁRIO PARA HASTES DE PROLONGAMENTO DN1.1/8"</t>
  </si>
  <si>
    <t>TUBO DE F°F° PONTAS LISAS L=3,95m DN300</t>
  </si>
  <si>
    <t>PARAFUSO PARA FLANGES 20x90mm DN300</t>
  </si>
  <si>
    <t>TUBO PVC, FLEXIVEL, CORRUGADO, PERFURADO, DN 110 MM, PARA DRENAGEM, SISTEMA IRRIGACAO</t>
  </si>
  <si>
    <t>TUBO F°F° FLANGE PONTA L=1,00m DN100</t>
  </si>
  <si>
    <t>TUBO FLANGEADO L=1,50m DN100</t>
  </si>
  <si>
    <t>TUBO FLANGEADO L=1,03m DN100</t>
  </si>
  <si>
    <t>VÁLVULA DE RETENÇÃO C/ PORTINHOLAS F°F° DN100</t>
  </si>
  <si>
    <t>JUNTA DE DESMONTAGEM F°F° DN100</t>
  </si>
  <si>
    <t>REGISTRO CHATO F°F° FLAGEADO E COM VOLANTE DN100</t>
  </si>
  <si>
    <t>CURVA 45° F°F° FLANGEADA DN100</t>
  </si>
  <si>
    <t>JUNÇÃO F°F° FLANGEADA DN100</t>
  </si>
  <si>
    <t>TUBO FLANGEADO L=0,44m DN100</t>
  </si>
  <si>
    <t>TÊ F°F° FLANGEADA DN100</t>
  </si>
  <si>
    <t>FLANGE CEGO F°F° DN100</t>
  </si>
  <si>
    <t>TUBO FLANGEADO L=0,48m DN100</t>
  </si>
  <si>
    <t>TUBO F°F° FLANGE PONTA L=1,10m DN100</t>
  </si>
  <si>
    <t>TOCO F°F° FLANGEADO L=0,50m DN100</t>
  </si>
  <si>
    <t>REDUÇÃO CONCÊNTRICA F°F° PONTA BOLSA DN150X100</t>
  </si>
  <si>
    <t>REDUÇÃO F°F° CONCÊNTRICA DN100X80</t>
  </si>
  <si>
    <t>TUBO PVC, FLEXIVEL, CORRUGADO, PERFURADO, DN 110 MM, PARA DRENAGEM</t>
  </si>
  <si>
    <t>TUBO COLETOR DE ESGOTO PVC, JEI, DN 100 MM (NBR 7362)</t>
  </si>
  <si>
    <t>TUBO CONCRETO ARMADO, CLASSE EA-2, PB JE, DN 300 MM, PARA ESGOTO SANITARIO (NBR8890)</t>
  </si>
  <si>
    <t>REGISTRO DE GAVETA CHATO COM FLANGES DN150</t>
  </si>
  <si>
    <t>JUNCAO, PVC, 45 GRAUS, JE, BBB, DN 100 MM, PARA REDE COLETORA DE ESGOTO (NB10569)</t>
  </si>
  <si>
    <t>TUBO F°F° PONTA FLANGE L = 0,50m DN150</t>
  </si>
  <si>
    <t>TUBO F°F° PONTAS LISAS L = 1,00m DN150</t>
  </si>
  <si>
    <t>TUBO DE F°F° FLANGE BOLSA L=0,80 m DN300</t>
  </si>
  <si>
    <t>TÊ F°F° COM FLANGES DN300</t>
  </si>
  <si>
    <t>REGISTRO DE F°F° CHATO COM FLANGES E VOLANTE DN300</t>
  </si>
  <si>
    <t>TUBO DE F°F° FLANGE PONTA L=0,90 m DN300</t>
  </si>
  <si>
    <t>REGISTRO DE F°F° CHATO COM FLANGES E VOLANTE DN150</t>
  </si>
  <si>
    <t>TUBO DE F°F° FLANGE PONTA L=0,80 m DN300</t>
  </si>
  <si>
    <t>TÊ DE F°F° COM FLANGES DN150</t>
  </si>
  <si>
    <t>TUBO DE F°F° FLANGE PONTA L=0,92 m DN150</t>
  </si>
  <si>
    <t>CURVA 45° F°F° COM BOLSAS DN150</t>
  </si>
  <si>
    <t>29.15</t>
  </si>
  <si>
    <t>29.16</t>
  </si>
  <si>
    <t>TUBO PVC DEFOFO, JEI, 1 MPA, DN 300 MM, PARA REDE DE AGUA (NBR 7665)</t>
  </si>
  <si>
    <t>TUBO PVC DEFOFO, JEI, 1 MPA, DN 150 MM, PARA REDEDE AGUA (NBR 7665)</t>
  </si>
  <si>
    <t>TUBO PVC, SOLDAVEL, DN 40 MM, AGUA FRIA (NBR-5648)</t>
  </si>
  <si>
    <t>JOELHO, PVC SERIE R, 90 GRAUS, DN 100 MM, PARA ESGOTO PREDIAL</t>
  </si>
  <si>
    <t>BOLSA DE LIGACAO EM PVC FLEXIVEL PARA VASO SANITARIO 1.1/2 " (40 MM)</t>
  </si>
  <si>
    <t>JOELHO PVC, SOLDAVEL, PB, 90 GRAUS, DN 40 MM, PARA ESGOTO PREDIAL</t>
  </si>
  <si>
    <t>TRATAMENTO PRELIMINAR AOS REATORES UASB</t>
  </si>
  <si>
    <t>REATORES UASB AO FILTRO BIOLÓGICO  PERCOLADOR</t>
  </si>
  <si>
    <t>REATORES UASB AO PV01 (BY PASS DO FILTRO BIOLÓGICO PERCOLADOR)</t>
  </si>
  <si>
    <t>REATORES UASB AOS LEITOS DE SECAGEM</t>
  </si>
  <si>
    <t>FILTRO BIOLÓGICO PERCOLADOR/PV02 AO DECANTADOR SECUNDÁRIO</t>
  </si>
  <si>
    <t>FILTRO BIOLÓGICO PERCOLADOR AO PV04 (BY PASS DO DECANTADOR SECUNDÁRIO)</t>
  </si>
  <si>
    <t>DECANTADOR SECUNDÁRIO AO PV13 (DESCARTE DE LODO)</t>
  </si>
  <si>
    <t>ELEVATÓRIA RECIRCULAÇÃO AO FILTRO BIOLÓGICO PERCOLADOR (RECIRCULAÇÃO)</t>
  </si>
  <si>
    <t>ELEVATÓRIA RECIRCULAÇÃO AO PV03</t>
  </si>
  <si>
    <t>PV01/PV03 AO LANÇAMENTO FINAL</t>
  </si>
  <si>
    <t>UNIDADE DE APOIO AO PV11</t>
  </si>
  <si>
    <t>REATORES UASB AO QUEIMADOR DE GAS</t>
  </si>
  <si>
    <t>PV11 AO LANÇAMENTO NO INTERCEPTOR PROJETADO (PVB08)</t>
  </si>
  <si>
    <t>CURVA 90° F°F° COM FLANGES PN10 DN300</t>
  </si>
  <si>
    <t>CURVA 45° F°F° COM FLANGES PN10  DN300</t>
  </si>
  <si>
    <t>TUBO F°F° COM FLANGES PN10 L=5,80m  DN300</t>
  </si>
  <si>
    <t>TUBO F°F° COM FLANGES PN10 L=1,15m  DN300</t>
  </si>
  <si>
    <t>TUBO F°F° COM FLANGES PN10 L=3,00m  DN300</t>
  </si>
  <si>
    <t>TUBO PVC DEFOFO CONF. NBR 7665  DN300</t>
  </si>
  <si>
    <t>CURVA 90° F°F° COM BOLSAS  DN300</t>
  </si>
  <si>
    <t>TÊ F°F° COM BOLSAS  DN300</t>
  </si>
  <si>
    <t>CURVA 22° F°F° COM BOLSAS  DN300</t>
  </si>
  <si>
    <t>TÊ REDUÇÃO F°F° COM BOLSAS  DN300X150</t>
  </si>
  <si>
    <t>TUBO PVC DEFOFO CONF. NBR 7665 DN150</t>
  </si>
  <si>
    <t>TÊ F°F° COM BOLSAS DN150</t>
  </si>
  <si>
    <t>LUVA F°F° COM BOLSAS  DN300</t>
  </si>
  <si>
    <t>LEITOS DE SECAGEM AO PV11</t>
  </si>
  <si>
    <t>CURVA 90° AÇO CARBONO COM EXTREMIDADES  BISELADAS PARA SOLDA DN1"</t>
  </si>
  <si>
    <t>TÊ REDUÇÃO 90° AÇO CARBONO COM EXTREMIDADES BISELADAS PARA SOLDA DN2"X1"</t>
  </si>
  <si>
    <t>BUCHA REDUÇÃO AÇO CARBONO COM COSTURA sch 40 DN2"X1"</t>
  </si>
  <si>
    <t>CURVA DE PVC 90 GRAUS, SOLDAVEL, 32 MM, PARA AGUA FRIA PREDIAL (NBR 5648</t>
  </si>
  <si>
    <t>CURVA DE PVC 45 GRAUS, SOLDAVEL, 25 MM, PARA AGUA FRIA PREDIAL (NBR 5648)</t>
  </si>
  <si>
    <t>ESCAVACAO MANUAL CAMPO ABERTO P/TUBULAO - FUSTE E/OU BASE (PARA TODAS AS PROFUNDIDADES)</t>
  </si>
  <si>
    <t>ESTACA PRÉ-MOLDADA DE CONCRETO, SEÇÃO QUADRADA, CAPACIDADE DE 25 TONELADAS, COMPRIMENTO TOTAL CRAVADO ATÉ 5M, BATE-ESTACAS POR GRAVIDADE SOBRE ROLOS (EXCLUSIVE MOBILIZAÇÃO E DESMOBILIZAÇÃO). AF_03/2016</t>
  </si>
  <si>
    <t>CONCRETO FCK = 40MPA, TRAÇO 1:1,6:1,9 (CIMENTO/ AREIA MÉDIA/ BRITA 1) - PREPARO MECÂNICO COM BETONEIRA 400 L. AF_07/2016</t>
  </si>
  <si>
    <t>MONTAGEM E DESMONTAGEM DE FÔRMA DE VIGA, ESCORAMENTO COM GARFO DE MADEIRA, PÉ-DIREITO DUPLO, EM CHAPA DE MADEIRA RESINADA, 2 UTILIZAÇÕES. AF_12/2015</t>
  </si>
  <si>
    <t>08.02.06</t>
  </si>
  <si>
    <t>ESCADA DE ACESSO AO TRATAMENTO PRELIMINAR</t>
  </si>
  <si>
    <t>ESTACA A TRADO (BROCA) DIAMETRO = 20 CM, EM CONCRETO MOLDADO IN LOCO, 15 MPA, SEM ARMACAO.</t>
  </si>
  <si>
    <t>BATE-ESTACAS POR GRAVIDADE, POTÊNCIA DE 160 HP, PESO DO MARTELO ATÉ 3 TONELADAS - CHP DIURNO. AF_11/2014</t>
  </si>
  <si>
    <t>OPERADOR PARA BATE ESTACAS COM ENCARGOS COMPLEMENTARES</t>
  </si>
  <si>
    <t>ACO CA-60, 5,0 MM, DOBRADO E CORTADO</t>
  </si>
  <si>
    <t>ESCORAMENTO FORMAS H=3,50 A 4,00 M, COM MADEIRA DE 3A QUALIDADE, NAO APARELHADA, APROVEITAMENTO TABUAS 3X E PRUMOS 4X.</t>
  </si>
  <si>
    <t>trocar</t>
  </si>
  <si>
    <t>04.02.03</t>
  </si>
  <si>
    <t>04.07.01</t>
  </si>
  <si>
    <t>04.07.02</t>
  </si>
  <si>
    <t>BOTAFORA</t>
  </si>
  <si>
    <t>04.08.01</t>
  </si>
  <si>
    <t>04.08.02</t>
  </si>
  <si>
    <t>04.08.03</t>
  </si>
  <si>
    <t>04.08.04</t>
  </si>
  <si>
    <t>04.08.05</t>
  </si>
  <si>
    <t>04.08.06</t>
  </si>
  <si>
    <t>04.08.07</t>
  </si>
  <si>
    <t>05.05.04</t>
  </si>
  <si>
    <t>05.05.05</t>
  </si>
  <si>
    <t>05.06.04</t>
  </si>
  <si>
    <t>05.06.05</t>
  </si>
  <si>
    <t>05.06.06</t>
  </si>
  <si>
    <t>05.06.07</t>
  </si>
  <si>
    <t>05.06.08</t>
  </si>
  <si>
    <t>05.06.09</t>
  </si>
  <si>
    <t>05.06.10</t>
  </si>
  <si>
    <t>05.06.11</t>
  </si>
  <si>
    <t>05.07.06</t>
  </si>
  <si>
    <t>05.07.07</t>
  </si>
  <si>
    <t>05.07.08</t>
  </si>
  <si>
    <t>05.07.09</t>
  </si>
  <si>
    <t>FORNECIMENTO E INSTALAÇÃO DA TAMPA  EM  CHAPA DE ALUMÍNIO, NAS DIMENSÕES (70X70)CM</t>
  </si>
  <si>
    <t>FABRICAÇÃO DE FÔRMA PARA ESCADAS, COM 2 LANCES, EM CHAPA DE MADEIRA COMPENSADA RESINADA, E= 17 MM. AF_01/2017</t>
  </si>
  <si>
    <t>MONTAGEM E DESMONTAGEM DE FÔRMA DE PILARES RETANGULARES E ESTRUTURAS SIMILARES COM ÁREA MÉDIA DAS SEÇÕES MAIOR QUE 0,25 M², PÉ-DIREITO DUPLO , EM CHAPA DE MADEIRA COMPENSADA RESINADA, 2 UTILIZAÇÕES. AF_12/2015</t>
  </si>
  <si>
    <t>ACO CA-50, 12,5 MM, DOBRADO E CORTADO</t>
  </si>
  <si>
    <t>ACO CA-50, 16 MM, DOBRADO E CORTADO</t>
  </si>
  <si>
    <t>ACO CA-50, 6,3 MM, DOBRADO E CORTAD</t>
  </si>
  <si>
    <t>MONTAGEM E DESMONTAGEM DE FÔRMA DE LAJE MACIÇA COM ÁREA MÉDIA MAIOR QUE 20 M², PÉ-DIREITO DUPLO, EM CHAPA DE MADEIRA COMPENSADA RESINADA, 2 UTILIZAÇÕES. AF_12/2015</t>
  </si>
  <si>
    <t>ALVENARIA DE VEDAÇÃO DE BLOCOS CERÂMICOS FURADOS NA VERTICAL DE 9X19X39CM (ESPESSURA 9CM) DE PAREDES COM ÁREA LÍQUIDA MENOR QUE 6M² SEM VÃOS E ARGAMASSA DE ASSENTAMENTO COM PREPARO EM BETONEIRA. AF_06/2014</t>
  </si>
  <si>
    <t>ALVENARIA DE VEDAÇÃO DE BLOCOS CERÂMICOS FURADOS NA VERTICAL DE 14X19X39CM (ESPESSURA 14CM) DE PAREDES COM ÁREA LÍQUIDA MENOR QUE 6M² SEM VÃOS E ARGAMASSA DE ASSENTAMENTO COM PREPARO EM BETONEIRA. AF_06/2014</t>
  </si>
  <si>
    <t>MASSA ÚNICA, PARA RECEBIMENTO DE PINTURA, EM ARGAMASSA TRAÇO 1:2:8, PREPARO MECÂNICO COM BETONEIRA 400L, APLICADA MANUALMENTE EM FACES INTERNAS DE PAREDES, ESPESSURA DE 10/15MM, COM EXECUÇÃO DE TALISCAS. AF_06/2014</t>
  </si>
  <si>
    <t>CHAPA ACO INOX AISI 304 NUMERO 9 (E = 4 MM), ACABAMENTO NUMERO 1 (LAMINADO AQUENTE, FOSCO)</t>
  </si>
  <si>
    <t>14.04</t>
  </si>
  <si>
    <t>CHUMBADOR OMEGA C/PARAFUSO OM1404 1/4"</t>
  </si>
  <si>
    <t>TELHA DE FIBRA DE VIDRO ONDULADA INCOLOR, E = 0,6 MM, DE *0,50 X 2,44* M</t>
  </si>
  <si>
    <t>PARAFUSO ZINCADO, SEXTAVADO, COM ROSCA INTEIRA, DIAMETRO 1/4", COMPRIMENTO 1/2"</t>
  </si>
  <si>
    <t>TUBO DE F°F° COM PONTAS LISAS L=0,35m DN300</t>
  </si>
  <si>
    <t>TUBO DE F°F° FLANGE PONTA L=1,50 m DN300</t>
  </si>
  <si>
    <t xml:space="preserve">TUBOS DE FERRO FUNDIDO PB JUNTA ELASTICA K7 ESGOTO - DN 150 </t>
  </si>
  <si>
    <t xml:space="preserve">TUBOS DE FERRO FUNDIDO PB JUNTA ELASTICA K7 ESGOTO - DN 250 </t>
  </si>
  <si>
    <t xml:space="preserve">TUBOS DE FERRO FUNDIDO PB JUNTA ELASTICA K7 ESGOTO - DN 200 </t>
  </si>
  <si>
    <t>MEDIDOR DE VAZÃO ELETROMAGNÉTICO DN300</t>
  </si>
  <si>
    <t>CURVA 90° F°F° COM FLANGES PN10 DN100</t>
  </si>
  <si>
    <t>TUBO F°F° COM FLANGES L=0,25m PN10 DN100</t>
  </si>
  <si>
    <t>REGISTRO DE GAVETA F°F° COM FLANGES PN10 DN100</t>
  </si>
  <si>
    <t>TUBO F°F° FLANGE PONTA L=1,00m PN10 DN100</t>
  </si>
  <si>
    <t>GRELHA FOFO ARTICULADA, CARGA MAXIMA 1,5 T, *300 X 1000* MM, E= *15* MM</t>
  </si>
  <si>
    <t>REATERRO MECANIZADO DE VALA COM RETROESCAVADEIRA (CAPACIDADE DA CAÇAMBA DA RETRO: 0,26 M³ / POTÊNCIA: 88 HP), LARGURA DE 0,8 A 1,5 M, PROFUNDIDADE DE 1,5 A 3,0 M, COM SOLO (SEM SUBSTITUIÇÃO) DE 1ª CATEGORIA EM LOCAIS COM BAIXO NÍVEL DE INTERFERÊNCIA. AF_04/2016</t>
  </si>
  <si>
    <t>73964/006</t>
  </si>
  <si>
    <t>REATERRO DE VALA COM COMPACTAÇÃO MANUAL</t>
  </si>
  <si>
    <t>08.05.04</t>
  </si>
  <si>
    <t>74202/002</t>
  </si>
  <si>
    <t>LAJE PRE-MOLDADA P/PISO, SOBRECARGA 200KG/M2, VAOS ATE 3,50M/E=8CM, C/LAJOTAS E CAP.C/CONC FCK=20MPA, 4CM, INTER-EIXO 38CM, C/ESCORAMENTO (REAPR.3X) E FERRAGEM NEGATIVA</t>
  </si>
  <si>
    <t>ALVENARIA DE VEDAÇÃO DE BLOCOS CERÂMICOS FURADOS NA VERTICAL DE 14X19X39CM (ESPESSURA 14CM) DE PAREDES COM ÁREA LÍQUIDA MAIOR OU IGUAL A 6M² SEM VÃOS E ARGAMASSA DE ASSENTAMENTO COM PREPARO MANUAL. AF_06/2014</t>
  </si>
  <si>
    <t>FORNECIMENTO E APLICAÇÃO DO  MATERIAL HIDRÁULICO DOS LEITOS DE SECAGEM</t>
  </si>
  <si>
    <t>TIJOLO CERAMICO MACICO *5 X 10 X 20* CM</t>
  </si>
  <si>
    <t>ASSENTAMENTO DE TIJOLOS MACIÇOS REQUEIMADOS COM JUNTAS DE 3cm COM AREIA</t>
  </si>
  <si>
    <t>AREIA FINA - POSTO JAZIDA/FORNECEDOR (RETIRADO NA JAZIDA, SEM TRANSPORTE)</t>
  </si>
  <si>
    <t>CALCETEIRO</t>
  </si>
  <si>
    <t>SANITIZAÇÃO POR ULTRA VIOLETA</t>
  </si>
  <si>
    <t>PÓRTICO PARA RETIRADA DAS BOMBAS EM PERFIS METÁLICOS, CONFORME PROJETO- (ELEVATÓRIA RECIRCULAÇÃO)</t>
  </si>
  <si>
    <t>BOMBA SUBMERSÍVEL KSB KRT E 80-251 POTÊNCIA 6,50 cv, 1.160 RPM, OU SIMILAR ROTOR ∅270</t>
  </si>
  <si>
    <t>FORNECIMENTO E INSTALAÇÃO DA TAMPA  EM  CHAPA DE ALUMÍNIO, NAS DIMENSÕES (130X90)CM</t>
  </si>
  <si>
    <t>08.07.03</t>
  </si>
  <si>
    <t>PÓRTICO PARA RETIRADA DAS BOMBAS EM PERFIS METÁLICOS, CONFORME PROJETO- (SANITIZAÇÃO)</t>
  </si>
  <si>
    <t>ESTRUTURA METALICA EM TESOURAS OU TRELICAS, VAO LIVRE DE 12M, FORNECIMENTO E MONTAGEM, NAO SENDO CONSIDERADOS OS FECHAMENTOS METALICOS, AS COLUNAS, OS SERVICOS GERAIS EM ALVENARIA E CONCRETO, AS TELHAS DE COBERTURA E A PINTURA DE ACABAMENTO</t>
  </si>
  <si>
    <t>TELHAMENTO COM TELHA DE AÇO/ALUMÍNIO E = 0,5 MM, COM ATÉ 2 ÁGUAS, INCLUSO IÇAMENTO. AF_06/2016</t>
  </si>
  <si>
    <t>TAMPAO FOFO SIMPLES COM BASE, CLASSE D400 CARGA MAX 40 T, REDONDO TAMPA 900 MM, REDE PLUVIAL/ESGOTO</t>
  </si>
  <si>
    <t xml:space="preserve">ESCADA TIPO MARINHEIRO EM ACO CA-50 9,52MM INCLUSO PINTURA COM FUNDO ANTICORROSIVO TIPO ZARCAO </t>
  </si>
  <si>
    <t>CONCRETO FCK = 15MPA, TRAÇO 1:3,4:3,5 (CIMENTO/ AREIA MÉDIA/ BRITA 1)- PREPARO MANUAL. AF_07/2016</t>
  </si>
  <si>
    <t>FORMA TABUA PARA CONCRETO EM FUNDACAO, C/ REAPROVEITAMENTO 2X.</t>
  </si>
  <si>
    <t>CAIXA DE INSPEÇÃO EM ALVENARIA DE TIJOLO MACIÇO 60X60X60CM, REVESTIDA INTERNAMENTO COM BARRA LISA (CIMENTO E AREIA, TRAÇO 1:4) E=2,0CM, COM TAMPA PRÉ-MOLDADA DE CONCRETO E FUNDO DE CONCRETO 15MPA TIPO C - ESCAVAÇÃO E CONFECÇÃO</t>
  </si>
  <si>
    <t>ALVENARIA DE VEDAÇÃO DE BLOCOS CERÂMICOS FURADOS NA VERTICAL DE 19X19X39CM (ESPESSURA 19CM) DE PAREDES COM ÁREA LÍQUIDA MAIOR OU IGUAL A 6M² SEM VÃOS E ARGAMASSA DE ASSENTAMENTO COM PREPARO EM BETONEIRA. AF_06/2014</t>
  </si>
  <si>
    <t>LANÇAMENTO COM USO DE BALDES, ADENSAMENTO E ACABAMENTO DE CONCRETO EM ESTRUTURAS. AF_12/2015</t>
  </si>
  <si>
    <t>REVESTIMENTO CERÂMICO PARA PAREDES INTERNAS COM PLACAS TIPO GRÊS OU SEMI-GRÊS DE DIMENSÕES 20X20 CM APLICADAS EM AMBIENTES DE ÁREA MAIOR QUE 5 M² NA ALTURA INTEIRA DAS PAREDES. AF_06/2014</t>
  </si>
  <si>
    <t>CHAPA DE LAMINADO MELAMINICO, LISO FOSCO, DE *1,25 X 3,08* M, E = 0,8 MM</t>
  </si>
  <si>
    <t>BANCADA/ BANCA EM MARMORE, POLIDO, BRANCO COMUM, E= *3* C</t>
  </si>
  <si>
    <t>FORNECIMENTO E APLICAÇÃO DO MATERIAL HIDRÁULICO DAS INTERLIGAÇÕES DE PROCESSO, DRENAGEM E ÁGUA FRIA</t>
  </si>
  <si>
    <t>AUXILIAR DE ENCANADOR OU BOMBEIRO HIDRÁULICO COM ENCARGOS COMPLEMENTARES</t>
  </si>
  <si>
    <t>APLICAÇÃO</t>
  </si>
  <si>
    <t>ÁGUA FRIA E DRENAGEM</t>
  </si>
  <si>
    <t>TUBO CONCRETO ARMADO, CLASSE PA-1, PB, DN 600 MM, PARA AGUAS PLUVIAIS (NBR 8890)</t>
  </si>
  <si>
    <t>POCO VISITA ESG SANIT ANEL CONC PRE-MOLD PROF=1,20M C/ TAMPAO FOFO ARTICULADO, CLASSE B125 CARGA MAX 12,5 T, REDONDO TAMPA 600 MM, REDE PLUVIAL /ESGOTO / REJUNTAMENTO ANEIS / REVEST LISO CALHA INTERNA C/ARG CIM/AREIA 1:4. BASE/BANQUETA EM CONCR FCK=10MPA</t>
  </si>
  <si>
    <t>POCO VISITA ESG SANIT ANEL CONC PRE-MOLD PROF=1,40M C/ TAMPAO FOFO ARTICULADO, CLASSE B125 CARGA MAX 12,5 T, REDONDO TAMPA 600 MM, REDE PLUVIAL /ESGOTO / REJUNTAMENTO ANEIS / REVEST LISO CALHA INTERNA C/ARG CIM/AREIA 1:4. BASE/BANQUETA EM CONCR FCK=10MPA</t>
  </si>
  <si>
    <t>73963/030</t>
  </si>
  <si>
    <t>POCO VISITA ESG SANIT ANEL CONC PRE-MOLD PROF=1,50M C/ TAMPAO FOFO ARTICULADO, CLASSE B125 CARGA MAX 12,5 T, REDONDO TAMPA 600 MM, REDE PLUVIAL /ESGOTO / REJUNTAMENTO ANEIS / REVEST LISO CALHA INTERNA C/ARG CIM/AREIA 1:4. BASE/BANQUETA EM CONCR FCK=10MPA</t>
  </si>
  <si>
    <t>73963/031</t>
  </si>
  <si>
    <t>POCO VISITA ESG SANIT ANEL CONC PRE-MOLD PROF=1,60M C/ TAMPAO FOFO ARTICULADO, CLASSE B125 CARGA MAX 12,5 T, REDONDO TAMPA 600 MM, REDE PLUVIAL /ESGOTO / REJUNTAMENTO ANEIS / REVEST LISO CALHA INTERNA C/ARG CIM/AREIA 1:4. BASE/BANQUETA EM CONCR FCK=10MPA</t>
  </si>
  <si>
    <t>73963/032</t>
  </si>
  <si>
    <t>POCO VISITA ESG SANIT ANEL CONC PRE-MOLD PROF=1,70M C/ TAMPAO FOFO ARTICULADO, CLASSE B125 CARGA MAX 12,5 T, REDONDO TAMPA 600 MM, REDE PLUVIAL /ESGOTO / REJUNTAMENTO ANEIS / REVEST LISO CALHA INTERNA C/ARG CIM/AREIA 1:4. BASE/BANQUETA EM CONCR FCK=10MPA</t>
  </si>
  <si>
    <t>73963/033</t>
  </si>
  <si>
    <t>POCO VISITA ESG SANIT ANEL CONC PRE-MOLD PROF=2,00M C/ TAMPAO FOFO ARTICULADO, CLASSE B125 CARGA MAX 12,5 T, REDONDO TAMPA 600 MM, REDE PLUVIAL /ESGOTO / REJUNTAMENTO ANEIS / REVEST LISO CALHA INTERNA C/ARG CIM/AREIA 1:4. BASE/BANQUETA EM CONCR FCK=10MPA</t>
  </si>
  <si>
    <t>POCO VISITA ESG SANIT ANEL CONC PRE-MOLD PROF=2,30M C/ TAMPAO FOFO ARTICULADO, CLASSE B125 CARGA MAX 12,5 T, REDONDO TAMPA 600 MM, REDE PLUVIAL /ESGOTO / REJUNTAMENTO ANEIS / REVEST LISO CALHA INTERNA C/ARG CIM/AREIA 1:4. BASE/BANQUETA EM CONCR FCK=10MPA</t>
  </si>
  <si>
    <t>TAMPAO FOFO SIMPLES COM BASE, CLASSE D400 CARGA MAX 40 T, REDONDO TAMPA 600MM, REDE PLUVIAL/ESGOTO</t>
  </si>
  <si>
    <t>05.06.12</t>
  </si>
  <si>
    <t>73963/044</t>
  </si>
  <si>
    <t>POCO VISITA ESG SANIT ANEL CONC PRE-MOLD PROF=0,80M C/ TAMPAO FOFO ARTICULADO, CLASSE B125 CARGA MAX 12,5 T, REDONDO TAMPA 600 MM, REDE PLUVIAL /ESGOTO / REJUNTAMENTO ANEIS / REVEST LISO CALHA INTERNA C/ARG CIM/AREIA 1:4. BASE/BANQUETA EM CONCR FCK=10MPA</t>
  </si>
  <si>
    <t>73963/036</t>
  </si>
  <si>
    <t>BOCA DE LOBO EM ALVENARIA TIJOLO MACICO, REVESTIDA C/ ARGAMASSA DE CIMENTO E AREIA 1:3, SOBRE LASTRO DE CONCRETO 10CM E TAMPA DE CONCRETO ARMADO</t>
  </si>
  <si>
    <t>HIDRÔMETRO DN 20 (½), 3,0 M³/H FORNECIMENTO E INSTALAÇÃO. AF_11/2016</t>
  </si>
  <si>
    <t>REATERRO MECANIZADO DE VALA COM RETROESCAVADEIRA (CAPACIDADE DA CAÇAMBA DA RETRO: 0,26 M³ / POTÊNCIA: 88 HP), LARGURA DE 0,8 A 1,5 M, PROFUNDIDADE ATÉ 1,5 M, COM SOLO (SEM SUBSTITUIÇÃO) DE 1ª CATEGORIA EM LOCAIS COM BAIXO NÍVEL DE INTERFERÊNCIA. AF_04/2016</t>
  </si>
  <si>
    <t>CONSTRUÇÃO DE PAVIMENTO COM APLICAÇÃO DE CONCRETO BETUMINOSO USINADO AQUENTE (CBUQ), CAMADA DE ROLAMENTO, COM ESPESSURA DE 3,0 CM EXCLUSITRANSPORTE. AF_03/2017</t>
  </si>
  <si>
    <t>GUIA (MEIO-FIO) CONCRETO, MOLDADA IN LOCO EM TRECHO RETO COM EXTRUSO RA, 14 CM BASE X 30 CM ALTURA. AF_06/2016</t>
  </si>
  <si>
    <t>EXECUÇÃO DE SARJETA DE CONCRETO USINADO, MOLDADA IN LOCO EM TRECHO CURVO, 45 CM BASE X 15 CM ALTURA. AF_06/2016</t>
  </si>
  <si>
    <t>PORTAO EM TUBO DE ACO GALVANIZADO DIN 2440/NBR 5580, PAINEL UNICO, DIMENSOES 1,0X1,6M, INCLUSIVE CADEADO</t>
  </si>
  <si>
    <t>EXECUÇÃO DE ESCRITÓRIO EM CANTEIRO DE OBRA EM CHAPA DE MADEIRA COMPENSADA, NÃO INCLUSO MOBILIÁRIO E EQUIPAMENTOS. AF_02/2016</t>
  </si>
  <si>
    <t>EXECUÇÃO DE DEPÓSITO EM CANTEIRO DE OBRA EM CHAPA DE MADEIRA COMPENSADA, NÃO INCLUSO MOBILIÁRIO. AF_04/2016</t>
  </si>
  <si>
    <t>ENTRADA PROVISORIA DE ENERGIA ELETRICA AEREA TRIFASICA 40A EM POSTE MADEIRA</t>
  </si>
  <si>
    <t>FOSSA SÉPTICA EM ALVENARIA DE TIJOLO CERÂMICO MACIÇO, DIMENSÕES E AS DE 1,90X1,10X1,40 M, VOLUME DE 1.500 LITROS, REVESTIDO INTERNAMENTE COM MASSA ÚNICA E IMPERMEABILIZANTE E COM TAMPA DE CONCRETO ARMADO COM ESPESSURA DE 8 CM</t>
  </si>
  <si>
    <t>EXECUÇÃO DE REFEITÓRIO EM CANTEIRO DE OBRA EM CHAPA DE MADEIRA COMPENSADA, NÃO INCLUSO MOBILIÁRIO E EQUIPAMENTOS. AF_02/2016</t>
  </si>
  <si>
    <t>EXECUÇÃO DE SANITÁRIO E VESTIÁRIO EM CANTEIRO DE OBRA EM CHAPA DE MADEIRA COMPENSADA, NÃO INCLUSO MOBILIÁRIO. AF_02/2016</t>
  </si>
  <si>
    <t>01.11</t>
  </si>
  <si>
    <t>08.03.03</t>
  </si>
  <si>
    <t>08.03.04</t>
  </si>
  <si>
    <t>08.03.05</t>
  </si>
  <si>
    <t>08.03.06</t>
  </si>
  <si>
    <t>08.03.08</t>
  </si>
  <si>
    <t>08.03.10</t>
  </si>
  <si>
    <t>08.03.11</t>
  </si>
  <si>
    <t>08.03.12</t>
  </si>
  <si>
    <t>08.03.19</t>
  </si>
  <si>
    <t>08.03.28</t>
  </si>
  <si>
    <t>08.03.29</t>
  </si>
  <si>
    <t>08.03.30</t>
  </si>
  <si>
    <t>08.03.31</t>
  </si>
  <si>
    <t>08.04.03</t>
  </si>
  <si>
    <t>08.04.04</t>
  </si>
  <si>
    <t>08.04.05</t>
  </si>
  <si>
    <t>08.04.07</t>
  </si>
  <si>
    <t>08.04.09</t>
  </si>
  <si>
    <t>08.04.10</t>
  </si>
  <si>
    <t>08.04.11</t>
  </si>
  <si>
    <t>08.04.12</t>
  </si>
  <si>
    <t>08.04.16</t>
  </si>
  <si>
    <t>08.04.20</t>
  </si>
  <si>
    <t>08.04.21</t>
  </si>
  <si>
    <t>08.04.22</t>
  </si>
  <si>
    <t>08.04.23</t>
  </si>
  <si>
    <t>08.05.05</t>
  </si>
  <si>
    <t>08.05.06</t>
  </si>
  <si>
    <t>08.05.07</t>
  </si>
  <si>
    <t>08.05.08</t>
  </si>
  <si>
    <t>08.05.09</t>
  </si>
  <si>
    <t>08.05.10</t>
  </si>
  <si>
    <t>08.05.11</t>
  </si>
  <si>
    <t>08.05.14</t>
  </si>
  <si>
    <t>08.05.15</t>
  </si>
  <si>
    <t>08.05.16</t>
  </si>
  <si>
    <t>08.05.20</t>
  </si>
  <si>
    <t>08.05.21</t>
  </si>
  <si>
    <t>08.05.22</t>
  </si>
  <si>
    <t>08.05.23</t>
  </si>
  <si>
    <t>08.05.24</t>
  </si>
  <si>
    <t>08.06.11</t>
  </si>
  <si>
    <t>08.06.12</t>
  </si>
  <si>
    <t>08.06.16</t>
  </si>
  <si>
    <t>08.06.19</t>
  </si>
  <si>
    <t>08.06.20</t>
  </si>
  <si>
    <t>08.06.21</t>
  </si>
  <si>
    <t>08.06.22</t>
  </si>
  <si>
    <t>08.06.23</t>
  </si>
  <si>
    <t>08.07.04</t>
  </si>
  <si>
    <t>08.07.05</t>
  </si>
  <si>
    <t>08.07.06</t>
  </si>
  <si>
    <t>08.08.03</t>
  </si>
  <si>
    <t>08.09.03</t>
  </si>
  <si>
    <t>08.09.04</t>
  </si>
  <si>
    <t>08.09.05</t>
  </si>
  <si>
    <t>08.09.06</t>
  </si>
  <si>
    <t>08.09.07</t>
  </si>
  <si>
    <t>08.09.08</t>
  </si>
  <si>
    <t>08.09.09</t>
  </si>
  <si>
    <t>08.09.10</t>
  </si>
  <si>
    <t>08.09.11</t>
  </si>
  <si>
    <t>08.09.13</t>
  </si>
  <si>
    <t>08.09.14</t>
  </si>
  <si>
    <t>08.09.15</t>
  </si>
  <si>
    <t>08.09.16</t>
  </si>
  <si>
    <t>08.09.17</t>
  </si>
  <si>
    <t>08.09.18</t>
  </si>
  <si>
    <t>08.09.19</t>
  </si>
  <si>
    <t>08.09.20</t>
  </si>
  <si>
    <t>08.09.21</t>
  </si>
  <si>
    <t>08.10.03</t>
  </si>
  <si>
    <t>08.10.07</t>
  </si>
  <si>
    <t>08.10.10</t>
  </si>
  <si>
    <t>08.10.11</t>
  </si>
  <si>
    <t>08.10.12</t>
  </si>
  <si>
    <t>08.10.13</t>
  </si>
  <si>
    <t>08.10.14</t>
  </si>
  <si>
    <t>08.10.15</t>
  </si>
  <si>
    <t>08.10.16</t>
  </si>
  <si>
    <t>08.10.17</t>
  </si>
  <si>
    <t>08.10.18</t>
  </si>
  <si>
    <t>08.10.19</t>
  </si>
  <si>
    <t>08.10.20</t>
  </si>
  <si>
    <t>08.10.21</t>
  </si>
  <si>
    <t>08.10.22</t>
  </si>
  <si>
    <t>08.10.23</t>
  </si>
  <si>
    <t>08.10.24</t>
  </si>
  <si>
    <t>08.10.25</t>
  </si>
  <si>
    <t>08.10.26</t>
  </si>
  <si>
    <t>08.10.27</t>
  </si>
  <si>
    <t>08.11.01</t>
  </si>
  <si>
    <t>08.11.15</t>
  </si>
  <si>
    <t>08.12.02</t>
  </si>
  <si>
    <t>08.12.01</t>
  </si>
  <si>
    <t>08.12.03</t>
  </si>
  <si>
    <t>08.12.04</t>
  </si>
  <si>
    <t>08.12.05</t>
  </si>
  <si>
    <t>08.12.06</t>
  </si>
  <si>
    <t>08.12.07</t>
  </si>
  <si>
    <t>08.12.08</t>
  </si>
  <si>
    <t>03.04.05</t>
  </si>
  <si>
    <t>REFERENCIAS DE PREÇOS: SINAPI  (INSUMOS E SERVIÇOS C/ DESONERAÇÃO - REF. TÉCNICA: 13/05/2017)</t>
  </si>
  <si>
    <t>20.01</t>
  </si>
  <si>
    <t>20.02</t>
  </si>
  <si>
    <t>20.03</t>
  </si>
  <si>
    <t>20.04</t>
  </si>
  <si>
    <t>20.05</t>
  </si>
  <si>
    <t>20.06</t>
  </si>
  <si>
    <t>FORNECIMENTO E APLICAÇÃO DO MATERIAL HIDRÁULICO DO REATOR UASB</t>
  </si>
  <si>
    <t xml:space="preserve">FORNECIMENTO E APLICAÇÃO DO MATERIAL HIDRÁULICO DO FILTRO PERCOLADOR </t>
  </si>
  <si>
    <t>29.17</t>
  </si>
  <si>
    <t>29.18</t>
  </si>
  <si>
    <t>29.19</t>
  </si>
  <si>
    <t>29.20</t>
  </si>
  <si>
    <t>29.21</t>
  </si>
  <si>
    <t>FORNECIMENTO E APLICAÇÃO DO MATERIAL HIDRÁULICO DO DECANTADOR</t>
  </si>
  <si>
    <t>FORNECIMENTO E APLICAÇÃO DO MATERIAL HIDRÁULICO DA SANITIZAÇÃO</t>
  </si>
  <si>
    <t>TUBO DE PVC PARA REDE COLETORA DE ESGOTO DE PAREDE MACIÇA, DN 250 MM, JUNTA ELÁSTICA, INSTALADO EM LOCAL COM NÍVEL BAIXO DE INTERFERÊNCIAS - FORNECIMENTO E ASSENTAMENTO. AF_06/2015</t>
  </si>
  <si>
    <t>07.08.05</t>
  </si>
  <si>
    <t>07.08.06</t>
  </si>
  <si>
    <t>CE-002</t>
  </si>
  <si>
    <t>08.15</t>
  </si>
  <si>
    <t>08.16</t>
  </si>
  <si>
    <t>08.17</t>
  </si>
  <si>
    <t>08.18</t>
  </si>
  <si>
    <t>08.19</t>
  </si>
  <si>
    <t>08.20</t>
  </si>
  <si>
    <t>08.21</t>
  </si>
  <si>
    <t>08.22</t>
  </si>
  <si>
    <t>08.23</t>
  </si>
  <si>
    <t>09</t>
  </si>
  <si>
    <t>FORNECIMENTO E APLICAÇÃO DOS MATERIAIS HIDRÁULICOS DA ELEVATÓRIA 01</t>
  </si>
  <si>
    <t>FORNECIMENTO E APLICAÇÃO DOS MATERIAIS HIDRÁULICOS DA ELEVATÓRIA FINAL</t>
  </si>
  <si>
    <t>13.03</t>
  </si>
  <si>
    <t>13.04</t>
  </si>
  <si>
    <t>21.01</t>
  </si>
  <si>
    <t>21.02</t>
  </si>
  <si>
    <t>21.03</t>
  </si>
  <si>
    <t>21.04</t>
  </si>
  <si>
    <t>21.05</t>
  </si>
  <si>
    <t>21.06</t>
  </si>
  <si>
    <t>CE-021</t>
  </si>
  <si>
    <t>23.05</t>
  </si>
  <si>
    <t>23.06</t>
  </si>
  <si>
    <t>25.01</t>
  </si>
  <si>
    <t>25.02</t>
  </si>
  <si>
    <t>25.03</t>
  </si>
  <si>
    <t>25.04</t>
  </si>
  <si>
    <t>CE-025</t>
  </si>
  <si>
    <t>FORNECIMENTO E APLICAÇÃO DOS MATERIAIS HIDRÁULICOS DA ELEVATÓRIA DE RECIRCULAÇÃO</t>
  </si>
  <si>
    <t>28.05</t>
  </si>
  <si>
    <t>30.01</t>
  </si>
  <si>
    <t>30.02</t>
  </si>
  <si>
    <t>30.03</t>
  </si>
  <si>
    <t>30.04</t>
  </si>
  <si>
    <t>CE-030</t>
  </si>
  <si>
    <t>CE-033</t>
  </si>
  <si>
    <t>33.01</t>
  </si>
  <si>
    <t>33.02</t>
  </si>
  <si>
    <t>33.03</t>
  </si>
  <si>
    <t>33.04</t>
  </si>
  <si>
    <t>PEDREIRO COM ENCARGOS COMPLEMENTARES</t>
  </si>
  <si>
    <t>FORNECIMENTO E APLICAÇÃO DOS MATERIAIS HIDRÁULICOS DA UNIDADE DE APOIO</t>
  </si>
  <si>
    <t>35.03</t>
  </si>
  <si>
    <t>35.04</t>
  </si>
  <si>
    <t>18.05</t>
  </si>
  <si>
    <t>18.06</t>
  </si>
  <si>
    <t>18.07</t>
  </si>
  <si>
    <t>18.08</t>
  </si>
  <si>
    <t>18.09</t>
  </si>
  <si>
    <t>18.10</t>
  </si>
  <si>
    <t>18.11</t>
  </si>
  <si>
    <t>18.12</t>
  </si>
  <si>
    <t>18.13</t>
  </si>
  <si>
    <t>18.14</t>
  </si>
  <si>
    <t>18.15</t>
  </si>
  <si>
    <t>18.16</t>
  </si>
  <si>
    <t>18.17</t>
  </si>
  <si>
    <t>18.18</t>
  </si>
  <si>
    <t>18.19</t>
  </si>
  <si>
    <t>18.20</t>
  </si>
  <si>
    <t>18.21</t>
  </si>
  <si>
    <t>18.22</t>
  </si>
  <si>
    <t>18.23</t>
  </si>
  <si>
    <t>18.24</t>
  </si>
  <si>
    <t>18.25</t>
  </si>
  <si>
    <t>18.26</t>
  </si>
  <si>
    <t>18.27</t>
  </si>
  <si>
    <t>18.28</t>
  </si>
  <si>
    <t>18.29</t>
  </si>
  <si>
    <t>18.30</t>
  </si>
  <si>
    <t>18.31</t>
  </si>
  <si>
    <t>18.32</t>
  </si>
  <si>
    <t>22.05</t>
  </si>
  <si>
    <t>22.06</t>
  </si>
  <si>
    <t>08.02.14</t>
  </si>
  <si>
    <t>24.05</t>
  </si>
  <si>
    <t>24.06</t>
  </si>
  <si>
    <t>24.07</t>
  </si>
  <si>
    <t>24.08</t>
  </si>
  <si>
    <t>24.09</t>
  </si>
  <si>
    <t>24.10</t>
  </si>
  <si>
    <t>24.11</t>
  </si>
  <si>
    <t>29.22</t>
  </si>
  <si>
    <t>29.23</t>
  </si>
  <si>
    <t>29.24</t>
  </si>
  <si>
    <t>29.25</t>
  </si>
  <si>
    <t>29.26</t>
  </si>
  <si>
    <t>29.27</t>
  </si>
  <si>
    <t>29.28</t>
  </si>
  <si>
    <t>29.29</t>
  </si>
  <si>
    <t>29.30</t>
  </si>
  <si>
    <t>29.31</t>
  </si>
  <si>
    <t>29.32</t>
  </si>
  <si>
    <t>29.33</t>
  </si>
  <si>
    <t>29.34</t>
  </si>
  <si>
    <t>29.35</t>
  </si>
  <si>
    <t>29.36</t>
  </si>
  <si>
    <t>29.37</t>
  </si>
  <si>
    <t>29.38</t>
  </si>
  <si>
    <t>29.39</t>
  </si>
  <si>
    <t>29.40</t>
  </si>
  <si>
    <t>29.41</t>
  </si>
  <si>
    <t>29.42</t>
  </si>
  <si>
    <t>29.43</t>
  </si>
  <si>
    <t>29.44</t>
  </si>
  <si>
    <t>29.45</t>
  </si>
  <si>
    <t>29.46</t>
  </si>
  <si>
    <t>29.47</t>
  </si>
  <si>
    <t>29.48</t>
  </si>
  <si>
    <t>29.49</t>
  </si>
  <si>
    <t>29.50</t>
  </si>
  <si>
    <t>29.51</t>
  </si>
  <si>
    <t>29.52</t>
  </si>
  <si>
    <t>29.53</t>
  </si>
  <si>
    <t>29.54</t>
  </si>
  <si>
    <t>29.55</t>
  </si>
  <si>
    <t>29.56</t>
  </si>
  <si>
    <t>29.57</t>
  </si>
  <si>
    <t>30.05</t>
  </si>
  <si>
    <t>30.06</t>
  </si>
  <si>
    <t>35.05</t>
  </si>
  <si>
    <t>38.01</t>
  </si>
  <si>
    <t>38.02</t>
  </si>
  <si>
    <t>38.03</t>
  </si>
  <si>
    <t>38.04</t>
  </si>
  <si>
    <t>38.05</t>
  </si>
  <si>
    <t>38.06</t>
  </si>
  <si>
    <t>38.07</t>
  </si>
  <si>
    <t>38.08</t>
  </si>
  <si>
    <t>38.09</t>
  </si>
  <si>
    <t>38.10</t>
  </si>
  <si>
    <t>38.11</t>
  </si>
  <si>
    <t>CE-038</t>
  </si>
  <si>
    <t>39.03</t>
  </si>
  <si>
    <t>39.04</t>
  </si>
  <si>
    <t>40.01</t>
  </si>
  <si>
    <t>40.02</t>
  </si>
  <si>
    <t>40.03</t>
  </si>
  <si>
    <t>40.04</t>
  </si>
  <si>
    <t>CE-040</t>
  </si>
  <si>
    <t>41.01</t>
  </si>
  <si>
    <t>41.02</t>
  </si>
  <si>
    <t>41.03</t>
  </si>
  <si>
    <t>41.04</t>
  </si>
  <si>
    <t>41.05</t>
  </si>
  <si>
    <t>41.06</t>
  </si>
  <si>
    <t>CE-041</t>
  </si>
  <si>
    <t>42.01</t>
  </si>
  <si>
    <t>42.02</t>
  </si>
  <si>
    <t>42.03</t>
  </si>
  <si>
    <t>42.04</t>
  </si>
  <si>
    <t>CE-042</t>
  </si>
  <si>
    <t>43.01</t>
  </si>
  <si>
    <t>43.02</t>
  </si>
  <si>
    <t>43.03</t>
  </si>
  <si>
    <t>43.04</t>
  </si>
  <si>
    <t>CE-043</t>
  </si>
  <si>
    <t>46.03</t>
  </si>
  <si>
    <t>46.04</t>
  </si>
  <si>
    <t>46.05</t>
  </si>
  <si>
    <t>46.06</t>
  </si>
  <si>
    <t>46.07</t>
  </si>
  <si>
    <t>46.08</t>
  </si>
  <si>
    <t>46.09</t>
  </si>
  <si>
    <t>47.05</t>
  </si>
  <si>
    <t>47.06</t>
  </si>
  <si>
    <t>47.07</t>
  </si>
  <si>
    <t>47.08</t>
  </si>
  <si>
    <t>47.09</t>
  </si>
  <si>
    <t>47.10</t>
  </si>
  <si>
    <t>47.11</t>
  </si>
  <si>
    <t>47.12</t>
  </si>
  <si>
    <t>47.13</t>
  </si>
  <si>
    <t>47.14</t>
  </si>
  <si>
    <t>47.15</t>
  </si>
  <si>
    <t>47.16</t>
  </si>
  <si>
    <t>01.01.00</t>
  </si>
  <si>
    <t>ENGENHEIRO OU ARQUITETO /PLENO - DE OBRA</t>
  </si>
  <si>
    <t>MESTRE DE OBRAS</t>
  </si>
  <si>
    <t xml:space="preserve">FEITOR OU ENCARREGADO GERAL </t>
  </si>
  <si>
    <t>FEITOR OU ENCARREGADO DE CONCRETO</t>
  </si>
  <si>
    <t>FEITOR OU ENCARREGADO DE REDES DE ESGOTOS</t>
  </si>
  <si>
    <t xml:space="preserve">SERVENTE </t>
  </si>
  <si>
    <t>01.01.14</t>
  </si>
  <si>
    <t>VIGIA NOTURNO, HORA EFETIVAMENTE TRABALHADA DE 22 H AS 5 H (COM ADICIONAL NOTURNO)</t>
  </si>
  <si>
    <t>01.02.00</t>
  </si>
  <si>
    <t>CAMINHONETE CABINE SIMPLES COM MOTOR 1.6 FLEX, CÂMBIO MANUAL, POTÊNCIA 101/104 CV, 2 PORTAS - MATERIAIS NA OPERAÇÃO. AF_11/2015</t>
  </si>
  <si>
    <t>CAMINHÃO BASCULANTE 6 M3, PESO BRUTO TOTAL 16.000 KG, CARGA ÚTIL MÁXIMA 13.071 KG, DISTÂNCIA ENTRE EIXOS 4,80 M, POTÊNCIA 230 CV INCLUSIVE CAÇAMBA METÁLICA - CHI DIURNO. AF_06/2014</t>
  </si>
  <si>
    <t>CAMINHÃO TOCO, PESO BRUTO TOTAL 14.300 KG, CARGA ÚTIL MÁXIMA 9590 KG, DISTÂNCIA ENTRE EIXOS 4,76 M, POTÊNCIA 185 CV (NÃO INCLUI CARROCERIA) - MANUTENÇÃO. AF_06/2014</t>
  </si>
  <si>
    <t>VIBRADOR DE IMERSÃO, DIÂMETRO DE PONTEIRA 45MM, MOTOR ELÉTRICO TRIFÁSICO POTÊNCIA DE 2 CV - CHP DIURNO. AF_06/2015</t>
  </si>
  <si>
    <t>01.02.08</t>
  </si>
  <si>
    <t>BETONEIRA CAPACIDADE NOMINAL 400 L, CAPACIDADE DE MISTURA 310 L, MOTORA DIESEL POTÊNCIA 5,0 HP, SEM CARREGADOR - DEPRECIAÇÃO. AF_06/2014</t>
  </si>
  <si>
    <t>01.03.00</t>
  </si>
  <si>
    <t>TARIFA DE ENERGIA ELETRICA COMERCIAL, BAIXA TENSAO, RELATIVA AO CONSUMO DE ATE 100 KWH, INCLUINDO ICMS, PIS/PASEP E COFINS</t>
  </si>
  <si>
    <t>CONCRETO FCK = 25MPA, TRAÇO 1:3,4:3,5 (CIMENTO/ AREIA MÉDIA/ BRITA 1) - PREPARO MECÂNICO COM BETONEIRA 400 L. AF_07/2016</t>
  </si>
  <si>
    <t>FORNECIMENTO E LANCAMENTO DE PEDRA DE MAO</t>
  </si>
  <si>
    <t>ESCAVACAO MECANICA DE VALAS (SOLO COM AGUA), ENTRE 1,00 E 3,00 M.</t>
  </si>
  <si>
    <t>FUNDAÇOES E ESTRUTURA</t>
  </si>
  <si>
    <t>ESCAVAÇÕES, EMPRESTIMOS E BOTA FORA</t>
  </si>
  <si>
    <t>ESCAVACAO MECANICA CAMPO ABERTO EM SOLO EXCETO ROCHA ATE 2,00M DE PROFUNDIDADE (EMPRESTIMO)</t>
  </si>
  <si>
    <t>CARGA E DESCARGA MECANIZADAS DE ENTULHO EM CAMINHAO BASCULANTE 6 M3  (EMPRESTIMO)</t>
  </si>
  <si>
    <t>TRANSPORTE COMERCIAL COM CAMINHAO BASCULANTE 6 M3, RODOVIA EM LEITO NATURAL  (EMPRESTIMO)</t>
  </si>
  <si>
    <t>ESCAVACAO MECANICA CAMPO ABERTO EM SOLO EXCETO ROCHA ATE 2,00M DE PROFUNDIDADE (BOTA FORA)</t>
  </si>
  <si>
    <t>CARGA E DESCARGA MECANIZADAS DE ENTULHO EM CAMINHAO BASCULANTE 6 M3 (BOTA FORA)</t>
  </si>
  <si>
    <t>TRANSPORTE COMERCIAL COM CAMINHAO BASCULANTE 6 M3, RODOVIA EM LEITO NATURAL (BOTA FORA)</t>
  </si>
  <si>
    <t>ESPALHAMENTO DE MATERIAL DE 1A CATEGORIA COM TRATOR DE ESTEIRA COM 153 HP (BOTA FORA)</t>
  </si>
  <si>
    <t>FUNDAÇÕES E ESTRUTURA</t>
  </si>
  <si>
    <t>EQUIPAMENTOS, MATERIAIS HIDRÁULICOS E ELÉTRICOS</t>
  </si>
  <si>
    <t>08.02.15</t>
  </si>
  <si>
    <t>ESTACA PRÉ-MOLDADA DE CONCRETO, SEÇÃO QUADRADA, CAPACIDADE DE 50 TONELADAS, COMPRIMENTO TOTAL CRAVADO ACIMA DE 5M ATÉ 12M, BATE-ESTACAS POR GRAVIDADE SOBRE ROLOS (EXCLUSIVE MOBILIZAÇÃO E DESMOBILIZAÇÃO). AF_03/2016</t>
  </si>
  <si>
    <t>um</t>
  </si>
  <si>
    <t xml:space="preserve">CRAVAMENTO DE ESTACAS PRÉ-MOLDADA DE CONCRETO, SEÇÃO QUADRADA, CAPACIDADE DE 25 TONELADAS, COMPRIMENTO TOTAL CRAVADO ATÉ 8,40M, BATE-ESTACAS POR GRAVIDADE SOBRE ROLOS </t>
  </si>
  <si>
    <t>CRAVAMENTO DE ESTACAS PRÉ-MOLDADA DE CONCRETO,  SEÇÃO QUADRADA, CAPACIDADE DE 50 TONELADAS, COMPRIMENTO TOTAL CRAVADO ATÉ 7,70M, BATE-ESTACAS POR GRAVIDADE SOBRE ROLOS</t>
  </si>
  <si>
    <t>CRAVAMENTO DE ESTACAS PRÉ-MOLDADA DE CONCRETO,  SEÇÃO QUADRADA, CAPACIDADE DE 50 TONELADAS, COMPRIMENTO TOTAL CRAVADO ATÉ 8,00M, BATE-ESTACAS POR GRAVIDADE SOBRE ROLOS</t>
  </si>
  <si>
    <t>BLOCO CONCRETO ESTRUTURAL 9 X 19 X 39 CM, FBK 4,5 MPA (NBR 6136)</t>
  </si>
  <si>
    <t>BLOCO CONCRETO ESTRUTURAL 14 X 19 X 34 CM, FBK 4,5 MPA (NBR 6136)</t>
  </si>
  <si>
    <t>MEIO BLOCO CONCRETO ESTRUTURAL 14 X 19 X 19 CM, FBK 14 MPA (NBR 6136)</t>
  </si>
  <si>
    <t>MEIA CANALETA CONCRETO ESTRUTURAL 14 X 19 X 19 CM, FBK 14 MPA (NBR 6136)</t>
  </si>
  <si>
    <t>ACO CA-60, 4,2 MM, DOBRADO E CORTADO</t>
  </si>
  <si>
    <t>ACO CA-60, 5,0 MM, DOBRADO E CORTADO KG CR</t>
  </si>
  <si>
    <t xml:space="preserve">CRAVAMENTO DE ESTACAS PRÉ-MOLDADA DE CONCRETO, SEÇÃO QUADRADA, CAPACIDADE DE 25 TONELADAS, COMPRIMENTO TOTAL CRAVADO ATÉ 5,00M, BATE-ESTACAS POR GRAVIDADE SOBRE ROLOS </t>
  </si>
  <si>
    <t>08.09.22</t>
  </si>
  <si>
    <t>ALVENARIA DE VEDAÇÃO DE BLOCOS VAZADOS DE CONCRETO DE 19X19X39CM ESPESSURA 19CM) DE PAREDES COM ÁREA LÍQUIDA MAIOR OU IGUAL A 6M² SEM VÃOS E ARGAMASSA DE ASSENTAMENTO COM PREPARO EM BETONEIRA. AF_06/2014</t>
  </si>
  <si>
    <t>PORTA EM ALUMÍNIO DE ABRIR TIPO VENEZIANA COM GUARNIÇÃO, FIXAÇÃO COM PARAFUSOS - FORNECIMENTO E INSTALAÇÃO. AF_08/2015</t>
  </si>
  <si>
    <t>TRAMA DE MADEIRA COMPOSTA POR RIPAS, CAIBROS E TERÇAS PARA TELHADOS DE ATÉ 2 ÁGUAS PARA TELHA CERÂMICA CAPA-CANAL, INCLUSO TRANSPORTE VERTICAL. AF_12/2015</t>
  </si>
  <si>
    <t>TELHAMENTO COM TELHA CERÂMICA CAPA-CANAL, TIPO COLONIAL, COM ATÉ 2 ÁGUAS, INCLUSO TRANSPORTE VERTICAL. AF_06/2016</t>
  </si>
  <si>
    <t>ABRIGO PARA OS QCM'S DA ELEVATÓRIA DE RECIRCULAÇÃO</t>
  </si>
  <si>
    <t>CAMINHÃO TOCO, PBT 16.000 KG, CARGA ÚTIL MÁX. 10.685 KG, DIST. ENTRE EIXOS 4,8 M, POTÊNCIA 189 CV, INCLUSIVE CARROCERIA FIXA ABERTA DE MADEIRA P/ TRANSPORTE GERAL DE CARGA SECA, DIMEN. APROX. 2,5 X 7,00 X 0,50M - CHP DIURNO. AF_06/2014*</t>
  </si>
  <si>
    <t>MOTORISTA DE VEÍCULO PESADO COM ENCARGOS COMPLEMENTARES*</t>
  </si>
  <si>
    <t>GUINDASTE HIDRÁULICO AUTOPROPELIDO, COM LANÇA TELESCÓPICA 28,80 M, CAPACIDADE MÁXIMA 30 T, POTÊNCIA 97 KW, TRAÇÃO 4 X 4 - CHP DIURNO. AF2014*</t>
  </si>
  <si>
    <t>OPERADOR DE GUINDASTE COM ENCARGOS COMPLEMENTARES*</t>
  </si>
  <si>
    <t>ESTACA PRÉ-MOLDADA DE CONCRETO, SEÇÃO QUADRADA, CAPACIDADE DE 50 TONELADAS, COMPRIMENTO TOTAL CRAVADO ACIMA DE 5M ATÉ 12M, BATE-ESTACAS POR GRAVIDADE SOBRE ROLOS (EXCLUSIVE MOBILIZAÇÃO E DESMOBILIZAÇÃO). AF_03/2016*</t>
  </si>
  <si>
    <t>SERVENTE COM ENCARGOS COMPLEMENTARES (ESCAVAÇÃO MANUAL)*</t>
  </si>
  <si>
    <t>JANELA DE ALUMÍNIO DE CORRER, 2 FOLHAS, FIXAÇÃO COM PARAFUSO, VEDAÇÃO COM ESPUMA EXPANSIVA PU, COM VIDROS, PADRONIZADA. AF_07/2016</t>
  </si>
  <si>
    <t>ESPUMA EXPANSIVA DE POLIURETANO, APLICACAO MANUAL - 500 ML</t>
  </si>
  <si>
    <t>REF. CRAVAMENTO DE ESTACAS (*)</t>
  </si>
  <si>
    <t>03.02.12</t>
  </si>
  <si>
    <t>03.04.06</t>
  </si>
  <si>
    <t>03.04.07</t>
  </si>
  <si>
    <t>03.04.08</t>
  </si>
  <si>
    <t>03.04.09</t>
  </si>
  <si>
    <t>03.04.10</t>
  </si>
  <si>
    <t>03.04.11</t>
  </si>
  <si>
    <t>03.04.12</t>
  </si>
  <si>
    <t>03.04.13</t>
  </si>
  <si>
    <t>03.05.01</t>
  </si>
  <si>
    <t>03.05.02</t>
  </si>
  <si>
    <t>03.05.03</t>
  </si>
  <si>
    <t>03.05.04</t>
  </si>
  <si>
    <t>03.05.05</t>
  </si>
  <si>
    <t>06.02.01</t>
  </si>
  <si>
    <t>06.02.02</t>
  </si>
  <si>
    <t>06.02.03</t>
  </si>
  <si>
    <t>06.02.04</t>
  </si>
  <si>
    <t>06.02.05</t>
  </si>
  <si>
    <t>06.02.06</t>
  </si>
  <si>
    <t>06.02.07</t>
  </si>
  <si>
    <t>06.04.06</t>
  </si>
  <si>
    <t>06.04.07</t>
  </si>
  <si>
    <t>06.04.08</t>
  </si>
  <si>
    <t>06.04.09</t>
  </si>
  <si>
    <t>06.04.10</t>
  </si>
  <si>
    <t>06.04.11</t>
  </si>
  <si>
    <t>06.04.12</t>
  </si>
  <si>
    <t>06.04.13</t>
  </si>
  <si>
    <t>06.04.14</t>
  </si>
  <si>
    <t>06.05</t>
  </si>
  <si>
    <t>06.05.01</t>
  </si>
  <si>
    <t>06.05.02</t>
  </si>
  <si>
    <t>06.05.03</t>
  </si>
  <si>
    <t>06.05.04</t>
  </si>
  <si>
    <t>06.05.05</t>
  </si>
  <si>
    <t>08.04.06</t>
  </si>
  <si>
    <t>08.04.08</t>
  </si>
  <si>
    <t>04.09</t>
  </si>
  <si>
    <t>04.10</t>
  </si>
  <si>
    <t>09.03</t>
  </si>
  <si>
    <t>09.04</t>
  </si>
  <si>
    <t>09.05</t>
  </si>
  <si>
    <t>09.06</t>
  </si>
  <si>
    <t>09.07</t>
  </si>
  <si>
    <t>09.08</t>
  </si>
  <si>
    <t>09.09</t>
  </si>
  <si>
    <t>09.10</t>
  </si>
  <si>
    <t>09.11</t>
  </si>
  <si>
    <t>09.12</t>
  </si>
  <si>
    <t>09.13</t>
  </si>
  <si>
    <t>09.14</t>
  </si>
  <si>
    <t>09.15</t>
  </si>
  <si>
    <t>09.16</t>
  </si>
  <si>
    <t>09.17</t>
  </si>
  <si>
    <t>09.18</t>
  </si>
  <si>
    <t>09.19</t>
  </si>
  <si>
    <t>09.20</t>
  </si>
  <si>
    <t>09.21</t>
  </si>
  <si>
    <t>09.22</t>
  </si>
  <si>
    <t>09.23</t>
  </si>
  <si>
    <t>09.24</t>
  </si>
  <si>
    <t>09.25</t>
  </si>
  <si>
    <t>11.06</t>
  </si>
  <si>
    <t>11.07</t>
  </si>
  <si>
    <t>11.08</t>
  </si>
  <si>
    <t>13.05</t>
  </si>
  <si>
    <t>13.06</t>
  </si>
  <si>
    <t>13.07</t>
  </si>
  <si>
    <t>13.08</t>
  </si>
  <si>
    <t>13.09</t>
  </si>
  <si>
    <t>13.10</t>
  </si>
  <si>
    <t>16.01</t>
  </si>
  <si>
    <t>16.02</t>
  </si>
  <si>
    <t>16.03</t>
  </si>
  <si>
    <t>16.04</t>
  </si>
  <si>
    <t>CE-017</t>
  </si>
  <si>
    <t>21.07</t>
  </si>
  <si>
    <t>21.08</t>
  </si>
  <si>
    <t>21.09</t>
  </si>
  <si>
    <t>21.10</t>
  </si>
  <si>
    <t>21.11</t>
  </si>
  <si>
    <t>21.12</t>
  </si>
  <si>
    <t>21.13</t>
  </si>
  <si>
    <t>21.14</t>
  </si>
  <si>
    <t>21.15</t>
  </si>
  <si>
    <t>21.16</t>
  </si>
  <si>
    <t>21.17</t>
  </si>
  <si>
    <t>21.18</t>
  </si>
  <si>
    <t>21.19</t>
  </si>
  <si>
    <t>21.20</t>
  </si>
  <si>
    <t>31.05</t>
  </si>
  <si>
    <t>31.06</t>
  </si>
  <si>
    <t>34.05</t>
  </si>
  <si>
    <t>34.06</t>
  </si>
  <si>
    <t>34.07</t>
  </si>
  <si>
    <t>34.08</t>
  </si>
  <si>
    <t>34.09</t>
  </si>
  <si>
    <t>34.10</t>
  </si>
  <si>
    <t>34.11</t>
  </si>
  <si>
    <t>34.12</t>
  </si>
  <si>
    <t>34.13</t>
  </si>
  <si>
    <t>34.14</t>
  </si>
  <si>
    <t>34.15</t>
  </si>
  <si>
    <t>34.16</t>
  </si>
  <si>
    <t>34.17</t>
  </si>
  <si>
    <t>34.18</t>
  </si>
  <si>
    <t>34.19</t>
  </si>
  <si>
    <t>34.20</t>
  </si>
  <si>
    <t>34.21</t>
  </si>
  <si>
    <t>34.22</t>
  </si>
  <si>
    <t>37.06</t>
  </si>
  <si>
    <t>37.07</t>
  </si>
  <si>
    <t>37.08</t>
  </si>
  <si>
    <t>37.09</t>
  </si>
  <si>
    <t>37.10</t>
  </si>
  <si>
    <t>37.11</t>
  </si>
  <si>
    <t>37.12</t>
  </si>
  <si>
    <t>37.13</t>
  </si>
  <si>
    <t>37.14</t>
  </si>
  <si>
    <t>37.15</t>
  </si>
  <si>
    <t>37.16</t>
  </si>
  <si>
    <t>37.17</t>
  </si>
  <si>
    <t>37.18</t>
  </si>
  <si>
    <t>37.19</t>
  </si>
  <si>
    <t>37.20</t>
  </si>
  <si>
    <t>37.21</t>
  </si>
  <si>
    <t>37.22</t>
  </si>
  <si>
    <t>37.23</t>
  </si>
  <si>
    <t>37.24</t>
  </si>
  <si>
    <t>37.25</t>
  </si>
  <si>
    <t>37.26</t>
  </si>
  <si>
    <t>37.27</t>
  </si>
  <si>
    <t>37.28</t>
  </si>
  <si>
    <t>37.29</t>
  </si>
  <si>
    <t>37.30</t>
  </si>
  <si>
    <t>38.12</t>
  </si>
  <si>
    <t>38.13</t>
  </si>
  <si>
    <t>38.14</t>
  </si>
  <si>
    <t>38.15</t>
  </si>
  <si>
    <t>38.16</t>
  </si>
  <si>
    <t>38.17</t>
  </si>
  <si>
    <t>38.18</t>
  </si>
  <si>
    <t>38.19</t>
  </si>
  <si>
    <t>38.20</t>
  </si>
  <si>
    <t>38.21</t>
  </si>
  <si>
    <t>38.22</t>
  </si>
  <si>
    <t>39.05</t>
  </si>
  <si>
    <t>40.05</t>
  </si>
  <si>
    <t>40.06</t>
  </si>
  <si>
    <t>40.07</t>
  </si>
  <si>
    <t>40.08</t>
  </si>
  <si>
    <t>40.09</t>
  </si>
  <si>
    <t>40.10</t>
  </si>
  <si>
    <t>40.11</t>
  </si>
  <si>
    <t>31.07</t>
  </si>
  <si>
    <t>31.08</t>
  </si>
  <si>
    <t>31.09</t>
  </si>
  <si>
    <t>31.10</t>
  </si>
  <si>
    <t>31.11</t>
  </si>
  <si>
    <t>31.12</t>
  </si>
  <si>
    <t>31.13</t>
  </si>
  <si>
    <t>31.14</t>
  </si>
  <si>
    <t>31.15</t>
  </si>
  <si>
    <t>31.16</t>
  </si>
  <si>
    <t>31.17</t>
  </si>
  <si>
    <t>31.18</t>
  </si>
  <si>
    <t>31.19</t>
  </si>
  <si>
    <t>31.20</t>
  </si>
  <si>
    <t>31.21</t>
  </si>
  <si>
    <t>45.05</t>
  </si>
  <si>
    <t>45.06</t>
  </si>
  <si>
    <t>45.07</t>
  </si>
  <si>
    <t>45.08</t>
  </si>
  <si>
    <t>45.09</t>
  </si>
  <si>
    <t>45.10</t>
  </si>
  <si>
    <t>47.17</t>
  </si>
  <si>
    <t>47.18</t>
  </si>
  <si>
    <t>47.19</t>
  </si>
  <si>
    <t>47.20</t>
  </si>
  <si>
    <t>47.21</t>
  </si>
  <si>
    <t>47.22</t>
  </si>
  <si>
    <t>47.23</t>
  </si>
  <si>
    <t>47.24</t>
  </si>
  <si>
    <t>47.25</t>
  </si>
  <si>
    <t>47.26</t>
  </si>
  <si>
    <t>47.27</t>
  </si>
  <si>
    <t>47.28</t>
  </si>
  <si>
    <t>47.29</t>
  </si>
  <si>
    <t>47.30</t>
  </si>
  <si>
    <t>47.31</t>
  </si>
  <si>
    <t>47.32</t>
  </si>
  <si>
    <t>47.33</t>
  </si>
  <si>
    <t>47.34</t>
  </si>
  <si>
    <t>47.35</t>
  </si>
  <si>
    <t>47.36</t>
  </si>
  <si>
    <t>47.37</t>
  </si>
  <si>
    <t>47.38</t>
  </si>
  <si>
    <t>47.39</t>
  </si>
  <si>
    <t>47.40</t>
  </si>
  <si>
    <t>47.41</t>
  </si>
  <si>
    <t>47.42</t>
  </si>
  <si>
    <t>47.43</t>
  </si>
  <si>
    <t>47.44</t>
  </si>
  <si>
    <t>47.45</t>
  </si>
  <si>
    <t>47.46</t>
  </si>
  <si>
    <t>47.47</t>
  </si>
  <si>
    <t>47.48</t>
  </si>
  <si>
    <t>47.49</t>
  </si>
  <si>
    <t>47.50</t>
  </si>
  <si>
    <t>47.51</t>
  </si>
  <si>
    <t>47.52</t>
  </si>
  <si>
    <t>47.53</t>
  </si>
  <si>
    <t>47.54</t>
  </si>
  <si>
    <t>47.55</t>
  </si>
  <si>
    <t>47.56</t>
  </si>
  <si>
    <t>47.57</t>
  </si>
  <si>
    <t>47.58</t>
  </si>
  <si>
    <t>47.59</t>
  </si>
  <si>
    <t>47.60</t>
  </si>
  <si>
    <t>47.61</t>
  </si>
  <si>
    <t>47.62</t>
  </si>
  <si>
    <t>47.63</t>
  </si>
  <si>
    <t>47.64</t>
  </si>
  <si>
    <t>47.65</t>
  </si>
  <si>
    <t>47.66</t>
  </si>
  <si>
    <t>47.67</t>
  </si>
  <si>
    <t>47.68</t>
  </si>
  <si>
    <t>47.69</t>
  </si>
  <si>
    <t>47.70</t>
  </si>
  <si>
    <t>47.71</t>
  </si>
  <si>
    <t>47.72</t>
  </si>
  <si>
    <t>47.73</t>
  </si>
  <si>
    <t>47.74</t>
  </si>
  <si>
    <t>47.75</t>
  </si>
  <si>
    <t>47.76</t>
  </si>
  <si>
    <t>47.77</t>
  </si>
  <si>
    <t>47.78</t>
  </si>
  <si>
    <t>47.79</t>
  </si>
  <si>
    <t>47.80</t>
  </si>
  <si>
    <t>47.81</t>
  </si>
  <si>
    <t>48.01</t>
  </si>
  <si>
    <t>48.02</t>
  </si>
  <si>
    <t>48.03</t>
  </si>
  <si>
    <t>48.04</t>
  </si>
  <si>
    <t>CE-048</t>
  </si>
  <si>
    <t>49.01</t>
  </si>
  <si>
    <t>49.02</t>
  </si>
  <si>
    <t>49.03</t>
  </si>
  <si>
    <t>49.04</t>
  </si>
  <si>
    <t>49.05</t>
  </si>
  <si>
    <t>49.06</t>
  </si>
  <si>
    <t>49.07</t>
  </si>
  <si>
    <t>49.08</t>
  </si>
  <si>
    <t>49.09</t>
  </si>
  <si>
    <t>49.10</t>
  </si>
  <si>
    <t>CE-049</t>
  </si>
  <si>
    <t>50.01</t>
  </si>
  <si>
    <t>50.01.01</t>
  </si>
  <si>
    <t>50.01.02</t>
  </si>
  <si>
    <t>50.01.03</t>
  </si>
  <si>
    <t>50.01.04</t>
  </si>
  <si>
    <t>50.01.05</t>
  </si>
  <si>
    <t>50.02</t>
  </si>
  <si>
    <t>50.02.01</t>
  </si>
  <si>
    <t>50.02.02</t>
  </si>
  <si>
    <t>50.02.03</t>
  </si>
  <si>
    <t>50.02.04</t>
  </si>
  <si>
    <t>50.02.05</t>
  </si>
  <si>
    <t>50.03</t>
  </si>
  <si>
    <t>50.03.01</t>
  </si>
  <si>
    <t>50.04</t>
  </si>
  <si>
    <t>50.04.01</t>
  </si>
  <si>
    <t>50.04.02</t>
  </si>
  <si>
    <t>50.04.03</t>
  </si>
  <si>
    <t>50.05</t>
  </si>
  <si>
    <t>50.05.01</t>
  </si>
  <si>
    <t>50.05.02</t>
  </si>
  <si>
    <t>50.06</t>
  </si>
  <si>
    <t>50.06.01</t>
  </si>
  <si>
    <t>50.07</t>
  </si>
  <si>
    <t>50.07.01</t>
  </si>
  <si>
    <t>50.08</t>
  </si>
  <si>
    <t>50.08.01</t>
  </si>
  <si>
    <t>50.08.02</t>
  </si>
  <si>
    <t>50.08.03</t>
  </si>
  <si>
    <t>50.09</t>
  </si>
  <si>
    <t>50.09.01</t>
  </si>
  <si>
    <t>50.10</t>
  </si>
  <si>
    <t>50.10.01</t>
  </si>
  <si>
    <t>50.11</t>
  </si>
  <si>
    <t>50.11.01</t>
  </si>
  <si>
    <t>50.11.02</t>
  </si>
  <si>
    <t>50.12</t>
  </si>
  <si>
    <t>50.12.01</t>
  </si>
  <si>
    <t>50.13</t>
  </si>
  <si>
    <t>50.13.01</t>
  </si>
  <si>
    <t>50.13.02</t>
  </si>
  <si>
    <t>50.13.03</t>
  </si>
  <si>
    <t>50.13.04</t>
  </si>
  <si>
    <t>50.13.05</t>
  </si>
  <si>
    <t>50.14</t>
  </si>
  <si>
    <t>50.14.01</t>
  </si>
  <si>
    <t>50.15</t>
  </si>
  <si>
    <t>50.15.01</t>
  </si>
  <si>
    <t>50.15.02</t>
  </si>
  <si>
    <t>50.15.03</t>
  </si>
  <si>
    <t>50.15.04</t>
  </si>
  <si>
    <t>50.15.05</t>
  </si>
  <si>
    <t>50.15.06</t>
  </si>
  <si>
    <t>50.15.07</t>
  </si>
  <si>
    <t>50.15.08</t>
  </si>
  <si>
    <t>50.15.09</t>
  </si>
  <si>
    <t>50.15.10</t>
  </si>
  <si>
    <t>50.15.11</t>
  </si>
  <si>
    <t>50.15.12</t>
  </si>
  <si>
    <t>50.15.13</t>
  </si>
  <si>
    <t>50.15.14</t>
  </si>
  <si>
    <t>50.15.15</t>
  </si>
  <si>
    <t>50.15.16</t>
  </si>
  <si>
    <t>50.15.17</t>
  </si>
  <si>
    <t>50.16</t>
  </si>
  <si>
    <t>50.16.01</t>
  </si>
  <si>
    <t>50.16.02</t>
  </si>
  <si>
    <t>50.16.03</t>
  </si>
  <si>
    <t>50.16.04</t>
  </si>
  <si>
    <t>LOCACAO DE TEODOLITO ELETRONICO, PRECISAO ANGULAR DE 5 A 7 SEGUNDOS, INCLUINDO TRIPE</t>
  </si>
  <si>
    <t>LOCACAO DE NIVEL OPTICO, COM PRECISAO DE 0,7 MM, AUMENTO DE 32X</t>
  </si>
  <si>
    <t>TUBO ACO GALVANIZADO COM COSTURA, CLASSE LEVE, DN 25 MM ( 1"), E = 2,65 MM, *2,11*KG/M (NBR 5580)</t>
  </si>
  <si>
    <t>TUBO DE POLIETILENO DE ALTA DENSIDADE, PEAD, PE-80, DE= 75 MM X 6,9 MM PAREDE, SRD 11 - PN 12,5 ) PARA REDE DE AGUA OU ESGOTO (NBR 15561)</t>
  </si>
  <si>
    <t>TUBO COLETOR DE ESGOTO, PVC, JEI, DN 150 MM (NBR 7362)</t>
  </si>
  <si>
    <t>TUBO PVC, ROSCAVEL, 2", PARA AGUA FRIA PREDIAL</t>
  </si>
  <si>
    <t>REGISTRO DE ESFERA, PVC, COM VOLANTE, VS, ROSCAVEL, DN 2", COM CORPO DIVIDIDO</t>
  </si>
  <si>
    <t>VALVULA DE ESFERA BRUTA EM BRONZE, BITOLA 1 " (REF 1552-B)</t>
  </si>
  <si>
    <t>VALVULA DE RETENCAO HORIZONTAL, DE BRONZE (PN-25), 2 1/2", 400 PSI, TAMPA DE PORCA DE UNIAO, EXTREMIDADES COM ROSCA</t>
  </si>
  <si>
    <t>BACIA SANITARIA (VASO) CONVENCIONAL DE LOUCA BRANCA</t>
  </si>
  <si>
    <t>JOELHO, PVC SERIE R, 90 GRAUS, DN 50 MM, PARA ESGOTO PREDIAL</t>
  </si>
  <si>
    <t>LAVATORIO LOUCA COR SUSPENSO *40 X 30</t>
  </si>
  <si>
    <t>PARAFUSO DE LATAO COM ACABAMENTO CROMADO PARA FIXAR PECA SANITARIA, INCLUI PORCA CEGA, ARRUELA E BUCHA DE NYLON TAMANHO S-10</t>
  </si>
  <si>
    <t>CAIXA D'AGUA FIBRA DE VIDRO PARA 1000 LITROS, COM TAMPA</t>
  </si>
  <si>
    <t>QUADRO DE DISTRIBUICAO SEM BARRAMENTO, COM PORTA, DE EMBUTIR, EM CHAPA DE ACO GALVANIZADO, PARA 3 DISJUNTORES NEMA</t>
  </si>
  <si>
    <t>FECHADURA DE EMBUTIR PARA PORTA EXTERNA / ENTRADA, MAQUINA 40 MM, COM CILINDRO, MACANETA ALAVANCA E ESPELHO EM METAL CROMADO - NIVEL SEGURANCA MEDIO - COMPLETA</t>
  </si>
  <si>
    <t>FECHADURA DE EMBUTIR PARA PORTA DE BANHEIRO, TIPO TRANQUETA, MAQUINA 40 MM, MACANETAS ALAVANCA E ROSETAS REDONDAS EM METAL CROMADO - NIVEL SEGURANCA MEDIO - COMPLETA</t>
  </si>
  <si>
    <t>TORNEIRA METALICA DE BOIA CONVENCIONAL PARA CAIXA D'AGUA, 3/4 ", COM HASTE METALICA E BALAO METALICO</t>
  </si>
  <si>
    <t>TUBO PVC SERIE NORMAL, DN 75 MM, PARA ESGOTO PREDIAL (NBR 56</t>
  </si>
  <si>
    <t>TUBO PVC SERIE NORMAL, DN 50 MM, PARA ESGOTO PREDIAL (NBR 5688)</t>
  </si>
  <si>
    <t>TUBO PVC SERIE NORMAL, DN 40 MM, PARA ESGOTO PREDIAL (NBR 5688)</t>
  </si>
  <si>
    <t>JOELHO PVC, SOLDAVEL, BB, 45 GRAUS, DN 40 MM, PARA ESGOTO PREDIAL</t>
  </si>
  <si>
    <t>JUNCAO SIMPLES, PVC, DN 50 X 50 MM, SERIE NORMAL PARA ESGOTO PREDIAL</t>
  </si>
  <si>
    <t>JUNCAO SIMPLES, PVC, DN 75 X 75 MM, SERIE NORMAL PARA ESGOTO PREDIAL</t>
  </si>
  <si>
    <t>TE SANITARIO, PVC, DN 50 X 50 MM, SERIE NORMAL, PARA ESGOTO PREDIAL</t>
  </si>
  <si>
    <t>CAIXA SIFONADA PVC, 150 X 185 X 75 MM, COM GRELHA QUADRADA BRANCA</t>
  </si>
  <si>
    <t>CAIXA SIFONADA PVC, 150 X 185 X 75 MM, COM TAMPA CEGA QUADRADA BRANCA</t>
  </si>
  <si>
    <t>CAIXA SIFONADA PVC, 100 X 100 X 50 MM, COM GRELHA REDONDA BRANCA</t>
  </si>
  <si>
    <t>TUBO PVC, SOLDAVEL, DN 32 MM, AGUA FRIA (NBR-5648)</t>
  </si>
  <si>
    <t>TUBO PVC, SOLDAVEL, DN 25 MM, AGUA FRIA (NBR-5648)</t>
  </si>
  <si>
    <t>TUBO PVC, SOLDAVEL, DN 20 MM, AGUA FRIA (NBR-5648)</t>
  </si>
  <si>
    <t>JOELHO PVC, SOLDAVEL, 90 GRAUS, 40 MM, PARA AGUA FRIA PREDIAL</t>
  </si>
  <si>
    <t>TE SOLDAVEL, PVC, 90 GRAUS, 32 MM, PARA AGUA FRIA PREDIAL (NBR 5648)</t>
  </si>
  <si>
    <t>BUCHA DE REDUCAO DE PVC, SOLDAVEL, CURTA, COM 32 X 25 MM, PARA AGUA FRIA PREDIAL</t>
  </si>
  <si>
    <t>BUCHA DE REDUCAO DE PVC, SOLDAVEL, CURTA, COM 25 X 20 MM, PARA AGUA FRIA PREDIAL</t>
  </si>
  <si>
    <t>TE DE REDUCAO, PVC, SOLDAVEL, 90 GRAUS, 25 MM X 20 MM, PARA AGUA FRIA PREDIAL</t>
  </si>
  <si>
    <t>JOELHO PVC, SOLDAVEL, 90 GRAUS, 32 MM, PARA AGUA FRIA PREDIAL</t>
  </si>
  <si>
    <t>JOELHO PVC, SOLDAVEL, 90 GRAUS, 20 MM, PARA AGUA FRIA PREDIAL</t>
  </si>
  <si>
    <t>UNIAO PVC, SOLDAVEL, 32 MM, PARA AGUA FRIA PREDIAL</t>
  </si>
  <si>
    <t>JOELHO PVC, SOLDAVEL, COM BUCHA DE LATAO, 90 GRAUS, 20 MM X 1/2", PARA AGUA FRIA PREDIAL</t>
  </si>
  <si>
    <t>JOELHO PVC, SOLDAVEL, COM BUCHA DE LATAO, 90 GRAUS, 25 MM X 3/4", PARA AGUA PREDIAL</t>
  </si>
  <si>
    <t>ADAPTADOR PVC SOLDAVEL CURTO COM BOLSA E ROSCA, 32 MM X 1", PARA AGUA FRIA</t>
  </si>
  <si>
    <t>ADAPTADOR PVC SOLDAVEL CURTO COM BOLSA E ROSCA, 25 MM X 3/4", PARA AGUA FRIA</t>
  </si>
  <si>
    <t>REGISTRO PRESSAO COM ACABAMENTO E CANOPLA CROMADA, SIMPLES, BITOLA 1/2 " (REF1416)</t>
  </si>
  <si>
    <t>REGISTRO GAVETA COM ACABAMENTO E CANOPLA CROMADOS, SIMPLES, BITOLA 1 " (REF1509)</t>
  </si>
  <si>
    <t>LUVA SOLDAVEL COM BUCHA DE LATAO, PVC, 25 MM X 1/2"</t>
  </si>
  <si>
    <t>ADAPTADOR PVC SOLDAVEL, COM FLANGE E ANEL DE VEDACAO, 40 MM X 1 1/4", PARA CAIXA D'AGUA</t>
  </si>
  <si>
    <t>ADAPTADOR PVC SOLDAVEL, COM FLANGE E ANEL DE VEDACAO, 32 MM X 1", PARA CAIXA D'AGUA</t>
  </si>
  <si>
    <t>ADAPTADOR PVC SOLDAVEL, COM FLANGE E ANEL DE VEDACAO, 25 MM X 3/4", PARA CAIXA D'AGUA</t>
  </si>
  <si>
    <t>JOELHO, PVC SOLDAVEL, 45 GRAUS, 25 MM, PARA AGUA FRIA PREDIAL</t>
  </si>
  <si>
    <t>TE SOLDAVEL, PVC, 90 GRAUS, 40 MM, PARA AGUA FRIA PREDIAL (NBR 5648)</t>
  </si>
  <si>
    <t>REGISTRO GAVETA COM ACABAMENTO E CANOPLA CROMADOS, SIMPLES, BITOLA 3/4 " (REF 1509)</t>
  </si>
  <si>
    <t>REGISTRO GAVETA COM ACABAMENTO E CANOPLA CROMADOS, SIMPLES, BITOLA 1 1/4" (REF 1509)</t>
  </si>
  <si>
    <t>ADAPTADOR PVC SOLDAVEL CURTO COM BOLSA E ROSCA, 40 MM X 1 1/4", PARA AGUA FRIA</t>
  </si>
  <si>
    <t>LUVA SOLDAVEL COM BUCHA DE LATAO, PVC, 20 MM X 1/2"</t>
  </si>
  <si>
    <t>TE SOLDAVEL, PVC, 90 GRAUS, 25 MM, PARA AGUA FRIA PREDIAL (NBR 5648</t>
  </si>
  <si>
    <t>TORNEIRA METALICA DE BOIA CONVENCIONAL PARA CAIXA D'AGUA, 3/4 ", COM HASTEMETALICA E BALAO METALICO</t>
  </si>
  <si>
    <t>JOELHO, PVC SOLDAVEL, 45 GRAUS, 20 MM, PARA AGUA FRIA PREDIAL</t>
  </si>
  <si>
    <t>ADAPTADOR PVC SOLDAVEL CURTO COM BOLSA E ROSCA, 20 MM X 1/2", PARA AGUA FRIA</t>
  </si>
  <si>
    <t>LUVA PVC SOLDAVEL, 20 MM, PARA AGUA FRIA PREDIAL</t>
  </si>
  <si>
    <t>UNIAO PVC, SOLDAVEL, 25 MM, PARA AGUA FRIA PREDIAL</t>
  </si>
  <si>
    <t>UNIAO PVC, SOLDAVEL, 20 MM, PARA AGUA FRIA PREDIAL</t>
  </si>
  <si>
    <t>TE PVC, SOLDAVEL, COM ROSCA NA BOLSA CENTRAL, 90 GRAUS, 32 MM X 3/4", PARA AGUA FRIA PREDIAL</t>
  </si>
  <si>
    <t>CURVA PVC CURTA 90 GRAUS, 100 MM, PARA ESGOTO PREDIAL</t>
  </si>
  <si>
    <t>VEDACAO PVC, 100 MM, PARA SAIDA VASO SANITARIO</t>
  </si>
  <si>
    <t>TERMINAL DE VENTILACAO, 50 MM, SERIE NORMAL, ESGOTO PREDIAL</t>
  </si>
  <si>
    <t>LUVA DE CORRER, PVC, DN 50 MM, PARA ESGOTO PREDIAL</t>
  </si>
  <si>
    <t>RALO SECO PVC CONICO, 100 X 40 MM, COM GRELHA QUADRADA</t>
  </si>
  <si>
    <t>LUVA DE CORRER, PVC, DN 75 MM, PARA ESGOTO PREDIAL</t>
  </si>
  <si>
    <t>LUVA DE CORRER, PVC, DN 100 MM, PARA ESGOTO PREDIAL</t>
  </si>
  <si>
    <t>SIFAO PLASTICO TIPO COPO PARA PIA AMERICANA 1.1/2 X 1.1/2 "</t>
  </si>
  <si>
    <t>BUCHA DE REDUCAO DE PVC, SOLDAVEL, CURTA, COM 50 X 40 MM, PARA AGUA FRIA PREDIAL</t>
  </si>
  <si>
    <t>TE SANITARIO, PVC, DN 100 X 100 MM, SERIE NORMAL, PARA ESGOTO PREDIAL</t>
  </si>
  <si>
    <t>CAP PVC, SERIE R, DN 100 MM, PARA ESGOTO PREDIAL</t>
  </si>
  <si>
    <t>CURVA PVC LONGA 90 GRAUS, 100 MM, PARA ESGOTO PREDIAL</t>
  </si>
  <si>
    <t>BRACO OU HASTE COM CANOPLA PLASTICA, 1/2 ", PARA CHUVEIRO ELETRICO</t>
  </si>
  <si>
    <t>CHUVEIRO COMUM EM PLASTICO CROMADO, COM CANO, 4 TEMPERATURAS (110/220 V)</t>
  </si>
  <si>
    <t>MICTORIO SIFONADO LOUCA BRANCA SEM COMPLEMENTOS</t>
  </si>
  <si>
    <t>TUBO COLETOR DE ESGOTO PVC, JEI, DN 300 MM (NBR 7362)</t>
  </si>
  <si>
    <t>CURVA LONGA PVC, PB, JE, 45 GRAUS, DN 100 MM, PARA REDE COLETORA ESGOTO (NBR 10569)</t>
  </si>
  <si>
    <t>TUBO ACO PRETO SEM COSTURA 2", E= *3,91* MM, SCHEDULE 40, *5,43* KG/M</t>
  </si>
  <si>
    <t>TUBO ACO GALVANIZADO COM COSTURA, CLASSE MEDIA, DN 1", E = 3,38 MM, PESO 2,50KG/M (NBR 5580)</t>
  </si>
  <si>
    <t>REGISTRO DE GAVETA F°F° COM FLANGES PN10 D200</t>
  </si>
  <si>
    <t>TUBO F°F° COM FLANGES L=0,25m PN10 DN200</t>
  </si>
  <si>
    <t>TÊ F°F° REDUÇÃO COM FLANGES PN10 DN200X100</t>
  </si>
  <si>
    <t>DESINFECTOR POR UV BERSON INLINE 1250 WWS DA GERMETEC OU SIMILAR</t>
  </si>
  <si>
    <t>TUBO F°F° FLANGE BOLSA L=1,00m PN10 DN300</t>
  </si>
  <si>
    <t>TUBO F°F° FLANGE PONTA L=1,00m PN10 DN200</t>
  </si>
  <si>
    <t>REDUÇÃO FºFº CONCÊNTRICA PN10 DN300X200</t>
  </si>
  <si>
    <t>M E M O R I A L  D E  C Á L C U L O  D O S  Q U A N T I T A T I V O S</t>
  </si>
  <si>
    <t>01 unidade</t>
  </si>
  <si>
    <t>área= 5,00m de largura x 10,0m de comprimento =50,00m²</t>
  </si>
  <si>
    <t>área=8,00m de largura x 10,0m de comprimento =80,00m²</t>
  </si>
  <si>
    <t>Cercamento dos galpões e escritório / extensão = 200,00m</t>
  </si>
  <si>
    <t>02 unidades</t>
  </si>
  <si>
    <t>volume= 800,34m² (área total) x0,20m (espessura camada)= 160,07m³</t>
  </si>
  <si>
    <t>área= 800,34m² (área total)</t>
  </si>
  <si>
    <t>área= 9,20m (comprimento)x5,10m (largura) = 46,92m²</t>
  </si>
  <si>
    <t>volume= [30,26m³ (item 03.02.02)+136,16m³ (item 03.02.03)]x0,10(percentual esc. Manual)= 16,54m³</t>
  </si>
  <si>
    <t>volume= 8,20m (comprimento)x4,10m (largura)x1,00m (profundidade até o N.A)x0,90 (percentual esc. Mecânica)= 30,26m³</t>
  </si>
  <si>
    <t>volume= 8,20m (comprimento)x4,10m (largura)x4,50 (profundidade a partir o N.A)x0,90 (percentual esc. Mecânica solo com água)= 136,16m³</t>
  </si>
  <si>
    <t>volume= [8,20m (comprimento)x4,10m (largura)-6,20m (comprimento)x2,10 (largura)]x2,00m (profundidade)= 41,20m³</t>
  </si>
  <si>
    <t>volume= [8,20m (comprimento)x4,10m (largura)-6,20m (comprimento)x2,10 (largura)]x1,00m (profundidade)= 20,60m³</t>
  </si>
  <si>
    <t>volume= [8,20m (comprimento)x4,10m (largura)-6,20m (comprimento)x2,10 (largura)]x1,00m (profundidade)x1,30 (empolamento)= 26,78m³</t>
  </si>
  <si>
    <t>volume= 20,60m³ (item 03.02.06)+69,43m³ (item 03.03.03)= 90,06m³</t>
  </si>
  <si>
    <t>volume= [20,60m³ (item 03.02.06)+69,43m³ (item 03.03.03)]x1,30 (empolamento)= 117,07m³</t>
  </si>
  <si>
    <t>Tempo estimado= 8,00 (horas diárias)x44 (dias)= 352,00h</t>
  </si>
  <si>
    <t>área= 6,00m (comprimento)x2,10m(largura)= 12,60m²</t>
  </si>
  <si>
    <t>3,00m(comprimento)x2,90m(largura)x1,55m(profundidade)+2,90m(comprimento)x1,80m(largura)x1,00m(profundidade)+7,00m(compromento)x2,90m(largura)x2,50m(profundidade)= 69,46m³</t>
  </si>
  <si>
    <t>área=6,20m (comprimento)x 2,10m (largura)= 13,02m²</t>
  </si>
  <si>
    <t>①</t>
  </si>
  <si>
    <t>②</t>
  </si>
  <si>
    <t>áreal total= ①+②= 110,10m² - conforme Projeto Estrutural</t>
  </si>
  <si>
    <t>volume= 15,60m³ - conforme Projeto Estrutural</t>
  </si>
  <si>
    <t>área total= 57,46m²</t>
  </si>
  <si>
    <t>área lajes= 1,70mx1,20m+1,80mx1,70m+2,40mx1,70m= 9,18m²</t>
  </si>
  <si>
    <t>área paredes internas=2,90m x 2un x 2,20m+3,50m x 2un x 3,20m + 4,10mx2 um x 1,60m= 48,28m²</t>
  </si>
  <si>
    <t>01 unidade - Composição de Custo - CE-002</t>
  </si>
  <si>
    <t>02 unidades - Conforme Projeto</t>
  </si>
  <si>
    <t>01 unidade - Conforme Projeto</t>
  </si>
  <si>
    <t>01 unidade - Composição de Custo - CE-004</t>
  </si>
  <si>
    <t>12 meses conforme  Cronograma e Composição de Custo CE-001</t>
  </si>
  <si>
    <t>02 unidades - Composição de Custo - CE-005</t>
  </si>
  <si>
    <t>04 unidades - Composição de Custo - CE-006</t>
  </si>
  <si>
    <t>01 unidade - Composição de Custo - CE-007</t>
  </si>
  <si>
    <t>01 unidade - Composição de Custo - CE-008</t>
  </si>
  <si>
    <t>01 unidade - Composição de Custo - CE-009</t>
  </si>
  <si>
    <r>
      <t>área= 4,40m(largura)x2,10m(altura)= 9,24m</t>
    </r>
    <r>
      <rPr>
        <b/>
        <sz val="12"/>
        <rFont val="Arial"/>
        <family val="2"/>
      </rPr>
      <t>²</t>
    </r>
  </si>
  <si>
    <t>área= 71,00m² - Conforme Projeto</t>
  </si>
  <si>
    <t>área= 126,00m² - Conforme Projeto</t>
  </si>
  <si>
    <t>área= 55,00m² - Conforme Projeto</t>
  </si>
  <si>
    <t>área= 125,00m² - Conforme Projeto</t>
  </si>
  <si>
    <t>extensão= 284,20m - Conforme Projeto</t>
  </si>
  <si>
    <t>área= 2,00m x 3,00m= 6,00m²</t>
  </si>
  <si>
    <t>área= 2,00m(largura)x3,00m(comprimento)x10 un= 60,00m²</t>
  </si>
  <si>
    <r>
      <t xml:space="preserve">qnt= 284,20m </t>
    </r>
    <r>
      <rPr>
        <sz val="12"/>
        <rFont val="Calibri"/>
        <family val="2"/>
      </rPr>
      <t>÷</t>
    </r>
    <r>
      <rPr>
        <sz val="12"/>
        <rFont val="Arial"/>
        <family val="2"/>
      </rPr>
      <t xml:space="preserve"> 10,00m= 28,42 ≈ 28 unidades</t>
    </r>
  </si>
  <si>
    <t>área= 5,00m(largura)x3,00m(comprimento)x2 un= 30,00m²</t>
  </si>
  <si>
    <t>área= 3,00m(largura)x3,00m(comprimento)x3 un= 27,00m²</t>
  </si>
  <si>
    <t>área= 284,20m(extensão) x 2,00m (largura)= 568,40m²</t>
  </si>
  <si>
    <t>volume= 284,20m(extensão) x 0,65m (largura) x 1,00m(profundidade) x 0,15(percentual escavação em solo com água)= 27,71m²</t>
  </si>
  <si>
    <t>volume= 284,20m(extensão) x 0,65m (largura) x 1,00m(profundidade) x 0,75(percentual escavação em solo seco)= 27,71m²</t>
  </si>
  <si>
    <t>volume= 284,20m(extensão) x 0,65m (largura) x 1,00m(profundidade) x 0,10(percentual escavação manual)= 27,71m²</t>
  </si>
  <si>
    <t>área= 284,20m(extensão) x 1,00m (profundidade)= 284,20m²</t>
  </si>
  <si>
    <t>área= 284,20m(extensão) x 0,65m (largura)= 184,73m²</t>
  </si>
  <si>
    <t>volume= 138,55m³ (item 04.02.02) + 18,47m³ ( item 04.02.03)= 157,02m³</t>
  </si>
  <si>
    <t>volume= 284,20m(extensão) x 0,65m (largura) x 1,00m(profundidade) x 0,15(percentual escavação em solo com água) x 1,30 (empolamento)=36,02m³</t>
  </si>
  <si>
    <t>área= 284,20m (extensão rede) x 2,00m (largura)= 568,40m²</t>
  </si>
  <si>
    <t>área= 284,20m (extensão rede) x 2,00m (largura) x 0,20m (espessura camada)= 113,68m³</t>
  </si>
  <si>
    <t>área= 284,20m (extensão rede) x 2,00m (largura) x 0,05m (espessura)= 28,42m²</t>
  </si>
  <si>
    <t>área= 284,20m (extensão rede) x 2,00m (largura) x 0,05m (espessura) x 1,30 (empolamento)= 36,95m³</t>
  </si>
  <si>
    <t>extensão total= 1.854,00m + 750,00m + 328,00m + 11,69m + 914,00m + 39,00m= 3.896,69m</t>
  </si>
  <si>
    <t>área= 2,00m x 3,00m x 2 un= 12,00m²</t>
  </si>
  <si>
    <r>
      <t xml:space="preserve">extensão= (1.854,00m + 750,00m + 328,00m + 11,69m + 914,00m + 39,00m) </t>
    </r>
    <r>
      <rPr>
        <sz val="12"/>
        <rFont val="Calibri"/>
        <family val="2"/>
      </rPr>
      <t>÷</t>
    </r>
    <r>
      <rPr>
        <sz val="12"/>
        <rFont val="Arial"/>
        <family val="2"/>
      </rPr>
      <t>60 = 64,94m</t>
    </r>
  </si>
  <si>
    <r>
      <t xml:space="preserve">qnt= [(1.854,00m + 750,00m + 328,00m + 11,69m + 914,00m + 39,00m) </t>
    </r>
    <r>
      <rPr>
        <sz val="12"/>
        <rFont val="Calibri"/>
        <family val="2"/>
      </rPr>
      <t>÷</t>
    </r>
    <r>
      <rPr>
        <sz val="12"/>
        <rFont val="Arial"/>
        <family val="2"/>
      </rPr>
      <t xml:space="preserve">60] </t>
    </r>
    <r>
      <rPr>
        <sz val="12"/>
        <rFont val="Calibri"/>
        <family val="2"/>
      </rPr>
      <t>÷</t>
    </r>
    <r>
      <rPr>
        <sz val="12"/>
        <rFont val="Arial"/>
        <family val="2"/>
      </rPr>
      <t>10 (1 un/m) = 6 unidades</t>
    </r>
  </si>
  <si>
    <t>área= 2,00m x 3,00m x 3 un= 18,00m²</t>
  </si>
  <si>
    <t>área= (1.854,00m + 750,00m + 328,00m + 11,69m + 914,00m + 39,00m) x 2,00m (largura) = 7.793,38m²</t>
  </si>
  <si>
    <t>área= (1.854,00m + 750,00m + 328,00m + 11,69m + 914,00m + 39,00m) x 3,00m (largura)  = 11.690,07m²</t>
  </si>
  <si>
    <t>volume= 2.767,46m³ (∑ volume escavação profundidade até 1,50m) x 0,95 (percentual escavação em solo seco)= 2.629,09m³</t>
  </si>
  <si>
    <t>volume= 2.767,46m³ (∑ volume escavação profundidade até 1,50m) x 0,05 (percentual escavação em solo seco)= 138,37m³</t>
  </si>
  <si>
    <t>volume=388,38m³ (∑ volume escavação profundidade 1,50 a 3,00m)= 388,38m³</t>
  </si>
  <si>
    <t>área= 4.871,30m² (∑ área escoramento profundidade até 1,50m conforme palanilha de dimensionamento)</t>
  </si>
  <si>
    <t>área= 1.134,57m² (∑ área escoramento profundidade 1,50 a 3,00m conforme palanilha de dimensionamento)</t>
  </si>
  <si>
    <t>área= 2.825,00m² (∑ área de valas largura menor que 1,50m conforme palanilha de dimensionamento)</t>
  </si>
  <si>
    <t>volume= 2.629,09m³ (item 05.02.01) + 388,38m³ (item 05.02.02) + 138,37m³ (item 05.02.03)= 3.155,84m³</t>
  </si>
  <si>
    <t>Tempo estimado= 8,00 (horas diárias)x66 (dias)= 528,00h</t>
  </si>
  <si>
    <t>área=(1.854,00m + 750,00m + 328,00m + 11,69m + 914,00m + 39,00m) x 0,10(percentual equivalente)  = 389,67m</t>
  </si>
  <si>
    <t>área=(1.854,00m + 750,00m + 328,00m + 11,69m + 914,00m + 39,00m) x 0,10(percentual equivalente) x 0,20m (espessura camada) x 0,65m (largura vala)  = 50,66m³</t>
  </si>
  <si>
    <t>área=(1.854,00m + 750,00m + 328,00m + 11,69m + 914,00m + 39,00m) x 0,10(percentual equivalente) x 0,30m (espessura camada) x 0,65m (largura vala)  = 75,99m³</t>
  </si>
  <si>
    <t>área=(1.854,00m + 750,00m + 328,00m + 11,69m + 914,00m + 39,00m) x 0,10(percentual equivalente) x 0,10m (espessura camada) x 0,65m (largura vala)  = 25,33m³</t>
  </si>
  <si>
    <t>06 unidades - Conforme Projeto</t>
  </si>
  <si>
    <t>11 unidades - Conforme Projeto</t>
  </si>
  <si>
    <t>08 unidades - Conforme Projeto</t>
  </si>
  <si>
    <t>05 unidades - Conforme Projeto</t>
  </si>
  <si>
    <t>03 unidades - Conforme Projeto</t>
  </si>
  <si>
    <t>04 unidades - Conforme Projeto</t>
  </si>
  <si>
    <t>17 unidades - Conforme Projeto</t>
  </si>
  <si>
    <t>extensão= 1.854,00m - Conforme Projeto</t>
  </si>
  <si>
    <t>extensão= 750m - Conforme Projeto</t>
  </si>
  <si>
    <t>extensão= 328m - Conforme Projeto</t>
  </si>
  <si>
    <t>extensão= 11,69m - Conforme Projeto</t>
  </si>
  <si>
    <t>extensão= 914,00m - Conforme Projeto</t>
  </si>
  <si>
    <t>extensão= 39,00m - Conforme Projeto</t>
  </si>
  <si>
    <t>extensão= 11,69m - Conforme item 05.07.04</t>
  </si>
  <si>
    <t>extensão= 914,00m - Conforme item 05.07.05</t>
  </si>
  <si>
    <t>extensão= 39,00m - Conforme item 05.07.06</t>
  </si>
  <si>
    <t>ELT-001</t>
  </si>
  <si>
    <t>EEE1-SALA ELÉTRICA - ILUMINAÇÃO E TOMADAS</t>
  </si>
  <si>
    <t>ELT-002</t>
  </si>
  <si>
    <t>EEE1-SALA ELÉTRICA -SPDA/ATERRAMENTO</t>
  </si>
  <si>
    <t>ELT-003</t>
  </si>
  <si>
    <t>EEE1-EQUIPAMENTOS E INSTRUMENTOS</t>
  </si>
  <si>
    <t>01 unidade - Composição de Custo - ELT-001</t>
  </si>
  <si>
    <t>01 unidade - Composição de Custo - ELT-002</t>
  </si>
  <si>
    <t>01 unidade - Composição de Custo - ELT-003</t>
  </si>
  <si>
    <t>03.04.14</t>
  </si>
  <si>
    <t>ELT-004</t>
  </si>
  <si>
    <t>EEEF-SALA ELÉTRICA - ILUMINAÇÃO E TOMADAS</t>
  </si>
  <si>
    <t>ELT-005</t>
  </si>
  <si>
    <t>EEEF-SALA ELÉTRICA -SPDA/ATERRAMENTO</t>
  </si>
  <si>
    <t>ELT-006</t>
  </si>
  <si>
    <t>EEEF-EQUIPAMENTOS E INSTRUMENTOS</t>
  </si>
  <si>
    <t>06.04.15</t>
  </si>
  <si>
    <t>01 unidade - Composição de Custo - CE-011</t>
  </si>
  <si>
    <t>área= 1.066,11m² - Conforme Projeto</t>
  </si>
  <si>
    <t>volume= 1.066,11m² (área demolida) x 0,20m(espessura base)= 213,22m³</t>
  </si>
  <si>
    <t>volume= 1.066,11m² (área demolida) x 0,05m(espessura pré-misturado)=53,31m³</t>
  </si>
  <si>
    <t>volume= 1.066,11m² (área demolida) x 0,25m(espessura base+ pré-misturado)=346,49m³</t>
  </si>
  <si>
    <t>área= 538,66m² - Conforme Projeto</t>
  </si>
  <si>
    <t>área= 538,66m² x 0,20m(espessura camada)= 107,73m³ - Conforme Projeto</t>
  </si>
  <si>
    <t>área= 538,66m² x 0,20m(espessura camada) x 1,30(empolamento)= 140,05m³ - Conforme Projeto</t>
  </si>
  <si>
    <t>área= 11,20m(comprimento) x 4,90m(largura)= 54,88m²</t>
  </si>
  <si>
    <t>volume= [2,60m (comprimento)x2,10m (largura)x4,00m (profundidade até o N.A) +5,20m (comprimento)x3,90m (largura)x4,00m (profundidade até o N.A)] x0,90 (percentual esc. Mecânica)= 117,97m³</t>
  </si>
  <si>
    <t>volume= [2,60m (comprimento)x2,10m (largura)x2,00m (profundidade a partir o N.A) + 5,20m (comprimento)x3,90m (largura) x 3,50m(profundidade a partir o N.A)]x0,90 (percentual esc. Mecânica solo com água)= 95,85m³</t>
  </si>
  <si>
    <t>volume= (117,97m³ + 95,85m³) x 0,10 (percentual escavação manual)= 21,38m³</t>
  </si>
  <si>
    <t>volume= 7,23m (área aterro) x 4,00m (profundidade) + 3,88m (área aterro) x 1,42m ( profundidade)= 34,43m³</t>
  </si>
  <si>
    <t>volume= 2,60m x 2,10m x 0,95m= 5,19m³</t>
  </si>
  <si>
    <t>volume= 2,60m x 2,10m x 0,95m x 1,30(empolamento)= 6,74m³</t>
  </si>
  <si>
    <t>volume= 5,19m³ (equivalente ao item 06.02.06) + 25,40m³ (equivalente ao item 06.03.02)= 30,59m³</t>
  </si>
  <si>
    <t>volume= [5,19m³ (equivalente ao item 06.02.06) + 25,40m³ (equivalente ao item 06.03.02)] x 1,30 (empolamento)= 39,76m³</t>
  </si>
  <si>
    <t>vollume= 25,40m³ Conforme Projeto Estrutural</t>
  </si>
  <si>
    <t>área= 1,90m (comprimento) x 1,70m (largura) + 7,60m (comprimento) x 3,00m (largura)= 26,03m²</t>
  </si>
  <si>
    <t>área= 1,80m (comprimento) x 1,70m (largura) + 7,50m (comprimento) x 2,90m (largura)= 24,81m²</t>
  </si>
  <si>
    <t>área= 255,70m² (área total Conforme Projeto Estrutural) - 24,81m² (área de laje item 06.03.04)= 230,89m²</t>
  </si>
  <si>
    <t>1.836,00kg - Conforme Projeto Estrutural</t>
  </si>
  <si>
    <t>2.510,00kg - Conforme Projeto Estrutural</t>
  </si>
  <si>
    <t>193,00kg - Conforme Projeto Estrutural</t>
  </si>
  <si>
    <t>37,50m³ - Conforme Projeto Estrutural</t>
  </si>
  <si>
    <t>área= 175,98m² - Conforme Projeto Estrutural</t>
  </si>
  <si>
    <t>06.03.11</t>
  </si>
  <si>
    <t>01 unidade - Composição de Custo - CE-012</t>
  </si>
  <si>
    <t>01 unidade - Composição de Custo - CE-013</t>
  </si>
  <si>
    <t>01 unidade - Composição de Custo - CE-014</t>
  </si>
  <si>
    <t>02 unidades - Composição de Custo - CE-015</t>
  </si>
  <si>
    <t>01 unidade - Composição de Custo - CE-016</t>
  </si>
  <si>
    <t>01 unidade - Composição de Custo - CE-017</t>
  </si>
  <si>
    <t>01 unidade - Composição de Custo - ELT-004</t>
  </si>
  <si>
    <t>01 unidade - Composição de Custo - ELT-005</t>
  </si>
  <si>
    <t>01 unidade - Composição de Custo - ELT-006</t>
  </si>
  <si>
    <t>01 unidade - Conforme Cotação</t>
  </si>
  <si>
    <t>01 unidade - Composição de Custo - CE-018</t>
  </si>
  <si>
    <t>área= 4,40m (comprimento)  x 2,10m (altura)= 9,24m²</t>
  </si>
  <si>
    <t>área= 19,00m² -  Conforme Projeto</t>
  </si>
  <si>
    <t>área= 100,00m² -  Conforme Projeto</t>
  </si>
  <si>
    <t>área= 200,00m² -  Conforme Projeto</t>
  </si>
  <si>
    <t>área= 376,00m² -  Conforme Projeto</t>
  </si>
  <si>
    <t>extensão= 699,02m (tubos defofo dn250)+8,46m (tubos ferro fundido dn250)= 707,48m</t>
  </si>
  <si>
    <t>área= 2,00m (largura) x 3,00m (comprimento) x 2 uni= 12,00m²</t>
  </si>
  <si>
    <t>área= 2,00m (largura) x 5,00m (comprimento) x 2 uni= 10,00m²</t>
  </si>
  <si>
    <t>área= [699,02m (tubos defofo dn250)+8,46m (tubos ferro fundido dn250)] x 2,00m (largura)= 1.414,96m²</t>
  </si>
  <si>
    <t>volume= [699,02m (tubos defofo dn250)+8,46m (tubos ferro fundido dn250)] x 0,65m (largura) x 1,00m (profundidade) x 0,25 (percentual esc. Solo com água)= 114,97m³</t>
  </si>
  <si>
    <t>volume= [699,02m (tubos defofo dn250)+8,46m (tubos ferro fundido dn250)] x 0,65m (largura) x 1,00m (profundidade) x 0,65 (percentual esc. solo seco)= 298,91m³</t>
  </si>
  <si>
    <t>volume= [699,02m (tubos defofo dn250)+8,46m (tubos ferro fundido dn250)] x 0,65m (largura) x 1,00m (profundidade) x 0,10 (percentual esc. manual)= 45,99m³</t>
  </si>
  <si>
    <t>área=707,48m(extensão) x 1,00m (profundidade)= 707,48m²</t>
  </si>
  <si>
    <t>área= [699,02m (tubos defofo dn250)+8,46m (tubos ferro fundido dn250)] x 0,65m (largura)= 459,86m²</t>
  </si>
  <si>
    <t>volume= 298,91m³ (item 07.02.02) + 45,99m³ (item 07.02.03)= 344,90m³</t>
  </si>
  <si>
    <t>volume= [699,02m (tubos defofo dn250)+8,46m (tubos ferro fundido dn250)] x 0,65m (largura) x 1,00m (profundidade) x 0,25 (percentual esc. Solo com água) x 1,30 (empolamento)=149,46m³</t>
  </si>
  <si>
    <t>T= [699,02m (tubos defofo dn250)+8,46m (tubos ferro fundido dn250)] x 0,65m (largura) x 1,00m (profundidade) x 0,25 (percentual esc. Solo com água) x 1,30 (empolamento) x 5,00km (distancia)= 747,28m³xkm</t>
  </si>
  <si>
    <t>T= [8,20m (comprimento)x4,10m (largura)-6,20m (comprimento)x2,10 (largura)]x1,00m (profundidade)x1,30 (empolamento)x5,00km (distância)= 133,90m³xkm</t>
  </si>
  <si>
    <t>T= [20,60m³ (item 03.02.06)+69,43m³ (item 03.03.03)]x1,30 (empolamento)x5,00km (distância)= 117,07m³xkm</t>
  </si>
  <si>
    <t>T= 284,20m(extensão) x 0,65m (largura) x 1,00m(profundidade) x 0,15(percentual escavação em solo com água) x 1,30 (empolamento) x 5,00km (distância)=180,11m³xkm</t>
  </si>
  <si>
    <t>volume= 284,20m (extensão rede) x 2,00m (largura) x 0,05m (espessura) x 1,30 (empolamento)= 36,95m³</t>
  </si>
  <si>
    <t>volume= 538,66m² x 0,20m(espessura camada) x 1,30(empolamento)= 140,05m³ - Conforme Projeto</t>
  </si>
  <si>
    <t>T= 2,60m x 2,10m x 0,95m x 1,30(empolamento) x 5,00km (distância)= 33,72m³xkm</t>
  </si>
  <si>
    <t>T= [5,19m³ (equivalente ao item 06.02.06) + 25,40m³ (equivalente ao item 06.03.02)] x 1,30 (empolamento) x 5,00km (distância)= 198,82m³xkm</t>
  </si>
  <si>
    <t>Tempo estimado= 8,00 (horas diárias)x22 (dias)= 176,00h</t>
  </si>
  <si>
    <t>extensão= 707,48m (extensão total) x 0,30 (percentual / dreno)= 215,24m</t>
  </si>
  <si>
    <t>extensão= 707,48m (extensão total) x 0,30 (percentual/dreno) x 0,20m (espessura camada) x 0,65m ( largura vala) = 27,59m³</t>
  </si>
  <si>
    <t>extensão= 707,48m (extensão total) x 0,30 (percentual/dreno) x 0,30m (espessura camada) x 0,65m ( largura vala) =41,39m³</t>
  </si>
  <si>
    <t>extensão= 707,48m (extensão total) x 0,30 (percentual/dreno) x 0,10m (espessura camada) x 0,65m ( largura vala) =13,80m³</t>
  </si>
  <si>
    <t>extensão= 699,02m - Conforme Projeto</t>
  </si>
  <si>
    <t>extensão= 8,46m - Conforme Projeto</t>
  </si>
  <si>
    <t>extensão= 699,02m - Conforme item 07.08.01</t>
  </si>
  <si>
    <t>extensão= 8,46m - Conforme item 07.08.02</t>
  </si>
  <si>
    <t>05 unidades -  Conforme Projeto</t>
  </si>
  <si>
    <t>07.08.07</t>
  </si>
  <si>
    <t>CE-054</t>
  </si>
  <si>
    <t>CAIXA PARA PROTEÇÃO DE REGISTRO DE DESCARGA</t>
  </si>
  <si>
    <t>07.08.08</t>
  </si>
  <si>
    <t>CE-055</t>
  </si>
  <si>
    <t>FORNECIMENTO E APLICAÇÃO DOS MATERIAIS DO REGISTRO DE DESCARGA</t>
  </si>
  <si>
    <t>01 unidade - Composição de Custo - CE-054</t>
  </si>
  <si>
    <t>01 unidade - Composição de Custo - CE-055</t>
  </si>
  <si>
    <t>área= 17.200,00m² - Conforme Projeto</t>
  </si>
  <si>
    <t>área= 17.200,00m² (área total ETE) x 0,20m (espessura camada)= 3.400,00m³</t>
  </si>
  <si>
    <t>área= 17.200,00m² (área total ETE) x 0,20m (espessura camada)x5,00km (distancia)= 3.400,00m³</t>
  </si>
  <si>
    <t>volulme= 21583,70m³ (volume de corte Conforme Planilha de Cálculo das seções) x 1,30 (empolamento)= 28.058,81m³</t>
  </si>
  <si>
    <t>área= 5,20m (largura) x 14,00m (comprimento)= 72,80m²</t>
  </si>
  <si>
    <t>volume= 0,50m (lado) x0,50m (lado) x0,75m (profundidade) x6 und= 1,13m³</t>
  </si>
  <si>
    <t>01 unidade - Composição de Custo - CE-020</t>
  </si>
  <si>
    <t>área ①</t>
  </si>
  <si>
    <t>área ②</t>
  </si>
  <si>
    <t>50kg - Conforme Projeto Estrutural</t>
  </si>
  <si>
    <t>663kg - Conforme Projeto Estrutural</t>
  </si>
  <si>
    <t>246kg - Conforme Projeto Estrutural</t>
  </si>
  <si>
    <t>150kg - Conforme Projeto Estrutural</t>
  </si>
  <si>
    <t>247kg - Conforme Projeto Estrutural</t>
  </si>
  <si>
    <t>área= 16,20m (largura) x 17,20m (comprimento)= 278,64m²</t>
  </si>
  <si>
    <t>50,30m³ - Conforme Projeto Estrutural</t>
  </si>
  <si>
    <t>08.02.16</t>
  </si>
  <si>
    <t>08.02.17</t>
  </si>
  <si>
    <t>08.02.18</t>
  </si>
  <si>
    <t>01 unidade - Conforme Projeto e Cotação</t>
  </si>
  <si>
    <t>02 unidades - Conforme Projeto e Cotação</t>
  </si>
  <si>
    <t>01 unidade - Conforme Composição de Custo - CE-021</t>
  </si>
  <si>
    <t>área= 19,20m (comprimento) x 18,20m (largura)= 349,44m²</t>
  </si>
  <si>
    <t>volume= 16,20m (comprimento) x 17,20m (largura) x 0,25 (percentual esc. Manual)= 69,66m³</t>
  </si>
  <si>
    <r>
      <t xml:space="preserve">área </t>
    </r>
    <r>
      <rPr>
        <sz val="12"/>
        <rFont val="Yu Gothic UI Semilight"/>
        <family val="2"/>
      </rPr>
      <t>③</t>
    </r>
  </si>
  <si>
    <r>
      <t>áreal total= ①+②+</t>
    </r>
    <r>
      <rPr>
        <sz val="12"/>
        <rFont val="Arial"/>
        <family val="2"/>
      </rPr>
      <t>③</t>
    </r>
    <r>
      <rPr>
        <sz val="12"/>
        <rFont val="Calibri"/>
        <family val="2"/>
      </rPr>
      <t>= 129,90m² - conforme Projeto Estrutural</t>
    </r>
  </si>
  <si>
    <t>T= 16,20m (comprimento) x 17,20m (largura) x 0,25 (percentual esc. Manual) x 5,00km (distância)= 348,30m³</t>
  </si>
  <si>
    <t>01 unidade - Conforme Composição de Custo - CE-022</t>
  </si>
  <si>
    <t>área= 6,20m (largura) x 17,20m (comprimento)= 278,64m²</t>
  </si>
  <si>
    <r>
      <t>áreal total= ①+②+</t>
    </r>
    <r>
      <rPr>
        <sz val="12"/>
        <rFont val="Arial"/>
        <family val="2"/>
      </rPr>
      <t>③</t>
    </r>
    <r>
      <rPr>
        <sz val="12"/>
        <rFont val="Calibri"/>
        <family val="2"/>
      </rPr>
      <t>= 293,76m² - conforme Projeto Estrutural</t>
    </r>
  </si>
  <si>
    <t>4.493,00kg - Conforme Projeto Estrutural</t>
  </si>
  <si>
    <t>11.175,00kg - Conforme Projeto Estrutural</t>
  </si>
  <si>
    <t>10.759,00kg - Conforme Projeto Estrutural</t>
  </si>
  <si>
    <t>volume= 16,80m (comprimento) x 7,85m (largura) x 5,00m (altura) x 2 und= 1.318,80m³</t>
  </si>
  <si>
    <t>área= 1.083,47m² - Conforme Projeto Estrutural</t>
  </si>
  <si>
    <t>área= 3,25m (comprimento)  x2 und x 0,65m (altura) x 2 und= 8,45m²</t>
  </si>
  <si>
    <t>área= [2,00m (comprimento) x 2 und + 1,15m (comprimento) x 2 und + 1,80m (comprimento)] x0,40m (altura) x 12 und= 38,88m²</t>
  </si>
  <si>
    <t>área= [8,45m² ( item 08.03.20) + 94,66m² ( item 08.03.21)] x 2 faces= 94,66m²</t>
  </si>
  <si>
    <t>96 unidades - Conforme Projeto e Composição de Custo CE-023</t>
  </si>
  <si>
    <t>01 unidade - Conforme Composição de Custo - CE-024</t>
  </si>
  <si>
    <t>12 unidades - Conforme Composição de Custo - CE-025</t>
  </si>
  <si>
    <t>48 unidades - Conforme Composição de Custo - CE-026</t>
  </si>
  <si>
    <t>área= 79,80m²  - Conforme Projeto</t>
  </si>
  <si>
    <t>12 unidades - Conforme Composição de Custo - CE-028</t>
  </si>
  <si>
    <t>04 unidades - Conforme Composição de Custo - CE-027</t>
  </si>
  <si>
    <t>01 unidade - Conforme Composição de Custo - CE-029</t>
  </si>
  <si>
    <t>volume=π x 9,55² (raio) x 0,435m (profundidade) +π x 1,17² x 0,30m (profundidade)= 125,93m³</t>
  </si>
  <si>
    <t>T=[π x 9,55² (raio) x 0,435m (profundidade) +π x 1,17² x 0,30m (profundidade)] x 5,00km (distância)= 629,63m³xkm</t>
  </si>
  <si>
    <t>01 unidade - Conforme Composição de Custo - CE-030</t>
  </si>
  <si>
    <t>área= π x 9,55² (raio)= 286,52m²</t>
  </si>
  <si>
    <t>ACO CA-50, 20 MM, DOBRADO E CORTADO</t>
  </si>
  <si>
    <t>áreal total= ①+②= 593,20m² - conforme Projeto Estrutural</t>
  </si>
  <si>
    <t>2,00 kg - Conforme Projeto Estrutural</t>
  </si>
  <si>
    <t>371,00 kg - Conforme Projeto Estrutural</t>
  </si>
  <si>
    <t>9.154,00 kg - Conforme Projeto Estrutural</t>
  </si>
  <si>
    <t>81,00 kg - Conforme Projeto Estrutural</t>
  </si>
  <si>
    <t>volume= 389,62m² (item 08.04.08) x 0,25m (espessura parede)/2 (faces) + 203,58m² (item 08.04.09) x1,18m (altura)= 288,93m³</t>
  </si>
  <si>
    <t>área= 644,79m² - Conforme Projeto Estrutural</t>
  </si>
  <si>
    <t xml:space="preserve">área= 70,00m² - Conforme Projeto </t>
  </si>
  <si>
    <t xml:space="preserve">48 unidades - Conforme Projeto </t>
  </si>
  <si>
    <t>volume= 196,80m² (área) x 2,00m (altura)= 393,60m³</t>
  </si>
  <si>
    <t>01 unidade - Conforme Composição de Custo - CE-031</t>
  </si>
  <si>
    <t>08.04.24</t>
  </si>
  <si>
    <t>08.04.25</t>
  </si>
  <si>
    <t>área= π x 11,75² (área)= 433,74m²</t>
  </si>
  <si>
    <t>volume= 641,89m³ (item 08.05.02) + 71,32m³ (item 08.05.03) - 273,14m³ (item 08.05.04) - 30,35m³ (item 08.05.05) = 409,72m³</t>
  </si>
  <si>
    <t>T= [641,89m³ (item 08.05.02) + 71,32m³ (item 08.05.03) - 273,14m³ (item 08.05.04) - 30,35m³ (item 08.05.05)] x 5,00km (distância) = 2.048,58m³</t>
  </si>
  <si>
    <t>área= 4,00m (comprimento) x 3,00m (largura) x 2 und= 24,00m²</t>
  </si>
  <si>
    <t>área= 2,00m(largura)x3,00m(comprimento)x23 un= 138,00m²</t>
  </si>
  <si>
    <t>1.432,00kg - Conforme Projeto Estrutural</t>
  </si>
  <si>
    <t>725,30kg - Conforme Projeto Estrutural</t>
  </si>
  <si>
    <t xml:space="preserve">GERADOR DE ENERGIA DIESEL 15KVA TRIFÁSICO </t>
  </si>
  <si>
    <t xml:space="preserve">GERADOR DE ENERGIA DIESEL 125KVA TRIFÁSICO </t>
  </si>
  <si>
    <t>01 unidade - Conforme Composição de Custo - CE-032</t>
  </si>
  <si>
    <t>volume=π x 6,95² (área circunferência) x 2,00m (profundidade) x0,90 (percentual reaterro manual)= 30,35m³</t>
  </si>
  <si>
    <t>volume=π x 6,95² (área circunferência) x 2,00m (profundidade) x0,90 (percentual reaterro mecânico)= 273,14m³</t>
  </si>
  <si>
    <t>volume=π x 6,95² (área circunferência) x 4,70m (profundidade) x0,10 (percentual esc. manual)= 71,32m³</t>
  </si>
  <si>
    <t>volume=π x 6,95² (área circunferência) x 4,70m (profundidade) x0,90 (percentual esc. mecânica)= 641,89m³</t>
  </si>
  <si>
    <t>área= π x 7,95² (área circunferência)= 198,56m²</t>
  </si>
  <si>
    <t>área= π x 8,00² (área circunferência)= 201,06m²</t>
  </si>
  <si>
    <t>área= 416,50m² - Conforme Projeto Estrutural</t>
  </si>
  <si>
    <t>1.908,00 kg - Conforme Projeto Estrutural</t>
  </si>
  <si>
    <t>534,00 kg - Conforme Projeto Estrutural</t>
  </si>
  <si>
    <t>3.173,00 kg - Conforme Projeto Estrutural</t>
  </si>
  <si>
    <t>256,00 kg - Conforme Projeto Estrutural</t>
  </si>
  <si>
    <t>756,00 kg - Conforme Projeto Estrutural</t>
  </si>
  <si>
    <t>75,50m³ - Conforme Projeto Estrutural</t>
  </si>
  <si>
    <r>
      <t xml:space="preserve">volume= 416,50m² (área total de formas) x 0,20m (espessura) </t>
    </r>
    <r>
      <rPr>
        <sz val="12"/>
        <rFont val="Calibri"/>
        <family val="2"/>
      </rPr>
      <t>÷</t>
    </r>
    <r>
      <rPr>
        <sz val="12"/>
        <rFont val="Arial"/>
        <family val="2"/>
      </rPr>
      <t xml:space="preserve"> 2 (face)= 41,65m³</t>
    </r>
  </si>
  <si>
    <t>338,96m² - Conforme Projeto Estrutural</t>
  </si>
  <si>
    <t>01 unidade - Conforme Projeto e Cotação em anexo</t>
  </si>
  <si>
    <t>14 unidades - Conforme Projeto</t>
  </si>
  <si>
    <t>01 unidade - Conforme Composição de Custo - CE-033</t>
  </si>
  <si>
    <t>01 unidade - Conforme Composição de Custo - CE-034</t>
  </si>
  <si>
    <t xml:space="preserve">CRAVAMENTO DE ESTACAS PRÉ-MOLDADA DE CONCRETO, SEÇÃO QUADRADA, CAPACIDADE DE 25 TONELADAS, COMPRIMENTO TOTAL CRAVADO ATÉ 6,00M, BATE-ESTACAS POR GRAVIDADE SOBRE ROLOS </t>
  </si>
  <si>
    <t>área= 5,20m (largura) x 8,00m (comprimento)= 41,60m²</t>
  </si>
  <si>
    <t>volume= [4,30m (largura) x 5,20m (comprimento) x 2,80m (profundidade) + 3,70m (largura) x 5,20m (comprimento) x 0,97m (profundidade)] x 0,90 (percentual esc. Mecânica)= 73,14m³</t>
  </si>
  <si>
    <t>volume= [4,30m (largura) x 5,20m (comprimento) x 2,80m (profundidade) + 3,70m (largura) x 5,20m (comprimento) x 0,97m (profundidade) x 0,90 (percentual esc. manual)= 8,13m³</t>
  </si>
  <si>
    <t>volume= 73,14m³ (item 08.06.02)+ 8,13m³ (item 08.06.03) - 37,95m³ (bota fora)= 43,32m³</t>
  </si>
  <si>
    <t>T= [73,14m³ (item 08.06.02)+ 8,13m³ (item 08.06.03) - 43,32m³ (item 08.06.04)] x 5,00km (distância)= 43,32m³xkm</t>
  </si>
  <si>
    <t>volume= 73,14m³ (item 08.06.02)+ 8,13m³ (item 08.06.03) - 43,32m³ (item 08.06.04)= 37,95m³</t>
  </si>
  <si>
    <t>01 unidade - Conforme Composição de Custo - CE-035</t>
  </si>
  <si>
    <t>área= 3,20m (largura) x 6,00m (comprimento)= 19,20m²</t>
  </si>
  <si>
    <t>77,00 m² - Conforme Projeto Estrutural</t>
  </si>
  <si>
    <t>76,80 m² - Conforme Projeto Estrutural</t>
  </si>
  <si>
    <t>186,00kg - Conforme Projeto Estrutural</t>
  </si>
  <si>
    <t>1.589,00kg - Conforme Projeto Estrutural</t>
  </si>
  <si>
    <t>20,50m³ - Conforme Projeto Estrutural</t>
  </si>
  <si>
    <t>área= 63,48m² - Conforme Projeto Estrutural</t>
  </si>
  <si>
    <t>01 unidade - Conforme Projeto e Composição de Custo - CE-038</t>
  </si>
  <si>
    <t>04 unidades - Conforme Projeto e  Composição de Custo - CE-037</t>
  </si>
  <si>
    <t>01 unidade - Conforme Projeto e Composição de Custo - CE-036</t>
  </si>
  <si>
    <t>01 unidade - Conforme Projeto e Composição de Custo - CE-039</t>
  </si>
  <si>
    <t>área= 6,80m (largura) x 8,00m (comprimento)= 54,40m²</t>
  </si>
  <si>
    <t>volume= [4,80m (largura) x 6,00m (comprimento) x 2,80m (profundidade) + 2,60m (largura) x 2,60m (comprimento) x 2,37m (profundidade)]*0,90 (percentual esc. Mecânica)= 87,00m³</t>
  </si>
  <si>
    <t>volume= [4,80m (largura) x 6,00m (comprimento) x 2,80m (profundidade) + 2,60m (largura) x 2,60m (comprimento) x 2,37m (profundidade)]*0,10 (percentual esc. manual)= 9,67m³</t>
  </si>
  <si>
    <t>volume= 87,00m³ (item 08.07.02) + 9,67m³ (item 08.07.03) - 37,43m³ (bota fora)= 59,23m³</t>
  </si>
  <si>
    <t>volume= 87,00m³ (item 08.07.02) + 9,67m³ (item 08.07.03) - 59,23m³ (item 08.07.04)= 37,43m³</t>
  </si>
  <si>
    <t>volume= [87,00m³ (item 08.07.02) + 9,67m³ (item 08.07.03) - 59,23m³ (item 08.07.04)] x 5,00km (distancia)= 187,14m³</t>
  </si>
  <si>
    <t>área= 2,80m (largura) x 4,00m (comprimento)+1,60m (largura) x 1,60m (comprimento)= 13,76m²</t>
  </si>
  <si>
    <t>área= 76,80 m² - Conforme Projeto Estrutural</t>
  </si>
  <si>
    <t>61,00kg - Conforme Projeto Estrutural</t>
  </si>
  <si>
    <t>1.215,00kg - Conforme Projeto Estrutural</t>
  </si>
  <si>
    <t>área= 50,64m²  - Conforme Projeto Estrutural</t>
  </si>
  <si>
    <t>01 unidade - Conforme Projeto e Composição de Custo - CE-040</t>
  </si>
  <si>
    <t xml:space="preserve">01 unidade - Conforme Projeto </t>
  </si>
  <si>
    <t>área= 6,05m (comprimento) x 4,80m (largura)= 29,04m²</t>
  </si>
  <si>
    <t>comprimento= 2,90m - Conforme Projeto</t>
  </si>
  <si>
    <t>01 unidade - Conforme Projeto e Composição de Custo - CE-041</t>
  </si>
  <si>
    <t>01 unidade - Conforme Projeto e Composição de Custo - CE-042</t>
  </si>
  <si>
    <t>área= [1,50m+4,00m] (comprimento) x [1,00m+4,00] (largura)= 27,50m²</t>
  </si>
  <si>
    <t>volume=0,36m²x1,40m= 0,50m³</t>
  </si>
  <si>
    <t>volume= 0,36m²x0,50m= 0,18m³</t>
  </si>
  <si>
    <t>área= 0,36m²</t>
  </si>
  <si>
    <t>área= (2,40mx0,50m)+(1,60mx1,30m)= 3,28m²</t>
  </si>
  <si>
    <t>volume= 0,50m³ - Conforme Projeto</t>
  </si>
  <si>
    <t>QUEIMADOR DE BIOGÁS COM IGNITOR AUTOMÁTICO E ENERGIA SOLAR MODELO LGM - 3.2 MARCA ITACRETO</t>
  </si>
  <si>
    <t>área= 17,40m (largura) x 37,20m (comprimento)= 647,28m²</t>
  </si>
  <si>
    <t>08.09.23</t>
  </si>
  <si>
    <t>08.09.24</t>
  </si>
  <si>
    <t>08.09.25</t>
  </si>
  <si>
    <t>08.09.26</t>
  </si>
  <si>
    <t>volume= 15,40m (largura) x35,20m (comprimento) x 1,50m (profundidade) x 0,90m (percentual esc. Mecânica)= 731,81m³</t>
  </si>
  <si>
    <t>volume= 15,40m (largura) x35,20m (comprimento) x 1,50m (profundidade) x 0,10m (percentual esc. Manual)= 81,31m³</t>
  </si>
  <si>
    <t>volume= 15,40m² (área aterro) x 1,00m (profundidade média)= 15,40m³</t>
  </si>
  <si>
    <t>volume= 731,81m³ (item 08.09.02) + 81,31m³ (item 08.09.03) - 15,40m³ ( item 08.09.04)= 797,72m³</t>
  </si>
  <si>
    <t>volume= [731,81m³ (item 08.09.02) + 81,31m³ (item 08.09.03) - 15,40m³ ( item 08.09.04)] x 1,30 (empolamento) X 5,00km (distância)= 5.185,18m³xkm</t>
  </si>
  <si>
    <t>01 unidade - Conforme Projeto e Composição de Custo - CE-043</t>
  </si>
  <si>
    <t>área= 15,40m (largura) x 35,20m (comprimento)= 542,08m²</t>
  </si>
  <si>
    <t>área= 71,30m² - Conforme Projeto Estrutural</t>
  </si>
  <si>
    <t>292,00kg - Conforme Projeto Estrutural</t>
  </si>
  <si>
    <t>197,00kg - Conforme Projeto Estrutural</t>
  </si>
  <si>
    <t>1.002,00kg - Conforme Projeto Estrutural</t>
  </si>
  <si>
    <t>454,00kg - Conforme Projeto Estrutural</t>
  </si>
  <si>
    <t>331,00kg - Conforme Projeto Estrutural</t>
  </si>
  <si>
    <t>228,00kg - Conforme Projeto Estrutural</t>
  </si>
  <si>
    <t>volume= 36,00m³ - Conforme Projeto Estrutural</t>
  </si>
  <si>
    <t>área= 0,50m (largura) x0,54m (comprimento) x 20 und= 5,40m²</t>
  </si>
  <si>
    <t>área= 10,20m (comprimento) x 4 (paredes) x0,67m (altura)= 27,34m²</t>
  </si>
  <si>
    <t>área= 65,00m (comprimento) x 2,40m (altura) x 2 (vzs)= 312,00m²</t>
  </si>
  <si>
    <t>volume= 15,00m (comprimento) x 8,25m (largura) x 4 (vzs) x 0,55m (espessura camada)= 272,25m³</t>
  </si>
  <si>
    <t>volume= 15,00m (comprimento) x 8,25m (largura) x 4 (vzs) x 0,30m (espessura camada)= 148,50m³</t>
  </si>
  <si>
    <t>01 unidade - Conforme Projeto e Composição de Custo - CE-044</t>
  </si>
  <si>
    <t>08 unidades - Conforme Projeto e Composição de Custo - CE-045</t>
  </si>
  <si>
    <t>02 unidades - Conforme Projeto e Composição de Custo - CE-046</t>
  </si>
  <si>
    <t>08.10.28</t>
  </si>
  <si>
    <t>08.10.29</t>
  </si>
  <si>
    <t>08.10.30</t>
  </si>
  <si>
    <t>CE-050</t>
  </si>
  <si>
    <t>área= 12,30mx12,30m= 151,29m²</t>
  </si>
  <si>
    <t>LOCACAO CONVENCIONAL DE OBRA, ATRAVÉS DE GABARITO DE TABUAS CORRIDAS PONTALETADAS, SEM REAPROVEITAMENTO</t>
  </si>
  <si>
    <t>LIMPEZA MECANIZADA DE TERRENO, INCLUSIVE RETIRADA DE ARVORE ENTRE 0,05M E 0,15M DE DIAMETRO</t>
  </si>
  <si>
    <t>ESCAVACAO, CARGA E TRANSPORTE DE MATERIAL DE 1A CATEGORIA, CAMINHO DESERVICO REVESTIMENTO PRIMARIO, COM ESCAVADEIRA HIDRAULICA E CAMINHAO BASCULANTE 6 M3, DMT 800 ATE 1.000 M</t>
  </si>
  <si>
    <t>volume= 60,00m(ext. sapata)x1,00m(prof. Média)x0,25m(largura)= 15,00m³</t>
  </si>
  <si>
    <t>compac. Mec= 4,00m³</t>
  </si>
  <si>
    <t>volume= 15,00m³-4,00m³= 11,00m³</t>
  </si>
  <si>
    <t>CONCRETO NAO ESTRUTURAL, CONSUMO 210KG/M3, PREPARO COM BETONEIRA, SEM LANCAMENTO</t>
  </si>
  <si>
    <t>obtenção de volume através do software "AUTOcad" =3,00m³</t>
  </si>
  <si>
    <t>CONCRETO USINADO BOMBEADO FCK=30MPA, INCLUSIVE COLOCACAO, ESPALHAMENTO E ADENSAMENTO MECANICO.</t>
  </si>
  <si>
    <t>obtenção de volume através do software "AUTOcad" =16,62m³</t>
  </si>
  <si>
    <t>FORMA TABUAS MADEIRA 3A P/ PECAS CONCRETO ARM, REAPR 2X, INCL MONTAGEM E DESMONTAGEM.</t>
  </si>
  <si>
    <t>obtenção de área através do software "AUTOcad" =35,54m²</t>
  </si>
  <si>
    <t>ARMACAO ACO CA-50, DIAM. 6,3 (1/4) À 12,5MM(1/2) -FORNECIMENTO/ CORTE (PERDA DE 10%) / DOBRA / COLOCAÇÃO.</t>
  </si>
  <si>
    <t xml:space="preserve">proporção de12,45kg de aço por m³ de concreto: </t>
  </si>
  <si>
    <t>armação=12,45kgx16,62m³=206,92kg</t>
  </si>
  <si>
    <t xml:space="preserve">PISO CIMENTADO RUSTICO TRACO 1:3 (CIMENTO E AREIA), ESPESSURA 2,0CM, P   </t>
  </si>
  <si>
    <t>obtenção de área através do software "AUTOcad" =25,00m²</t>
  </si>
  <si>
    <t xml:space="preserve">CAIXA EM ALVENARIA ENTERRADA, DE TIJOLOS CERAMICOS MACICOS 1/2 VEZ DIM   </t>
  </si>
  <si>
    <t>03 unidades</t>
  </si>
  <si>
    <t>ALV ESTRUTURAL BL CONC 15X20X40CM -4.5MPA, ARG.CIM/CAL/AREIA 1:5:11</t>
  </si>
  <si>
    <t>área= 69,00mx 3,00m= 207,00m²</t>
  </si>
  <si>
    <t>TELHAMENTO COM TELHA DE FIBROCIMENTO ONDULADA, ESPESSURA 6MM, INCLUSO JUNTAS DE VEDACAO E ACESSORIOS DE FIXACAO</t>
  </si>
  <si>
    <t>obtenção de área através do software "AUTOcad" =56,00m²</t>
  </si>
  <si>
    <t>PORTA DE MADEIRA COMPENSADA LISA PARA CERA/VERNIZ, 0,80X2,10M, INCLUSOADUELA 1A, ALIZAR 1A E DOBRADICA COM ANEL</t>
  </si>
  <si>
    <t>05 unidades</t>
  </si>
  <si>
    <t>PORTA DE MADEIRA COMPENSADA LISA PARA CERA/VERNIZ, 0,60X2,10M, INCLUSOADUELA 1A, ALIZAR 1A E DOBRADICA COM ANEL</t>
  </si>
  <si>
    <t>JANELA ALUMINIO DE CORRER, 2 FOLHAS PARA VIDRO, COM BANDEIRA, LINHA 25</t>
  </si>
  <si>
    <t>obtenção de área através do software "AUTOcad" =302,00m²</t>
  </si>
  <si>
    <t>PINTURA LATEX PVA AMBIENTES INTERNOS, DUAS DEMAOS</t>
  </si>
  <si>
    <t>AZULEJO 2A 15X15CM FIXADO COM ARGAMASSA COLANTE, JUNTAS A PRUMO, REJUNTAMENTO COM CIMENTO BRANCO</t>
  </si>
  <si>
    <t>obtenção de área através do software "AUTOcad" =112,00m²</t>
  </si>
  <si>
    <t>01 unidade - Ítem discriminado detalhadamente na composição de custos unitários</t>
  </si>
  <si>
    <t>área= 6,67mx3,00m= 20,00m²</t>
  </si>
  <si>
    <t>EXECUCAO DE CIMBRAMENTO PARA ESCORAMENTO DE FORMAS ELEVADAS DE  MADEIRA (LAJES E VIGAS), ACIMA DE 3,30 M DE PE DIREITO, COM PONTALETES (8,0 X8,0 CM) DE MADEIRA DE LEI 1A QUALIDADE E PECAS DE MADEIRA DE 2,5 X 10,0 CM DE 2A QUALIDADE, NAO APARELHADA.</t>
  </si>
  <si>
    <t>obtenção de volume através do software "AUTOcad" =323,00m²</t>
  </si>
  <si>
    <t>FORNECIMENTO DO MATERIAL HIDRÁULICO DA UNIDADE DE APOIO</t>
  </si>
  <si>
    <t>APLICAÇÃO DO MATERIAL HIDRÁULICO DA UNIDADE DE APOIO</t>
  </si>
  <si>
    <t>01 unidade - Conforme Projeto e Composição de Custo - CE-047</t>
  </si>
  <si>
    <t>volume= 50,30m³ - Conforme Projeto Estrutural</t>
  </si>
  <si>
    <t>área= 129,90m² - Conforme Projeto Estrutural</t>
  </si>
  <si>
    <t>68,00kg - Conforme Projeto Estrutural</t>
  </si>
  <si>
    <t>74,00kg - Conforme Projeto Estrutural</t>
  </si>
  <si>
    <t>148,00kg - Conforme Projeto Estrutural</t>
  </si>
  <si>
    <t>78,00kg - Conforme Projeto Estrutural</t>
  </si>
  <si>
    <t>área= 25,75m (comprimento)  x 3,00m altura)+35,70m (comprimento) x 0,90m (altura)= 109,38m²</t>
  </si>
  <si>
    <t>área= 35,70m (comprimento) x 3,00m (altura)= 107,10m²</t>
  </si>
  <si>
    <t>área= 8,20m (comprimento) x 7,85m (altura)= 64,37m²</t>
  </si>
  <si>
    <t>área= 0,70m (largura) x 2,10m (altura) x 2 und+0,80m (largura) x 2,10m (altura) x 3 und+0,80m (largura) x 2,10m (altura) x 3 und+1,00m (largura) x2,10m (altura) x 2und= 17,22m²</t>
  </si>
  <si>
    <t>área= 2,00 (largura) x 1,70m (altura)+2,50m (largura) x 0,80m (altura) x 2 und+1,80m ( largura) x 0,80m (altura) x 2 und+1,10m (largura) x 1,70m (altura) x 2 und= 14,02m²</t>
  </si>
  <si>
    <t>área= [109,38m² (item 08.10.16) + 107,10m² (item 08.10.17)] x 2 (faces)= 432,96m²</t>
  </si>
  <si>
    <t>área= 112,00m² (paredes internas) - conforme Projeto</t>
  </si>
  <si>
    <t>01 unidade  - conforme Projeto</t>
  </si>
  <si>
    <t>01 unidade  - conforme Projeto e Composição de Custo CE-048</t>
  </si>
  <si>
    <t>01 unidade  - conforme Projeto e Composição de Custo CE-049</t>
  </si>
  <si>
    <t>área= 8,57m (comprimento) x 2,02m (altura)= 17,31m²</t>
  </si>
  <si>
    <t>01 unidade  - Conforme Composição de Custo CE-050</t>
  </si>
  <si>
    <t>extensão= 1.512,85m (total rede interligações)</t>
  </si>
  <si>
    <t>volume= 1.515,85m (total rede interligações) x 0,60m (largura) x 1,20m (profundidade média) x 0,90 (percentual esc. Mecânica)= 980,33m³</t>
  </si>
  <si>
    <t>volume= 1.515,85m (total rede interligações) x 0,60m (largura) x 1,20m (profundidade média) x 0,10 (percentual esc. Manual)= 108,93m³</t>
  </si>
  <si>
    <t>volume= 980,33m³ (item 08.11.03) + 108,93m³ (item 08.11.04)= 1.089,25m³</t>
  </si>
  <si>
    <t>12 unidades - Conforme Projeto</t>
  </si>
  <si>
    <t>12 unidades (equivalente ao item 08.11.05)</t>
  </si>
  <si>
    <t>01 unidade  - Conforme Projeto e Composição de Custo CE-051</t>
  </si>
  <si>
    <t>01 unidade  - Conforme Projeto e Composição de Custo CE-052</t>
  </si>
  <si>
    <t>01 unidade  - Conforme Composição de Custo CE-053</t>
  </si>
  <si>
    <t>CE-051</t>
  </si>
  <si>
    <t>CE-052</t>
  </si>
  <si>
    <t>CE-053</t>
  </si>
  <si>
    <t>INSTALAÇÕES ELÉTRICAS DA ESTAÇÃO DE TRATAMENTO DE ESGOTOS (ETE)</t>
  </si>
  <si>
    <t xml:space="preserve">GERADOR DE ENERGIA DIESEL 75KVA TRIFÁSICO </t>
  </si>
  <si>
    <t>ELT-007</t>
  </si>
  <si>
    <t>ETE-ILUMINAÇÃO EXTERNA</t>
  </si>
  <si>
    <t>ELT-008</t>
  </si>
  <si>
    <t>ETE-APOIO OPERACIONAL-ILUMINAÇÃO E TOMADAS</t>
  </si>
  <si>
    <t>ELT-009</t>
  </si>
  <si>
    <t>ETE-APOIO OPERACIONAL - SPDA-ATERRAMENTO</t>
  </si>
  <si>
    <t>ELT-010</t>
  </si>
  <si>
    <t>ETE-BANCO DE DUTOS E ALIMENTAÇÃO DOS MOTORES</t>
  </si>
  <si>
    <t>ELT-011</t>
  </si>
  <si>
    <t>SALA ELÉTRICA - EEF - ILUMINAÇÃO E TOMADAS</t>
  </si>
  <si>
    <t>ELT-012</t>
  </si>
  <si>
    <t>SALA ELÉTRICA - EEF - SPDA - ATERRAMENTO</t>
  </si>
  <si>
    <t>ELT-013</t>
  </si>
  <si>
    <t>EQUIPAMENTOS E INSTRUMENTOS</t>
  </si>
  <si>
    <t>01 unidade - Conforme Composição de Custo  ELT-007</t>
  </si>
  <si>
    <t>01 unidade - Conforme Composição de Custo  ELT-008</t>
  </si>
  <si>
    <t>01 unidade - Conforme Composição de Custo  ELT-009</t>
  </si>
  <si>
    <t>01 unidade - Conforme Composição de Custo  ELT-010</t>
  </si>
  <si>
    <t>01 unidade - Conforme Composição de Custo  ELT-011</t>
  </si>
  <si>
    <t>01 unidade - Conforme Composição de Custo  ELT-012</t>
  </si>
  <si>
    <t>01 unidade - Conforme Composição de Custo  ELT-013</t>
  </si>
  <si>
    <t>08.13.01</t>
  </si>
  <si>
    <t>08.13.02</t>
  </si>
  <si>
    <t>08.13.03</t>
  </si>
  <si>
    <t>08.13.04</t>
  </si>
  <si>
    <t>08.13.05</t>
  </si>
  <si>
    <t>08.13.06</t>
  </si>
  <si>
    <t>08.13.07</t>
  </si>
  <si>
    <t>08.13.08</t>
  </si>
  <si>
    <t>08.13.09</t>
  </si>
  <si>
    <t>08.13.10</t>
  </si>
  <si>
    <t>08.13.11</t>
  </si>
  <si>
    <t>08.13.12</t>
  </si>
  <si>
    <t>08.13.13</t>
  </si>
  <si>
    <t>volume= 3.152,00m² (área total pavimentada) x 0,20m (espessura camada)= 630,40m³</t>
  </si>
  <si>
    <t>área= 3.152,00m² - área total a ser pavimentada Conforme Projeto</t>
  </si>
  <si>
    <t>volume= 3.152,00m² (área total pavimentada) x 0,03m (espessura camada)= 94,56m³</t>
  </si>
  <si>
    <t>extensão= 1.073,00m Conforme Projeto</t>
  </si>
  <si>
    <t>área= 4,40m (largura) x 2,10m (altura)= 9,24m²</t>
  </si>
  <si>
    <t>área= 487,00m² - Conforme Projeto</t>
  </si>
  <si>
    <t>área= 7.152,00m² - Conforme Projeto</t>
  </si>
  <si>
    <t>área= 400,00m² - Conforme Projeto</t>
  </si>
  <si>
    <t>100 unidades - Conforme Projeto</t>
  </si>
  <si>
    <t>2.197,00kg - Conforme Projeto Estrutural</t>
  </si>
  <si>
    <t>4.184,00kg - Conforme Projeto Estrutural</t>
  </si>
  <si>
    <t>674,80m³ - Conforme Projeto Estrutural</t>
  </si>
  <si>
    <t xml:space="preserve">198,00m³ - Conforme Projeto Estrutural </t>
  </si>
  <si>
    <t>4.731,00 kg - Conforme Projeto Estrutural</t>
  </si>
  <si>
    <t>157,00 kg - Conforme Projeto Estrutural</t>
  </si>
  <si>
    <t>1.511,00 kg - Conforme Projeto Estrutural</t>
  </si>
  <si>
    <t>T=400,00 toneladas X 500 km = 200.000,00tXkm</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</si>
</sst>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 #,##0.00_-;_-* &quot;-&quot;??_-;_-@_-"/>
    <numFmt numFmtId="164" formatCode="_(* #,##0.00_);_(* \(#,##0.00\);_(* &quot;-&quot;??_);_(@_)"/>
    <numFmt numFmtId="165" formatCode="0.00000"/>
    <numFmt numFmtId="166" formatCode="dd/mm/yy;@"/>
    <numFmt numFmtId="167" formatCode="#,##0.00;[Red]#,##0.00"/>
    <numFmt numFmtId="168" formatCode="0.000"/>
  </numFmts>
  <fonts count="20" x14ac:knownFonts="1">
    <font>
      <sz val="10"/>
      <name val="Arial"/>
    </font>
    <font>
      <sz val="10"/>
      <name val="Arial"/>
      <family val="2"/>
    </font>
    <font>
      <sz val="8"/>
      <name val="Arial"/>
      <family val="2"/>
    </font>
    <font>
      <sz val="11"/>
      <name val="Arial"/>
      <family val="2"/>
    </font>
    <font>
      <b/>
      <sz val="11"/>
      <name val="Arial"/>
      <family val="2"/>
    </font>
    <font>
      <b/>
      <sz val="10"/>
      <name val="Arial"/>
      <family val="2"/>
    </font>
    <font>
      <b/>
      <sz val="9"/>
      <name val="Arial"/>
      <family val="2"/>
    </font>
    <font>
      <sz val="9"/>
      <name val="Arial"/>
      <family val="2"/>
    </font>
    <font>
      <b/>
      <sz val="8"/>
      <name val="Arial"/>
      <family val="2"/>
    </font>
    <font>
      <b/>
      <sz val="12"/>
      <name val="Arial"/>
      <family val="2"/>
    </font>
    <font>
      <b/>
      <sz val="10"/>
      <color indexed="10"/>
      <name val="Arial"/>
      <family val="2"/>
    </font>
    <font>
      <b/>
      <sz val="11"/>
      <color indexed="8"/>
      <name val="Calibri"/>
      <family val="2"/>
    </font>
    <font>
      <sz val="10"/>
      <name val="Arial"/>
      <family val="2"/>
    </font>
    <font>
      <sz val="12"/>
      <name val="Arial"/>
      <family val="2"/>
    </font>
    <font>
      <sz val="10"/>
      <name val="Arial Black"/>
      <family val="2"/>
    </font>
    <font>
      <b/>
      <sz val="11"/>
      <color theme="1"/>
      <name val="Calibri"/>
      <family val="2"/>
      <scheme val="minor"/>
    </font>
    <font>
      <sz val="12"/>
      <color indexed="10"/>
      <name val="Arial"/>
      <family val="2"/>
    </font>
    <font>
      <b/>
      <sz val="12"/>
      <color indexed="10"/>
      <name val="Arial"/>
      <family val="2"/>
    </font>
    <font>
      <sz val="12"/>
      <name val="Calibri"/>
      <family val="2"/>
    </font>
    <font>
      <sz val="12"/>
      <name val="Yu Gothic UI Semilight"/>
      <family val="2"/>
    </font>
  </fonts>
  <fills count="1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2"/>
        <bgColor indexed="64"/>
      </patternFill>
    </fill>
    <fill>
      <patternFill patternType="solid">
        <fgColor rgb="FFFFFF00"/>
        <bgColor indexed="64"/>
      </patternFill>
    </fill>
    <fill>
      <patternFill patternType="solid">
        <fgColor rgb="FF92D050"/>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0" tint="-0.249977111117893"/>
        <bgColor indexed="64"/>
      </patternFill>
    </fill>
    <fill>
      <patternFill patternType="solid">
        <fgColor theme="1" tint="0.499984740745262"/>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rgb="FF00B0F0"/>
        <bgColor indexed="64"/>
      </patternFill>
    </fill>
    <fill>
      <patternFill patternType="solid">
        <fgColor theme="9" tint="-0.249977111117893"/>
        <bgColor indexed="64"/>
      </patternFill>
    </fill>
  </fills>
  <borders count="88">
    <border>
      <left/>
      <right/>
      <top/>
      <bottom/>
      <diagonal/>
    </border>
    <border>
      <left/>
      <right/>
      <top style="thin">
        <color indexed="56"/>
      </top>
      <bottom style="double">
        <color indexed="56"/>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top style="medium">
        <color indexed="64"/>
      </top>
      <bottom style="medium">
        <color indexed="64"/>
      </bottom>
      <diagonal/>
    </border>
    <border>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medium">
        <color indexed="64"/>
      </bottom>
      <diagonal/>
    </border>
    <border>
      <left/>
      <right style="thin">
        <color indexed="64"/>
      </right>
      <top style="hair">
        <color indexed="64"/>
      </top>
      <bottom style="hair">
        <color indexed="64"/>
      </bottom>
      <diagonal/>
    </border>
    <border>
      <left style="thin">
        <color indexed="64"/>
      </left>
      <right style="thin">
        <color indexed="64"/>
      </right>
      <top style="medium">
        <color indexed="64"/>
      </top>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double">
        <color auto="1"/>
      </left>
      <right style="double">
        <color auto="1"/>
      </right>
      <top style="double">
        <color auto="1"/>
      </top>
      <bottom style="double">
        <color auto="1"/>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double">
        <color auto="1"/>
      </left>
      <right style="double">
        <color auto="1"/>
      </right>
      <top style="double">
        <color auto="1"/>
      </top>
      <bottom/>
      <diagonal/>
    </border>
    <border>
      <left style="double">
        <color auto="1"/>
      </left>
      <right style="double">
        <color auto="1"/>
      </right>
      <top/>
      <bottom/>
      <diagonal/>
    </border>
    <border>
      <left style="double">
        <color auto="1"/>
      </left>
      <right style="double">
        <color auto="1"/>
      </right>
      <top/>
      <bottom style="double">
        <color auto="1"/>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double">
        <color auto="1"/>
      </left>
      <right style="double">
        <color auto="1"/>
      </right>
      <top style="double">
        <color auto="1"/>
      </top>
      <bottom style="medium">
        <color auto="1"/>
      </bottom>
      <diagonal/>
    </border>
    <border>
      <left style="double">
        <color auto="1"/>
      </left>
      <right style="double">
        <color auto="1"/>
      </right>
      <top style="medium">
        <color auto="1"/>
      </top>
      <bottom style="double">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7">
    <xf numFmtId="0" fontId="0" fillId="0" borderId="0"/>
    <xf numFmtId="0" fontId="1"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1"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1" fillId="0" borderId="0" applyProtection="0"/>
    <xf numFmtId="0" fontId="1" fillId="0" borderId="0" applyProtection="0"/>
    <xf numFmtId="0" fontId="1" fillId="0" borderId="0" applyProtection="0"/>
    <xf numFmtId="0" fontId="1" fillId="0" borderId="0" applyProtection="0"/>
    <xf numFmtId="0" fontId="1" fillId="0" borderId="0" applyProtection="0"/>
    <xf numFmtId="0" fontId="1" fillId="0" borderId="0" applyProtection="0"/>
    <xf numFmtId="0" fontId="1" fillId="0" borderId="0" applyProtection="0"/>
    <xf numFmtId="9" fontId="1" fillId="0" borderId="0" applyFont="0" applyFill="0" applyBorder="0" applyAlignment="0" applyProtection="0"/>
    <xf numFmtId="0" fontId="11" fillId="0" borderId="1" applyNumberFormat="0" applyFill="0" applyAlignment="0" applyProtection="0"/>
    <xf numFmtId="164" fontId="1" fillId="0" borderId="0" applyFont="0" applyFill="0" applyBorder="0" applyAlignment="0" applyProtection="0"/>
    <xf numFmtId="0" fontId="1" fillId="0" borderId="0"/>
  </cellStyleXfs>
  <cellXfs count="638">
    <xf numFmtId="0" fontId="0" fillId="0" borderId="0" xfId="0"/>
    <xf numFmtId="0" fontId="3" fillId="0" borderId="0" xfId="0" applyFont="1" applyAlignment="1">
      <alignment wrapText="1"/>
    </xf>
    <xf numFmtId="0" fontId="3" fillId="0" borderId="0" xfId="0" applyFont="1" applyAlignment="1">
      <alignment horizontal="center" vertical="center" wrapText="1"/>
    </xf>
    <xf numFmtId="0" fontId="10" fillId="0" borderId="0" xfId="0" applyFont="1" applyAlignment="1">
      <alignment horizontal="left" vertical="center"/>
    </xf>
    <xf numFmtId="0" fontId="3" fillId="2" borderId="0" xfId="0" applyFont="1" applyFill="1" applyAlignment="1"/>
    <xf numFmtId="0" fontId="3" fillId="2" borderId="0" xfId="0" applyFont="1" applyFill="1" applyAlignment="1">
      <alignment wrapText="1"/>
    </xf>
    <xf numFmtId="0" fontId="3" fillId="2" borderId="0" xfId="0" applyFont="1" applyFill="1" applyBorder="1" applyAlignment="1">
      <alignment horizontal="center" vertical="center"/>
    </xf>
    <xf numFmtId="0" fontId="12" fillId="0" borderId="0" xfId="0" applyFont="1" applyAlignment="1">
      <alignment vertical="center"/>
    </xf>
    <xf numFmtId="0" fontId="5" fillId="0" borderId="0" xfId="0" applyFont="1" applyBorder="1" applyAlignment="1">
      <alignment vertical="center"/>
    </xf>
    <xf numFmtId="0" fontId="5" fillId="0" borderId="0" xfId="0" applyFont="1" applyBorder="1" applyAlignment="1">
      <alignment horizontal="center" vertical="center"/>
    </xf>
    <xf numFmtId="0" fontId="1" fillId="0" borderId="0" xfId="0" applyFont="1" applyBorder="1" applyAlignment="1">
      <alignment vertical="center"/>
    </xf>
    <xf numFmtId="165" fontId="1" fillId="0" borderId="0" xfId="0" applyNumberFormat="1" applyFont="1" applyBorder="1" applyAlignment="1">
      <alignment vertical="center"/>
    </xf>
    <xf numFmtId="0" fontId="5" fillId="0" borderId="27" xfId="0" applyFont="1" applyBorder="1" applyAlignment="1">
      <alignment horizontal="center" vertical="center"/>
    </xf>
    <xf numFmtId="0" fontId="5" fillId="0" borderId="28" xfId="0" applyFont="1" applyBorder="1" applyAlignment="1">
      <alignment vertical="center"/>
    </xf>
    <xf numFmtId="2" fontId="1" fillId="0" borderId="28" xfId="0" applyNumberFormat="1" applyFont="1" applyBorder="1" applyAlignment="1">
      <alignment horizontal="center" vertical="center" wrapText="1"/>
    </xf>
    <xf numFmtId="1" fontId="1" fillId="0" borderId="28" xfId="23" applyNumberFormat="1" applyFont="1" applyBorder="1" applyAlignment="1">
      <alignment horizontal="center" vertical="center"/>
    </xf>
    <xf numFmtId="1" fontId="1" fillId="0" borderId="29" xfId="23" applyNumberFormat="1" applyFont="1" applyBorder="1" applyAlignment="1">
      <alignment horizontal="center" vertical="center"/>
    </xf>
    <xf numFmtId="164" fontId="5" fillId="0" borderId="30" xfId="25" applyFont="1" applyBorder="1" applyAlignment="1">
      <alignment horizontal="right" vertical="center"/>
    </xf>
    <xf numFmtId="164" fontId="1" fillId="0" borderId="0" xfId="25" applyFont="1" applyBorder="1" applyAlignment="1">
      <alignment vertical="center"/>
    </xf>
    <xf numFmtId="0" fontId="5" fillId="0" borderId="17" xfId="0" applyFont="1" applyBorder="1" applyAlignment="1">
      <alignment horizontal="center" vertical="center"/>
    </xf>
    <xf numFmtId="0" fontId="5" fillId="0" borderId="5" xfId="0" applyFont="1" applyBorder="1" applyAlignment="1">
      <alignment vertical="center"/>
    </xf>
    <xf numFmtId="2" fontId="1" fillId="2" borderId="5" xfId="0" applyNumberFormat="1" applyFont="1" applyFill="1" applyBorder="1" applyAlignment="1">
      <alignment horizontal="center" vertical="center" wrapText="1"/>
    </xf>
    <xf numFmtId="1" fontId="1" fillId="2" borderId="5" xfId="23" applyNumberFormat="1" applyFont="1" applyFill="1" applyBorder="1" applyAlignment="1">
      <alignment horizontal="center" vertical="center"/>
    </xf>
    <xf numFmtId="1" fontId="1" fillId="2" borderId="31" xfId="23" applyNumberFormat="1" applyFont="1" applyFill="1" applyBorder="1" applyAlignment="1">
      <alignment horizontal="center" vertical="center"/>
    </xf>
    <xf numFmtId="164" fontId="5" fillId="0" borderId="11" xfId="25" applyFont="1" applyBorder="1" applyAlignment="1">
      <alignment horizontal="right" vertical="center"/>
    </xf>
    <xf numFmtId="0" fontId="5" fillId="0" borderId="5" xfId="0" applyFont="1" applyBorder="1" applyAlignment="1">
      <alignment horizontal="left" vertical="center"/>
    </xf>
    <xf numFmtId="2" fontId="1" fillId="0" borderId="5" xfId="0" applyNumberFormat="1" applyFont="1" applyBorder="1" applyAlignment="1">
      <alignment horizontal="center" vertical="center" wrapText="1"/>
    </xf>
    <xf numFmtId="1" fontId="1" fillId="0" borderId="5" xfId="23" applyNumberFormat="1" applyFont="1" applyBorder="1" applyAlignment="1">
      <alignment horizontal="center" vertical="center"/>
    </xf>
    <xf numFmtId="1" fontId="1" fillId="0" borderId="31" xfId="23" applyNumberFormat="1" applyFont="1" applyBorder="1" applyAlignment="1">
      <alignment horizontal="center" vertical="center"/>
    </xf>
    <xf numFmtId="0" fontId="5" fillId="0" borderId="19" xfId="0" applyFont="1" applyBorder="1" applyAlignment="1">
      <alignment horizontal="center" vertical="center"/>
    </xf>
    <xf numFmtId="0" fontId="5" fillId="0" borderId="18" xfId="0" applyFont="1" applyBorder="1" applyAlignment="1">
      <alignment horizontal="left" vertical="center"/>
    </xf>
    <xf numFmtId="2" fontId="1" fillId="0" borderId="18" xfId="0" applyNumberFormat="1" applyFont="1" applyBorder="1" applyAlignment="1">
      <alignment horizontal="center" vertical="center" wrapText="1"/>
    </xf>
    <xf numFmtId="0" fontId="5" fillId="0" borderId="32" xfId="0" applyFont="1" applyBorder="1" applyAlignment="1">
      <alignment horizontal="left" vertical="center"/>
    </xf>
    <xf numFmtId="0" fontId="5" fillId="0" borderId="12" xfId="0" applyFont="1" applyBorder="1" applyAlignment="1">
      <alignment horizontal="left" vertical="center"/>
    </xf>
    <xf numFmtId="4" fontId="1" fillId="0" borderId="0" xfId="0" applyNumberFormat="1" applyFont="1" applyBorder="1" applyAlignment="1">
      <alignment vertical="center"/>
    </xf>
    <xf numFmtId="0" fontId="14" fillId="0" borderId="0" xfId="0" applyFont="1" applyBorder="1" applyAlignment="1">
      <alignment vertical="center"/>
    </xf>
    <xf numFmtId="4" fontId="14" fillId="0" borderId="0" xfId="0" applyNumberFormat="1" applyFont="1" applyBorder="1" applyAlignment="1">
      <alignment vertical="center"/>
    </xf>
    <xf numFmtId="164" fontId="14" fillId="0" borderId="0" xfId="0" applyNumberFormat="1" applyFont="1" applyBorder="1" applyAlignment="1">
      <alignment vertical="center"/>
    </xf>
    <xf numFmtId="165" fontId="14" fillId="0" borderId="0" xfId="0" applyNumberFormat="1" applyFont="1" applyBorder="1" applyAlignment="1">
      <alignment vertical="center"/>
    </xf>
    <xf numFmtId="0" fontId="3" fillId="0" borderId="0" xfId="0" applyFont="1" applyFill="1" applyBorder="1" applyAlignment="1"/>
    <xf numFmtId="0" fontId="3" fillId="0" borderId="0" xfId="0" applyFont="1" applyFill="1" applyAlignment="1">
      <alignment wrapText="1"/>
    </xf>
    <xf numFmtId="0" fontId="3" fillId="0" borderId="0" xfId="0" applyFont="1" applyFill="1" applyAlignment="1"/>
    <xf numFmtId="0" fontId="3" fillId="0" borderId="0" xfId="0" applyFont="1" applyFill="1" applyBorder="1" applyAlignment="1">
      <alignment horizontal="center" vertical="center"/>
    </xf>
    <xf numFmtId="0" fontId="3" fillId="0" borderId="23" xfId="0" applyFont="1" applyBorder="1" applyAlignment="1"/>
    <xf numFmtId="0" fontId="3" fillId="0" borderId="0" xfId="0" applyFont="1" applyBorder="1" applyAlignment="1"/>
    <xf numFmtId="0" fontId="4" fillId="2" borderId="14"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4" xfId="0" applyFont="1" applyFill="1" applyBorder="1" applyAlignment="1">
      <alignment horizontal="left" vertical="center" wrapText="1"/>
    </xf>
    <xf numFmtId="4" fontId="4" fillId="2" borderId="4" xfId="0" applyNumberFormat="1" applyFont="1" applyFill="1" applyBorder="1" applyAlignment="1">
      <alignment horizontal="right" vertical="center" wrapText="1"/>
    </xf>
    <xf numFmtId="164" fontId="4" fillId="2" borderId="4" xfId="0" applyNumberFormat="1" applyFont="1" applyFill="1" applyBorder="1" applyAlignment="1">
      <alignment horizontal="center" vertical="center" wrapText="1"/>
    </xf>
    <xf numFmtId="164" fontId="4" fillId="2" borderId="6" xfId="0" applyNumberFormat="1" applyFont="1" applyFill="1" applyBorder="1" applyAlignment="1">
      <alignment vertical="center" wrapText="1"/>
    </xf>
    <xf numFmtId="2" fontId="3" fillId="0" borderId="23" xfId="0" applyNumberFormat="1" applyFont="1" applyBorder="1" applyAlignment="1"/>
    <xf numFmtId="0" fontId="4" fillId="0" borderId="0" xfId="0" applyFont="1" applyAlignment="1">
      <alignment horizontal="center" vertical="center" wrapText="1"/>
    </xf>
    <xf numFmtId="0" fontId="3" fillId="0" borderId="0" xfId="0" applyFont="1" applyAlignment="1">
      <alignment horizontal="left" vertical="center" wrapText="1"/>
    </xf>
    <xf numFmtId="0" fontId="3" fillId="0" borderId="0" xfId="0" applyFont="1" applyAlignment="1">
      <alignment horizontal="right" vertical="center" wrapText="1"/>
    </xf>
    <xf numFmtId="164" fontId="3" fillId="0" borderId="0" xfId="0" applyNumberFormat="1" applyFont="1" applyAlignment="1">
      <alignment horizontal="center" vertical="center" wrapText="1"/>
    </xf>
    <xf numFmtId="164" fontId="3" fillId="0" borderId="0" xfId="0" applyNumberFormat="1" applyFont="1" applyAlignment="1">
      <alignment vertical="center" wrapText="1"/>
    </xf>
    <xf numFmtId="0" fontId="3" fillId="0" borderId="0" xfId="0" applyFont="1" applyAlignment="1"/>
    <xf numFmtId="0" fontId="3" fillId="0" borderId="5" xfId="0" applyFont="1" applyBorder="1" applyAlignment="1">
      <alignment wrapText="1"/>
    </xf>
    <xf numFmtId="0" fontId="3" fillId="2" borderId="4"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3" xfId="0" applyFont="1" applyFill="1" applyBorder="1" applyAlignment="1">
      <alignment horizontal="left" vertical="center" wrapText="1"/>
    </xf>
    <xf numFmtId="0" fontId="3" fillId="2" borderId="14" xfId="0" applyFont="1" applyFill="1" applyBorder="1" applyAlignment="1">
      <alignment horizontal="center" vertical="center" wrapText="1"/>
    </xf>
    <xf numFmtId="0" fontId="3" fillId="2" borderId="6" xfId="0" applyFont="1" applyFill="1" applyBorder="1" applyAlignment="1">
      <alignment horizontal="left" vertical="center" wrapText="1"/>
    </xf>
    <xf numFmtId="0" fontId="9" fillId="2" borderId="15" xfId="0" applyFont="1" applyFill="1" applyBorder="1" applyAlignment="1">
      <alignment horizontal="center" vertical="center" wrapText="1"/>
    </xf>
    <xf numFmtId="0" fontId="9" fillId="2" borderId="9" xfId="0" applyFont="1" applyFill="1" applyBorder="1" applyAlignment="1">
      <alignment horizontal="left" vertical="center"/>
    </xf>
    <xf numFmtId="2" fontId="3" fillId="0" borderId="0" xfId="0" applyNumberFormat="1" applyFont="1" applyBorder="1" applyAlignment="1"/>
    <xf numFmtId="0" fontId="5" fillId="0" borderId="0" xfId="0" applyFont="1" applyAlignment="1">
      <alignment horizontal="right"/>
    </xf>
    <xf numFmtId="0" fontId="5" fillId="0" borderId="24" xfId="0" applyFont="1" applyBorder="1" applyAlignment="1">
      <alignment horizontal="center"/>
    </xf>
    <xf numFmtId="0" fontId="5" fillId="0" borderId="25" xfId="0" applyFont="1" applyBorder="1" applyAlignment="1">
      <alignment horizontal="center"/>
    </xf>
    <xf numFmtId="0" fontId="5" fillId="0" borderId="26" xfId="0" applyFont="1" applyBorder="1" applyAlignment="1">
      <alignment horizontal="right"/>
    </xf>
    <xf numFmtId="0" fontId="13" fillId="0" borderId="49" xfId="0" applyFont="1" applyBorder="1" applyAlignment="1">
      <alignment horizontal="center"/>
    </xf>
    <xf numFmtId="0" fontId="13" fillId="0" borderId="45" xfId="0" applyFont="1" applyBorder="1" applyAlignment="1">
      <alignment horizontal="center"/>
    </xf>
    <xf numFmtId="0" fontId="13" fillId="0" borderId="50" xfId="0" applyFont="1" applyBorder="1" applyAlignment="1">
      <alignment horizontal="right"/>
    </xf>
    <xf numFmtId="0" fontId="1" fillId="0" borderId="0" xfId="0" applyFont="1" applyAlignment="1">
      <alignment horizontal="right"/>
    </xf>
    <xf numFmtId="0" fontId="9" fillId="0" borderId="51" xfId="0" applyFont="1" applyBorder="1" applyAlignment="1">
      <alignment horizontal="center"/>
    </xf>
    <xf numFmtId="0" fontId="9" fillId="0" borderId="46" xfId="0" applyFont="1" applyBorder="1"/>
    <xf numFmtId="0" fontId="9" fillId="0" borderId="46" xfId="0" applyFont="1" applyBorder="1" applyAlignment="1">
      <alignment horizontal="center"/>
    </xf>
    <xf numFmtId="164" fontId="9" fillId="0" borderId="52" xfId="25" applyFont="1" applyBorder="1"/>
    <xf numFmtId="164" fontId="5" fillId="0" borderId="0" xfId="25" applyFont="1"/>
    <xf numFmtId="0" fontId="13" fillId="0" borderId="51" xfId="0" applyFont="1" applyBorder="1" applyAlignment="1">
      <alignment horizontal="center"/>
    </xf>
    <xf numFmtId="0" fontId="13" fillId="0" borderId="46" xfId="0" applyFont="1" applyBorder="1"/>
    <xf numFmtId="0" fontId="13" fillId="0" borderId="46" xfId="0" applyFont="1" applyBorder="1" applyAlignment="1">
      <alignment horizontal="center"/>
    </xf>
    <xf numFmtId="0" fontId="13" fillId="0" borderId="52" xfId="0" applyFont="1" applyBorder="1"/>
    <xf numFmtId="10" fontId="9" fillId="0" borderId="46" xfId="0" applyNumberFormat="1" applyFont="1" applyBorder="1" applyAlignment="1">
      <alignment horizontal="center"/>
    </xf>
    <xf numFmtId="43" fontId="9" fillId="0" borderId="52" xfId="0" applyNumberFormat="1" applyFont="1" applyBorder="1"/>
    <xf numFmtId="43" fontId="5" fillId="0" borderId="0" xfId="0" applyNumberFormat="1" applyFont="1"/>
    <xf numFmtId="10" fontId="13" fillId="0" borderId="46" xfId="0" applyNumberFormat="1" applyFont="1" applyBorder="1" applyAlignment="1">
      <alignment horizontal="center"/>
    </xf>
    <xf numFmtId="43" fontId="13" fillId="0" borderId="52" xfId="0" applyNumberFormat="1" applyFont="1" applyBorder="1"/>
    <xf numFmtId="43" fontId="0" fillId="0" borderId="0" xfId="0" applyNumberFormat="1"/>
    <xf numFmtId="0" fontId="13" fillId="0" borderId="46" xfId="0" applyFont="1" applyFill="1" applyBorder="1"/>
    <xf numFmtId="10" fontId="13" fillId="0" borderId="46" xfId="0" applyNumberFormat="1" applyFont="1" applyFill="1" applyBorder="1" applyAlignment="1">
      <alignment horizontal="center"/>
    </xf>
    <xf numFmtId="43" fontId="0" fillId="0" borderId="0" xfId="0" applyNumberFormat="1" applyFill="1"/>
    <xf numFmtId="0" fontId="13" fillId="0" borderId="14" xfId="0" applyFont="1" applyBorder="1" applyAlignment="1">
      <alignment horizontal="center"/>
    </xf>
    <xf numFmtId="0" fontId="13" fillId="0" borderId="4" xfId="0" applyFont="1" applyBorder="1" applyAlignment="1">
      <alignment horizontal="center"/>
    </xf>
    <xf numFmtId="0" fontId="13" fillId="0" borderId="6" xfId="0" applyFont="1" applyBorder="1" applyAlignment="1">
      <alignment horizontal="center"/>
    </xf>
    <xf numFmtId="0" fontId="0" fillId="0" borderId="23" xfId="0" applyBorder="1"/>
    <xf numFmtId="0" fontId="0" fillId="0" borderId="0" xfId="0" applyBorder="1"/>
    <xf numFmtId="0" fontId="0" fillId="0" borderId="57" xfId="0" applyBorder="1"/>
    <xf numFmtId="0" fontId="9" fillId="0" borderId="23" xfId="0" applyFont="1" applyBorder="1"/>
    <xf numFmtId="0" fontId="0" fillId="0" borderId="20" xfId="0" applyFill="1" applyBorder="1"/>
    <xf numFmtId="0" fontId="0" fillId="0" borderId="21" xfId="0" applyFill="1" applyBorder="1"/>
    <xf numFmtId="0" fontId="0" fillId="0" borderId="21" xfId="0" applyBorder="1"/>
    <xf numFmtId="0" fontId="0" fillId="0" borderId="22" xfId="0" applyBorder="1"/>
    <xf numFmtId="164" fontId="3" fillId="2" borderId="0" xfId="25" applyFont="1" applyFill="1" applyAlignment="1"/>
    <xf numFmtId="0" fontId="9" fillId="0" borderId="21" xfId="0" applyFont="1" applyBorder="1" applyAlignment="1">
      <alignment horizontal="right" vertical="center"/>
    </xf>
    <xf numFmtId="166" fontId="9" fillId="0" borderId="22" xfId="0" quotePrefix="1" applyNumberFormat="1" applyFont="1" applyBorder="1" applyAlignment="1">
      <alignment horizontal="center" vertical="center"/>
    </xf>
    <xf numFmtId="0" fontId="4" fillId="4" borderId="9" xfId="0" applyFont="1" applyFill="1" applyBorder="1" applyAlignment="1">
      <alignment horizontal="center" vertical="center" wrapText="1"/>
    </xf>
    <xf numFmtId="2" fontId="5" fillId="4" borderId="28" xfId="23" applyNumberFormat="1" applyFont="1" applyFill="1" applyBorder="1" applyAlignment="1">
      <alignment horizontal="center" vertical="center"/>
    </xf>
    <xf numFmtId="164" fontId="5" fillId="4" borderId="30" xfId="25" applyFont="1" applyFill="1" applyBorder="1" applyAlignment="1">
      <alignment vertical="center"/>
    </xf>
    <xf numFmtId="164" fontId="5" fillId="4" borderId="5" xfId="25" applyFont="1" applyFill="1" applyBorder="1" applyAlignment="1">
      <alignment horizontal="center" vertical="center"/>
    </xf>
    <xf numFmtId="164" fontId="5" fillId="4" borderId="11" xfId="25" applyFont="1" applyFill="1" applyBorder="1" applyAlignment="1">
      <alignment vertical="center"/>
    </xf>
    <xf numFmtId="2" fontId="5" fillId="4" borderId="5" xfId="23" applyNumberFormat="1" applyFont="1" applyFill="1" applyBorder="1" applyAlignment="1">
      <alignment horizontal="center" vertical="center"/>
    </xf>
    <xf numFmtId="2" fontId="5" fillId="4" borderId="11" xfId="23" applyNumberFormat="1" applyFont="1" applyFill="1" applyBorder="1" applyAlignment="1">
      <alignment horizontal="center" vertical="center"/>
    </xf>
    <xf numFmtId="164" fontId="5" fillId="4" borderId="18" xfId="25" applyFont="1" applyFill="1" applyBorder="1" applyAlignment="1">
      <alignment horizontal="center" vertical="center"/>
    </xf>
    <xf numFmtId="164" fontId="5" fillId="4" borderId="12" xfId="25" applyFont="1" applyFill="1" applyBorder="1" applyAlignment="1">
      <alignment horizontal="center" vertical="center"/>
    </xf>
    <xf numFmtId="0" fontId="4" fillId="4" borderId="20" xfId="0" applyFont="1" applyFill="1" applyBorder="1" applyAlignment="1">
      <alignment horizontal="center" vertical="center" wrapText="1"/>
    </xf>
    <xf numFmtId="0" fontId="4" fillId="4" borderId="21" xfId="0" applyFont="1" applyFill="1" applyBorder="1" applyAlignment="1">
      <alignment horizontal="center" vertical="center" wrapText="1"/>
    </xf>
    <xf numFmtId="4" fontId="4" fillId="4" borderId="21" xfId="0" applyNumberFormat="1" applyFont="1" applyFill="1" applyBorder="1" applyAlignment="1">
      <alignment horizontal="right" vertical="center" wrapText="1"/>
    </xf>
    <xf numFmtId="164" fontId="4" fillId="4" borderId="21" xfId="0" applyNumberFormat="1" applyFont="1" applyFill="1" applyBorder="1" applyAlignment="1">
      <alignment horizontal="center" vertical="center" wrapText="1"/>
    </xf>
    <xf numFmtId="0" fontId="4" fillId="4" borderId="15" xfId="0" applyFont="1" applyFill="1" applyBorder="1" applyAlignment="1">
      <alignment horizontal="center" vertical="center" wrapText="1"/>
    </xf>
    <xf numFmtId="0" fontId="4" fillId="4" borderId="9" xfId="0" applyFont="1" applyFill="1" applyBorder="1" applyAlignment="1">
      <alignment horizontal="right" vertical="center" wrapText="1"/>
    </xf>
    <xf numFmtId="164" fontId="4" fillId="4" borderId="9" xfId="0" applyNumberFormat="1" applyFont="1" applyFill="1" applyBorder="1" applyAlignment="1">
      <alignment horizontal="center" vertical="center" wrapText="1"/>
    </xf>
    <xf numFmtId="164" fontId="4" fillId="4" borderId="13" xfId="0" applyNumberFormat="1" applyFont="1" applyFill="1" applyBorder="1" applyAlignment="1">
      <alignment horizontal="left" vertical="center" wrapText="1"/>
    </xf>
    <xf numFmtId="0" fontId="4" fillId="4" borderId="9" xfId="0" applyFont="1" applyFill="1" applyBorder="1" applyAlignment="1">
      <alignment horizontal="left" vertical="center"/>
    </xf>
    <xf numFmtId="0" fontId="4" fillId="4" borderId="9" xfId="0" applyFont="1" applyFill="1" applyBorder="1" applyAlignment="1">
      <alignment horizontal="left" vertical="center" wrapText="1"/>
    </xf>
    <xf numFmtId="4" fontId="4" fillId="4" borderId="9" xfId="0" applyNumberFormat="1" applyFont="1" applyFill="1" applyBorder="1" applyAlignment="1">
      <alignment horizontal="right" vertical="center" wrapText="1"/>
    </xf>
    <xf numFmtId="164" fontId="4" fillId="4" borderId="13" xfId="0" applyNumberFormat="1" applyFont="1" applyFill="1" applyBorder="1" applyAlignment="1">
      <alignment vertical="center" wrapText="1"/>
    </xf>
    <xf numFmtId="164" fontId="5" fillId="4" borderId="45" xfId="0" applyNumberFormat="1" applyFont="1" applyFill="1" applyBorder="1" applyAlignment="1">
      <alignment horizontal="center" vertical="center" wrapText="1"/>
    </xf>
    <xf numFmtId="164" fontId="5" fillId="4" borderId="50" xfId="0" applyNumberFormat="1" applyFont="1" applyFill="1" applyBorder="1" applyAlignment="1">
      <alignment horizontal="center" vertical="center" wrapText="1"/>
    </xf>
    <xf numFmtId="164" fontId="5" fillId="4" borderId="46" xfId="0" applyNumberFormat="1" applyFont="1" applyFill="1" applyBorder="1" applyAlignment="1">
      <alignment horizontal="center" vertical="center" wrapText="1"/>
    </xf>
    <xf numFmtId="164" fontId="5" fillId="4" borderId="52" xfId="0" applyNumberFormat="1" applyFont="1" applyFill="1" applyBorder="1" applyAlignment="1">
      <alignment horizontal="center" vertical="center" wrapText="1"/>
    </xf>
    <xf numFmtId="164" fontId="8" fillId="4" borderId="46" xfId="0" applyNumberFormat="1" applyFont="1" applyFill="1" applyBorder="1" applyAlignment="1">
      <alignment horizontal="center" vertical="center" wrapText="1"/>
    </xf>
    <xf numFmtId="0" fontId="9" fillId="4" borderId="20" xfId="0" applyFont="1" applyFill="1" applyBorder="1" applyAlignment="1">
      <alignment horizontal="center" vertical="center" wrapText="1"/>
    </xf>
    <xf numFmtId="0" fontId="9" fillId="4" borderId="15" xfId="0" applyFont="1" applyFill="1" applyBorder="1" applyAlignment="1">
      <alignment horizontal="center" vertical="center" wrapText="1"/>
    </xf>
    <xf numFmtId="0" fontId="9" fillId="4" borderId="21" xfId="0" applyFont="1" applyFill="1" applyBorder="1" applyAlignment="1">
      <alignment horizontal="left" vertical="center"/>
    </xf>
    <xf numFmtId="0" fontId="9" fillId="4" borderId="21" xfId="0" applyFont="1" applyFill="1" applyBorder="1" applyAlignment="1">
      <alignment horizontal="right" vertical="center"/>
    </xf>
    <xf numFmtId="166" fontId="9" fillId="4" borderId="22" xfId="0" quotePrefix="1" applyNumberFormat="1" applyFont="1" applyFill="1" applyBorder="1" applyAlignment="1">
      <alignment horizontal="center" vertical="center"/>
    </xf>
    <xf numFmtId="0" fontId="9" fillId="4" borderId="16" xfId="0" applyFont="1" applyFill="1" applyBorder="1" applyAlignment="1">
      <alignment horizontal="center"/>
    </xf>
    <xf numFmtId="0" fontId="9" fillId="4" borderId="2" xfId="0" applyFont="1" applyFill="1" applyBorder="1" applyAlignment="1">
      <alignment horizontal="center"/>
    </xf>
    <xf numFmtId="0" fontId="9" fillId="4" borderId="7" xfId="0" applyFont="1" applyFill="1" applyBorder="1" applyAlignment="1">
      <alignment horizontal="center"/>
    </xf>
    <xf numFmtId="0" fontId="3" fillId="5" borderId="0" xfId="0" applyFont="1" applyFill="1" applyAlignment="1">
      <alignment wrapText="1"/>
    </xf>
    <xf numFmtId="43" fontId="3" fillId="0" borderId="0" xfId="0" applyNumberFormat="1" applyFont="1" applyFill="1" applyBorder="1" applyAlignment="1"/>
    <xf numFmtId="10" fontId="3" fillId="0" borderId="0" xfId="23" applyNumberFormat="1" applyFont="1" applyFill="1" applyBorder="1" applyAlignment="1"/>
    <xf numFmtId="164" fontId="3" fillId="3" borderId="0" xfId="25" applyFont="1" applyFill="1" applyAlignment="1"/>
    <xf numFmtId="164" fontId="3" fillId="3" borderId="0" xfId="25" applyFont="1" applyFill="1" applyAlignment="1">
      <alignment wrapText="1"/>
    </xf>
    <xf numFmtId="164" fontId="3" fillId="7" borderId="0" xfId="25" applyFont="1" applyFill="1" applyBorder="1" applyAlignment="1">
      <alignment horizontal="center" vertical="center" wrapText="1"/>
    </xf>
    <xf numFmtId="0" fontId="3" fillId="2" borderId="5" xfId="0" applyFont="1" applyFill="1" applyBorder="1" applyAlignment="1">
      <alignment horizontal="center" vertical="center"/>
    </xf>
    <xf numFmtId="164" fontId="3" fillId="0" borderId="5" xfId="25"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5" xfId="0" applyFont="1" applyFill="1" applyBorder="1" applyAlignment="1">
      <alignment vertical="center" wrapText="1"/>
    </xf>
    <xf numFmtId="0" fontId="3" fillId="3" borderId="5" xfId="0" applyFont="1" applyFill="1" applyBorder="1" applyAlignment="1">
      <alignment horizontal="left" vertical="center" wrapText="1"/>
    </xf>
    <xf numFmtId="0" fontId="3" fillId="3" borderId="5" xfId="0" applyFont="1" applyFill="1" applyBorder="1" applyAlignment="1">
      <alignment horizontal="center" vertical="center" wrapText="1"/>
    </xf>
    <xf numFmtId="164" fontId="3" fillId="3" borderId="5" xfId="25" applyFont="1" applyFill="1" applyBorder="1" applyAlignment="1">
      <alignment horizontal="center" vertical="center" wrapText="1"/>
    </xf>
    <xf numFmtId="0" fontId="3" fillId="0" borderId="5" xfId="0" quotePrefix="1" applyFont="1" applyFill="1" applyBorder="1" applyAlignment="1">
      <alignment horizontal="center" vertical="center"/>
    </xf>
    <xf numFmtId="0" fontId="3" fillId="0" borderId="5" xfId="0" applyFont="1" applyFill="1" applyBorder="1" applyAlignment="1">
      <alignment horizontal="center" vertical="center"/>
    </xf>
    <xf numFmtId="0" fontId="3" fillId="0" borderId="5" xfId="0" applyFont="1" applyBorder="1" applyAlignment="1">
      <alignment horizontal="center" vertical="center"/>
    </xf>
    <xf numFmtId="0" fontId="3" fillId="0" borderId="5" xfId="0" applyFont="1" applyFill="1" applyBorder="1" applyAlignment="1">
      <alignment horizontal="left" vertical="distributed" wrapText="1"/>
    </xf>
    <xf numFmtId="164" fontId="3" fillId="2" borderId="5" xfId="25" applyFont="1" applyFill="1" applyBorder="1" applyAlignment="1">
      <alignment horizontal="center" vertical="center" wrapText="1"/>
    </xf>
    <xf numFmtId="164" fontId="1" fillId="0" borderId="69" xfId="25" applyFont="1" applyBorder="1" applyAlignment="1">
      <alignment vertical="center"/>
    </xf>
    <xf numFmtId="164" fontId="1" fillId="0" borderId="70" xfId="25" applyFont="1" applyBorder="1" applyAlignment="1">
      <alignment vertical="center"/>
    </xf>
    <xf numFmtId="164" fontId="1" fillId="0" borderId="71" xfId="25" applyFont="1" applyBorder="1" applyAlignment="1">
      <alignment vertical="center"/>
    </xf>
    <xf numFmtId="164" fontId="1" fillId="0" borderId="61" xfId="25" applyFont="1" applyBorder="1" applyAlignment="1">
      <alignment vertical="center"/>
    </xf>
    <xf numFmtId="164" fontId="1" fillId="0" borderId="64" xfId="25" applyFont="1" applyBorder="1" applyAlignment="1">
      <alignment vertical="center"/>
    </xf>
    <xf numFmtId="164" fontId="1" fillId="0" borderId="66" xfId="25" applyFont="1" applyBorder="1" applyAlignment="1">
      <alignment vertical="center"/>
    </xf>
    <xf numFmtId="164" fontId="1" fillId="0" borderId="62" xfId="25" applyFont="1" applyBorder="1" applyAlignment="1">
      <alignment vertical="center"/>
    </xf>
    <xf numFmtId="164" fontId="1" fillId="0" borderId="63" xfId="25" applyFont="1" applyBorder="1" applyAlignment="1">
      <alignment vertical="center"/>
    </xf>
    <xf numFmtId="164" fontId="1" fillId="0" borderId="65" xfId="25" applyFont="1" applyBorder="1" applyAlignment="1">
      <alignment vertical="center"/>
    </xf>
    <xf numFmtId="164" fontId="1" fillId="0" borderId="67" xfId="25" applyFont="1" applyBorder="1" applyAlignment="1">
      <alignment vertical="center"/>
    </xf>
    <xf numFmtId="164" fontId="1" fillId="0" borderId="68" xfId="25" applyFont="1" applyBorder="1" applyAlignment="1">
      <alignment vertical="center"/>
    </xf>
    <xf numFmtId="0" fontId="4" fillId="2" borderId="15"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9" xfId="0" applyFont="1" applyFill="1" applyBorder="1" applyAlignment="1">
      <alignment horizontal="left" vertical="center" wrapText="1"/>
    </xf>
    <xf numFmtId="4" fontId="4" fillId="2" borderId="9" xfId="0" applyNumberFormat="1" applyFont="1" applyFill="1" applyBorder="1" applyAlignment="1">
      <alignment horizontal="right" vertical="center" wrapText="1"/>
    </xf>
    <xf numFmtId="164" fontId="4" fillId="2" borderId="9" xfId="0" applyNumberFormat="1" applyFont="1" applyFill="1" applyBorder="1" applyAlignment="1">
      <alignment horizontal="center" vertical="center" wrapText="1"/>
    </xf>
    <xf numFmtId="164" fontId="4" fillId="2" borderId="13" xfId="0" applyNumberFormat="1" applyFont="1" applyFill="1" applyBorder="1" applyAlignment="1">
      <alignment vertical="center" wrapText="1"/>
    </xf>
    <xf numFmtId="0" fontId="4" fillId="2" borderId="72" xfId="0" applyFont="1" applyFill="1" applyBorder="1" applyAlignment="1">
      <alignment horizontal="center" vertical="center" wrapText="1"/>
    </xf>
    <xf numFmtId="0" fontId="4" fillId="2" borderId="73" xfId="0" applyFont="1" applyFill="1" applyBorder="1" applyAlignment="1">
      <alignment horizontal="center" vertical="center" wrapText="1"/>
    </xf>
    <xf numFmtId="0" fontId="3" fillId="2" borderId="73" xfId="0" applyFont="1" applyFill="1" applyBorder="1" applyAlignment="1">
      <alignment horizontal="center" vertical="center" wrapText="1"/>
    </xf>
    <xf numFmtId="0" fontId="1" fillId="2" borderId="73" xfId="0" applyFont="1" applyFill="1" applyBorder="1" applyAlignment="1">
      <alignment horizontal="center" vertical="center" wrapText="1"/>
    </xf>
    <xf numFmtId="0" fontId="4" fillId="4" borderId="5" xfId="0" applyFont="1" applyFill="1" applyBorder="1" applyAlignment="1">
      <alignment horizontal="left" vertical="center" wrapText="1"/>
    </xf>
    <xf numFmtId="0" fontId="3" fillId="2" borderId="5" xfId="0" applyFont="1" applyFill="1" applyBorder="1" applyAlignment="1">
      <alignment horizontal="left" vertical="center" wrapText="1"/>
    </xf>
    <xf numFmtId="0" fontId="4" fillId="2" borderId="5" xfId="0" applyFont="1" applyFill="1" applyBorder="1" applyAlignment="1">
      <alignment horizontal="center" vertical="center" wrapText="1"/>
    </xf>
    <xf numFmtId="0" fontId="4" fillId="2" borderId="5" xfId="0" applyFont="1" applyFill="1" applyBorder="1" applyAlignment="1">
      <alignment horizontal="left" vertical="center" wrapText="1"/>
    </xf>
    <xf numFmtId="0" fontId="3" fillId="0" borderId="5" xfId="0" applyFont="1" applyBorder="1" applyAlignment="1">
      <alignment horizontal="center" vertical="center" wrapText="1"/>
    </xf>
    <xf numFmtId="0" fontId="3" fillId="0" borderId="5" xfId="0" applyFont="1" applyBorder="1" applyAlignment="1">
      <alignment horizontal="left" vertical="center" wrapText="1"/>
    </xf>
    <xf numFmtId="49" fontId="3" fillId="2" borderId="5" xfId="0" applyNumberFormat="1" applyFont="1" applyFill="1" applyBorder="1" applyAlignment="1">
      <alignment horizontal="center" vertical="center"/>
    </xf>
    <xf numFmtId="0" fontId="3" fillId="3" borderId="5" xfId="0" applyFont="1" applyFill="1" applyBorder="1" applyAlignment="1">
      <alignment horizontal="left" vertical="distributed" wrapText="1"/>
    </xf>
    <xf numFmtId="164" fontId="3" fillId="3" borderId="5" xfId="25" applyFont="1" applyFill="1" applyBorder="1" applyAlignment="1">
      <alignment horizontal="center" vertical="center"/>
    </xf>
    <xf numFmtId="164" fontId="7" fillId="2" borderId="73" xfId="25" applyFont="1" applyFill="1" applyBorder="1" applyAlignment="1">
      <alignment horizontal="right" vertical="center" wrapText="1"/>
    </xf>
    <xf numFmtId="164" fontId="8" fillId="2" borderId="73" xfId="25" applyFont="1" applyFill="1" applyBorder="1" applyAlignment="1">
      <alignment horizontal="center" vertical="center" wrapText="1"/>
    </xf>
    <xf numFmtId="164" fontId="5" fillId="2" borderId="74" xfId="25" applyFont="1" applyFill="1" applyBorder="1" applyAlignment="1">
      <alignment horizontal="center" vertical="center" wrapText="1"/>
    </xf>
    <xf numFmtId="164" fontId="3" fillId="4" borderId="5" xfId="25" applyFont="1" applyFill="1" applyBorder="1" applyAlignment="1">
      <alignment horizontal="right" vertical="center" wrapText="1"/>
    </xf>
    <xf numFmtId="164" fontId="3" fillId="4" borderId="5" xfId="25" applyFont="1" applyFill="1" applyBorder="1" applyAlignment="1">
      <alignment horizontal="center" vertical="center" wrapText="1"/>
    </xf>
    <xf numFmtId="164" fontId="3" fillId="2" borderId="5" xfId="25" applyFont="1" applyFill="1" applyBorder="1" applyAlignment="1">
      <alignment horizontal="right" vertical="center" wrapText="1"/>
    </xf>
    <xf numFmtId="164" fontId="3" fillId="0" borderId="5" xfId="25" applyFont="1" applyFill="1" applyBorder="1" applyAlignment="1">
      <alignment horizontal="right" vertical="center" wrapText="1"/>
    </xf>
    <xf numFmtId="164" fontId="3" fillId="0" borderId="5" xfId="25" applyFont="1" applyFill="1" applyBorder="1" applyAlignment="1">
      <alignment horizontal="right" vertical="center"/>
    </xf>
    <xf numFmtId="164" fontId="3" fillId="0" borderId="5" xfId="25" applyFont="1" applyFill="1" applyBorder="1" applyAlignment="1">
      <alignment vertical="center"/>
    </xf>
    <xf numFmtId="164" fontId="3" fillId="0" borderId="5" xfId="25" applyFont="1" applyBorder="1" applyAlignment="1">
      <alignment horizontal="right" vertical="center" wrapText="1"/>
    </xf>
    <xf numFmtId="164" fontId="3" fillId="0" borderId="5" xfId="25" applyFont="1" applyBorder="1" applyAlignment="1">
      <alignment horizontal="center" vertical="center" wrapText="1"/>
    </xf>
    <xf numFmtId="0" fontId="3" fillId="0" borderId="5" xfId="0" applyFont="1" applyBorder="1" applyAlignment="1">
      <alignment vertical="center" wrapText="1"/>
    </xf>
    <xf numFmtId="164" fontId="3" fillId="0" borderId="5" xfId="25" applyFont="1" applyBorder="1" applyAlignment="1">
      <alignment vertical="center" wrapText="1"/>
    </xf>
    <xf numFmtId="0" fontId="13" fillId="0" borderId="15" xfId="0" applyFont="1" applyBorder="1" applyAlignment="1">
      <alignment vertical="center"/>
    </xf>
    <xf numFmtId="0" fontId="13" fillId="0" borderId="9" xfId="0" applyFont="1" applyBorder="1" applyAlignment="1">
      <alignment vertical="center"/>
    </xf>
    <xf numFmtId="4" fontId="13" fillId="0" borderId="9" xfId="0" applyNumberFormat="1" applyFont="1" applyBorder="1" applyAlignment="1">
      <alignment horizontal="center" vertical="center"/>
    </xf>
    <xf numFmtId="0" fontId="13" fillId="0" borderId="13" xfId="0" applyFont="1" applyBorder="1" applyAlignment="1">
      <alignment vertical="center"/>
    </xf>
    <xf numFmtId="0" fontId="9" fillId="4" borderId="20" xfId="0" applyFont="1" applyFill="1" applyBorder="1" applyAlignment="1">
      <alignment vertical="center"/>
    </xf>
    <xf numFmtId="0" fontId="9" fillId="4" borderId="21" xfId="0" applyFont="1" applyFill="1" applyBorder="1" applyAlignment="1">
      <alignment vertical="center"/>
    </xf>
    <xf numFmtId="4" fontId="9" fillId="4" borderId="21" xfId="0" applyNumberFormat="1" applyFont="1" applyFill="1" applyBorder="1" applyAlignment="1">
      <alignment horizontal="center" vertical="center"/>
    </xf>
    <xf numFmtId="0" fontId="13" fillId="4" borderId="0" xfId="0" applyFont="1" applyFill="1" applyBorder="1" applyAlignment="1">
      <alignment vertical="center"/>
    </xf>
    <xf numFmtId="0" fontId="9" fillId="0" borderId="20" xfId="0" applyFont="1" applyBorder="1" applyAlignment="1">
      <alignment vertical="center"/>
    </xf>
    <xf numFmtId="0" fontId="9" fillId="0" borderId="21" xfId="0" applyFont="1" applyBorder="1" applyAlignment="1">
      <alignment vertical="center"/>
    </xf>
    <xf numFmtId="4" fontId="9" fillId="0" borderId="21" xfId="0" applyNumberFormat="1" applyFont="1" applyBorder="1" applyAlignment="1">
      <alignment horizontal="center" vertical="center"/>
    </xf>
    <xf numFmtId="0" fontId="9" fillId="0" borderId="9" xfId="0" applyFont="1" applyBorder="1" applyAlignment="1">
      <alignment vertical="center"/>
    </xf>
    <xf numFmtId="166" fontId="9" fillId="0" borderId="22" xfId="0" applyNumberFormat="1" applyFont="1" applyBorder="1" applyAlignment="1">
      <alignment horizontal="center" vertical="center"/>
    </xf>
    <xf numFmtId="0" fontId="9" fillId="4" borderId="15" xfId="0" applyFont="1" applyFill="1" applyBorder="1" applyAlignment="1">
      <alignment vertical="center"/>
    </xf>
    <xf numFmtId="0" fontId="9" fillId="4" borderId="9" xfId="0" applyFont="1" applyFill="1" applyBorder="1" applyAlignment="1">
      <alignment vertical="center"/>
    </xf>
    <xf numFmtId="4" fontId="9" fillId="4" borderId="9" xfId="0" applyNumberFormat="1" applyFont="1" applyFill="1" applyBorder="1" applyAlignment="1">
      <alignment horizontal="center" vertical="center"/>
    </xf>
    <xf numFmtId="0" fontId="13" fillId="4" borderId="9" xfId="0" applyFont="1" applyFill="1" applyBorder="1" applyAlignment="1">
      <alignment vertical="center"/>
    </xf>
    <xf numFmtId="0" fontId="9" fillId="4" borderId="9" xfId="0" applyFont="1" applyFill="1" applyBorder="1" applyAlignment="1">
      <alignment horizontal="right" vertical="center"/>
    </xf>
    <xf numFmtId="0" fontId="9" fillId="4" borderId="13" xfId="0" quotePrefix="1" applyFont="1" applyFill="1" applyBorder="1" applyAlignment="1">
      <alignment vertical="center"/>
    </xf>
    <xf numFmtId="0" fontId="9" fillId="0" borderId="23" xfId="0" applyFont="1" applyFill="1" applyBorder="1" applyAlignment="1">
      <alignment vertical="center"/>
    </xf>
    <xf numFmtId="0" fontId="9" fillId="0" borderId="0" xfId="0" applyFont="1" applyFill="1" applyBorder="1" applyAlignment="1">
      <alignment vertical="center"/>
    </xf>
    <xf numFmtId="4" fontId="9" fillId="0" borderId="0" xfId="0" applyNumberFormat="1" applyFont="1" applyFill="1" applyBorder="1" applyAlignment="1">
      <alignment horizontal="center" vertical="center"/>
    </xf>
    <xf numFmtId="0" fontId="13" fillId="0" borderId="9" xfId="0" applyFont="1" applyFill="1" applyBorder="1" applyAlignment="1">
      <alignment vertical="center"/>
    </xf>
    <xf numFmtId="0" fontId="13" fillId="0" borderId="13" xfId="0" applyFont="1" applyFill="1" applyBorder="1" applyAlignment="1">
      <alignment vertical="center"/>
    </xf>
    <xf numFmtId="0" fontId="9" fillId="4" borderId="24" xfId="0" applyFont="1" applyFill="1" applyBorder="1" applyAlignment="1">
      <alignment horizontal="center" vertical="center"/>
    </xf>
    <xf numFmtId="0" fontId="9" fillId="4" borderId="25" xfId="0" applyFont="1" applyFill="1" applyBorder="1" applyAlignment="1">
      <alignment horizontal="center" vertical="center"/>
    </xf>
    <xf numFmtId="0" fontId="9" fillId="4" borderId="26" xfId="0" applyFont="1" applyFill="1" applyBorder="1" applyAlignment="1">
      <alignment horizontal="center" vertical="center"/>
    </xf>
    <xf numFmtId="0" fontId="3" fillId="0" borderId="75" xfId="0" applyFont="1" applyBorder="1" applyAlignment="1"/>
    <xf numFmtId="0" fontId="3" fillId="0" borderId="76" xfId="0" applyFont="1" applyBorder="1" applyAlignment="1"/>
    <xf numFmtId="0" fontId="3" fillId="0" borderId="5" xfId="0" applyFont="1" applyFill="1" applyBorder="1" applyAlignment="1">
      <alignment horizontal="center" vertical="center" wrapText="1"/>
    </xf>
    <xf numFmtId="0" fontId="3" fillId="2" borderId="5" xfId="0" applyFont="1" applyFill="1" applyBorder="1" applyAlignment="1">
      <alignment horizontal="center" vertical="center" wrapText="1"/>
    </xf>
    <xf numFmtId="1" fontId="1" fillId="8" borderId="5" xfId="23" applyNumberFormat="1" applyFont="1" applyFill="1" applyBorder="1" applyAlignment="1">
      <alignment horizontal="center" vertical="center"/>
    </xf>
    <xf numFmtId="1" fontId="1" fillId="8" borderId="31" xfId="23" applyNumberFormat="1" applyFont="1" applyFill="1" applyBorder="1" applyAlignment="1">
      <alignment horizontal="center" vertical="center"/>
    </xf>
    <xf numFmtId="0" fontId="5" fillId="0" borderId="5" xfId="0" applyFont="1" applyBorder="1" applyAlignment="1">
      <alignment vertical="center" wrapText="1"/>
    </xf>
    <xf numFmtId="0" fontId="5" fillId="9" borderId="17" xfId="0" applyFont="1" applyFill="1" applyBorder="1" applyAlignment="1">
      <alignment horizontal="center" vertical="center"/>
    </xf>
    <xf numFmtId="0" fontId="5" fillId="9" borderId="5" xfId="0" applyFont="1" applyFill="1" applyBorder="1" applyAlignment="1">
      <alignment vertical="center"/>
    </xf>
    <xf numFmtId="2" fontId="1" fillId="9" borderId="5" xfId="0" applyNumberFormat="1" applyFont="1" applyFill="1" applyBorder="1" applyAlignment="1">
      <alignment horizontal="center" vertical="center" wrapText="1"/>
    </xf>
    <xf numFmtId="1" fontId="1" fillId="9" borderId="5" xfId="23" applyNumberFormat="1" applyFont="1" applyFill="1" applyBorder="1" applyAlignment="1">
      <alignment horizontal="center" vertical="center"/>
    </xf>
    <xf numFmtId="1" fontId="1" fillId="9" borderId="31" xfId="23" applyNumberFormat="1" applyFont="1" applyFill="1" applyBorder="1" applyAlignment="1">
      <alignment horizontal="center" vertical="center"/>
    </xf>
    <xf numFmtId="164" fontId="5" fillId="9" borderId="11" xfId="25" applyFont="1" applyFill="1" applyBorder="1" applyAlignment="1">
      <alignment horizontal="right" vertical="center"/>
    </xf>
    <xf numFmtId="14" fontId="9" fillId="4" borderId="22" xfId="0" quotePrefix="1" applyNumberFormat="1" applyFont="1" applyFill="1" applyBorder="1" applyAlignment="1">
      <alignment horizontal="left" vertical="center" wrapText="1"/>
    </xf>
    <xf numFmtId="10" fontId="3" fillId="0" borderId="0" xfId="0" applyNumberFormat="1" applyFont="1" applyBorder="1" applyAlignment="1"/>
    <xf numFmtId="10" fontId="3" fillId="2" borderId="0" xfId="23" applyNumberFormat="1" applyFont="1" applyFill="1" applyAlignment="1"/>
    <xf numFmtId="0" fontId="3" fillId="0" borderId="5" xfId="0" applyNumberFormat="1" applyFont="1" applyFill="1" applyBorder="1" applyAlignment="1">
      <alignment horizontal="center" vertical="center"/>
    </xf>
    <xf numFmtId="0" fontId="3" fillId="0" borderId="5" xfId="0" applyFont="1" applyFill="1" applyBorder="1" applyAlignment="1">
      <alignment horizontal="center"/>
    </xf>
    <xf numFmtId="0" fontId="3" fillId="0" borderId="5" xfId="0" applyNumberFormat="1" applyFont="1" applyFill="1" applyBorder="1" applyAlignment="1">
      <alignment horizontal="center" vertical="center" wrapText="1"/>
    </xf>
    <xf numFmtId="164" fontId="3" fillId="0" borderId="5" xfId="25" applyFont="1" applyFill="1" applyBorder="1" applyAlignment="1">
      <alignment vertical="center" wrapText="1"/>
    </xf>
    <xf numFmtId="164" fontId="3" fillId="0" borderId="5" xfId="25" applyFont="1" applyFill="1" applyBorder="1" applyAlignment="1">
      <alignment horizontal="center" vertical="center"/>
    </xf>
    <xf numFmtId="0" fontId="3" fillId="5" borderId="0" xfId="0" applyFont="1" applyFill="1" applyBorder="1" applyAlignment="1"/>
    <xf numFmtId="0" fontId="9" fillId="0" borderId="20" xfId="0" applyFont="1" applyBorder="1"/>
    <xf numFmtId="1" fontId="1" fillId="0" borderId="5" xfId="23" applyNumberFormat="1" applyFont="1" applyFill="1" applyBorder="1" applyAlignment="1">
      <alignment horizontal="center" vertical="center"/>
    </xf>
    <xf numFmtId="1" fontId="1" fillId="0" borderId="31" xfId="23" applyNumberFormat="1" applyFont="1" applyFill="1" applyBorder="1" applyAlignment="1">
      <alignment horizontal="center" vertical="center"/>
    </xf>
    <xf numFmtId="0" fontId="0" fillId="0" borderId="46" xfId="0" applyBorder="1"/>
    <xf numFmtId="0" fontId="0" fillId="0" borderId="46" xfId="0" applyBorder="1" applyAlignment="1">
      <alignment horizontal="center"/>
    </xf>
    <xf numFmtId="0" fontId="5" fillId="0" borderId="46" xfId="0" applyFont="1" applyBorder="1" applyAlignment="1">
      <alignment horizontal="center"/>
    </xf>
    <xf numFmtId="164" fontId="0" fillId="0" borderId="46" xfId="25" applyFont="1" applyBorder="1" applyAlignment="1">
      <alignment horizontal="center"/>
    </xf>
    <xf numFmtId="164" fontId="5" fillId="0" borderId="46" xfId="0" applyNumberFormat="1" applyFont="1" applyBorder="1" applyAlignment="1">
      <alignment horizontal="center"/>
    </xf>
    <xf numFmtId="3" fontId="0" fillId="0" borderId="0" xfId="0" applyNumberFormat="1"/>
    <xf numFmtId="0" fontId="0" fillId="0" borderId="0" xfId="0" applyAlignment="1">
      <alignment horizontal="center"/>
    </xf>
    <xf numFmtId="0" fontId="0" fillId="7" borderId="46" xfId="0" applyFill="1" applyBorder="1" applyAlignment="1">
      <alignment horizontal="center"/>
    </xf>
    <xf numFmtId="0" fontId="15" fillId="7" borderId="46" xfId="0" applyFont="1" applyFill="1" applyBorder="1" applyAlignment="1">
      <alignment horizontal="center"/>
    </xf>
    <xf numFmtId="0" fontId="5" fillId="0" borderId="0" xfId="0" applyFont="1" applyAlignment="1">
      <alignment horizontal="center"/>
    </xf>
    <xf numFmtId="2" fontId="5" fillId="0" borderId="0" xfId="0" applyNumberFormat="1" applyFont="1" applyAlignment="1">
      <alignment horizontal="center"/>
    </xf>
    <xf numFmtId="2" fontId="0" fillId="7" borderId="46" xfId="0" applyNumberFormat="1" applyFill="1" applyBorder="1" applyAlignment="1">
      <alignment horizontal="center"/>
    </xf>
    <xf numFmtId="0" fontId="0" fillId="0" borderId="0" xfId="0" applyAlignment="1">
      <alignment horizontal="right"/>
    </xf>
    <xf numFmtId="2" fontId="5" fillId="0" borderId="0" xfId="0" applyNumberFormat="1" applyFont="1"/>
    <xf numFmtId="0" fontId="4" fillId="0" borderId="5" xfId="0" applyFont="1" applyFill="1" applyBorder="1" applyAlignment="1">
      <alignment horizontal="center" vertical="center"/>
    </xf>
    <xf numFmtId="0" fontId="4" fillId="0" borderId="5" xfId="0" quotePrefix="1" applyFont="1" applyFill="1" applyBorder="1" applyAlignment="1">
      <alignment horizontal="center" vertical="center"/>
    </xf>
    <xf numFmtId="0" fontId="4" fillId="0" borderId="5" xfId="0" applyFont="1" applyFill="1" applyBorder="1" applyAlignment="1">
      <alignment vertical="center" wrapText="1"/>
    </xf>
    <xf numFmtId="164" fontId="4" fillId="0" borderId="5" xfId="25" applyFont="1" applyFill="1" applyBorder="1" applyAlignment="1">
      <alignment horizontal="right" vertical="center"/>
    </xf>
    <xf numFmtId="164" fontId="4" fillId="0" borderId="5" xfId="25" applyFont="1" applyFill="1" applyBorder="1" applyAlignment="1">
      <alignment vertical="center"/>
    </xf>
    <xf numFmtId="0" fontId="3" fillId="6" borderId="0" xfId="0" applyFont="1" applyFill="1" applyAlignment="1">
      <alignment wrapText="1"/>
    </xf>
    <xf numFmtId="164" fontId="0" fillId="0" borderId="0" xfId="25" applyFont="1" applyFill="1" applyBorder="1" applyAlignment="1">
      <alignment vertical="center"/>
    </xf>
    <xf numFmtId="0" fontId="4" fillId="4" borderId="5" xfId="0" applyFont="1" applyFill="1" applyBorder="1" applyAlignment="1">
      <alignment horizontal="center" vertical="center" wrapText="1"/>
    </xf>
    <xf numFmtId="0" fontId="3" fillId="3" borderId="5" xfId="0" applyFont="1" applyFill="1" applyBorder="1" applyAlignment="1">
      <alignment horizontal="center" vertical="center"/>
    </xf>
    <xf numFmtId="0" fontId="3" fillId="3" borderId="5" xfId="0" applyFont="1" applyFill="1" applyBorder="1" applyAlignment="1">
      <alignment vertical="center" wrapText="1"/>
    </xf>
    <xf numFmtId="0" fontId="4" fillId="7" borderId="5" xfId="0" applyFont="1" applyFill="1" applyBorder="1" applyAlignment="1">
      <alignment horizontal="center" vertical="center" wrapText="1"/>
    </xf>
    <xf numFmtId="0" fontId="4" fillId="4" borderId="5" xfId="0" quotePrefix="1" applyFont="1" applyFill="1" applyBorder="1" applyAlignment="1">
      <alignment horizontal="center" vertical="center" wrapText="1"/>
    </xf>
    <xf numFmtId="164" fontId="4" fillId="4" borderId="5" xfId="25" applyFont="1" applyFill="1" applyBorder="1" applyAlignment="1">
      <alignment vertical="center" wrapText="1"/>
    </xf>
    <xf numFmtId="164" fontId="3" fillId="2" borderId="5" xfId="25" applyFont="1" applyFill="1" applyBorder="1" applyAlignment="1">
      <alignment vertical="center" wrapText="1"/>
    </xf>
    <xf numFmtId="0" fontId="4" fillId="0" borderId="5" xfId="0" applyNumberFormat="1" applyFont="1" applyFill="1" applyBorder="1" applyAlignment="1">
      <alignment horizontal="center" vertical="center"/>
    </xf>
    <xf numFmtId="164" fontId="3" fillId="5" borderId="5" xfId="25" applyFont="1" applyFill="1" applyBorder="1" applyAlignment="1">
      <alignment horizontal="center" vertical="center" wrapText="1"/>
    </xf>
    <xf numFmtId="0" fontId="3" fillId="5" borderId="5" xfId="0" applyFont="1" applyFill="1" applyBorder="1" applyAlignment="1">
      <alignment horizontal="center" vertical="center" wrapText="1"/>
    </xf>
    <xf numFmtId="0" fontId="3" fillId="2" borderId="17" xfId="0" applyFont="1" applyFill="1" applyBorder="1" applyAlignment="1">
      <alignment horizontal="center" vertical="center" wrapText="1"/>
    </xf>
    <xf numFmtId="164" fontId="3" fillId="0" borderId="11" xfId="25" applyFont="1" applyFill="1" applyBorder="1" applyAlignment="1">
      <alignment horizontal="center" vertical="center" wrapText="1"/>
    </xf>
    <xf numFmtId="164" fontId="3" fillId="0" borderId="0" xfId="25" applyFont="1" applyFill="1" applyAlignment="1">
      <alignment wrapText="1"/>
    </xf>
    <xf numFmtId="164" fontId="3" fillId="5" borderId="5" xfId="25" applyFont="1" applyFill="1" applyBorder="1" applyAlignment="1">
      <alignment horizontal="right" vertical="center" wrapText="1"/>
    </xf>
    <xf numFmtId="0" fontId="4" fillId="7" borderId="5" xfId="0" quotePrefix="1" applyFont="1" applyFill="1" applyBorder="1" applyAlignment="1">
      <alignment horizontal="center" vertical="center" wrapText="1"/>
    </xf>
    <xf numFmtId="0" fontId="4" fillId="7" borderId="5" xfId="0" applyFont="1" applyFill="1" applyBorder="1" applyAlignment="1">
      <alignment horizontal="left" vertical="center" wrapText="1"/>
    </xf>
    <xf numFmtId="4" fontId="4" fillId="7" borderId="5" xfId="0" applyNumberFormat="1" applyFont="1" applyFill="1" applyBorder="1" applyAlignment="1">
      <alignment horizontal="right" vertical="center" wrapText="1"/>
    </xf>
    <xf numFmtId="164" fontId="4" fillId="7" borderId="5" xfId="0" applyNumberFormat="1" applyFont="1" applyFill="1" applyBorder="1" applyAlignment="1">
      <alignment horizontal="center" vertical="center" wrapText="1"/>
    </xf>
    <xf numFmtId="164" fontId="4" fillId="7" borderId="5" xfId="0" applyNumberFormat="1" applyFont="1" applyFill="1" applyBorder="1" applyAlignment="1">
      <alignment vertical="center" wrapText="1"/>
    </xf>
    <xf numFmtId="164" fontId="3" fillId="2" borderId="0" xfId="25" applyFont="1" applyFill="1" applyAlignment="1">
      <alignment wrapText="1"/>
    </xf>
    <xf numFmtId="164" fontId="3" fillId="0" borderId="5" xfId="0" applyNumberFormat="1" applyFont="1" applyFill="1" applyBorder="1" applyAlignment="1">
      <alignment horizontal="center" vertical="center" wrapText="1"/>
    </xf>
    <xf numFmtId="164" fontId="3" fillId="0" borderId="5" xfId="0" applyNumberFormat="1" applyFont="1" applyFill="1" applyBorder="1" applyAlignment="1">
      <alignment vertical="center" wrapText="1"/>
    </xf>
    <xf numFmtId="164" fontId="3" fillId="0" borderId="0" xfId="25" applyFont="1" applyFill="1" applyAlignment="1"/>
    <xf numFmtId="164" fontId="3" fillId="2" borderId="5" xfId="0" applyNumberFormat="1" applyFont="1" applyFill="1" applyBorder="1" applyAlignment="1">
      <alignment horizontal="center" vertical="center" wrapText="1"/>
    </xf>
    <xf numFmtId="4" fontId="4" fillId="5" borderId="5" xfId="0" applyNumberFormat="1" applyFont="1" applyFill="1" applyBorder="1" applyAlignment="1">
      <alignment horizontal="right" vertical="center" wrapText="1"/>
    </xf>
    <xf numFmtId="164" fontId="4" fillId="5" borderId="5" xfId="0" applyNumberFormat="1" applyFont="1" applyFill="1" applyBorder="1" applyAlignment="1">
      <alignment horizontal="center" vertical="center" wrapText="1"/>
    </xf>
    <xf numFmtId="164" fontId="3" fillId="5" borderId="5" xfId="25" applyFont="1" applyFill="1" applyBorder="1" applyAlignment="1">
      <alignment horizontal="center" vertical="center"/>
    </xf>
    <xf numFmtId="164" fontId="3" fillId="5" borderId="5" xfId="25" applyFont="1" applyFill="1" applyBorder="1" applyAlignment="1">
      <alignment vertical="center" wrapText="1"/>
    </xf>
    <xf numFmtId="164" fontId="3" fillId="6" borderId="5" xfId="25" applyFont="1" applyFill="1" applyBorder="1" applyAlignment="1">
      <alignment horizontal="center" vertical="center" wrapText="1"/>
    </xf>
    <xf numFmtId="0" fontId="3" fillId="6" borderId="5" xfId="0" applyFont="1" applyFill="1" applyBorder="1" applyAlignment="1">
      <alignment vertical="center" wrapText="1"/>
    </xf>
    <xf numFmtId="0" fontId="3" fillId="0" borderId="17" xfId="0" applyFont="1" applyFill="1" applyBorder="1" applyAlignment="1">
      <alignment horizontal="center" vertical="center" wrapText="1"/>
    </xf>
    <xf numFmtId="0" fontId="3" fillId="0" borderId="0" xfId="0" applyFont="1" applyFill="1" applyBorder="1" applyAlignment="1">
      <alignment vertical="distributed"/>
    </xf>
    <xf numFmtId="0" fontId="3" fillId="0" borderId="0" xfId="0" applyFont="1" applyFill="1" applyAlignment="1">
      <alignment vertical="distributed" wrapText="1"/>
    </xf>
    <xf numFmtId="164" fontId="3" fillId="6" borderId="5" xfId="25" applyFont="1" applyFill="1" applyBorder="1" applyAlignment="1">
      <alignment horizontal="right" vertical="center" wrapText="1"/>
    </xf>
    <xf numFmtId="0" fontId="3" fillId="5" borderId="5" xfId="0" applyFont="1" applyFill="1" applyBorder="1" applyAlignment="1">
      <alignment horizontal="center" vertical="center"/>
    </xf>
    <xf numFmtId="0" fontId="3" fillId="5" borderId="5" xfId="0" applyFont="1" applyFill="1" applyBorder="1" applyAlignment="1">
      <alignment vertical="center" wrapText="1"/>
    </xf>
    <xf numFmtId="164" fontId="3" fillId="6" borderId="5" xfId="25" applyFont="1" applyFill="1" applyBorder="1" applyAlignment="1">
      <alignment horizontal="center" vertical="center"/>
    </xf>
    <xf numFmtId="0" fontId="5" fillId="0" borderId="0" xfId="0" applyFont="1"/>
    <xf numFmtId="0" fontId="1" fillId="0" borderId="0" xfId="0" applyFont="1"/>
    <xf numFmtId="2" fontId="0" fillId="0" borderId="0" xfId="0" applyNumberFormat="1" applyAlignment="1">
      <alignment horizontal="center"/>
    </xf>
    <xf numFmtId="2" fontId="0" fillId="0" borderId="0" xfId="0" applyNumberFormat="1"/>
    <xf numFmtId="164" fontId="0" fillId="0" borderId="0" xfId="25" applyFont="1" applyAlignment="1">
      <alignment horizontal="center"/>
    </xf>
    <xf numFmtId="164" fontId="0" fillId="0" borderId="0" xfId="25" applyFont="1"/>
    <xf numFmtId="0" fontId="0" fillId="12" borderId="0" xfId="0" applyFill="1"/>
    <xf numFmtId="0" fontId="0" fillId="13" borderId="0" xfId="0" applyFill="1"/>
    <xf numFmtId="2" fontId="5" fillId="0" borderId="77" xfId="0" applyNumberFormat="1" applyFont="1" applyBorder="1"/>
    <xf numFmtId="164" fontId="5" fillId="0" borderId="78" xfId="0" applyNumberFormat="1" applyFont="1" applyBorder="1"/>
    <xf numFmtId="0" fontId="4" fillId="7" borderId="17" xfId="0" applyFont="1" applyFill="1" applyBorder="1" applyAlignment="1">
      <alignment horizontal="center" vertical="center" wrapText="1"/>
    </xf>
    <xf numFmtId="164" fontId="4" fillId="7" borderId="11" xfId="0" applyNumberFormat="1" applyFont="1" applyFill="1" applyBorder="1" applyAlignment="1">
      <alignment vertical="center" wrapText="1"/>
    </xf>
    <xf numFmtId="43" fontId="3" fillId="0" borderId="0" xfId="0" applyNumberFormat="1" applyFont="1" applyAlignment="1"/>
    <xf numFmtId="164" fontId="3" fillId="0" borderId="11" xfId="25" applyFont="1" applyFill="1" applyBorder="1" applyAlignment="1">
      <alignment vertical="center" wrapText="1"/>
    </xf>
    <xf numFmtId="0" fontId="3" fillId="0" borderId="33" xfId="0" applyFont="1" applyFill="1" applyBorder="1" applyAlignment="1">
      <alignment horizontal="center" vertical="center" wrapText="1"/>
    </xf>
    <xf numFmtId="164" fontId="3" fillId="0" borderId="31" xfId="25" applyFont="1" applyFill="1" applyBorder="1" applyAlignment="1">
      <alignment horizontal="center" vertical="center" wrapText="1"/>
    </xf>
    <xf numFmtId="43" fontId="3" fillId="0" borderId="0" xfId="0" applyNumberFormat="1" applyFont="1" applyFill="1" applyAlignment="1"/>
    <xf numFmtId="0" fontId="0" fillId="0" borderId="0" xfId="0" applyAlignment="1">
      <alignment horizontal="center"/>
    </xf>
    <xf numFmtId="164" fontId="3" fillId="5" borderId="5" xfId="25" applyFont="1" applyFill="1" applyBorder="1" applyAlignment="1">
      <alignment horizontal="right" vertical="center"/>
    </xf>
    <xf numFmtId="0" fontId="4" fillId="4" borderId="5" xfId="0" applyFont="1" applyFill="1" applyBorder="1" applyAlignment="1">
      <alignment horizontal="center" vertical="center" wrapText="1"/>
    </xf>
    <xf numFmtId="0" fontId="4" fillId="4" borderId="17" xfId="0" quotePrefix="1" applyFont="1" applyFill="1" applyBorder="1" applyAlignment="1">
      <alignment horizontal="center" vertical="center" wrapText="1"/>
    </xf>
    <xf numFmtId="164" fontId="4" fillId="4" borderId="11" xfId="25" applyFont="1" applyFill="1" applyBorder="1" applyAlignment="1">
      <alignment vertical="center" wrapText="1"/>
    </xf>
    <xf numFmtId="0" fontId="3" fillId="2" borderId="33" xfId="0" applyFont="1" applyFill="1" applyBorder="1" applyAlignment="1">
      <alignment horizontal="center" vertical="center" wrapText="1"/>
    </xf>
    <xf numFmtId="164" fontId="3" fillId="0" borderId="31" xfId="25" applyFont="1" applyFill="1" applyBorder="1" applyAlignment="1">
      <alignment vertical="center" wrapText="1"/>
    </xf>
    <xf numFmtId="0" fontId="4" fillId="4" borderId="5" xfId="0" applyFont="1" applyFill="1" applyBorder="1" applyAlignment="1">
      <alignment horizontal="center" vertical="center" wrapText="1"/>
    </xf>
    <xf numFmtId="0" fontId="3" fillId="2" borderId="0" xfId="0" applyFont="1" applyFill="1" applyBorder="1" applyAlignment="1"/>
    <xf numFmtId="0" fontId="4" fillId="0" borderId="0" xfId="0" applyFont="1" applyFill="1" applyBorder="1" applyAlignment="1">
      <alignment horizontal="right" vertical="distributed"/>
    </xf>
    <xf numFmtId="0" fontId="4" fillId="0" borderId="0" xfId="0" applyFont="1" applyFill="1" applyBorder="1" applyAlignment="1">
      <alignment horizontal="left" vertical="distributed"/>
    </xf>
    <xf numFmtId="0" fontId="4" fillId="4" borderId="5" xfId="0" applyFont="1" applyFill="1" applyBorder="1" applyAlignment="1">
      <alignment horizontal="center" vertical="center" wrapText="1"/>
    </xf>
    <xf numFmtId="4" fontId="3" fillId="0" borderId="5" xfId="0" applyNumberFormat="1" applyFont="1" applyFill="1" applyBorder="1" applyAlignment="1">
      <alignment horizontal="right" vertical="center" wrapText="1"/>
    </xf>
    <xf numFmtId="164" fontId="3" fillId="0" borderId="11" xfId="0" applyNumberFormat="1" applyFont="1" applyFill="1" applyBorder="1" applyAlignment="1">
      <alignment vertical="center" wrapText="1"/>
    </xf>
    <xf numFmtId="0" fontId="4" fillId="4" borderId="5" xfId="0" applyFont="1" applyFill="1" applyBorder="1" applyAlignment="1">
      <alignment horizontal="center" vertical="center" wrapText="1"/>
    </xf>
    <xf numFmtId="0" fontId="3" fillId="5" borderId="5" xfId="0" applyNumberFormat="1" applyFont="1" applyFill="1" applyBorder="1" applyAlignment="1">
      <alignment horizontal="center" vertical="center" wrapText="1"/>
    </xf>
    <xf numFmtId="164" fontId="3" fillId="5" borderId="5" xfId="0" applyNumberFormat="1" applyFont="1" applyFill="1" applyBorder="1" applyAlignment="1">
      <alignment horizontal="center" vertical="center" wrapText="1"/>
    </xf>
    <xf numFmtId="164" fontId="3" fillId="5" borderId="5" xfId="25" applyFont="1" applyFill="1" applyBorder="1" applyAlignment="1">
      <alignment vertical="center"/>
    </xf>
    <xf numFmtId="164" fontId="3" fillId="7" borderId="5" xfId="25" applyFont="1" applyFill="1" applyBorder="1" applyAlignment="1">
      <alignment horizontal="right" vertical="center" wrapText="1"/>
    </xf>
    <xf numFmtId="164" fontId="3" fillId="7" borderId="5" xfId="25" applyFont="1" applyFill="1" applyBorder="1" applyAlignment="1">
      <alignment horizontal="center" vertical="center" wrapText="1"/>
    </xf>
    <xf numFmtId="164" fontId="4" fillId="7" borderId="5" xfId="25" applyFont="1" applyFill="1" applyBorder="1" applyAlignment="1">
      <alignment vertical="center" wrapText="1"/>
    </xf>
    <xf numFmtId="0" fontId="3" fillId="0" borderId="33" xfId="0" applyNumberFormat="1" applyFont="1" applyFill="1" applyBorder="1" applyAlignment="1">
      <alignment horizontal="center" vertical="center" wrapText="1"/>
    </xf>
    <xf numFmtId="0" fontId="3" fillId="2" borderId="33" xfId="0" quotePrefix="1" applyFont="1" applyFill="1" applyBorder="1" applyAlignment="1">
      <alignment horizontal="center" vertical="center" wrapText="1"/>
    </xf>
    <xf numFmtId="164" fontId="3" fillId="3" borderId="31" xfId="25" applyFont="1" applyFill="1" applyBorder="1" applyAlignment="1">
      <alignment horizontal="center" vertical="center" wrapText="1"/>
    </xf>
    <xf numFmtId="0" fontId="4" fillId="2" borderId="17" xfId="0" applyFont="1" applyFill="1" applyBorder="1" applyAlignment="1">
      <alignment horizontal="center" vertical="center" wrapText="1"/>
    </xf>
    <xf numFmtId="4" fontId="3" fillId="2" borderId="5" xfId="0" applyNumberFormat="1" applyFont="1" applyFill="1" applyBorder="1" applyAlignment="1">
      <alignment horizontal="center" vertical="center" wrapText="1"/>
    </xf>
    <xf numFmtId="164" fontId="4" fillId="2" borderId="11" xfId="0" applyNumberFormat="1" applyFont="1" applyFill="1" applyBorder="1" applyAlignment="1">
      <alignment vertical="center" wrapText="1"/>
    </xf>
    <xf numFmtId="164" fontId="3" fillId="2" borderId="11" xfId="0" applyNumberFormat="1" applyFont="1" applyFill="1" applyBorder="1" applyAlignment="1">
      <alignment vertical="center" wrapText="1"/>
    </xf>
    <xf numFmtId="4" fontId="3" fillId="0" borderId="5" xfId="0" applyNumberFormat="1" applyFont="1" applyFill="1" applyBorder="1" applyAlignment="1">
      <alignment horizontal="center" vertical="center" wrapText="1"/>
    </xf>
    <xf numFmtId="0" fontId="3" fillId="5" borderId="5" xfId="0" applyNumberFormat="1" applyFont="1" applyFill="1" applyBorder="1" applyAlignment="1">
      <alignment horizontal="center" vertical="center"/>
    </xf>
    <xf numFmtId="0" fontId="3" fillId="0" borderId="5" xfId="0" applyFont="1" applyFill="1" applyBorder="1"/>
    <xf numFmtId="0" fontId="3" fillId="0" borderId="5" xfId="0" applyFont="1" applyFill="1" applyBorder="1" applyAlignment="1"/>
    <xf numFmtId="0" fontId="3" fillId="0" borderId="5" xfId="0" applyNumberFormat="1" applyFont="1" applyFill="1" applyBorder="1"/>
    <xf numFmtId="164" fontId="3" fillId="0" borderId="5" xfId="0" applyNumberFormat="1" applyFont="1" applyFill="1" applyBorder="1" applyAlignment="1">
      <alignment horizontal="right" vertical="center" wrapText="1"/>
    </xf>
    <xf numFmtId="0" fontId="3" fillId="14" borderId="5" xfId="0" applyFont="1" applyFill="1" applyBorder="1" applyAlignment="1">
      <alignment horizontal="center" vertical="center"/>
    </xf>
    <xf numFmtId="0" fontId="3" fillId="14" borderId="5" xfId="0" quotePrefix="1" applyFont="1" applyFill="1" applyBorder="1" applyAlignment="1">
      <alignment horizontal="center" vertical="center"/>
    </xf>
    <xf numFmtId="0" fontId="3" fillId="14" borderId="5" xfId="0" applyNumberFormat="1" applyFont="1" applyFill="1" applyBorder="1" applyAlignment="1">
      <alignment horizontal="center" vertical="center"/>
    </xf>
    <xf numFmtId="0" fontId="3" fillId="14" borderId="5" xfId="0" applyFont="1" applyFill="1" applyBorder="1" applyAlignment="1">
      <alignment horizontal="center" vertical="center" wrapText="1"/>
    </xf>
    <xf numFmtId="0" fontId="3" fillId="14" borderId="5" xfId="0" applyFont="1" applyFill="1" applyBorder="1" applyAlignment="1">
      <alignment vertical="center" wrapText="1"/>
    </xf>
    <xf numFmtId="164" fontId="3" fillId="14" borderId="5" xfId="25" applyFont="1" applyFill="1" applyBorder="1" applyAlignment="1">
      <alignment horizontal="right" vertical="center"/>
    </xf>
    <xf numFmtId="164" fontId="3" fillId="14" borderId="5" xfId="25" applyFont="1" applyFill="1" applyBorder="1" applyAlignment="1">
      <alignment horizontal="right" vertical="center" wrapText="1"/>
    </xf>
    <xf numFmtId="164" fontId="9" fillId="7" borderId="0" xfId="25" applyFont="1" applyFill="1" applyBorder="1" applyAlignment="1">
      <alignment horizontal="right" vertical="center" wrapText="1"/>
    </xf>
    <xf numFmtId="0" fontId="13" fillId="0" borderId="0" xfId="0" applyFont="1" applyFill="1" applyBorder="1" applyAlignment="1"/>
    <xf numFmtId="0" fontId="13" fillId="0" borderId="0" xfId="0" applyFont="1" applyFill="1" applyAlignment="1">
      <alignment wrapText="1"/>
    </xf>
    <xf numFmtId="0" fontId="13" fillId="2" borderId="0" xfId="0" applyFont="1" applyFill="1" applyAlignment="1">
      <alignment wrapText="1"/>
    </xf>
    <xf numFmtId="0" fontId="13" fillId="0" borderId="14" xfId="0" applyNumberFormat="1" applyFont="1" applyBorder="1" applyAlignment="1">
      <alignment horizontal="center" vertical="center" wrapText="1"/>
    </xf>
    <xf numFmtId="0" fontId="13" fillId="0" borderId="4" xfId="0" applyFont="1" applyBorder="1" applyAlignment="1">
      <alignment vertical="center" wrapText="1"/>
    </xf>
    <xf numFmtId="0" fontId="13" fillId="0" borderId="4" xfId="0" applyFont="1" applyBorder="1" applyAlignment="1">
      <alignment horizontal="center" vertical="center" wrapText="1"/>
    </xf>
    <xf numFmtId="164" fontId="13" fillId="0" borderId="4" xfId="25" applyNumberFormat="1" applyFont="1" applyBorder="1" applyAlignment="1">
      <alignment horizontal="center" vertical="center" wrapText="1"/>
    </xf>
    <xf numFmtId="164" fontId="16" fillId="0" borderId="4" xfId="25" applyNumberFormat="1" applyFont="1" applyBorder="1" applyAlignment="1">
      <alignment vertical="center" wrapText="1"/>
    </xf>
    <xf numFmtId="164" fontId="13" fillId="0" borderId="4" xfId="25" applyNumberFormat="1" applyFont="1" applyBorder="1" applyAlignment="1">
      <alignment vertical="center" wrapText="1"/>
    </xf>
    <xf numFmtId="164" fontId="13" fillId="0" borderId="6" xfId="25" applyFont="1" applyBorder="1" applyAlignment="1">
      <alignment vertical="center" wrapText="1"/>
    </xf>
    <xf numFmtId="0" fontId="9" fillId="4" borderId="9" xfId="0" applyFont="1" applyFill="1" applyBorder="1" applyAlignment="1">
      <alignment horizontal="center" vertical="center" wrapText="1"/>
    </xf>
    <xf numFmtId="164" fontId="9" fillId="4" borderId="9" xfId="0" applyNumberFormat="1" applyFont="1" applyFill="1" applyBorder="1" applyAlignment="1">
      <alignment vertical="center" wrapText="1"/>
    </xf>
    <xf numFmtId="164" fontId="17" fillId="4" borderId="9" xfId="25" applyNumberFormat="1" applyFont="1" applyFill="1" applyBorder="1" applyAlignment="1">
      <alignment vertical="center" wrapText="1"/>
    </xf>
    <xf numFmtId="164" fontId="9" fillId="4" borderId="9" xfId="0" applyNumberFormat="1" applyFont="1" applyFill="1" applyBorder="1" applyAlignment="1">
      <alignment horizontal="right" vertical="center" wrapText="1"/>
    </xf>
    <xf numFmtId="14" fontId="9" fillId="4" borderId="13" xfId="0" quotePrefix="1" applyNumberFormat="1" applyFont="1" applyFill="1" applyBorder="1" applyAlignment="1">
      <alignment horizontal="center" vertical="center" wrapText="1"/>
    </xf>
    <xf numFmtId="164" fontId="9" fillId="4" borderId="34" xfId="25" applyNumberFormat="1" applyFont="1" applyFill="1" applyBorder="1" applyAlignment="1">
      <alignment horizontal="center" vertical="center" wrapText="1"/>
    </xf>
    <xf numFmtId="0" fontId="13" fillId="0" borderId="0" xfId="0" applyFont="1" applyFill="1" applyBorder="1" applyAlignment="1">
      <alignment vertical="center"/>
    </xf>
    <xf numFmtId="164" fontId="9" fillId="4" borderId="2" xfId="25" applyNumberFormat="1" applyFont="1" applyFill="1" applyBorder="1" applyAlignment="1">
      <alignment horizontal="center" vertical="center" wrapText="1"/>
    </xf>
    <xf numFmtId="164" fontId="9" fillId="4" borderId="3" xfId="25" applyNumberFormat="1" applyFont="1" applyFill="1" applyBorder="1" applyAlignment="1">
      <alignment horizontal="center" vertical="center" wrapText="1"/>
    </xf>
    <xf numFmtId="0" fontId="13" fillId="0" borderId="34" xfId="0" applyFont="1" applyFill="1" applyBorder="1" applyAlignment="1">
      <alignment horizontal="center" wrapText="1"/>
    </xf>
    <xf numFmtId="164" fontId="13" fillId="0" borderId="34" xfId="25" applyNumberFormat="1" applyFont="1" applyFill="1" applyBorder="1" applyAlignment="1">
      <alignment wrapText="1"/>
    </xf>
    <xf numFmtId="164" fontId="16" fillId="0" borderId="34" xfId="25" applyNumberFormat="1" applyFont="1" applyFill="1" applyBorder="1" applyAlignment="1">
      <alignment wrapText="1"/>
    </xf>
    <xf numFmtId="164" fontId="13" fillId="0" borderId="48" xfId="25" applyFont="1" applyFill="1" applyBorder="1" applyAlignment="1">
      <alignment wrapText="1"/>
    </xf>
    <xf numFmtId="164" fontId="13" fillId="7" borderId="0" xfId="25" applyFont="1" applyFill="1" applyBorder="1" applyAlignment="1">
      <alignment wrapText="1"/>
    </xf>
    <xf numFmtId="0" fontId="13" fillId="3" borderId="5" xfId="0" applyFont="1" applyFill="1" applyBorder="1" applyAlignment="1">
      <alignment horizontal="center" wrapText="1"/>
    </xf>
    <xf numFmtId="164" fontId="13" fillId="3" borderId="5" xfId="25" applyNumberFormat="1" applyFont="1" applyFill="1" applyBorder="1" applyAlignment="1">
      <alignment wrapText="1"/>
    </xf>
    <xf numFmtId="164" fontId="16" fillId="3" borderId="5" xfId="25" applyNumberFormat="1" applyFont="1" applyFill="1" applyBorder="1" applyAlignment="1">
      <alignment wrapText="1"/>
    </xf>
    <xf numFmtId="164" fontId="13" fillId="3" borderId="11" xfId="25" applyFont="1" applyFill="1" applyBorder="1" applyAlignment="1">
      <alignment wrapText="1"/>
    </xf>
    <xf numFmtId="10" fontId="9" fillId="0" borderId="49" xfId="23" applyNumberFormat="1" applyFont="1" applyFill="1" applyBorder="1" applyAlignment="1">
      <alignment horizontal="center"/>
    </xf>
    <xf numFmtId="10" fontId="9" fillId="0" borderId="45" xfId="23" applyNumberFormat="1" applyFont="1" applyFill="1" applyBorder="1" applyAlignment="1">
      <alignment horizontal="center" vertical="center"/>
    </xf>
    <xf numFmtId="10" fontId="9" fillId="0" borderId="50" xfId="23" applyNumberFormat="1" applyFont="1" applyFill="1" applyBorder="1" applyAlignment="1">
      <alignment horizontal="center" vertical="center"/>
    </xf>
    <xf numFmtId="0" fontId="9" fillId="7" borderId="5" xfId="0" applyFont="1" applyFill="1" applyBorder="1" applyAlignment="1">
      <alignment horizontal="center" vertical="center" wrapText="1"/>
    </xf>
    <xf numFmtId="164" fontId="9" fillId="7" borderId="5" xfId="25" applyNumberFormat="1" applyFont="1" applyFill="1" applyBorder="1" applyAlignment="1">
      <alignment horizontal="center" vertical="center" wrapText="1"/>
    </xf>
    <xf numFmtId="164" fontId="17" fillId="7" borderId="5" xfId="25" applyNumberFormat="1" applyFont="1" applyFill="1" applyBorder="1" applyAlignment="1">
      <alignment horizontal="center" vertical="center" wrapText="1"/>
    </xf>
    <xf numFmtId="164" fontId="9" fillId="7" borderId="5" xfId="25" applyNumberFormat="1" applyFont="1" applyFill="1" applyBorder="1" applyAlignment="1">
      <alignment horizontal="right" vertical="center" wrapText="1"/>
    </xf>
    <xf numFmtId="164" fontId="9" fillId="7" borderId="11" xfId="25" applyFont="1" applyFill="1" applyBorder="1" applyAlignment="1">
      <alignment horizontal="right" vertical="center" wrapText="1"/>
    </xf>
    <xf numFmtId="4" fontId="9" fillId="0" borderId="58" xfId="23" applyNumberFormat="1" applyFont="1" applyFill="1" applyBorder="1" applyAlignment="1">
      <alignment horizontal="center"/>
    </xf>
    <xf numFmtId="4" fontId="9" fillId="0" borderId="47" xfId="23" applyNumberFormat="1" applyFont="1" applyFill="1" applyBorder="1" applyAlignment="1">
      <alignment horizontal="center" vertical="center"/>
    </xf>
    <xf numFmtId="4" fontId="9" fillId="0" borderId="59" xfId="0" applyNumberFormat="1" applyFont="1" applyFill="1" applyBorder="1" applyAlignment="1"/>
    <xf numFmtId="168" fontId="9" fillId="0" borderId="15" xfId="0" applyNumberFormat="1" applyFont="1" applyFill="1" applyBorder="1" applyAlignment="1"/>
    <xf numFmtId="168" fontId="9" fillId="0" borderId="13" xfId="0" applyNumberFormat="1" applyFont="1" applyFill="1" applyBorder="1" applyAlignment="1"/>
    <xf numFmtId="0" fontId="9" fillId="0" borderId="15" xfId="0" applyFont="1" applyFill="1" applyBorder="1" applyAlignment="1">
      <alignment horizontal="center"/>
    </xf>
    <xf numFmtId="0" fontId="9" fillId="0" borderId="13" xfId="0" applyFont="1" applyFill="1" applyBorder="1" applyAlignment="1">
      <alignment horizontal="center"/>
    </xf>
    <xf numFmtId="10" fontId="9" fillId="0" borderId="16" xfId="23" applyNumberFormat="1" applyFont="1" applyFill="1" applyBorder="1" applyAlignment="1">
      <alignment horizontal="center"/>
    </xf>
    <xf numFmtId="10" fontId="9" fillId="0" borderId="2" xfId="23" applyNumberFormat="1" applyFont="1" applyFill="1" applyBorder="1" applyAlignment="1">
      <alignment horizontal="center" vertical="center"/>
    </xf>
    <xf numFmtId="10" fontId="9" fillId="0" borderId="7" xfId="23" applyNumberFormat="1" applyFont="1" applyFill="1" applyBorder="1" applyAlignment="1">
      <alignment horizontal="center" vertical="center"/>
    </xf>
    <xf numFmtId="0" fontId="9" fillId="10" borderId="5" xfId="0" applyFont="1" applyFill="1" applyBorder="1" applyAlignment="1">
      <alignment horizontal="center" vertical="center" wrapText="1"/>
    </xf>
    <xf numFmtId="164" fontId="9" fillId="10" borderId="5" xfId="25" applyNumberFormat="1" applyFont="1" applyFill="1" applyBorder="1" applyAlignment="1">
      <alignment horizontal="center" vertical="center" wrapText="1"/>
    </xf>
    <xf numFmtId="164" fontId="17" fillId="10" borderId="5" xfId="25" applyNumberFormat="1" applyFont="1" applyFill="1" applyBorder="1" applyAlignment="1">
      <alignment horizontal="center" vertical="center" wrapText="1"/>
    </xf>
    <xf numFmtId="164" fontId="9" fillId="10" borderId="5" xfId="25" applyNumberFormat="1" applyFont="1" applyFill="1" applyBorder="1" applyAlignment="1">
      <alignment horizontal="right" vertical="center" wrapText="1"/>
    </xf>
    <xf numFmtId="164" fontId="9" fillId="10" borderId="11" xfId="25" applyFont="1" applyFill="1" applyBorder="1" applyAlignment="1">
      <alignment horizontal="right" vertical="center" wrapText="1"/>
    </xf>
    <xf numFmtId="10" fontId="9" fillId="4" borderId="60" xfId="23" applyNumberFormat="1" applyFont="1" applyFill="1" applyBorder="1" applyAlignment="1">
      <alignment horizontal="center" vertical="center"/>
    </xf>
    <xf numFmtId="43" fontId="13" fillId="0" borderId="0" xfId="0" applyNumberFormat="1" applyFont="1" applyFill="1" applyBorder="1" applyAlignment="1"/>
    <xf numFmtId="164" fontId="13" fillId="5" borderId="5" xfId="25" applyFont="1" applyFill="1" applyBorder="1" applyAlignment="1">
      <alignment horizontal="center" vertical="center" wrapText="1"/>
    </xf>
    <xf numFmtId="164" fontId="13" fillId="0" borderId="5" xfId="25" applyFont="1" applyFill="1" applyBorder="1" applyAlignment="1">
      <alignment horizontal="center" vertical="center" wrapText="1"/>
    </xf>
    <xf numFmtId="164" fontId="13" fillId="3" borderId="5" xfId="25" applyFont="1" applyFill="1" applyBorder="1" applyAlignment="1">
      <alignment horizontal="center" vertical="center" wrapText="1"/>
    </xf>
    <xf numFmtId="164" fontId="13" fillId="3" borderId="11" xfId="25" applyFont="1" applyFill="1" applyBorder="1" applyAlignment="1">
      <alignment horizontal="center" vertical="center" wrapText="1"/>
    </xf>
    <xf numFmtId="164" fontId="13" fillId="7" borderId="0" xfId="25" applyFont="1" applyFill="1" applyBorder="1" applyAlignment="1">
      <alignment horizontal="center" vertical="center" wrapText="1"/>
    </xf>
    <xf numFmtId="10" fontId="13" fillId="0" borderId="0" xfId="23" applyNumberFormat="1" applyFont="1" applyFill="1" applyBorder="1" applyAlignment="1"/>
    <xf numFmtId="164" fontId="13" fillId="0" borderId="0" xfId="0" applyNumberFormat="1" applyFont="1" applyFill="1" applyBorder="1" applyAlignment="1"/>
    <xf numFmtId="164" fontId="13" fillId="3" borderId="5" xfId="25" applyNumberFormat="1" applyFont="1" applyFill="1" applyBorder="1" applyAlignment="1">
      <alignment horizontal="right" vertical="center"/>
    </xf>
    <xf numFmtId="164" fontId="13" fillId="3" borderId="5" xfId="25" applyNumberFormat="1" applyFont="1" applyFill="1" applyBorder="1" applyAlignment="1">
      <alignment vertical="center"/>
    </xf>
    <xf numFmtId="164" fontId="13" fillId="3" borderId="11" xfId="25" applyFont="1" applyFill="1" applyBorder="1" applyAlignment="1">
      <alignment vertical="center"/>
    </xf>
    <xf numFmtId="164" fontId="13" fillId="7" borderId="0" xfId="25" applyFont="1" applyFill="1" applyBorder="1" applyAlignment="1">
      <alignment vertical="center"/>
    </xf>
    <xf numFmtId="164" fontId="9" fillId="7" borderId="0" xfId="25" applyFont="1" applyFill="1" applyBorder="1" applyAlignment="1">
      <alignment vertical="center"/>
    </xf>
    <xf numFmtId="164" fontId="13" fillId="0" borderId="0" xfId="25" applyFont="1" applyFill="1" applyBorder="1" applyAlignment="1">
      <alignment horizontal="center" vertical="center" wrapText="1"/>
    </xf>
    <xf numFmtId="10" fontId="9" fillId="0" borderId="60" xfId="23" applyNumberFormat="1" applyFont="1" applyFill="1" applyBorder="1" applyAlignment="1">
      <alignment horizontal="center" vertical="center"/>
    </xf>
    <xf numFmtId="164" fontId="9" fillId="7" borderId="11" xfId="25" quotePrefix="1" applyFont="1" applyFill="1" applyBorder="1" applyAlignment="1">
      <alignment horizontal="right" vertical="center" wrapText="1"/>
    </xf>
    <xf numFmtId="164" fontId="9" fillId="0" borderId="5" xfId="25" applyNumberFormat="1" applyFont="1" applyFill="1" applyBorder="1" applyAlignment="1">
      <alignment horizontal="center" vertical="center" wrapText="1"/>
    </xf>
    <xf numFmtId="164" fontId="17" fillId="0" borderId="5" xfId="25" applyNumberFormat="1" applyFont="1" applyFill="1" applyBorder="1" applyAlignment="1">
      <alignment horizontal="center" vertical="center" wrapText="1"/>
    </xf>
    <xf numFmtId="164" fontId="9" fillId="0" borderId="5" xfId="25" applyNumberFormat="1" applyFont="1" applyFill="1" applyBorder="1" applyAlignment="1">
      <alignment horizontal="right" vertical="center" wrapText="1"/>
    </xf>
    <xf numFmtId="164" fontId="9" fillId="0" borderId="11" xfId="25" applyFont="1" applyFill="1" applyBorder="1" applyAlignment="1">
      <alignment horizontal="right" vertical="center" wrapText="1"/>
    </xf>
    <xf numFmtId="164" fontId="13" fillId="0" borderId="0" xfId="25" applyFont="1" applyFill="1" applyBorder="1" applyAlignment="1">
      <alignment vertical="center"/>
    </xf>
    <xf numFmtId="164" fontId="13" fillId="0" borderId="5" xfId="25" applyFont="1" applyFill="1" applyBorder="1" applyAlignment="1">
      <alignment horizontal="center" vertical="distributed" wrapText="1"/>
    </xf>
    <xf numFmtId="0" fontId="13" fillId="0" borderId="0" xfId="0" applyFont="1" applyFill="1" applyBorder="1" applyAlignment="1">
      <alignment vertical="distributed"/>
    </xf>
    <xf numFmtId="0" fontId="13" fillId="0" borderId="0" xfId="0" applyFont="1" applyFill="1" applyAlignment="1">
      <alignment vertical="distributed" wrapText="1"/>
    </xf>
    <xf numFmtId="164" fontId="13" fillId="0" borderId="11" xfId="25" applyFont="1" applyFill="1" applyBorder="1" applyAlignment="1">
      <alignment horizontal="center" vertical="center" wrapText="1"/>
    </xf>
    <xf numFmtId="164" fontId="13" fillId="0" borderId="5" xfId="25" applyFont="1" applyFill="1" applyBorder="1" applyAlignment="1">
      <alignment horizontal="right" vertical="center" wrapText="1"/>
    </xf>
    <xf numFmtId="164" fontId="13" fillId="6" borderId="5" xfId="25" applyFont="1" applyFill="1" applyBorder="1" applyAlignment="1">
      <alignment horizontal="center" vertical="center" wrapText="1"/>
    </xf>
    <xf numFmtId="0" fontId="13" fillId="14" borderId="0" xfId="0" applyFont="1" applyFill="1" applyBorder="1" applyAlignment="1">
      <alignment vertical="distributed"/>
    </xf>
    <xf numFmtId="0" fontId="13" fillId="14" borderId="0" xfId="0" applyFont="1" applyFill="1" applyAlignment="1">
      <alignment vertical="distributed" wrapText="1"/>
    </xf>
    <xf numFmtId="43" fontId="13" fillId="0" borderId="0" xfId="0" applyNumberFormat="1" applyFont="1" applyFill="1" applyBorder="1" applyAlignment="1">
      <alignment vertical="distributed"/>
    </xf>
    <xf numFmtId="0" fontId="13" fillId="0" borderId="33" xfId="0" applyFont="1" applyFill="1" applyBorder="1" applyAlignment="1">
      <alignment horizontal="center" vertical="distributed" wrapText="1"/>
    </xf>
    <xf numFmtId="164" fontId="13" fillId="0" borderId="31" xfId="25" applyFont="1" applyFill="1" applyBorder="1" applyAlignment="1">
      <alignment horizontal="center" vertical="distributed" wrapText="1"/>
    </xf>
    <xf numFmtId="0" fontId="13" fillId="0" borderId="0" xfId="0" applyFont="1" applyFill="1" applyBorder="1" applyAlignment="1">
      <alignment vertical="center" wrapText="1"/>
    </xf>
    <xf numFmtId="0" fontId="13" fillId="0" borderId="0" xfId="0" applyFont="1" applyFill="1" applyAlignment="1">
      <alignment vertical="center" wrapText="1"/>
    </xf>
    <xf numFmtId="164" fontId="13" fillId="0" borderId="0" xfId="25" applyFont="1" applyFill="1" applyAlignment="1">
      <alignment wrapText="1"/>
    </xf>
    <xf numFmtId="164" fontId="13" fillId="11" borderId="5" xfId="25" applyFont="1" applyFill="1" applyBorder="1" applyAlignment="1">
      <alignment horizontal="center" vertical="distributed" wrapText="1"/>
    </xf>
    <xf numFmtId="167" fontId="13" fillId="0" borderId="5" xfId="0" applyNumberFormat="1" applyFont="1" applyFill="1" applyBorder="1" applyAlignment="1">
      <alignment vertical="center" wrapText="1"/>
    </xf>
    <xf numFmtId="164" fontId="13" fillId="6" borderId="0" xfId="25" applyFont="1" applyFill="1" applyBorder="1" applyAlignment="1">
      <alignment vertical="center"/>
    </xf>
    <xf numFmtId="0" fontId="13" fillId="6" borderId="0" xfId="0" applyFont="1" applyFill="1" applyBorder="1" applyAlignment="1"/>
    <xf numFmtId="43" fontId="13" fillId="6" borderId="0" xfId="0" applyNumberFormat="1" applyFont="1" applyFill="1" applyBorder="1" applyAlignment="1"/>
    <xf numFmtId="0" fontId="13" fillId="6" borderId="0" xfId="0" applyFont="1" applyFill="1" applyAlignment="1">
      <alignment wrapText="1"/>
    </xf>
    <xf numFmtId="164" fontId="13" fillId="5" borderId="0" xfId="25" applyFont="1" applyFill="1" applyBorder="1" applyAlignment="1">
      <alignment vertical="center"/>
    </xf>
    <xf numFmtId="0" fontId="13" fillId="5" borderId="0" xfId="0" applyFont="1" applyFill="1" applyBorder="1" applyAlignment="1"/>
    <xf numFmtId="43" fontId="13" fillId="5" borderId="0" xfId="0" applyNumberFormat="1" applyFont="1" applyFill="1" applyBorder="1" applyAlignment="1"/>
    <xf numFmtId="0" fontId="13" fillId="5" borderId="0" xfId="0" applyFont="1" applyFill="1" applyAlignment="1">
      <alignment wrapText="1"/>
    </xf>
    <xf numFmtId="164" fontId="13" fillId="0" borderId="5" xfId="25" applyNumberFormat="1" applyFont="1" applyFill="1" applyBorder="1" applyAlignment="1">
      <alignment horizontal="right" vertical="center"/>
    </xf>
    <xf numFmtId="164" fontId="13" fillId="0" borderId="5" xfId="25" applyNumberFormat="1" applyFont="1" applyFill="1" applyBorder="1" applyAlignment="1">
      <alignment vertical="center"/>
    </xf>
    <xf numFmtId="2" fontId="13" fillId="0" borderId="0" xfId="0" applyNumberFormat="1" applyFont="1" applyFill="1" applyBorder="1" applyAlignment="1">
      <alignment vertical="distributed"/>
    </xf>
    <xf numFmtId="164" fontId="13" fillId="2" borderId="11" xfId="25" applyFont="1" applyFill="1" applyBorder="1" applyAlignment="1">
      <alignment horizontal="center" vertical="center" wrapText="1"/>
    </xf>
    <xf numFmtId="2" fontId="13" fillId="0" borderId="0" xfId="23" applyNumberFormat="1" applyFont="1" applyFill="1" applyBorder="1" applyAlignment="1"/>
    <xf numFmtId="164" fontId="13" fillId="0" borderId="0" xfId="25" applyFont="1" applyFill="1" applyBorder="1" applyAlignment="1"/>
    <xf numFmtId="0" fontId="13" fillId="2" borderId="0" xfId="0" applyFont="1" applyFill="1" applyBorder="1" applyAlignment="1"/>
    <xf numFmtId="0" fontId="13" fillId="6" borderId="0" xfId="0" applyFont="1" applyFill="1" applyBorder="1" applyAlignment="1">
      <alignment vertical="distributed"/>
    </xf>
    <xf numFmtId="0" fontId="13" fillId="0" borderId="0" xfId="0" applyFont="1" applyFill="1" applyAlignment="1"/>
    <xf numFmtId="0" fontId="13" fillId="6" borderId="0" xfId="0" applyFont="1" applyFill="1" applyAlignment="1">
      <alignment vertical="center" wrapText="1"/>
    </xf>
    <xf numFmtId="164" fontId="13" fillId="0" borderId="0" xfId="25" applyFont="1" applyAlignment="1">
      <alignment wrapText="1"/>
    </xf>
    <xf numFmtId="0" fontId="13" fillId="0" borderId="0" xfId="0" applyNumberFormat="1" applyFont="1" applyAlignment="1">
      <alignment horizontal="center" vertical="center" wrapText="1"/>
    </xf>
    <xf numFmtId="0" fontId="13" fillId="0" borderId="0" xfId="0" applyFont="1" applyAlignment="1">
      <alignment horizontal="center" vertical="center" wrapText="1"/>
    </xf>
    <xf numFmtId="0" fontId="13" fillId="0" borderId="0" xfId="0" applyFont="1" applyAlignment="1">
      <alignment wrapText="1"/>
    </xf>
    <xf numFmtId="0" fontId="13" fillId="0" borderId="0" xfId="0" applyFont="1" applyAlignment="1">
      <alignment horizontal="center" wrapText="1"/>
    </xf>
    <xf numFmtId="164" fontId="13" fillId="0" borderId="0" xfId="25" applyNumberFormat="1" applyFont="1" applyAlignment="1">
      <alignment wrapText="1"/>
    </xf>
    <xf numFmtId="164" fontId="16" fillId="0" borderId="0" xfId="25" applyNumberFormat="1" applyFont="1" applyAlignment="1">
      <alignment wrapText="1"/>
    </xf>
    <xf numFmtId="0" fontId="13" fillId="0" borderId="0" xfId="0" applyNumberFormat="1" applyFont="1" applyAlignment="1">
      <alignment horizontal="center" wrapText="1"/>
    </xf>
    <xf numFmtId="0" fontId="13" fillId="4" borderId="43" xfId="0" applyFont="1" applyFill="1" applyBorder="1" applyAlignment="1">
      <alignment vertical="center"/>
    </xf>
    <xf numFmtId="0" fontId="13" fillId="4" borderId="44" xfId="0" applyFont="1" applyFill="1" applyBorder="1" applyAlignment="1">
      <alignment vertical="center"/>
    </xf>
    <xf numFmtId="0" fontId="13" fillId="4" borderId="9" xfId="0" applyFont="1" applyFill="1" applyBorder="1" applyAlignment="1"/>
    <xf numFmtId="0" fontId="13" fillId="4" borderId="13" xfId="0" applyFont="1" applyFill="1" applyBorder="1" applyAlignment="1"/>
    <xf numFmtId="0" fontId="9" fillId="7" borderId="33" xfId="0" applyFont="1" applyFill="1" applyBorder="1" applyAlignment="1">
      <alignment horizontal="center" vertical="center" wrapText="1"/>
    </xf>
    <xf numFmtId="0" fontId="13" fillId="3" borderId="33" xfId="0" applyFont="1" applyFill="1" applyBorder="1" applyAlignment="1">
      <alignment horizontal="center" vertical="center"/>
    </xf>
    <xf numFmtId="0" fontId="9" fillId="0" borderId="33" xfId="0" applyFont="1" applyFill="1" applyBorder="1" applyAlignment="1">
      <alignment horizontal="center" vertical="center" wrapText="1"/>
    </xf>
    <xf numFmtId="0" fontId="13" fillId="0" borderId="33" xfId="0" applyFont="1" applyFill="1" applyBorder="1" applyAlignment="1">
      <alignment horizontal="center" vertical="center" wrapText="1"/>
    </xf>
    <xf numFmtId="0" fontId="13" fillId="0" borderId="33" xfId="0" applyFont="1" applyFill="1" applyBorder="1" applyAlignment="1">
      <alignment horizontal="center" vertical="center"/>
    </xf>
    <xf numFmtId="0" fontId="13" fillId="3" borderId="33" xfId="0" applyFont="1" applyFill="1" applyBorder="1" applyAlignment="1">
      <alignment horizontal="center" vertical="center" wrapText="1"/>
    </xf>
    <xf numFmtId="0" fontId="13" fillId="0" borderId="33" xfId="0" quotePrefix="1" applyFont="1" applyFill="1" applyBorder="1" applyAlignment="1">
      <alignment horizontal="center" vertical="center"/>
    </xf>
    <xf numFmtId="0" fontId="13" fillId="2" borderId="33" xfId="0" applyFont="1" applyFill="1" applyBorder="1" applyAlignment="1">
      <alignment horizontal="center" vertical="center" wrapText="1"/>
    </xf>
    <xf numFmtId="0" fontId="13" fillId="3" borderId="0" xfId="0" applyFont="1" applyFill="1" applyBorder="1" applyAlignment="1">
      <alignment horizontal="center" vertical="center"/>
    </xf>
    <xf numFmtId="0" fontId="13" fillId="0" borderId="0" xfId="0" applyFont="1" applyFill="1" applyBorder="1" applyAlignment="1">
      <alignment horizontal="center" vertical="center"/>
    </xf>
    <xf numFmtId="0" fontId="9" fillId="7" borderId="0" xfId="0" applyFont="1" applyFill="1" applyBorder="1" applyAlignment="1">
      <alignment horizontal="center" vertical="center" wrapText="1"/>
    </xf>
    <xf numFmtId="0" fontId="13" fillId="3" borderId="0" xfId="0" applyFont="1" applyFill="1" applyBorder="1" applyAlignment="1">
      <alignment horizontal="center" vertical="center" wrapText="1"/>
    </xf>
    <xf numFmtId="0" fontId="13" fillId="3" borderId="0" xfId="0" quotePrefix="1" applyFont="1" applyFill="1" applyBorder="1" applyAlignment="1">
      <alignment horizontal="center" vertical="center" wrapText="1"/>
    </xf>
    <xf numFmtId="0" fontId="9" fillId="0" borderId="0" xfId="0" applyFont="1" applyFill="1" applyBorder="1" applyAlignment="1">
      <alignment horizontal="center" vertical="center" wrapText="1"/>
    </xf>
    <xf numFmtId="0" fontId="13" fillId="0" borderId="0" xfId="0" applyFont="1" applyFill="1" applyBorder="1" applyAlignment="1">
      <alignment horizontal="center" vertical="distributed" wrapText="1"/>
    </xf>
    <xf numFmtId="0" fontId="13" fillId="0" borderId="0"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3" borderId="0" xfId="0" quotePrefix="1" applyFont="1" applyFill="1" applyBorder="1" applyAlignment="1">
      <alignment horizontal="center" vertical="center"/>
    </xf>
    <xf numFmtId="10" fontId="9" fillId="0" borderId="0" xfId="23" applyNumberFormat="1" applyFont="1" applyFill="1" applyBorder="1" applyAlignment="1">
      <alignment horizontal="center" vertical="center"/>
    </xf>
    <xf numFmtId="164" fontId="13" fillId="0" borderId="31" xfId="25" applyFont="1" applyFill="1" applyBorder="1" applyAlignment="1">
      <alignment horizontal="center" vertical="center" wrapText="1"/>
    </xf>
    <xf numFmtId="164" fontId="13" fillId="6" borderId="0" xfId="25" applyFont="1" applyFill="1" applyBorder="1" applyAlignment="1">
      <alignment horizontal="center" vertical="center" wrapText="1"/>
    </xf>
    <xf numFmtId="164" fontId="13" fillId="11" borderId="31" xfId="25" applyFont="1" applyFill="1" applyBorder="1" applyAlignment="1">
      <alignment horizontal="center" vertical="distributed" wrapText="1"/>
    </xf>
    <xf numFmtId="2" fontId="13" fillId="0" borderId="0" xfId="0" applyNumberFormat="1" applyFont="1" applyFill="1" applyBorder="1" applyAlignment="1"/>
    <xf numFmtId="164" fontId="3" fillId="0" borderId="5" xfId="25" applyFont="1" applyFill="1" applyBorder="1" applyAlignment="1">
      <alignment horizontal="center" vertical="distributed" wrapText="1"/>
    </xf>
    <xf numFmtId="164" fontId="3" fillId="5" borderId="31" xfId="25" applyFont="1" applyFill="1" applyBorder="1" applyAlignment="1">
      <alignment horizontal="center" vertical="center" wrapText="1"/>
    </xf>
    <xf numFmtId="164" fontId="3" fillId="5" borderId="0" xfId="25" applyFont="1" applyFill="1" applyBorder="1" applyAlignment="1">
      <alignment horizontal="center" vertical="center" wrapText="1"/>
    </xf>
    <xf numFmtId="0" fontId="3" fillId="5" borderId="0" xfId="0" applyFont="1" applyFill="1" applyBorder="1" applyAlignment="1">
      <alignment vertical="center" wrapText="1"/>
    </xf>
    <xf numFmtId="0" fontId="3" fillId="5" borderId="0" xfId="0" applyFont="1" applyFill="1" applyAlignment="1">
      <alignment vertical="center" wrapText="1"/>
    </xf>
    <xf numFmtId="164" fontId="3" fillId="0" borderId="0" xfId="25" applyFont="1" applyFill="1" applyBorder="1" applyAlignment="1">
      <alignment horizontal="center" vertical="center" wrapText="1"/>
    </xf>
    <xf numFmtId="0" fontId="3" fillId="5" borderId="33" xfId="0" applyFont="1" applyFill="1" applyBorder="1" applyAlignment="1">
      <alignment horizontal="center" vertical="center" wrapText="1"/>
    </xf>
    <xf numFmtId="164" fontId="13" fillId="3" borderId="31" xfId="25" applyFont="1" applyFill="1" applyBorder="1" applyAlignment="1">
      <alignment horizontal="center" vertical="center" wrapText="1"/>
    </xf>
    <xf numFmtId="0" fontId="13" fillId="0" borderId="6" xfId="0" applyFont="1" applyBorder="1" applyAlignment="1">
      <alignment vertical="center" wrapText="1"/>
    </xf>
    <xf numFmtId="0" fontId="13" fillId="0" borderId="24" xfId="0" applyNumberFormat="1" applyFont="1" applyFill="1" applyBorder="1" applyAlignment="1">
      <alignment horizontal="center" wrapText="1"/>
    </xf>
    <xf numFmtId="0" fontId="13" fillId="0" borderId="25" xfId="0" applyFont="1" applyFill="1" applyBorder="1" applyAlignment="1">
      <alignment wrapText="1"/>
    </xf>
    <xf numFmtId="0" fontId="9" fillId="0" borderId="25" xfId="0" applyFont="1" applyFill="1" applyBorder="1" applyAlignment="1">
      <alignment horizontal="center" vertical="center" wrapText="1"/>
    </xf>
    <xf numFmtId="0" fontId="13" fillId="3" borderId="24" xfId="0" applyNumberFormat="1" applyFont="1" applyFill="1" applyBorder="1" applyAlignment="1">
      <alignment horizontal="center" wrapText="1"/>
    </xf>
    <xf numFmtId="0" fontId="13" fillId="3" borderId="25" xfId="0" applyFont="1" applyFill="1" applyBorder="1" applyAlignment="1">
      <alignment wrapText="1"/>
    </xf>
    <xf numFmtId="0" fontId="9" fillId="3" borderId="25" xfId="0" applyFont="1" applyFill="1" applyBorder="1" applyAlignment="1">
      <alignment horizontal="left" vertical="center" wrapText="1"/>
    </xf>
    <xf numFmtId="0" fontId="9" fillId="7" borderId="24" xfId="0" applyNumberFormat="1" applyFont="1" applyFill="1" applyBorder="1" applyAlignment="1">
      <alignment horizontal="center" vertical="center" wrapText="1"/>
    </xf>
    <xf numFmtId="0" fontId="9" fillId="7" borderId="25" xfId="0" applyFont="1" applyFill="1" applyBorder="1" applyAlignment="1">
      <alignment horizontal="center" vertical="center" wrapText="1"/>
    </xf>
    <xf numFmtId="0" fontId="9" fillId="7" borderId="25" xfId="0" applyFont="1" applyFill="1" applyBorder="1" applyAlignment="1">
      <alignment vertical="center" wrapText="1"/>
    </xf>
    <xf numFmtId="0" fontId="9" fillId="10" borderId="24" xfId="0" applyNumberFormat="1" applyFont="1" applyFill="1" applyBorder="1" applyAlignment="1">
      <alignment horizontal="center" vertical="center" wrapText="1"/>
    </xf>
    <xf numFmtId="0" fontId="9" fillId="10" borderId="25" xfId="0" applyFont="1" applyFill="1" applyBorder="1" applyAlignment="1">
      <alignment horizontal="center" vertical="center" wrapText="1"/>
    </xf>
    <xf numFmtId="0" fontId="9" fillId="10" borderId="25" xfId="0" applyFont="1" applyFill="1" applyBorder="1" applyAlignment="1">
      <alignment vertical="center" wrapText="1"/>
    </xf>
    <xf numFmtId="0" fontId="9" fillId="7" borderId="55" xfId="0" applyFont="1" applyFill="1" applyBorder="1" applyAlignment="1">
      <alignment horizontal="center" vertical="center" wrapText="1"/>
    </xf>
    <xf numFmtId="0" fontId="9" fillId="7" borderId="81" xfId="0" quotePrefix="1" applyNumberFormat="1" applyFont="1" applyFill="1" applyBorder="1" applyAlignment="1">
      <alignment horizontal="center" vertical="center" wrapText="1"/>
    </xf>
    <xf numFmtId="0" fontId="9" fillId="7" borderId="82" xfId="0" applyFont="1" applyFill="1" applyBorder="1" applyAlignment="1">
      <alignment vertical="center" wrapText="1"/>
    </xf>
    <xf numFmtId="0" fontId="13" fillId="3" borderId="83" xfId="0" applyNumberFormat="1" applyFont="1" applyFill="1" applyBorder="1" applyAlignment="1">
      <alignment horizontal="center" vertical="center"/>
    </xf>
    <xf numFmtId="0" fontId="13" fillId="3" borderId="84" xfId="0" applyFont="1" applyFill="1" applyBorder="1" applyAlignment="1">
      <alignment vertical="center" wrapText="1"/>
    </xf>
    <xf numFmtId="0" fontId="13" fillId="0" borderId="84" xfId="0" applyFont="1" applyFill="1" applyBorder="1" applyAlignment="1">
      <alignment vertical="center" wrapText="1"/>
    </xf>
    <xf numFmtId="0" fontId="13" fillId="2" borderId="84" xfId="0" applyFont="1" applyFill="1" applyBorder="1" applyAlignment="1">
      <alignment vertical="center" wrapText="1"/>
    </xf>
    <xf numFmtId="0" fontId="13" fillId="0" borderId="83" xfId="0" applyNumberFormat="1" applyFont="1" applyFill="1" applyBorder="1" applyAlignment="1">
      <alignment horizontal="center" vertical="center"/>
    </xf>
    <xf numFmtId="0" fontId="13" fillId="0" borderId="84" xfId="0" applyFont="1" applyFill="1" applyBorder="1" applyAlignment="1">
      <alignment wrapText="1"/>
    </xf>
    <xf numFmtId="0" fontId="9" fillId="7" borderId="83" xfId="0" quotePrefix="1" applyNumberFormat="1" applyFont="1" applyFill="1" applyBorder="1" applyAlignment="1">
      <alignment horizontal="center" vertical="center" wrapText="1"/>
    </xf>
    <xf numFmtId="0" fontId="9" fillId="7" borderId="84" xfId="0" applyFont="1" applyFill="1" applyBorder="1" applyAlignment="1">
      <alignment vertical="center" wrapText="1"/>
    </xf>
    <xf numFmtId="0" fontId="9" fillId="0" borderId="83" xfId="0" applyNumberFormat="1" applyFont="1" applyFill="1" applyBorder="1" applyAlignment="1">
      <alignment horizontal="center" vertical="center" wrapText="1"/>
    </xf>
    <xf numFmtId="0" fontId="9" fillId="0" borderId="84" xfId="0" applyFont="1" applyFill="1" applyBorder="1" applyAlignment="1">
      <alignment vertical="center" wrapText="1"/>
    </xf>
    <xf numFmtId="0" fontId="13" fillId="0" borderId="83" xfId="0" applyFont="1" applyFill="1" applyBorder="1" applyAlignment="1">
      <alignment horizontal="center" vertical="distributed" wrapText="1"/>
    </xf>
    <xf numFmtId="0" fontId="13" fillId="0" borderId="84" xfId="0" applyFont="1" applyFill="1" applyBorder="1" applyAlignment="1">
      <alignment horizontal="left" vertical="distributed" wrapText="1"/>
    </xf>
    <xf numFmtId="0" fontId="13" fillId="3" borderId="85" xfId="0" applyNumberFormat="1" applyFont="1" applyFill="1" applyBorder="1" applyAlignment="1">
      <alignment horizontal="center" vertical="center"/>
    </xf>
    <xf numFmtId="0" fontId="13" fillId="3" borderId="86" xfId="0" applyFont="1" applyFill="1" applyBorder="1" applyAlignment="1">
      <alignment horizontal="center" vertical="center"/>
    </xf>
    <xf numFmtId="0" fontId="13" fillId="3" borderId="87" xfId="0" applyFont="1" applyFill="1" applyBorder="1" applyAlignment="1">
      <alignment vertical="center" wrapText="1"/>
    </xf>
    <xf numFmtId="0" fontId="3" fillId="0" borderId="33" xfId="0" applyFont="1" applyFill="1" applyBorder="1" applyAlignment="1">
      <alignment horizontal="center" vertical="center"/>
    </xf>
    <xf numFmtId="0" fontId="13" fillId="0" borderId="84" xfId="0" applyFont="1" applyFill="1" applyBorder="1" applyAlignment="1">
      <alignment horizontal="left" vertical="center" wrapText="1"/>
    </xf>
    <xf numFmtId="0" fontId="18" fillId="0" borderId="84" xfId="0" applyFont="1" applyFill="1" applyBorder="1" applyAlignment="1">
      <alignment horizontal="left" vertical="distributed" wrapText="1"/>
    </xf>
    <xf numFmtId="0" fontId="18" fillId="0" borderId="84" xfId="0" applyFont="1" applyFill="1" applyBorder="1" applyAlignment="1">
      <alignment vertical="center" wrapText="1"/>
    </xf>
    <xf numFmtId="0" fontId="13" fillId="0" borderId="83" xfId="0" applyFont="1" applyFill="1" applyBorder="1" applyAlignment="1">
      <alignment horizontal="center" vertical="center" wrapText="1"/>
    </xf>
    <xf numFmtId="0" fontId="9" fillId="7" borderId="83" xfId="0" applyNumberFormat="1" applyFont="1" applyFill="1" applyBorder="1" applyAlignment="1">
      <alignment horizontal="center" vertical="center" wrapText="1"/>
    </xf>
    <xf numFmtId="0" fontId="13" fillId="3" borderId="84" xfId="0" applyFont="1" applyFill="1" applyBorder="1" applyAlignment="1">
      <alignment horizontal="left" vertical="center" wrapText="1"/>
    </xf>
    <xf numFmtId="0" fontId="13" fillId="3" borderId="83" xfId="0" applyFont="1" applyFill="1" applyBorder="1" applyAlignment="1">
      <alignment horizontal="center" vertical="center" wrapText="1"/>
    </xf>
    <xf numFmtId="0" fontId="13" fillId="2" borderId="83" xfId="0" applyFont="1" applyFill="1" applyBorder="1" applyAlignment="1">
      <alignment horizontal="center" vertical="center" wrapText="1"/>
    </xf>
    <xf numFmtId="0" fontId="3" fillId="2" borderId="84" xfId="0" applyFont="1" applyFill="1" applyBorder="1" applyAlignment="1">
      <alignment vertical="center" wrapText="1"/>
    </xf>
    <xf numFmtId="0" fontId="3" fillId="0" borderId="84" xfId="0" applyFont="1" applyFill="1" applyBorder="1" applyAlignment="1">
      <alignment vertical="center" wrapText="1"/>
    </xf>
    <xf numFmtId="0" fontId="13" fillId="3" borderId="85" xfId="0" applyFont="1" applyFill="1" applyBorder="1" applyAlignment="1">
      <alignment horizontal="center" vertical="center" wrapText="1"/>
    </xf>
    <xf numFmtId="0" fontId="13" fillId="3" borderId="86" xfId="0" applyFont="1" applyFill="1" applyBorder="1" applyAlignment="1">
      <alignment horizontal="center" vertical="center" wrapText="1"/>
    </xf>
    <xf numFmtId="0" fontId="13" fillId="3" borderId="87" xfId="0" applyFont="1" applyFill="1" applyBorder="1" applyAlignment="1">
      <alignment horizontal="left" vertical="center" wrapText="1"/>
    </xf>
    <xf numFmtId="0" fontId="9" fillId="4" borderId="42" xfId="0" applyFont="1" applyFill="1" applyBorder="1" applyAlignment="1">
      <alignment horizontal="center" vertical="center" wrapText="1"/>
    </xf>
    <xf numFmtId="0" fontId="9" fillId="4" borderId="43" xfId="0" applyFont="1" applyFill="1" applyBorder="1" applyAlignment="1">
      <alignment horizontal="center" vertical="center" wrapText="1"/>
    </xf>
    <xf numFmtId="0" fontId="9" fillId="4" borderId="44" xfId="0" applyFont="1" applyFill="1" applyBorder="1" applyAlignment="1">
      <alignment horizontal="center" vertical="center" wrapText="1"/>
    </xf>
    <xf numFmtId="0" fontId="9" fillId="4" borderId="15" xfId="0" applyFont="1" applyFill="1" applyBorder="1" applyAlignment="1">
      <alignment horizontal="left" vertical="center" wrapText="1"/>
    </xf>
    <xf numFmtId="0" fontId="9" fillId="4" borderId="9" xfId="0" applyFont="1" applyFill="1" applyBorder="1" applyAlignment="1">
      <alignment horizontal="left" vertical="center" wrapText="1"/>
    </xf>
    <xf numFmtId="0" fontId="9" fillId="4" borderId="13" xfId="0" applyFont="1" applyFill="1" applyBorder="1" applyAlignment="1">
      <alignment horizontal="left" vertical="center" wrapText="1"/>
    </xf>
    <xf numFmtId="0" fontId="9" fillId="4" borderId="24" xfId="0" applyNumberFormat="1" applyFont="1" applyFill="1" applyBorder="1" applyAlignment="1">
      <alignment horizontal="center" vertical="center" wrapText="1"/>
    </xf>
    <xf numFmtId="0" fontId="13" fillId="4" borderId="24" xfId="0" applyNumberFormat="1" applyFont="1" applyFill="1" applyBorder="1" applyAlignment="1">
      <alignment horizontal="center"/>
    </xf>
    <xf numFmtId="0" fontId="9" fillId="4" borderId="25" xfId="0" applyFont="1" applyFill="1" applyBorder="1" applyAlignment="1">
      <alignment horizontal="center" vertical="center" wrapText="1"/>
    </xf>
    <xf numFmtId="0" fontId="13" fillId="4" borderId="25" xfId="0" applyFont="1" applyFill="1" applyBorder="1"/>
    <xf numFmtId="0" fontId="9" fillId="4" borderId="15" xfId="0" applyNumberFormat="1" applyFont="1" applyFill="1" applyBorder="1" applyAlignment="1">
      <alignment horizontal="left" vertical="center"/>
    </xf>
    <xf numFmtId="0" fontId="9" fillId="4" borderId="9" xfId="0" applyNumberFormat="1" applyFont="1" applyFill="1" applyBorder="1" applyAlignment="1">
      <alignment horizontal="left" vertical="center"/>
    </xf>
    <xf numFmtId="0" fontId="9" fillId="4" borderId="13" xfId="0" applyNumberFormat="1" applyFont="1" applyFill="1" applyBorder="1" applyAlignment="1">
      <alignment horizontal="left" vertical="center"/>
    </xf>
    <xf numFmtId="164" fontId="9" fillId="4" borderId="48" xfId="25" applyFont="1" applyFill="1" applyBorder="1" applyAlignment="1">
      <alignment horizontal="center" vertical="center" wrapText="1"/>
    </xf>
    <xf numFmtId="0" fontId="13" fillId="4" borderId="7" xfId="0" applyFont="1" applyFill="1" applyBorder="1" applyAlignment="1">
      <alignment horizontal="center" vertical="center" wrapText="1"/>
    </xf>
    <xf numFmtId="0" fontId="13" fillId="4" borderId="8" xfId="0" applyFont="1" applyFill="1" applyBorder="1" applyAlignment="1">
      <alignment horizontal="center" vertical="center" wrapText="1"/>
    </xf>
    <xf numFmtId="0" fontId="9" fillId="4" borderId="26" xfId="0" applyFont="1" applyFill="1" applyBorder="1" applyAlignment="1">
      <alignment horizontal="center" vertical="center" wrapText="1"/>
    </xf>
    <xf numFmtId="0" fontId="13" fillId="4" borderId="26" xfId="0" applyFont="1" applyFill="1" applyBorder="1"/>
    <xf numFmtId="0" fontId="9" fillId="0" borderId="15" xfId="0" applyFont="1" applyFill="1" applyBorder="1" applyAlignment="1">
      <alignment horizontal="center"/>
    </xf>
    <xf numFmtId="0" fontId="9" fillId="0" borderId="13" xfId="0" applyFont="1" applyFill="1" applyBorder="1" applyAlignment="1">
      <alignment horizontal="center"/>
    </xf>
    <xf numFmtId="0" fontId="9" fillId="4" borderId="79" xfId="0" applyFont="1" applyFill="1" applyBorder="1" applyAlignment="1">
      <alignment horizontal="center" vertical="center" wrapText="1"/>
    </xf>
    <xf numFmtId="0" fontId="9" fillId="4" borderId="78" xfId="0" applyFont="1" applyFill="1" applyBorder="1" applyAlignment="1">
      <alignment horizontal="center" vertical="center" wrapText="1"/>
    </xf>
    <xf numFmtId="0" fontId="13" fillId="4" borderId="80" xfId="0" applyFont="1" applyFill="1" applyBorder="1" applyAlignment="1">
      <alignment horizontal="center" vertical="center" wrapText="1"/>
    </xf>
    <xf numFmtId="0" fontId="9" fillId="4" borderId="45" xfId="25" applyNumberFormat="1" applyFont="1" applyFill="1" applyBorder="1" applyAlignment="1">
      <alignment horizontal="center" vertical="center" wrapText="1"/>
    </xf>
    <xf numFmtId="0" fontId="9" fillId="4" borderId="46" xfId="25" applyNumberFormat="1" applyFont="1" applyFill="1" applyBorder="1" applyAlignment="1">
      <alignment horizontal="center" vertical="center" wrapText="1"/>
    </xf>
    <xf numFmtId="0" fontId="13" fillId="4" borderId="47" xfId="25" applyNumberFormat="1" applyFont="1" applyFill="1" applyBorder="1" applyAlignment="1">
      <alignment horizontal="center" vertical="center" wrapText="1"/>
    </xf>
    <xf numFmtId="0" fontId="1" fillId="4" borderId="35" xfId="0" applyFont="1" applyFill="1" applyBorder="1" applyAlignment="1">
      <alignment horizontal="right" vertical="center" wrapText="1"/>
    </xf>
    <xf numFmtId="0" fontId="1" fillId="4" borderId="36" xfId="0" applyFont="1" applyFill="1" applyBorder="1" applyAlignment="1">
      <alignment horizontal="right" vertical="center" wrapText="1"/>
    </xf>
    <xf numFmtId="0" fontId="1" fillId="4" borderId="37" xfId="0" applyFont="1" applyFill="1" applyBorder="1" applyAlignment="1">
      <alignment horizontal="right" vertical="center" wrapText="1"/>
    </xf>
    <xf numFmtId="4" fontId="9" fillId="4" borderId="15" xfId="0" applyNumberFormat="1" applyFont="1" applyFill="1" applyBorder="1" applyAlignment="1">
      <alignment horizontal="center" vertical="center"/>
    </xf>
    <xf numFmtId="0" fontId="13" fillId="4" borderId="9" xfId="0" applyFont="1" applyFill="1" applyBorder="1" applyAlignment="1">
      <alignment vertical="center"/>
    </xf>
    <xf numFmtId="0" fontId="13" fillId="4" borderId="13" xfId="0" applyFont="1" applyFill="1" applyBorder="1" applyAlignment="1">
      <alignment vertical="center"/>
    </xf>
    <xf numFmtId="0" fontId="1" fillId="4" borderId="38" xfId="0" applyFont="1" applyFill="1" applyBorder="1" applyAlignment="1">
      <alignment horizontal="right" vertical="center" wrapText="1"/>
    </xf>
    <xf numFmtId="0" fontId="1" fillId="4" borderId="39" xfId="0" applyFont="1" applyFill="1" applyBorder="1" applyAlignment="1">
      <alignment horizontal="right" vertical="center" wrapText="1"/>
    </xf>
    <xf numFmtId="0" fontId="1" fillId="4" borderId="40" xfId="0" applyFont="1" applyFill="1" applyBorder="1" applyAlignment="1">
      <alignment horizontal="right" vertical="center" wrapText="1"/>
    </xf>
    <xf numFmtId="0" fontId="1" fillId="4" borderId="41" xfId="0" applyFont="1" applyFill="1" applyBorder="1" applyAlignment="1">
      <alignment horizontal="right" vertical="center" wrapText="1"/>
    </xf>
    <xf numFmtId="0" fontId="1" fillId="4" borderId="10" xfId="0" applyFont="1" applyFill="1" applyBorder="1" applyAlignment="1">
      <alignment horizontal="right" vertical="center" wrapText="1"/>
    </xf>
    <xf numFmtId="0" fontId="1" fillId="4" borderId="33" xfId="0" applyFont="1" applyFill="1" applyBorder="1" applyAlignment="1">
      <alignment horizontal="right" vertical="center" wrapText="1"/>
    </xf>
    <xf numFmtId="0" fontId="4" fillId="4" borderId="54" xfId="0" applyFont="1" applyFill="1" applyBorder="1" applyAlignment="1">
      <alignment horizontal="center" vertical="center" wrapText="1"/>
    </xf>
    <xf numFmtId="0" fontId="4" fillId="4" borderId="55" xfId="0" applyFont="1" applyFill="1" applyBorder="1" applyAlignment="1">
      <alignment horizontal="center" vertical="center" wrapText="1"/>
    </xf>
    <xf numFmtId="0" fontId="4" fillId="4" borderId="56" xfId="0" applyFont="1" applyFill="1" applyBorder="1" applyAlignment="1">
      <alignment horizontal="center" vertical="center" wrapText="1"/>
    </xf>
    <xf numFmtId="0" fontId="4" fillId="4" borderId="21" xfId="0" applyFont="1" applyFill="1" applyBorder="1" applyAlignment="1">
      <alignment horizontal="left" vertical="center" wrapText="1"/>
    </xf>
    <xf numFmtId="0" fontId="4" fillId="4" borderId="9" xfId="0" applyFont="1" applyFill="1" applyBorder="1" applyAlignment="1">
      <alignment horizontal="left" vertical="center" wrapText="1"/>
    </xf>
    <xf numFmtId="0" fontId="5" fillId="4" borderId="9"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51" xfId="0" applyFont="1" applyFill="1" applyBorder="1" applyAlignment="1">
      <alignment horizontal="center" vertical="center" wrapText="1"/>
    </xf>
    <xf numFmtId="0" fontId="4" fillId="4" borderId="45"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4"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3" fillId="4" borderId="53" xfId="0" applyFont="1" applyFill="1" applyBorder="1" applyAlignment="1">
      <alignment horizontal="center" vertical="center" wrapText="1"/>
    </xf>
    <xf numFmtId="0" fontId="5" fillId="4" borderId="45" xfId="0" applyFont="1" applyFill="1" applyBorder="1" applyAlignment="1">
      <alignment horizontal="center" vertical="center" wrapText="1"/>
    </xf>
    <xf numFmtId="0" fontId="5" fillId="4" borderId="46" xfId="0" applyFont="1" applyFill="1" applyBorder="1" applyAlignment="1">
      <alignment horizontal="center" vertical="center" wrapText="1"/>
    </xf>
    <xf numFmtId="0" fontId="1" fillId="4" borderId="46" xfId="0" applyFont="1" applyFill="1" applyBorder="1" applyAlignment="1">
      <alignment horizontal="center" vertical="center" wrapText="1"/>
    </xf>
    <xf numFmtId="4" fontId="6" fillId="4" borderId="45" xfId="0" applyNumberFormat="1" applyFont="1" applyFill="1" applyBorder="1" applyAlignment="1">
      <alignment horizontal="right" vertical="center" wrapText="1"/>
    </xf>
    <xf numFmtId="4" fontId="6" fillId="4" borderId="46" xfId="0" applyNumberFormat="1" applyFont="1" applyFill="1" applyBorder="1" applyAlignment="1">
      <alignment horizontal="right" vertical="center" wrapText="1"/>
    </xf>
    <xf numFmtId="0" fontId="7" fillId="4" borderId="46" xfId="0" applyFont="1" applyFill="1" applyBorder="1" applyAlignment="1">
      <alignment horizontal="right" vertical="center" wrapText="1"/>
    </xf>
    <xf numFmtId="0" fontId="13" fillId="0" borderId="14" xfId="0" applyFont="1" applyBorder="1" applyAlignment="1">
      <alignment horizontal="center"/>
    </xf>
    <xf numFmtId="0" fontId="13" fillId="0" borderId="4" xfId="0" applyFont="1" applyBorder="1" applyAlignment="1">
      <alignment horizontal="center"/>
    </xf>
    <xf numFmtId="0" fontId="13" fillId="0" borderId="6" xfId="0" applyFont="1" applyBorder="1" applyAlignment="1">
      <alignment horizontal="center"/>
    </xf>
    <xf numFmtId="0" fontId="9" fillId="4" borderId="54" xfId="0" applyFont="1" applyFill="1" applyBorder="1" applyAlignment="1">
      <alignment horizontal="center" vertical="center" wrapText="1"/>
    </xf>
    <xf numFmtId="0" fontId="9" fillId="4" borderId="55" xfId="0" applyFont="1" applyFill="1" applyBorder="1" applyAlignment="1">
      <alignment horizontal="center" vertical="center" wrapText="1"/>
    </xf>
    <xf numFmtId="0" fontId="9" fillId="4" borderId="56" xfId="0" applyFont="1" applyFill="1" applyBorder="1" applyAlignment="1">
      <alignment horizontal="center" vertical="center" wrapText="1"/>
    </xf>
    <xf numFmtId="0" fontId="9" fillId="4" borderId="21" xfId="0" applyFont="1" applyFill="1" applyBorder="1" applyAlignment="1">
      <alignment horizontal="left" vertical="center" wrapText="1"/>
    </xf>
    <xf numFmtId="0" fontId="9" fillId="4" borderId="22" xfId="0" applyFont="1" applyFill="1" applyBorder="1" applyAlignment="1">
      <alignment horizontal="left" vertical="center" wrapText="1"/>
    </xf>
    <xf numFmtId="0" fontId="13" fillId="4" borderId="9" xfId="0" applyFont="1" applyFill="1" applyBorder="1" applyAlignment="1">
      <alignment horizontal="left" vertical="center" wrapText="1"/>
    </xf>
    <xf numFmtId="0" fontId="13" fillId="4" borderId="13" xfId="0" applyFont="1" applyFill="1" applyBorder="1" applyAlignment="1">
      <alignment horizontal="left" vertical="center" wrapText="1"/>
    </xf>
    <xf numFmtId="0" fontId="5" fillId="0" borderId="46" xfId="0" applyFont="1" applyBorder="1" applyAlignment="1">
      <alignment horizontal="center"/>
    </xf>
    <xf numFmtId="0" fontId="0" fillId="0" borderId="46" xfId="0" applyBorder="1" applyAlignment="1">
      <alignment horizontal="center"/>
    </xf>
    <xf numFmtId="0" fontId="0" fillId="0" borderId="0" xfId="0" applyAlignment="1">
      <alignment horizontal="center"/>
    </xf>
    <xf numFmtId="0" fontId="1" fillId="0" borderId="0" xfId="0" applyFont="1" applyAlignment="1">
      <alignment horizontal="center"/>
    </xf>
  </cellXfs>
  <cellStyles count="27">
    <cellStyle name="Normal" xfId="0" builtinId="0"/>
    <cellStyle name="Normal 10" xfId="1"/>
    <cellStyle name="Normal 11" xfId="2"/>
    <cellStyle name="Normal 12" xfId="3"/>
    <cellStyle name="Normal 13" xfId="4"/>
    <cellStyle name="Normal 14" xfId="5"/>
    <cellStyle name="Normal 15" xfId="6"/>
    <cellStyle name="Normal 16" xfId="7"/>
    <cellStyle name="Normal 17" xfId="8"/>
    <cellStyle name="Normal 18" xfId="9"/>
    <cellStyle name="Normal 19" xfId="10"/>
    <cellStyle name="Normal 2" xfId="11"/>
    <cellStyle name="Normal 20" xfId="12"/>
    <cellStyle name="Normal 21" xfId="13"/>
    <cellStyle name="Normal 22" xfId="14"/>
    <cellStyle name="Normal 23" xfId="15"/>
    <cellStyle name="Normal 24" xfId="26"/>
    <cellStyle name="Normal 3" xfId="16"/>
    <cellStyle name="Normal 4" xfId="17"/>
    <cellStyle name="Normal 5" xfId="18"/>
    <cellStyle name="Normal 6" xfId="19"/>
    <cellStyle name="Normal 7" xfId="20"/>
    <cellStyle name="Normal 8" xfId="21"/>
    <cellStyle name="Normal 9" xfId="22"/>
    <cellStyle name="Porcentagem" xfId="23" builtinId="5"/>
    <cellStyle name="Total 2" xfId="24"/>
    <cellStyle name="Vírgula" xfId="25"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4.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4.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4.jpeg"/></Relationships>
</file>

<file path=xl/queryTables/queryTable1.xml><?xml version="1.0" encoding="utf-8"?>
<queryTable xmlns="http://schemas.openxmlformats.org/spreadsheetml/2006/main" name="INTERCEPTOR-COLETORA" connectionId="12" autoFormatId="16" applyNumberFormats="0" applyBorderFormats="0" applyFontFormats="1" applyPatternFormats="1" applyAlignmentFormats="0" applyWidthHeightFormats="0"/>
</file>

<file path=xl/queryTables/queryTable2.xml><?xml version="1.0" encoding="utf-8"?>
<queryTable xmlns="http://schemas.openxmlformats.org/spreadsheetml/2006/main" name="INTPARTED" connectionId="17" autoFormatId="16" applyNumberFormats="0" applyBorderFormats="0" applyFontFormats="1" applyPatternFormats="1" applyAlignmentFormats="0" applyWidthHeightFormats="0"/>
</file>

<file path=xl/queryTables/queryTable3.xml><?xml version="1.0" encoding="utf-8"?>
<queryTable xmlns="http://schemas.openxmlformats.org/spreadsheetml/2006/main" name="INTPARTEC" connectionId="15" autoFormatId="16" applyNumberFormats="0" applyBorderFormats="0" applyFontFormats="1" applyPatternFormats="1" applyAlignmentFormats="0" applyWidthHeightFormats="0"/>
</file>

<file path=xl/queryTables/queryTable4.xml><?xml version="1.0" encoding="utf-8"?>
<queryTable xmlns="http://schemas.openxmlformats.org/spreadsheetml/2006/main" name="INTPARTEB" connectionId="14" autoFormatId="16" applyNumberFormats="0" applyBorderFormats="0" applyFontFormats="1" applyPatternFormats="1" applyAlignmentFormats="0" applyWidthHeightFormats="0"/>
</file>

<file path=xl/queryTables/queryTable5.xml><?xml version="1.0" encoding="utf-8"?>
<queryTable xmlns="http://schemas.openxmlformats.org/spreadsheetml/2006/main" name="INTPARTEA" connectionId="13" autoFormatId="16" applyNumberFormats="0" applyBorderFormats="0" applyFontFormats="1" applyPatternFormats="1" applyAlignmentFormats="0" applyWidthHeightFormats="0"/>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queryTable" Target="../queryTables/queryTable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queryTable" Target="../queryTables/queryTable3.xml"/><Relationship Id="rId2" Type="http://schemas.openxmlformats.org/officeDocument/2006/relationships/queryTable" Target="../queryTables/queryTable2.xml"/><Relationship Id="rId1" Type="http://schemas.openxmlformats.org/officeDocument/2006/relationships/printerSettings" Target="../printerSettings/printerSettings8.bin"/><Relationship Id="rId5" Type="http://schemas.openxmlformats.org/officeDocument/2006/relationships/queryTable" Target="../queryTables/queryTable5.xml"/><Relationship Id="rId4" Type="http://schemas.openxmlformats.org/officeDocument/2006/relationships/queryTable" Target="../queryTables/queryTable4.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2095"/>
  <sheetViews>
    <sheetView tabSelected="1" view="pageBreakPreview" zoomScale="80" zoomScaleNormal="85" zoomScaleSheetLayoutView="80" workbookViewId="0">
      <selection activeCell="O68" sqref="O68"/>
    </sheetView>
  </sheetViews>
  <sheetFormatPr defaultRowHeight="15" x14ac:dyDescent="0.2"/>
  <cols>
    <col min="1" max="1" width="16" style="486" customWidth="1"/>
    <col min="2" max="2" width="16" style="482" hidden="1" customWidth="1"/>
    <col min="3" max="3" width="15.140625" style="482" hidden="1" customWidth="1"/>
    <col min="4" max="4" width="120.7109375" style="482" customWidth="1"/>
    <col min="5" max="5" width="11" style="483" hidden="1" customWidth="1"/>
    <col min="6" max="6" width="14.140625" style="484" hidden="1" customWidth="1"/>
    <col min="7" max="7" width="14.28515625" style="485" hidden="1" customWidth="1"/>
    <col min="8" max="8" width="14.42578125" style="484" hidden="1" customWidth="1"/>
    <col min="9" max="9" width="17.42578125" style="479" hidden="1" customWidth="1"/>
    <col min="10" max="10" width="5.7109375" style="479" hidden="1" customWidth="1"/>
    <col min="11" max="11" width="16.7109375" style="373" hidden="1" customWidth="1"/>
    <col min="12" max="12" width="154.85546875" style="373" hidden="1" customWidth="1"/>
    <col min="13" max="13" width="18.28515625" style="373" customWidth="1"/>
    <col min="14" max="14" width="15.7109375" style="373" customWidth="1"/>
    <col min="15" max="15" width="18.85546875" style="373" customWidth="1"/>
    <col min="16" max="16" width="14.42578125" style="373" bestFit="1" customWidth="1"/>
    <col min="17" max="17" width="11.85546875" style="373" customWidth="1"/>
    <col min="18" max="18" width="13.5703125" style="373" bestFit="1" customWidth="1"/>
    <col min="19" max="19" width="13.7109375" style="373" customWidth="1"/>
    <col min="20" max="20" width="9.140625" style="373"/>
    <col min="21" max="21" width="14.85546875" style="373" customWidth="1"/>
    <col min="22" max="63" width="9.140625" style="373"/>
    <col min="64" max="16384" width="9.140625" style="374"/>
  </cols>
  <sheetData>
    <row r="1" spans="1:18" ht="15.75" x14ac:dyDescent="0.2">
      <c r="A1" s="567" t="s">
        <v>2250</v>
      </c>
      <c r="B1" s="568"/>
      <c r="C1" s="568"/>
      <c r="D1" s="569"/>
      <c r="E1" s="487"/>
      <c r="F1" s="487"/>
      <c r="G1" s="487"/>
      <c r="H1" s="487"/>
      <c r="I1" s="488"/>
      <c r="J1" s="371"/>
      <c r="K1" s="372"/>
      <c r="L1" s="372"/>
      <c r="M1" s="372"/>
      <c r="N1" s="372"/>
      <c r="O1" s="372"/>
      <c r="P1" s="372"/>
      <c r="Q1" s="372"/>
      <c r="R1" s="372"/>
    </row>
    <row r="2" spans="1:18" ht="5.0999999999999996" customHeight="1" thickBot="1" x14ac:dyDescent="0.25">
      <c r="A2" s="375"/>
      <c r="B2" s="376"/>
      <c r="C2" s="376"/>
      <c r="D2" s="522"/>
      <c r="E2" s="377"/>
      <c r="F2" s="378"/>
      <c r="G2" s="379"/>
      <c r="H2" s="380"/>
      <c r="I2" s="381"/>
      <c r="J2" s="371"/>
      <c r="K2" s="372"/>
      <c r="L2" s="372"/>
      <c r="M2" s="372"/>
      <c r="N2" s="372"/>
      <c r="O2" s="372"/>
      <c r="P2" s="372"/>
      <c r="Q2" s="372"/>
      <c r="R2" s="372"/>
    </row>
    <row r="3" spans="1:18" ht="16.5" thickBot="1" x14ac:dyDescent="0.25">
      <c r="A3" s="577" t="s">
        <v>715</v>
      </c>
      <c r="B3" s="578"/>
      <c r="C3" s="578"/>
      <c r="D3" s="579"/>
      <c r="E3" s="382"/>
      <c r="F3" s="383"/>
      <c r="G3" s="384"/>
      <c r="H3" s="385" t="s">
        <v>7</v>
      </c>
      <c r="I3" s="386" t="s">
        <v>456</v>
      </c>
      <c r="J3" s="371"/>
      <c r="K3" s="372"/>
      <c r="L3" s="372"/>
      <c r="M3" s="372"/>
      <c r="N3" s="372"/>
      <c r="O3" s="372"/>
      <c r="P3" s="372"/>
      <c r="Q3" s="372"/>
      <c r="R3" s="372"/>
    </row>
    <row r="4" spans="1:18" ht="5.0999999999999996" customHeight="1" thickBot="1" x14ac:dyDescent="0.25">
      <c r="A4" s="375"/>
      <c r="B4" s="376"/>
      <c r="C4" s="376"/>
      <c r="D4" s="522"/>
      <c r="E4" s="377"/>
      <c r="F4" s="378"/>
      <c r="G4" s="379"/>
      <c r="H4" s="380"/>
      <c r="I4" s="381"/>
      <c r="J4" s="371"/>
      <c r="K4" s="372"/>
      <c r="L4" s="372"/>
      <c r="M4" s="372"/>
      <c r="N4" s="372"/>
      <c r="O4" s="372"/>
      <c r="P4" s="372"/>
      <c r="Q4" s="372"/>
      <c r="R4" s="372"/>
    </row>
    <row r="5" spans="1:18" ht="16.5" thickBot="1" x14ac:dyDescent="0.25">
      <c r="A5" s="570" t="s">
        <v>717</v>
      </c>
      <c r="B5" s="571"/>
      <c r="C5" s="571"/>
      <c r="D5" s="572"/>
      <c r="E5" s="489"/>
      <c r="F5" s="489"/>
      <c r="G5" s="489"/>
      <c r="H5" s="489"/>
      <c r="I5" s="490"/>
      <c r="J5" s="371"/>
      <c r="M5" s="372"/>
      <c r="N5" s="372"/>
      <c r="O5" s="372"/>
      <c r="P5" s="372"/>
      <c r="Q5" s="372"/>
      <c r="R5" s="372"/>
    </row>
    <row r="6" spans="1:18" ht="5.0999999999999996" customHeight="1" thickBot="1" x14ac:dyDescent="0.25">
      <c r="A6" s="375"/>
      <c r="B6" s="376"/>
      <c r="C6" s="376"/>
      <c r="D6" s="522"/>
      <c r="E6" s="377"/>
      <c r="F6" s="378"/>
      <c r="G6" s="379"/>
      <c r="H6" s="380"/>
      <c r="I6" s="381"/>
      <c r="J6" s="371"/>
      <c r="L6" s="372"/>
      <c r="M6" s="372"/>
      <c r="N6" s="372"/>
      <c r="O6" s="372"/>
      <c r="P6" s="372"/>
      <c r="Q6" s="372"/>
      <c r="R6" s="372"/>
    </row>
    <row r="7" spans="1:18" ht="16.5" thickBot="1" x14ac:dyDescent="0.25">
      <c r="A7" s="570" t="s">
        <v>720</v>
      </c>
      <c r="B7" s="571"/>
      <c r="C7" s="571"/>
      <c r="D7" s="572"/>
      <c r="E7" s="489"/>
      <c r="F7" s="489"/>
      <c r="G7" s="489"/>
      <c r="H7" s="489"/>
      <c r="I7" s="490"/>
      <c r="J7" s="371"/>
      <c r="M7" s="372"/>
      <c r="N7" s="372"/>
      <c r="O7" s="372"/>
      <c r="P7" s="372"/>
      <c r="Q7" s="372"/>
      <c r="R7" s="372"/>
    </row>
    <row r="8" spans="1:18" ht="5.0999999999999996" customHeight="1" thickBot="1" x14ac:dyDescent="0.25">
      <c r="A8" s="375"/>
      <c r="B8" s="376"/>
      <c r="C8" s="376"/>
      <c r="D8" s="522"/>
      <c r="E8" s="377"/>
      <c r="F8" s="378"/>
      <c r="G8" s="379"/>
      <c r="H8" s="380"/>
      <c r="I8" s="381"/>
      <c r="J8" s="371"/>
      <c r="K8" s="372"/>
      <c r="L8" s="372"/>
      <c r="M8" s="372"/>
      <c r="N8" s="372"/>
      <c r="O8" s="372"/>
      <c r="P8" s="372"/>
      <c r="Q8" s="372"/>
      <c r="R8" s="372"/>
    </row>
    <row r="9" spans="1:18" ht="16.5" thickBot="1" x14ac:dyDescent="0.25">
      <c r="A9" s="573" t="s">
        <v>23</v>
      </c>
      <c r="B9" s="575" t="s">
        <v>5</v>
      </c>
      <c r="C9" s="575" t="s">
        <v>4</v>
      </c>
      <c r="D9" s="583" t="s">
        <v>3</v>
      </c>
      <c r="E9" s="587" t="s">
        <v>192</v>
      </c>
      <c r="F9" s="590" t="s">
        <v>6</v>
      </c>
      <c r="G9" s="387" t="s">
        <v>40</v>
      </c>
      <c r="H9" s="387" t="s">
        <v>40</v>
      </c>
      <c r="I9" s="580" t="s">
        <v>13</v>
      </c>
      <c r="J9" s="371"/>
      <c r="K9" s="372"/>
      <c r="L9" s="388"/>
      <c r="M9" s="388"/>
      <c r="N9" s="388"/>
      <c r="O9" s="388"/>
      <c r="P9" s="372"/>
      <c r="Q9" s="372"/>
      <c r="R9" s="372"/>
    </row>
    <row r="10" spans="1:18" ht="3" customHeight="1" thickBot="1" x14ac:dyDescent="0.25">
      <c r="A10" s="574"/>
      <c r="B10" s="576"/>
      <c r="C10" s="576"/>
      <c r="D10" s="584"/>
      <c r="E10" s="588"/>
      <c r="F10" s="591"/>
      <c r="G10" s="389" t="s">
        <v>41</v>
      </c>
      <c r="H10" s="389" t="s">
        <v>41</v>
      </c>
      <c r="I10" s="581"/>
      <c r="J10" s="371"/>
      <c r="K10" s="372"/>
      <c r="L10" s="388"/>
      <c r="M10" s="388"/>
      <c r="N10" s="388"/>
      <c r="O10" s="388"/>
      <c r="P10" s="372"/>
      <c r="Q10" s="372"/>
      <c r="R10" s="372"/>
    </row>
    <row r="11" spans="1:18" ht="32.25" hidden="1" thickBot="1" x14ac:dyDescent="0.25">
      <c r="A11" s="574"/>
      <c r="B11" s="576"/>
      <c r="C11" s="576"/>
      <c r="D11" s="584"/>
      <c r="E11" s="589"/>
      <c r="F11" s="592"/>
      <c r="G11" s="390" t="s">
        <v>42</v>
      </c>
      <c r="H11" s="390" t="s">
        <v>43</v>
      </c>
      <c r="I11" s="582"/>
      <c r="J11" s="371"/>
      <c r="M11" s="388"/>
      <c r="N11" s="388"/>
      <c r="O11" s="388"/>
      <c r="P11" s="372"/>
      <c r="Q11" s="372"/>
      <c r="R11" s="372"/>
    </row>
    <row r="12" spans="1:18" ht="16.5" hidden="1" thickBot="1" x14ac:dyDescent="0.25">
      <c r="A12" s="523"/>
      <c r="B12" s="524"/>
      <c r="C12" s="524"/>
      <c r="D12" s="525" t="s">
        <v>44</v>
      </c>
      <c r="E12" s="391"/>
      <c r="F12" s="392"/>
      <c r="G12" s="393"/>
      <c r="H12" s="392"/>
      <c r="I12" s="394"/>
      <c r="J12" s="395"/>
      <c r="M12" s="372"/>
      <c r="N12" s="372"/>
      <c r="O12" s="372"/>
      <c r="P12" s="372"/>
      <c r="Q12" s="372"/>
      <c r="R12" s="372"/>
    </row>
    <row r="13" spans="1:18" ht="32.25" hidden="1" thickBot="1" x14ac:dyDescent="0.3">
      <c r="A13" s="526"/>
      <c r="B13" s="527"/>
      <c r="C13" s="527"/>
      <c r="D13" s="528" t="s">
        <v>1579</v>
      </c>
      <c r="E13" s="396"/>
      <c r="F13" s="397"/>
      <c r="G13" s="398"/>
      <c r="H13" s="397"/>
      <c r="I13" s="399"/>
      <c r="J13" s="395"/>
      <c r="M13" s="388"/>
      <c r="N13" s="400">
        <v>0</v>
      </c>
      <c r="O13" s="401">
        <v>0.18</v>
      </c>
      <c r="P13" s="402">
        <v>0.28000000000000003</v>
      </c>
      <c r="Q13" s="372"/>
      <c r="R13" s="372"/>
    </row>
    <row r="14" spans="1:18" ht="16.5" hidden="1" thickBot="1" x14ac:dyDescent="0.3">
      <c r="A14" s="529" t="str">
        <f>A55</f>
        <v>01</v>
      </c>
      <c r="B14" s="530"/>
      <c r="C14" s="530"/>
      <c r="D14" s="531" t="str">
        <f>D55</f>
        <v xml:space="preserve">MOBILIZAÇÃO E DESMOBILIZAÇÃO                                 </v>
      </c>
      <c r="E14" s="403"/>
      <c r="F14" s="404"/>
      <c r="G14" s="405"/>
      <c r="H14" s="406"/>
      <c r="I14" s="407">
        <f>I55</f>
        <v>309399.90999999997</v>
      </c>
      <c r="J14" s="371"/>
      <c r="K14" s="585" t="s">
        <v>364</v>
      </c>
      <c r="L14" s="586"/>
      <c r="M14" s="388"/>
      <c r="N14" s="408">
        <f>I102</f>
        <v>687585.08</v>
      </c>
      <c r="O14" s="409" t="e">
        <f>#REF!+#REF!+#REF!+#REF!+#REF!+I1195+I1298+I1383+I1395+I1707+I1480+COMPOSIÇÕES!#REF!+I1488+I1828+I1890+#REF!</f>
        <v>#REF!</v>
      </c>
      <c r="P14" s="410" t="e">
        <f>I54-O14-N14</f>
        <v>#REF!</v>
      </c>
      <c r="Q14" s="372"/>
      <c r="R14" s="372"/>
    </row>
    <row r="15" spans="1:18" ht="16.5" hidden="1" thickBot="1" x14ac:dyDescent="0.3">
      <c r="A15" s="526"/>
      <c r="B15" s="527"/>
      <c r="C15" s="527"/>
      <c r="D15" s="527"/>
      <c r="E15" s="396"/>
      <c r="F15" s="397"/>
      <c r="G15" s="398"/>
      <c r="H15" s="397"/>
      <c r="I15" s="399"/>
      <c r="J15" s="395"/>
      <c r="K15" s="373" t="s">
        <v>365</v>
      </c>
      <c r="L15" s="373" t="s">
        <v>366</v>
      </c>
      <c r="M15" s="388"/>
      <c r="N15" s="400"/>
      <c r="O15" s="401"/>
      <c r="P15" s="402"/>
      <c r="Q15" s="372"/>
      <c r="R15" s="372"/>
    </row>
    <row r="16" spans="1:18" ht="16.5" hidden="1" thickBot="1" x14ac:dyDescent="0.3">
      <c r="A16" s="529" t="str">
        <f>A101</f>
        <v>02</v>
      </c>
      <c r="B16" s="530"/>
      <c r="C16" s="530"/>
      <c r="D16" s="531" t="str">
        <f>D101</f>
        <v>ADMINISTRAÇÃO DA OBRA</v>
      </c>
      <c r="E16" s="403"/>
      <c r="F16" s="404"/>
      <c r="G16" s="405"/>
      <c r="H16" s="406"/>
      <c r="I16" s="407">
        <f>I101</f>
        <v>687585.08</v>
      </c>
      <c r="J16" s="371"/>
      <c r="K16" s="411">
        <f>'BDI-M'!C35</f>
        <v>0.16800393244303136</v>
      </c>
      <c r="L16" s="412">
        <f>'BDI-S'!C36</f>
        <v>0.26435686690255822</v>
      </c>
      <c r="M16" s="388"/>
      <c r="N16" s="408"/>
      <c r="O16" s="409"/>
      <c r="P16" s="410"/>
      <c r="Q16" s="372"/>
      <c r="R16" s="372"/>
    </row>
    <row r="17" spans="1:18" ht="16.5" hidden="1" thickBot="1" x14ac:dyDescent="0.3">
      <c r="A17" s="526"/>
      <c r="B17" s="527"/>
      <c r="C17" s="527"/>
      <c r="D17" s="527"/>
      <c r="E17" s="396"/>
      <c r="F17" s="397"/>
      <c r="G17" s="398"/>
      <c r="H17" s="397"/>
      <c r="I17" s="399"/>
      <c r="J17" s="395"/>
      <c r="M17" s="388"/>
      <c r="N17" s="400"/>
      <c r="O17" s="401"/>
      <c r="P17" s="402"/>
      <c r="Q17" s="372"/>
      <c r="R17" s="372"/>
    </row>
    <row r="18" spans="1:18" ht="16.5" hidden="1" thickBot="1" x14ac:dyDescent="0.3">
      <c r="A18" s="529" t="str">
        <f>A106</f>
        <v>03</v>
      </c>
      <c r="B18" s="530"/>
      <c r="C18" s="530"/>
      <c r="D18" s="531" t="str">
        <f>D106</f>
        <v>ELEVATÓRIA 01</v>
      </c>
      <c r="E18" s="403"/>
      <c r="F18" s="404"/>
      <c r="G18" s="405"/>
      <c r="H18" s="406"/>
      <c r="I18" s="407">
        <f>I106</f>
        <v>226805.13</v>
      </c>
      <c r="J18" s="371"/>
      <c r="K18" s="413" t="e">
        <f>I18/#REF!</f>
        <v>#REF!</v>
      </c>
      <c r="L18" s="414" t="s">
        <v>367</v>
      </c>
      <c r="M18" s="388"/>
      <c r="N18" s="408"/>
      <c r="O18" s="409"/>
      <c r="P18" s="410"/>
      <c r="Q18" s="372"/>
      <c r="R18" s="372"/>
    </row>
    <row r="19" spans="1:18" ht="16.5" hidden="1" thickBot="1" x14ac:dyDescent="0.3">
      <c r="A19" s="526"/>
      <c r="B19" s="527"/>
      <c r="C19" s="527"/>
      <c r="D19" s="527"/>
      <c r="E19" s="396"/>
      <c r="F19" s="397"/>
      <c r="G19" s="398"/>
      <c r="H19" s="397"/>
      <c r="I19" s="399"/>
      <c r="J19" s="395"/>
      <c r="M19" s="388"/>
      <c r="N19" s="400"/>
      <c r="O19" s="401"/>
      <c r="P19" s="402"/>
      <c r="Q19" s="372"/>
      <c r="R19" s="372"/>
    </row>
    <row r="20" spans="1:18" ht="16.5" hidden="1" thickBot="1" x14ac:dyDescent="0.3">
      <c r="A20" s="529" t="str">
        <f>A302</f>
        <v>04</v>
      </c>
      <c r="B20" s="530"/>
      <c r="C20" s="530"/>
      <c r="D20" s="531" t="str">
        <f>D302</f>
        <v>LINHA DE RECALQUE 01</v>
      </c>
      <c r="E20" s="403"/>
      <c r="F20" s="404"/>
      <c r="G20" s="405"/>
      <c r="H20" s="406"/>
      <c r="I20" s="407">
        <f>I302</f>
        <v>75829</v>
      </c>
      <c r="J20" s="395"/>
      <c r="M20" s="388"/>
      <c r="N20" s="415"/>
      <c r="O20" s="416"/>
      <c r="P20" s="417"/>
      <c r="Q20" s="372"/>
      <c r="R20" s="372"/>
    </row>
    <row r="21" spans="1:18" ht="16.5" hidden="1" thickBot="1" x14ac:dyDescent="0.3">
      <c r="A21" s="526"/>
      <c r="B21" s="527"/>
      <c r="C21" s="527"/>
      <c r="D21" s="527"/>
      <c r="E21" s="396"/>
      <c r="F21" s="397"/>
      <c r="G21" s="398"/>
      <c r="H21" s="397"/>
      <c r="I21" s="399"/>
      <c r="J21" s="395"/>
      <c r="M21" s="388"/>
      <c r="N21" s="400"/>
      <c r="O21" s="401"/>
      <c r="P21" s="402"/>
      <c r="Q21" s="372"/>
      <c r="R21" s="372"/>
    </row>
    <row r="22" spans="1:18" ht="16.5" hidden="1" thickBot="1" x14ac:dyDescent="0.3">
      <c r="A22" s="529" t="str">
        <f>A428</f>
        <v>05</v>
      </c>
      <c r="B22" s="530"/>
      <c r="C22" s="530"/>
      <c r="D22" s="531" t="str">
        <f>D428</f>
        <v>REDE INTERCEPTORA E COLETORA DE ESGOTOS</v>
      </c>
      <c r="E22" s="403"/>
      <c r="F22" s="404"/>
      <c r="G22" s="405"/>
      <c r="H22" s="406"/>
      <c r="I22" s="407">
        <f>I428</f>
        <v>1269351.79</v>
      </c>
      <c r="J22" s="395"/>
      <c r="M22" s="388"/>
      <c r="N22" s="415"/>
      <c r="O22" s="416"/>
      <c r="P22" s="417"/>
      <c r="Q22" s="372"/>
      <c r="R22" s="372"/>
    </row>
    <row r="23" spans="1:18" ht="16.5" hidden="1" thickBot="1" x14ac:dyDescent="0.3">
      <c r="A23" s="526"/>
      <c r="B23" s="527"/>
      <c r="C23" s="527"/>
      <c r="D23" s="527"/>
      <c r="E23" s="396"/>
      <c r="F23" s="397"/>
      <c r="G23" s="398"/>
      <c r="H23" s="397"/>
      <c r="I23" s="399"/>
      <c r="J23" s="395"/>
      <c r="M23" s="388"/>
      <c r="N23" s="400"/>
      <c r="O23" s="401"/>
      <c r="P23" s="402"/>
      <c r="Q23" s="372"/>
      <c r="R23" s="372"/>
    </row>
    <row r="24" spans="1:18" ht="16.5" hidden="1" thickBot="1" x14ac:dyDescent="0.3">
      <c r="A24" s="529" t="str">
        <f>A640</f>
        <v>06</v>
      </c>
      <c r="B24" s="530"/>
      <c r="C24" s="530"/>
      <c r="D24" s="531" t="str">
        <f>D640</f>
        <v>ELEVATÓRIA FINAL</v>
      </c>
      <c r="E24" s="403"/>
      <c r="F24" s="404"/>
      <c r="G24" s="405"/>
      <c r="H24" s="406"/>
      <c r="I24" s="407">
        <f>I640</f>
        <v>323006.32999999996</v>
      </c>
      <c r="J24" s="395"/>
      <c r="M24" s="388"/>
      <c r="N24" s="415"/>
      <c r="O24" s="416"/>
      <c r="P24" s="417"/>
      <c r="Q24" s="372"/>
      <c r="R24" s="372"/>
    </row>
    <row r="25" spans="1:18" ht="16.5" hidden="1" thickBot="1" x14ac:dyDescent="0.3">
      <c r="A25" s="526"/>
      <c r="B25" s="527"/>
      <c r="C25" s="527"/>
      <c r="D25" s="527"/>
      <c r="E25" s="396"/>
      <c r="F25" s="397"/>
      <c r="G25" s="398"/>
      <c r="H25" s="397"/>
      <c r="I25" s="399"/>
      <c r="J25" s="395"/>
      <c r="M25" s="388"/>
      <c r="N25" s="400"/>
      <c r="O25" s="401"/>
      <c r="P25" s="402"/>
      <c r="Q25" s="372"/>
      <c r="R25" s="372"/>
    </row>
    <row r="26" spans="1:18" ht="16.5" hidden="1" thickBot="1" x14ac:dyDescent="0.3">
      <c r="A26" s="529" t="str">
        <f>A834</f>
        <v>07</v>
      </c>
      <c r="B26" s="530"/>
      <c r="C26" s="530"/>
      <c r="D26" s="531" t="str">
        <f>D834</f>
        <v>LINHA DE RECALQUE 02</v>
      </c>
      <c r="E26" s="403"/>
      <c r="F26" s="404"/>
      <c r="G26" s="405"/>
      <c r="H26" s="406"/>
      <c r="I26" s="407">
        <f>I834</f>
        <v>235682.62999999995</v>
      </c>
      <c r="J26" s="395"/>
      <c r="M26" s="388"/>
      <c r="N26" s="415"/>
      <c r="O26" s="416"/>
      <c r="P26" s="417"/>
      <c r="Q26" s="372"/>
      <c r="R26" s="372"/>
    </row>
    <row r="27" spans="1:18" ht="16.5" hidden="1" thickBot="1" x14ac:dyDescent="0.3">
      <c r="A27" s="526"/>
      <c r="B27" s="527"/>
      <c r="C27" s="527"/>
      <c r="D27" s="527"/>
      <c r="E27" s="396"/>
      <c r="F27" s="397"/>
      <c r="G27" s="398"/>
      <c r="H27" s="397"/>
      <c r="I27" s="399"/>
      <c r="J27" s="395"/>
      <c r="M27" s="388"/>
      <c r="N27" s="400"/>
      <c r="O27" s="401"/>
      <c r="P27" s="402"/>
      <c r="Q27" s="372"/>
      <c r="R27" s="372"/>
    </row>
    <row r="28" spans="1:18" ht="16.5" hidden="1" thickBot="1" x14ac:dyDescent="0.3">
      <c r="A28" s="532" t="str">
        <f>A963</f>
        <v>08</v>
      </c>
      <c r="B28" s="533"/>
      <c r="C28" s="533"/>
      <c r="D28" s="534" t="str">
        <f>D963</f>
        <v>ESTAÇÃO DE TRATAMENTO DE ESGOTOS</v>
      </c>
      <c r="E28" s="418"/>
      <c r="F28" s="419"/>
      <c r="G28" s="420"/>
      <c r="H28" s="421"/>
      <c r="I28" s="422" t="e">
        <f>I963</f>
        <v>#REF!</v>
      </c>
      <c r="J28" s="371"/>
      <c r="K28" s="585"/>
      <c r="L28" s="586"/>
      <c r="M28" s="388"/>
      <c r="N28" s="408"/>
      <c r="O28" s="409"/>
      <c r="P28" s="410"/>
      <c r="Q28" s="372"/>
      <c r="R28" s="372"/>
    </row>
    <row r="29" spans="1:18" ht="16.5" hidden="1" thickBot="1" x14ac:dyDescent="0.3">
      <c r="A29" s="526"/>
      <c r="B29" s="527"/>
      <c r="C29" s="527"/>
      <c r="D29" s="527"/>
      <c r="E29" s="396"/>
      <c r="F29" s="397"/>
      <c r="G29" s="398"/>
      <c r="H29" s="397"/>
      <c r="I29" s="399"/>
      <c r="J29" s="395"/>
      <c r="M29" s="388"/>
      <c r="N29" s="400"/>
      <c r="O29" s="401"/>
      <c r="P29" s="402"/>
      <c r="Q29" s="372"/>
      <c r="R29" s="372"/>
    </row>
    <row r="30" spans="1:18" ht="16.5" hidden="1" thickBot="1" x14ac:dyDescent="0.3">
      <c r="A30" s="529" t="str">
        <f>A964</f>
        <v>08.01</v>
      </c>
      <c r="B30" s="530"/>
      <c r="C30" s="530"/>
      <c r="D30" s="531" t="str">
        <f>D964</f>
        <v>TERRAPLENAGEM GERAL</v>
      </c>
      <c r="E30" s="403"/>
      <c r="F30" s="404"/>
      <c r="G30" s="405"/>
      <c r="H30" s="406"/>
      <c r="I30" s="407">
        <f>I964</f>
        <v>728678.55</v>
      </c>
      <c r="J30" s="371"/>
      <c r="K30" s="585"/>
      <c r="L30" s="586"/>
      <c r="M30" s="388"/>
      <c r="N30" s="408"/>
      <c r="O30" s="409"/>
      <c r="P30" s="410"/>
      <c r="Q30" s="372"/>
      <c r="R30" s="372"/>
    </row>
    <row r="31" spans="1:18" ht="16.5" hidden="1" thickBot="1" x14ac:dyDescent="0.3">
      <c r="A31" s="526"/>
      <c r="B31" s="527"/>
      <c r="C31" s="527"/>
      <c r="D31" s="527"/>
      <c r="E31" s="396"/>
      <c r="F31" s="397"/>
      <c r="G31" s="398"/>
      <c r="H31" s="397"/>
      <c r="I31" s="399"/>
      <c r="J31" s="395"/>
      <c r="M31" s="388"/>
      <c r="N31" s="400"/>
      <c r="O31" s="401"/>
      <c r="P31" s="402"/>
      <c r="Q31" s="372"/>
      <c r="R31" s="372"/>
    </row>
    <row r="32" spans="1:18" ht="16.5" hidden="1" thickBot="1" x14ac:dyDescent="0.3">
      <c r="A32" s="529" t="str">
        <f>A999</f>
        <v>08.02</v>
      </c>
      <c r="B32" s="530"/>
      <c r="C32" s="530"/>
      <c r="D32" s="531" t="str">
        <f>D999</f>
        <v>TRATAMENTO PRELIMINAR MECANIZADO</v>
      </c>
      <c r="E32" s="403"/>
      <c r="F32" s="404"/>
      <c r="G32" s="405"/>
      <c r="H32" s="406"/>
      <c r="I32" s="407">
        <f>I999</f>
        <v>690912.19</v>
      </c>
      <c r="J32" s="371"/>
      <c r="K32" s="585"/>
      <c r="L32" s="586"/>
      <c r="M32" s="388"/>
      <c r="N32" s="408"/>
      <c r="O32" s="409"/>
      <c r="P32" s="410"/>
      <c r="Q32" s="372"/>
      <c r="R32" s="372"/>
    </row>
    <row r="33" spans="1:18" ht="16.5" hidden="1" thickBot="1" x14ac:dyDescent="0.3">
      <c r="A33" s="526"/>
      <c r="B33" s="527"/>
      <c r="C33" s="527"/>
      <c r="D33" s="527"/>
      <c r="E33" s="396"/>
      <c r="F33" s="397"/>
      <c r="G33" s="398"/>
      <c r="H33" s="397"/>
      <c r="I33" s="399"/>
      <c r="J33" s="395"/>
      <c r="M33" s="388"/>
      <c r="N33" s="400"/>
      <c r="O33" s="401"/>
      <c r="P33" s="402"/>
      <c r="Q33" s="372"/>
      <c r="R33" s="372"/>
    </row>
    <row r="34" spans="1:18" ht="16.5" hidden="1" thickBot="1" x14ac:dyDescent="0.3">
      <c r="A34" s="529" t="str">
        <f>A1073</f>
        <v>08.03</v>
      </c>
      <c r="B34" s="530"/>
      <c r="C34" s="530"/>
      <c r="D34" s="531" t="str">
        <f>D1073</f>
        <v xml:space="preserve">REATORES UASB </v>
      </c>
      <c r="E34" s="403"/>
      <c r="F34" s="404"/>
      <c r="G34" s="405"/>
      <c r="H34" s="406"/>
      <c r="I34" s="407">
        <f>I1073</f>
        <v>1155126.08</v>
      </c>
      <c r="J34" s="371"/>
      <c r="K34" s="585"/>
      <c r="L34" s="586"/>
      <c r="M34" s="388"/>
      <c r="N34" s="408"/>
      <c r="O34" s="409"/>
      <c r="P34" s="410"/>
      <c r="Q34" s="372"/>
      <c r="R34" s="372"/>
    </row>
    <row r="35" spans="1:18" ht="16.5" hidden="1" thickBot="1" x14ac:dyDescent="0.3">
      <c r="A35" s="526"/>
      <c r="B35" s="527"/>
      <c r="C35" s="527"/>
      <c r="D35" s="527"/>
      <c r="E35" s="396"/>
      <c r="F35" s="397"/>
      <c r="G35" s="398"/>
      <c r="H35" s="397"/>
      <c r="I35" s="399"/>
      <c r="J35" s="395"/>
      <c r="M35" s="388"/>
      <c r="N35" s="400"/>
      <c r="O35" s="401"/>
      <c r="P35" s="402"/>
      <c r="Q35" s="372"/>
      <c r="R35" s="372"/>
    </row>
    <row r="36" spans="1:18" ht="16.5" hidden="1" thickBot="1" x14ac:dyDescent="0.3">
      <c r="A36" s="529" t="str">
        <f>A1200</f>
        <v>08.04</v>
      </c>
      <c r="B36" s="530"/>
      <c r="C36" s="530"/>
      <c r="D36" s="531" t="str">
        <f>D1200</f>
        <v>FILTRO BIOLÓGICO PERCOLADOR</v>
      </c>
      <c r="E36" s="403"/>
      <c r="F36" s="404"/>
      <c r="G36" s="405"/>
      <c r="H36" s="406"/>
      <c r="I36" s="407">
        <f>I1200</f>
        <v>661675.11999999988</v>
      </c>
      <c r="J36" s="371"/>
      <c r="K36" s="585"/>
      <c r="L36" s="586"/>
      <c r="M36" s="388"/>
      <c r="N36" s="408"/>
      <c r="O36" s="409"/>
      <c r="P36" s="410"/>
      <c r="Q36" s="372"/>
      <c r="R36" s="372"/>
    </row>
    <row r="37" spans="1:18" ht="16.5" hidden="1" thickBot="1" x14ac:dyDescent="0.3">
      <c r="A37" s="526"/>
      <c r="B37" s="527"/>
      <c r="C37" s="527"/>
      <c r="D37" s="527"/>
      <c r="E37" s="396"/>
      <c r="F37" s="397"/>
      <c r="G37" s="398"/>
      <c r="H37" s="397"/>
      <c r="I37" s="399"/>
      <c r="J37" s="395"/>
      <c r="M37" s="388"/>
      <c r="N37" s="400"/>
      <c r="O37" s="401"/>
      <c r="P37" s="402"/>
      <c r="Q37" s="372"/>
      <c r="R37" s="372"/>
    </row>
    <row r="38" spans="1:18" ht="16.5" hidden="1" thickBot="1" x14ac:dyDescent="0.3">
      <c r="A38" s="529" t="str">
        <f>A1302</f>
        <v>08.05</v>
      </c>
      <c r="B38" s="530"/>
      <c r="C38" s="530"/>
      <c r="D38" s="531" t="str">
        <f>D1302</f>
        <v>DECANTADOR</v>
      </c>
      <c r="E38" s="403"/>
      <c r="F38" s="404"/>
      <c r="G38" s="405"/>
      <c r="H38" s="406"/>
      <c r="I38" s="407">
        <f>I1302</f>
        <v>352361.24</v>
      </c>
      <c r="J38" s="371"/>
      <c r="K38" s="585"/>
      <c r="L38" s="586"/>
      <c r="M38" s="388"/>
      <c r="N38" s="408"/>
      <c r="O38" s="409"/>
      <c r="P38" s="410"/>
      <c r="Q38" s="372"/>
      <c r="R38" s="372"/>
    </row>
    <row r="39" spans="1:18" ht="16.5" hidden="1" thickBot="1" x14ac:dyDescent="0.3">
      <c r="A39" s="526"/>
      <c r="B39" s="527"/>
      <c r="C39" s="527"/>
      <c r="D39" s="527"/>
      <c r="E39" s="396"/>
      <c r="F39" s="397"/>
      <c r="G39" s="398"/>
      <c r="H39" s="397"/>
      <c r="I39" s="399"/>
      <c r="J39" s="395"/>
      <c r="M39" s="388"/>
      <c r="N39" s="400"/>
      <c r="O39" s="401"/>
      <c r="P39" s="402"/>
      <c r="Q39" s="372"/>
      <c r="R39" s="372"/>
    </row>
    <row r="40" spans="1:18" ht="16.5" hidden="1" thickBot="1" x14ac:dyDescent="0.3">
      <c r="A40" s="529" t="str">
        <f>A1399</f>
        <v>08.06</v>
      </c>
      <c r="B40" s="530"/>
      <c r="C40" s="530"/>
      <c r="D40" s="531" t="str">
        <f>D1399</f>
        <v>ELEVATÓRIA DE RECIRCULAÇÃO</v>
      </c>
      <c r="E40" s="403"/>
      <c r="F40" s="404"/>
      <c r="G40" s="405"/>
      <c r="H40" s="406"/>
      <c r="I40" s="407">
        <f>I1399</f>
        <v>145653.47999999998</v>
      </c>
      <c r="J40" s="371"/>
      <c r="K40" s="585"/>
      <c r="L40" s="586"/>
      <c r="M40" s="388"/>
      <c r="N40" s="408"/>
      <c r="O40" s="409"/>
      <c r="P40" s="410"/>
      <c r="Q40" s="372"/>
      <c r="R40" s="372"/>
    </row>
    <row r="41" spans="1:18" ht="16.5" hidden="1" thickBot="1" x14ac:dyDescent="0.3">
      <c r="A41" s="526"/>
      <c r="B41" s="527"/>
      <c r="C41" s="527"/>
      <c r="D41" s="527"/>
      <c r="E41" s="396"/>
      <c r="F41" s="397"/>
      <c r="G41" s="398"/>
      <c r="H41" s="397"/>
      <c r="I41" s="399"/>
      <c r="J41" s="395"/>
      <c r="M41" s="388"/>
      <c r="N41" s="400"/>
      <c r="O41" s="401"/>
      <c r="P41" s="402"/>
      <c r="Q41" s="372"/>
      <c r="R41" s="372"/>
    </row>
    <row r="42" spans="1:18" ht="16.5" hidden="1" thickBot="1" x14ac:dyDescent="0.3">
      <c r="A42" s="529" t="str">
        <f>A1492</f>
        <v>08.07</v>
      </c>
      <c r="B42" s="530"/>
      <c r="C42" s="530"/>
      <c r="D42" s="531" t="str">
        <f>D1492</f>
        <v>SANITIZAÇÃO POR ULTRA VIOLETA</v>
      </c>
      <c r="E42" s="403"/>
      <c r="F42" s="404"/>
      <c r="G42" s="405"/>
      <c r="H42" s="406"/>
      <c r="I42" s="407">
        <f>I1492</f>
        <v>44247.89</v>
      </c>
      <c r="J42" s="395"/>
      <c r="M42" s="388"/>
      <c r="N42" s="415"/>
      <c r="O42" s="416"/>
      <c r="P42" s="417"/>
      <c r="Q42" s="372"/>
      <c r="R42" s="372"/>
    </row>
    <row r="43" spans="1:18" ht="16.5" hidden="1" thickBot="1" x14ac:dyDescent="0.3">
      <c r="A43" s="526"/>
      <c r="B43" s="527"/>
      <c r="C43" s="527"/>
      <c r="D43" s="527"/>
      <c r="E43" s="396"/>
      <c r="F43" s="397"/>
      <c r="G43" s="398"/>
      <c r="H43" s="397"/>
      <c r="I43" s="399"/>
      <c r="J43" s="395"/>
      <c r="M43" s="388"/>
      <c r="N43" s="415"/>
      <c r="O43" s="416"/>
      <c r="P43" s="417"/>
      <c r="Q43" s="372"/>
      <c r="R43" s="372"/>
    </row>
    <row r="44" spans="1:18" ht="16.5" hidden="1" thickBot="1" x14ac:dyDescent="0.3">
      <c r="A44" s="529" t="str">
        <f>A1577</f>
        <v>08.08</v>
      </c>
      <c r="B44" s="530"/>
      <c r="C44" s="530"/>
      <c r="D44" s="531" t="str">
        <f>D1577</f>
        <v>QUEIMADOR DE BIOGÁS</v>
      </c>
      <c r="E44" s="403"/>
      <c r="F44" s="404"/>
      <c r="G44" s="405"/>
      <c r="H44" s="406"/>
      <c r="I44" s="407">
        <f>I1577</f>
        <v>12185.630000000001</v>
      </c>
      <c r="J44" s="371"/>
      <c r="K44" s="585"/>
      <c r="L44" s="586"/>
      <c r="M44" s="388"/>
      <c r="N44" s="408"/>
      <c r="O44" s="409"/>
      <c r="P44" s="410"/>
      <c r="Q44" s="372"/>
      <c r="R44" s="372"/>
    </row>
    <row r="45" spans="1:18" ht="16.5" hidden="1" thickBot="1" x14ac:dyDescent="0.3">
      <c r="A45" s="526"/>
      <c r="B45" s="527"/>
      <c r="C45" s="527"/>
      <c r="D45" s="527"/>
      <c r="E45" s="396"/>
      <c r="F45" s="397"/>
      <c r="G45" s="398"/>
      <c r="H45" s="397"/>
      <c r="I45" s="399"/>
      <c r="J45" s="395"/>
      <c r="M45" s="388"/>
      <c r="N45" s="400"/>
      <c r="O45" s="401"/>
      <c r="P45" s="402"/>
      <c r="Q45" s="372"/>
      <c r="R45" s="372"/>
    </row>
    <row r="46" spans="1:18" ht="16.5" hidden="1" thickBot="1" x14ac:dyDescent="0.3">
      <c r="A46" s="529" t="str">
        <f>A1606</f>
        <v>08.09</v>
      </c>
      <c r="B46" s="530"/>
      <c r="C46" s="530"/>
      <c r="D46" s="531" t="str">
        <f>D1606</f>
        <v>LEITOS DE SECAGEM</v>
      </c>
      <c r="E46" s="403"/>
      <c r="F46" s="404"/>
      <c r="G46" s="405"/>
      <c r="H46" s="406"/>
      <c r="I46" s="407">
        <f>I1606</f>
        <v>209283.28000000003</v>
      </c>
      <c r="J46" s="371"/>
      <c r="K46" s="585"/>
      <c r="L46" s="586"/>
      <c r="M46" s="388"/>
      <c r="N46" s="408"/>
      <c r="O46" s="409"/>
      <c r="P46" s="410"/>
      <c r="Q46" s="372"/>
      <c r="R46" s="372"/>
    </row>
    <row r="47" spans="1:18" ht="16.5" hidden="1" thickBot="1" x14ac:dyDescent="0.3">
      <c r="A47" s="526"/>
      <c r="B47" s="527"/>
      <c r="C47" s="527"/>
      <c r="D47" s="527"/>
      <c r="E47" s="396"/>
      <c r="F47" s="397"/>
      <c r="G47" s="398"/>
      <c r="H47" s="397"/>
      <c r="I47" s="399"/>
      <c r="J47" s="395"/>
      <c r="M47" s="388"/>
      <c r="N47" s="400"/>
      <c r="O47" s="401"/>
      <c r="P47" s="402"/>
      <c r="Q47" s="372"/>
      <c r="R47" s="372"/>
    </row>
    <row r="48" spans="1:18" ht="16.5" hidden="1" thickBot="1" x14ac:dyDescent="0.3">
      <c r="A48" s="529" t="str">
        <f>A1711</f>
        <v>08.10</v>
      </c>
      <c r="B48" s="530"/>
      <c r="C48" s="530"/>
      <c r="D48" s="531" t="str">
        <f>D1711</f>
        <v>EDIFICAÇÃO ADMINISTRATIVA - UNIDADE DE APOIO</v>
      </c>
      <c r="E48" s="403"/>
      <c r="F48" s="404"/>
      <c r="G48" s="405"/>
      <c r="H48" s="406"/>
      <c r="I48" s="407" t="e">
        <f>I1711</f>
        <v>#REF!</v>
      </c>
      <c r="J48" s="371"/>
      <c r="K48" s="585"/>
      <c r="L48" s="586"/>
      <c r="M48" s="388"/>
      <c r="N48" s="408"/>
      <c r="O48" s="409"/>
      <c r="P48" s="410"/>
      <c r="Q48" s="372"/>
      <c r="R48" s="372"/>
    </row>
    <row r="49" spans="1:18" ht="16.5" hidden="1" thickBot="1" x14ac:dyDescent="0.3">
      <c r="A49" s="526"/>
      <c r="B49" s="527"/>
      <c r="C49" s="527"/>
      <c r="D49" s="527"/>
      <c r="E49" s="396"/>
      <c r="F49" s="397"/>
      <c r="G49" s="398"/>
      <c r="H49" s="397"/>
      <c r="I49" s="399"/>
      <c r="J49" s="395"/>
      <c r="M49" s="388"/>
      <c r="N49" s="400"/>
      <c r="O49" s="401"/>
      <c r="P49" s="402"/>
      <c r="Q49" s="372"/>
      <c r="R49" s="372"/>
    </row>
    <row r="50" spans="1:18" ht="16.5" hidden="1" thickBot="1" x14ac:dyDescent="0.3">
      <c r="A50" s="529" t="str">
        <f>A1833</f>
        <v>08.11</v>
      </c>
      <c r="B50" s="530"/>
      <c r="C50" s="530"/>
      <c r="D50" s="531" t="str">
        <f>D1833</f>
        <v>INTERLIGAÇÕES DE PROCESSOS, DRENAGEM E ÁGUA FRIA</v>
      </c>
      <c r="E50" s="403"/>
      <c r="F50" s="404"/>
      <c r="G50" s="405"/>
      <c r="H50" s="406"/>
      <c r="I50" s="407">
        <f>I1833</f>
        <v>240355.44</v>
      </c>
      <c r="J50" s="371"/>
      <c r="K50" s="585"/>
      <c r="L50" s="586"/>
      <c r="M50" s="388"/>
      <c r="N50" s="408"/>
      <c r="O50" s="409"/>
      <c r="P50" s="410"/>
      <c r="Q50" s="372"/>
      <c r="R50" s="372"/>
    </row>
    <row r="51" spans="1:18" ht="16.5" hidden="1" thickBot="1" x14ac:dyDescent="0.3">
      <c r="A51" s="526"/>
      <c r="B51" s="527"/>
      <c r="C51" s="527"/>
      <c r="D51" s="527"/>
      <c r="E51" s="396"/>
      <c r="F51" s="397"/>
      <c r="G51" s="398"/>
      <c r="H51" s="397"/>
      <c r="I51" s="399"/>
      <c r="J51" s="395"/>
      <c r="M51" s="388"/>
      <c r="N51" s="400"/>
      <c r="O51" s="401"/>
      <c r="P51" s="402"/>
      <c r="Q51" s="372"/>
      <c r="R51" s="372"/>
    </row>
    <row r="52" spans="1:18" ht="16.5" hidden="1" thickBot="1" x14ac:dyDescent="0.3">
      <c r="A52" s="529" t="str">
        <f>A1927</f>
        <v>08.12</v>
      </c>
      <c r="B52" s="530"/>
      <c r="C52" s="530"/>
      <c r="D52" s="531" t="str">
        <f>D1927</f>
        <v>URBANIZAÇÃO</v>
      </c>
      <c r="E52" s="403"/>
      <c r="F52" s="404"/>
      <c r="G52" s="405"/>
      <c r="H52" s="406"/>
      <c r="I52" s="407">
        <f>I1927</f>
        <v>437168.72000000003</v>
      </c>
      <c r="J52" s="371"/>
      <c r="K52" s="585"/>
      <c r="L52" s="586"/>
      <c r="M52" s="388"/>
      <c r="N52" s="408"/>
      <c r="O52" s="409"/>
      <c r="P52" s="410"/>
      <c r="Q52" s="372"/>
      <c r="R52" s="372"/>
    </row>
    <row r="53" spans="1:18" ht="16.5" hidden="1" thickBot="1" x14ac:dyDescent="0.3">
      <c r="A53" s="526"/>
      <c r="B53" s="527"/>
      <c r="C53" s="527"/>
      <c r="D53" s="527"/>
      <c r="E53" s="396"/>
      <c r="F53" s="397"/>
      <c r="G53" s="398"/>
      <c r="H53" s="397"/>
      <c r="I53" s="399"/>
      <c r="J53" s="395"/>
      <c r="M53" s="388"/>
      <c r="N53" s="400"/>
      <c r="O53" s="401"/>
      <c r="P53" s="402"/>
      <c r="Q53" s="372"/>
      <c r="R53" s="372"/>
    </row>
    <row r="54" spans="1:18" ht="16.5" hidden="1" thickBot="1" x14ac:dyDescent="0.3">
      <c r="A54" s="529"/>
      <c r="B54" s="530"/>
      <c r="C54" s="530"/>
      <c r="D54" s="531" t="s">
        <v>194</v>
      </c>
      <c r="E54" s="403"/>
      <c r="F54" s="404"/>
      <c r="G54" s="405"/>
      <c r="H54" s="406"/>
      <c r="I54" s="407" t="e">
        <f>SUM(I14:I52)-I28</f>
        <v>#REF!</v>
      </c>
      <c r="J54" s="371"/>
      <c r="K54" s="413">
        <v>7456600.3099999996</v>
      </c>
      <c r="L54" s="414">
        <v>4240770.95</v>
      </c>
      <c r="M54" s="388" t="e">
        <f>I54-K54</f>
        <v>#REF!</v>
      </c>
      <c r="N54" s="408" t="e">
        <f>L54/I54</f>
        <v>#REF!</v>
      </c>
      <c r="O54" s="409"/>
      <c r="P54" s="410"/>
      <c r="Q54" s="372"/>
      <c r="R54" s="372"/>
    </row>
    <row r="55" spans="1:18" ht="17.25" thickTop="1" thickBot="1" x14ac:dyDescent="0.25">
      <c r="A55" s="536" t="s">
        <v>1085</v>
      </c>
      <c r="B55" s="535"/>
      <c r="C55" s="535"/>
      <c r="D55" s="537" t="s">
        <v>77</v>
      </c>
      <c r="E55" s="491"/>
      <c r="F55" s="404"/>
      <c r="G55" s="405"/>
      <c r="H55" s="406"/>
      <c r="I55" s="407">
        <f>SUM(I56:I96)</f>
        <v>309399.90999999997</v>
      </c>
      <c r="J55" s="371"/>
      <c r="K55" s="423" t="e">
        <f>I55/I54</f>
        <v>#REF!</v>
      </c>
      <c r="L55" s="373">
        <v>6.71</v>
      </c>
      <c r="M55" s="424" t="e">
        <f>I14+I16+I18+I28</f>
        <v>#REF!</v>
      </c>
      <c r="N55" s="372"/>
      <c r="O55" s="372"/>
      <c r="P55" s="372"/>
      <c r="R55" s="372"/>
    </row>
    <row r="56" spans="1:18" ht="15.75" thickTop="1" x14ac:dyDescent="0.2">
      <c r="A56" s="538" t="s">
        <v>76</v>
      </c>
      <c r="B56" s="499" t="s">
        <v>45</v>
      </c>
      <c r="C56" s="499">
        <v>72840</v>
      </c>
      <c r="D56" s="539" t="s">
        <v>48</v>
      </c>
      <c r="E56" s="492" t="s">
        <v>21</v>
      </c>
      <c r="F56" s="425">
        <v>200000</v>
      </c>
      <c r="G56" s="426">
        <v>0.48</v>
      </c>
      <c r="H56" s="427">
        <f>G56*(1+$L$16)</f>
        <v>0.6068912961132279</v>
      </c>
      <c r="I56" s="428">
        <f t="shared" ref="I56" si="0">ROUND(F56*H56,2)</f>
        <v>121378.26</v>
      </c>
      <c r="J56" s="429"/>
      <c r="K56" s="372"/>
      <c r="L56" s="430"/>
      <c r="M56" s="372"/>
      <c r="N56" s="372"/>
      <c r="O56" s="372"/>
      <c r="P56" s="372"/>
      <c r="R56" s="372"/>
    </row>
    <row r="57" spans="1:18" x14ac:dyDescent="0.2">
      <c r="A57" s="538"/>
      <c r="B57" s="499"/>
      <c r="C57" s="499"/>
      <c r="D57" s="539"/>
      <c r="E57" s="492"/>
      <c r="F57" s="425"/>
      <c r="G57" s="426"/>
      <c r="H57" s="427"/>
      <c r="I57" s="428"/>
      <c r="J57" s="429"/>
      <c r="K57" s="372"/>
      <c r="L57" s="430"/>
      <c r="M57" s="372"/>
      <c r="N57" s="372"/>
      <c r="O57" s="372"/>
      <c r="P57" s="372"/>
      <c r="R57" s="372"/>
    </row>
    <row r="58" spans="1:18" x14ac:dyDescent="0.2">
      <c r="A58" s="538"/>
      <c r="B58" s="499"/>
      <c r="C58" s="499"/>
      <c r="D58" s="540" t="s">
        <v>2732</v>
      </c>
      <c r="E58" s="492"/>
      <c r="F58" s="425"/>
      <c r="G58" s="426"/>
      <c r="H58" s="427"/>
      <c r="I58" s="428"/>
      <c r="J58" s="429"/>
      <c r="K58" s="372"/>
      <c r="L58" s="430"/>
      <c r="M58" s="372"/>
      <c r="N58" s="372"/>
      <c r="O58" s="372"/>
      <c r="P58" s="372"/>
      <c r="R58" s="372"/>
    </row>
    <row r="59" spans="1:18" x14ac:dyDescent="0.2">
      <c r="A59" s="538"/>
      <c r="B59" s="499"/>
      <c r="C59" s="499"/>
      <c r="D59" s="539"/>
      <c r="E59" s="492"/>
      <c r="F59" s="425"/>
      <c r="G59" s="426"/>
      <c r="H59" s="427"/>
      <c r="I59" s="428"/>
      <c r="J59" s="429"/>
      <c r="K59" s="372"/>
      <c r="L59" s="430"/>
      <c r="M59" s="372"/>
      <c r="N59" s="372"/>
      <c r="O59" s="372"/>
      <c r="P59" s="372"/>
      <c r="R59" s="372"/>
    </row>
    <row r="60" spans="1:18" s="373" customFormat="1" ht="30" x14ac:dyDescent="0.2">
      <c r="A60" s="538" t="s">
        <v>67</v>
      </c>
      <c r="B60" s="499" t="s">
        <v>45</v>
      </c>
      <c r="C60" s="500">
        <v>93207</v>
      </c>
      <c r="D60" s="540" t="s">
        <v>1470</v>
      </c>
      <c r="E60" s="492" t="s">
        <v>15</v>
      </c>
      <c r="F60" s="425">
        <v>50</v>
      </c>
      <c r="G60" s="426">
        <v>596.67999999999995</v>
      </c>
      <c r="H60" s="427">
        <f t="shared" ref="H60:H96" si="1">G60*(1+$L$16)</f>
        <v>754.41645534341842</v>
      </c>
      <c r="I60" s="428">
        <f t="shared" ref="I60:I96" si="2">ROUND(F60*H60,2)</f>
        <v>37720.82</v>
      </c>
      <c r="J60" s="429"/>
      <c r="K60" s="431">
        <v>200000</v>
      </c>
      <c r="L60" s="424"/>
      <c r="M60" s="372"/>
      <c r="N60" s="372"/>
      <c r="O60" s="372"/>
      <c r="P60" s="372"/>
      <c r="R60" s="372"/>
    </row>
    <row r="61" spans="1:18" x14ac:dyDescent="0.2">
      <c r="A61" s="538"/>
      <c r="B61" s="499"/>
      <c r="C61" s="499"/>
      <c r="D61" s="539"/>
      <c r="E61" s="492"/>
      <c r="F61" s="425"/>
      <c r="G61" s="426"/>
      <c r="H61" s="427"/>
      <c r="I61" s="428"/>
      <c r="J61" s="429"/>
      <c r="K61" s="431">
        <v>50</v>
      </c>
      <c r="L61" s="430"/>
      <c r="M61" s="372"/>
      <c r="N61" s="372"/>
      <c r="O61" s="372"/>
      <c r="P61" s="372"/>
      <c r="R61" s="372"/>
    </row>
    <row r="62" spans="1:18" x14ac:dyDescent="0.2">
      <c r="A62" s="538"/>
      <c r="B62" s="499"/>
      <c r="C62" s="499"/>
      <c r="D62" s="540" t="s">
        <v>2252</v>
      </c>
      <c r="E62" s="492"/>
      <c r="F62" s="425"/>
      <c r="G62" s="426"/>
      <c r="H62" s="427"/>
      <c r="I62" s="428"/>
      <c r="J62" s="429"/>
      <c r="K62" s="431">
        <v>80</v>
      </c>
      <c r="L62" s="430"/>
      <c r="M62" s="372"/>
      <c r="N62" s="372"/>
      <c r="O62" s="372"/>
      <c r="P62" s="372"/>
      <c r="R62" s="372"/>
    </row>
    <row r="63" spans="1:18" x14ac:dyDescent="0.2">
      <c r="A63" s="538"/>
      <c r="B63" s="499"/>
      <c r="C63" s="499"/>
      <c r="D63" s="539"/>
      <c r="E63" s="492"/>
      <c r="F63" s="425"/>
      <c r="G63" s="426"/>
      <c r="H63" s="427"/>
      <c r="I63" s="428"/>
      <c r="J63" s="429"/>
      <c r="K63" s="431">
        <v>1</v>
      </c>
      <c r="L63" s="430"/>
      <c r="M63" s="372"/>
      <c r="N63" s="372"/>
      <c r="O63" s="372"/>
      <c r="P63" s="372"/>
      <c r="R63" s="372"/>
    </row>
    <row r="64" spans="1:18" s="373" customFormat="1" ht="30" x14ac:dyDescent="0.2">
      <c r="A64" s="538" t="s">
        <v>68</v>
      </c>
      <c r="B64" s="499" t="s">
        <v>45</v>
      </c>
      <c r="C64" s="500">
        <v>93584</v>
      </c>
      <c r="D64" s="540" t="s">
        <v>1471</v>
      </c>
      <c r="E64" s="492" t="s">
        <v>15</v>
      </c>
      <c r="F64" s="425">
        <v>80</v>
      </c>
      <c r="G64" s="426">
        <v>437.42</v>
      </c>
      <c r="H64" s="427">
        <f t="shared" si="1"/>
        <v>553.05498072051705</v>
      </c>
      <c r="I64" s="428">
        <f t="shared" si="2"/>
        <v>44244.4</v>
      </c>
      <c r="J64" s="429"/>
      <c r="K64" s="431">
        <v>24</v>
      </c>
      <c r="L64" s="372"/>
      <c r="M64" s="372"/>
      <c r="N64" s="372"/>
      <c r="O64" s="372"/>
      <c r="P64" s="372"/>
      <c r="R64" s="372"/>
    </row>
    <row r="65" spans="1:18" x14ac:dyDescent="0.2">
      <c r="A65" s="538"/>
      <c r="B65" s="499"/>
      <c r="C65" s="499"/>
      <c r="D65" s="539"/>
      <c r="E65" s="492"/>
      <c r="F65" s="425"/>
      <c r="G65" s="426"/>
      <c r="H65" s="427"/>
      <c r="I65" s="428"/>
      <c r="J65" s="429"/>
      <c r="K65" s="431">
        <v>140</v>
      </c>
      <c r="L65" s="430"/>
      <c r="M65" s="372"/>
      <c r="N65" s="372"/>
      <c r="O65" s="372"/>
      <c r="P65" s="372"/>
      <c r="R65" s="372"/>
    </row>
    <row r="66" spans="1:18" x14ac:dyDescent="0.2">
      <c r="A66" s="538"/>
      <c r="B66" s="499"/>
      <c r="C66" s="499"/>
      <c r="D66" s="540" t="s">
        <v>2253</v>
      </c>
      <c r="E66" s="492"/>
      <c r="F66" s="425"/>
      <c r="G66" s="426"/>
      <c r="H66" s="427"/>
      <c r="I66" s="428"/>
      <c r="J66" s="429"/>
      <c r="K66" s="431">
        <v>200</v>
      </c>
      <c r="L66" s="430"/>
      <c r="M66" s="372"/>
      <c r="N66" s="372"/>
      <c r="O66" s="372"/>
      <c r="P66" s="372"/>
      <c r="R66" s="372"/>
    </row>
    <row r="67" spans="1:18" x14ac:dyDescent="0.2">
      <c r="A67" s="538"/>
      <c r="B67" s="499"/>
      <c r="C67" s="499"/>
      <c r="D67" s="539"/>
      <c r="E67" s="492"/>
      <c r="F67" s="425"/>
      <c r="G67" s="426"/>
      <c r="H67" s="427"/>
      <c r="I67" s="428"/>
      <c r="J67" s="429"/>
      <c r="K67" s="431">
        <v>50</v>
      </c>
      <c r="L67" s="430"/>
      <c r="M67" s="372"/>
      <c r="N67" s="372"/>
      <c r="O67" s="372"/>
      <c r="P67" s="372"/>
      <c r="R67" s="372"/>
    </row>
    <row r="68" spans="1:18" x14ac:dyDescent="0.2">
      <c r="A68" s="538" t="s">
        <v>69</v>
      </c>
      <c r="B68" s="499" t="s">
        <v>45</v>
      </c>
      <c r="C68" s="500">
        <v>41598</v>
      </c>
      <c r="D68" s="540" t="s">
        <v>1472</v>
      </c>
      <c r="E68" s="492" t="s">
        <v>19</v>
      </c>
      <c r="F68" s="425">
        <v>1</v>
      </c>
      <c r="G68" s="426">
        <v>1328.79</v>
      </c>
      <c r="H68" s="427">
        <f t="shared" si="1"/>
        <v>1680.0647611714503</v>
      </c>
      <c r="I68" s="428">
        <f t="shared" si="2"/>
        <v>1680.06</v>
      </c>
      <c r="J68" s="429"/>
      <c r="K68" s="431">
        <v>2</v>
      </c>
      <c r="L68" s="430"/>
      <c r="M68" s="372"/>
      <c r="N68" s="372"/>
      <c r="O68" s="372"/>
      <c r="P68" s="372"/>
      <c r="R68" s="372"/>
    </row>
    <row r="69" spans="1:18" x14ac:dyDescent="0.2">
      <c r="A69" s="538"/>
      <c r="B69" s="499"/>
      <c r="C69" s="499"/>
      <c r="D69" s="539"/>
      <c r="E69" s="492"/>
      <c r="F69" s="425"/>
      <c r="G69" s="426"/>
      <c r="H69" s="427"/>
      <c r="I69" s="428"/>
      <c r="J69" s="429"/>
      <c r="K69" s="431">
        <v>2</v>
      </c>
      <c r="L69" s="430"/>
      <c r="M69" s="372"/>
      <c r="N69" s="372"/>
      <c r="O69" s="372"/>
      <c r="P69" s="372"/>
      <c r="R69" s="372"/>
    </row>
    <row r="70" spans="1:18" x14ac:dyDescent="0.2">
      <c r="A70" s="538"/>
      <c r="B70" s="499"/>
      <c r="C70" s="499"/>
      <c r="D70" s="541" t="s">
        <v>2251</v>
      </c>
      <c r="E70" s="492"/>
      <c r="F70" s="425"/>
      <c r="G70" s="426"/>
      <c r="H70" s="427"/>
      <c r="I70" s="428"/>
      <c r="J70" s="429"/>
      <c r="K70" s="431">
        <v>80</v>
      </c>
      <c r="L70" s="430"/>
      <c r="M70" s="372"/>
      <c r="N70" s="372"/>
      <c r="O70" s="372"/>
      <c r="P70" s="372"/>
      <c r="R70" s="372"/>
    </row>
    <row r="71" spans="1:18" x14ac:dyDescent="0.2">
      <c r="A71" s="538"/>
      <c r="B71" s="499"/>
      <c r="C71" s="499"/>
      <c r="D71" s="539"/>
      <c r="E71" s="492"/>
      <c r="F71" s="425"/>
      <c r="G71" s="426"/>
      <c r="H71" s="427"/>
      <c r="I71" s="428"/>
      <c r="J71" s="429"/>
      <c r="K71" s="372"/>
      <c r="L71" s="430"/>
      <c r="M71" s="372"/>
      <c r="N71" s="372"/>
      <c r="O71" s="372"/>
      <c r="P71" s="372"/>
      <c r="R71" s="372"/>
    </row>
    <row r="72" spans="1:18" x14ac:dyDescent="0.2">
      <c r="A72" s="538" t="s">
        <v>70</v>
      </c>
      <c r="B72" s="499" t="s">
        <v>45</v>
      </c>
      <c r="C72" s="499" t="s">
        <v>46</v>
      </c>
      <c r="D72" s="539" t="s">
        <v>47</v>
      </c>
      <c r="E72" s="492" t="s">
        <v>15</v>
      </c>
      <c r="F72" s="425">
        <v>24</v>
      </c>
      <c r="G72" s="426">
        <v>319.02999999999997</v>
      </c>
      <c r="H72" s="427">
        <f t="shared" si="1"/>
        <v>403.36777124792309</v>
      </c>
      <c r="I72" s="428">
        <f t="shared" si="2"/>
        <v>9680.83</v>
      </c>
      <c r="J72" s="429"/>
      <c r="K72" s="372"/>
      <c r="L72" s="372"/>
      <c r="M72" s="372"/>
      <c r="N72" s="372"/>
      <c r="O72" s="372"/>
      <c r="P72" s="372"/>
      <c r="R72" s="372"/>
    </row>
    <row r="73" spans="1:18" x14ac:dyDescent="0.2">
      <c r="A73" s="538"/>
      <c r="B73" s="499"/>
      <c r="C73" s="499"/>
      <c r="D73" s="539"/>
      <c r="E73" s="492"/>
      <c r="F73" s="425"/>
      <c r="G73" s="426"/>
      <c r="H73" s="427"/>
      <c r="I73" s="428"/>
      <c r="J73" s="429"/>
      <c r="K73" s="372"/>
      <c r="L73" s="430"/>
      <c r="M73" s="372"/>
      <c r="N73" s="372"/>
      <c r="O73" s="372"/>
      <c r="P73" s="372"/>
      <c r="R73" s="372"/>
    </row>
    <row r="74" spans="1:18" s="373" customFormat="1" x14ac:dyDescent="0.2">
      <c r="A74" s="542"/>
      <c r="B74" s="500"/>
      <c r="C74" s="500"/>
      <c r="D74" s="543" t="s">
        <v>2510</v>
      </c>
      <c r="E74" s="495"/>
      <c r="F74" s="426"/>
      <c r="G74" s="426"/>
      <c r="H74" s="426"/>
      <c r="I74" s="448"/>
      <c r="J74" s="437"/>
      <c r="K74" s="372"/>
      <c r="L74" s="430"/>
      <c r="M74" s="372"/>
      <c r="N74" s="372"/>
      <c r="O74" s="372"/>
      <c r="P74" s="372"/>
      <c r="R74" s="372"/>
    </row>
    <row r="75" spans="1:18" x14ac:dyDescent="0.2">
      <c r="A75" s="538"/>
      <c r="B75" s="499"/>
      <c r="C75" s="499"/>
      <c r="D75" s="539"/>
      <c r="E75" s="492"/>
      <c r="F75" s="425"/>
      <c r="G75" s="426"/>
      <c r="H75" s="427"/>
      <c r="I75" s="428"/>
      <c r="J75" s="429"/>
      <c r="K75" s="372"/>
      <c r="L75" s="430"/>
      <c r="M75" s="372"/>
      <c r="N75" s="372"/>
      <c r="O75" s="372"/>
      <c r="P75" s="372"/>
      <c r="R75" s="372"/>
    </row>
    <row r="76" spans="1:18" x14ac:dyDescent="0.2">
      <c r="A76" s="538" t="s">
        <v>78</v>
      </c>
      <c r="B76" s="499" t="s">
        <v>45</v>
      </c>
      <c r="C76" s="499" t="s">
        <v>161</v>
      </c>
      <c r="D76" s="539" t="s">
        <v>165</v>
      </c>
      <c r="E76" s="492" t="s">
        <v>15</v>
      </c>
      <c r="F76" s="425">
        <v>140</v>
      </c>
      <c r="G76" s="426">
        <v>52.37</v>
      </c>
      <c r="H76" s="427">
        <f t="shared" si="1"/>
        <v>66.214369119686964</v>
      </c>
      <c r="I76" s="428">
        <f t="shared" si="2"/>
        <v>9270.01</v>
      </c>
      <c r="J76" s="429"/>
      <c r="K76" s="372"/>
      <c r="L76" s="430"/>
      <c r="M76" s="372"/>
      <c r="N76" s="372"/>
      <c r="O76" s="372"/>
      <c r="P76" s="372"/>
      <c r="R76" s="372"/>
    </row>
    <row r="77" spans="1:18" x14ac:dyDescent="0.2">
      <c r="A77" s="538"/>
      <c r="B77" s="499"/>
      <c r="C77" s="499"/>
      <c r="D77" s="539"/>
      <c r="E77" s="492"/>
      <c r="F77" s="425"/>
      <c r="G77" s="426"/>
      <c r="H77" s="427"/>
      <c r="I77" s="428"/>
      <c r="J77" s="429"/>
      <c r="K77" s="372"/>
      <c r="L77" s="430"/>
      <c r="M77" s="372"/>
      <c r="N77" s="372"/>
      <c r="O77" s="372"/>
      <c r="P77" s="372"/>
      <c r="R77" s="372"/>
    </row>
    <row r="78" spans="1:18" x14ac:dyDescent="0.2">
      <c r="A78" s="538"/>
      <c r="B78" s="499"/>
      <c r="C78" s="499"/>
      <c r="D78" s="540" t="s">
        <v>2511</v>
      </c>
      <c r="E78" s="492"/>
      <c r="F78" s="425"/>
      <c r="G78" s="426"/>
      <c r="H78" s="427"/>
      <c r="I78" s="428"/>
      <c r="J78" s="429"/>
      <c r="K78" s="372"/>
      <c r="L78" s="430"/>
      <c r="M78" s="372"/>
      <c r="N78" s="372"/>
      <c r="O78" s="372"/>
      <c r="P78" s="372"/>
      <c r="R78" s="372"/>
    </row>
    <row r="79" spans="1:18" x14ac:dyDescent="0.2">
      <c r="A79" s="538"/>
      <c r="B79" s="499"/>
      <c r="C79" s="499"/>
      <c r="D79" s="539"/>
      <c r="E79" s="492"/>
      <c r="F79" s="425"/>
      <c r="G79" s="426"/>
      <c r="H79" s="427"/>
      <c r="I79" s="428"/>
      <c r="J79" s="429"/>
      <c r="K79" s="372"/>
      <c r="L79" s="430"/>
      <c r="M79" s="372"/>
      <c r="N79" s="372"/>
      <c r="O79" s="372"/>
      <c r="P79" s="372"/>
      <c r="R79" s="372"/>
    </row>
    <row r="80" spans="1:18" s="373" customFormat="1" ht="30" x14ac:dyDescent="0.2">
      <c r="A80" s="538" t="s">
        <v>159</v>
      </c>
      <c r="B80" s="499" t="s">
        <v>45</v>
      </c>
      <c r="C80" s="499" t="s">
        <v>162</v>
      </c>
      <c r="D80" s="539" t="s">
        <v>163</v>
      </c>
      <c r="E80" s="492" t="s">
        <v>17</v>
      </c>
      <c r="F80" s="425">
        <v>200</v>
      </c>
      <c r="G80" s="426">
        <v>26.28</v>
      </c>
      <c r="H80" s="427">
        <f t="shared" si="1"/>
        <v>33.227298462199229</v>
      </c>
      <c r="I80" s="428">
        <f t="shared" si="2"/>
        <v>6645.46</v>
      </c>
      <c r="J80" s="429"/>
      <c r="K80" s="372"/>
      <c r="L80" s="372"/>
      <c r="M80" s="372"/>
      <c r="N80" s="372"/>
      <c r="O80" s="372"/>
      <c r="P80" s="372"/>
      <c r="R80" s="372"/>
    </row>
    <row r="81" spans="1:18" x14ac:dyDescent="0.2">
      <c r="A81" s="538"/>
      <c r="B81" s="499"/>
      <c r="C81" s="499"/>
      <c r="D81" s="539"/>
      <c r="E81" s="492"/>
      <c r="F81" s="425"/>
      <c r="G81" s="426"/>
      <c r="H81" s="427"/>
      <c r="I81" s="428"/>
      <c r="J81" s="429"/>
      <c r="K81" s="372"/>
      <c r="L81" s="430"/>
      <c r="M81" s="372"/>
      <c r="N81" s="372"/>
      <c r="O81" s="372"/>
      <c r="P81" s="372"/>
      <c r="R81" s="372"/>
    </row>
    <row r="82" spans="1:18" ht="17.25" customHeight="1" x14ac:dyDescent="0.2">
      <c r="A82" s="538"/>
      <c r="B82" s="499"/>
      <c r="C82" s="499"/>
      <c r="D82" s="540" t="s">
        <v>2254</v>
      </c>
      <c r="E82" s="492"/>
      <c r="F82" s="425"/>
      <c r="G82" s="426"/>
      <c r="H82" s="427"/>
      <c r="I82" s="428"/>
      <c r="J82" s="429"/>
      <c r="K82" s="372"/>
      <c r="L82" s="430"/>
      <c r="M82" s="372"/>
      <c r="N82" s="372"/>
      <c r="O82" s="372"/>
      <c r="P82" s="372"/>
      <c r="R82" s="372"/>
    </row>
    <row r="83" spans="1:18" x14ac:dyDescent="0.2">
      <c r="A83" s="538"/>
      <c r="B83" s="499"/>
      <c r="C83" s="499"/>
      <c r="D83" s="539"/>
      <c r="E83" s="492"/>
      <c r="F83" s="425"/>
      <c r="G83" s="426"/>
      <c r="H83" s="427"/>
      <c r="I83" s="428"/>
      <c r="J83" s="429"/>
      <c r="K83" s="372"/>
      <c r="L83" s="430"/>
      <c r="M83" s="372"/>
      <c r="N83" s="372"/>
      <c r="O83" s="372"/>
      <c r="P83" s="372"/>
      <c r="R83" s="372"/>
    </row>
    <row r="84" spans="1:18" s="373" customFormat="1" ht="30" x14ac:dyDescent="0.2">
      <c r="A84" s="538" t="s">
        <v>160</v>
      </c>
      <c r="B84" s="499" t="s">
        <v>45</v>
      </c>
      <c r="C84" s="499">
        <v>93212</v>
      </c>
      <c r="D84" s="539" t="s">
        <v>1475</v>
      </c>
      <c r="E84" s="492" t="s">
        <v>15</v>
      </c>
      <c r="F84" s="425">
        <v>50</v>
      </c>
      <c r="G84" s="426">
        <v>577.16</v>
      </c>
      <c r="H84" s="427">
        <f t="shared" si="1"/>
        <v>729.73620930148047</v>
      </c>
      <c r="I84" s="428">
        <f t="shared" si="2"/>
        <v>36486.81</v>
      </c>
      <c r="J84" s="429"/>
      <c r="K84" s="372"/>
      <c r="L84" s="372"/>
      <c r="M84" s="372"/>
      <c r="N84" s="372"/>
      <c r="O84" s="372"/>
      <c r="P84" s="372"/>
      <c r="R84" s="372"/>
    </row>
    <row r="85" spans="1:18" x14ac:dyDescent="0.2">
      <c r="A85" s="538"/>
      <c r="B85" s="499"/>
      <c r="C85" s="499"/>
      <c r="D85" s="539"/>
      <c r="E85" s="492"/>
      <c r="F85" s="425"/>
      <c r="G85" s="426"/>
      <c r="H85" s="427"/>
      <c r="I85" s="428"/>
      <c r="J85" s="429"/>
      <c r="K85" s="372"/>
      <c r="L85" s="430"/>
      <c r="M85" s="372"/>
      <c r="N85" s="372"/>
      <c r="O85" s="372"/>
      <c r="P85" s="372"/>
      <c r="R85" s="372"/>
    </row>
    <row r="86" spans="1:18" x14ac:dyDescent="0.2">
      <c r="A86" s="538"/>
      <c r="B86" s="499"/>
      <c r="C86" s="499"/>
      <c r="D86" s="540" t="s">
        <v>2252</v>
      </c>
      <c r="E86" s="492"/>
      <c r="F86" s="425"/>
      <c r="G86" s="426"/>
      <c r="H86" s="427"/>
      <c r="I86" s="428"/>
      <c r="J86" s="429"/>
      <c r="K86" s="372"/>
      <c r="L86" s="430"/>
      <c r="M86" s="372"/>
      <c r="N86" s="372"/>
      <c r="O86" s="372"/>
      <c r="P86" s="372"/>
      <c r="R86" s="372"/>
    </row>
    <row r="87" spans="1:18" x14ac:dyDescent="0.2">
      <c r="A87" s="538"/>
      <c r="B87" s="499"/>
      <c r="C87" s="499"/>
      <c r="D87" s="539"/>
      <c r="E87" s="492"/>
      <c r="F87" s="425"/>
      <c r="G87" s="426"/>
      <c r="H87" s="427"/>
      <c r="I87" s="428"/>
      <c r="J87" s="429"/>
      <c r="K87" s="372"/>
      <c r="L87" s="430"/>
      <c r="M87" s="372"/>
      <c r="N87" s="372"/>
      <c r="O87" s="372"/>
      <c r="P87" s="372"/>
      <c r="R87" s="372"/>
    </row>
    <row r="88" spans="1:18" s="373" customFormat="1" ht="45" x14ac:dyDescent="0.2">
      <c r="A88" s="538" t="s">
        <v>348</v>
      </c>
      <c r="B88" s="499" t="s">
        <v>45</v>
      </c>
      <c r="C88" s="499">
        <v>95463</v>
      </c>
      <c r="D88" s="539" t="s">
        <v>1473</v>
      </c>
      <c r="E88" s="492" t="s">
        <v>19</v>
      </c>
      <c r="F88" s="425">
        <v>2</v>
      </c>
      <c r="G88" s="426">
        <v>1361.71</v>
      </c>
      <c r="H88" s="427">
        <f t="shared" si="1"/>
        <v>1721.6873892298827</v>
      </c>
      <c r="I88" s="428">
        <f t="shared" si="2"/>
        <v>3443.37</v>
      </c>
      <c r="J88" s="429"/>
      <c r="K88" s="372"/>
      <c r="L88" s="372"/>
      <c r="M88" s="372"/>
      <c r="N88" s="372"/>
      <c r="O88" s="372"/>
      <c r="P88" s="372"/>
      <c r="R88" s="372"/>
    </row>
    <row r="89" spans="1:18" x14ac:dyDescent="0.2">
      <c r="A89" s="538"/>
      <c r="B89" s="499"/>
      <c r="C89" s="499"/>
      <c r="D89" s="539"/>
      <c r="E89" s="492"/>
      <c r="F89" s="425"/>
      <c r="G89" s="426"/>
      <c r="H89" s="427"/>
      <c r="I89" s="428"/>
      <c r="J89" s="429"/>
      <c r="K89" s="372"/>
      <c r="L89" s="430"/>
      <c r="M89" s="372"/>
      <c r="N89" s="372"/>
      <c r="O89" s="372"/>
      <c r="P89" s="372"/>
      <c r="R89" s="372"/>
    </row>
    <row r="90" spans="1:18" x14ac:dyDescent="0.2">
      <c r="A90" s="538"/>
      <c r="B90" s="499"/>
      <c r="C90" s="499"/>
      <c r="D90" s="539" t="s">
        <v>2255</v>
      </c>
      <c r="E90" s="492"/>
      <c r="F90" s="425"/>
      <c r="G90" s="426"/>
      <c r="H90" s="427"/>
      <c r="I90" s="428"/>
      <c r="J90" s="429"/>
      <c r="K90" s="372"/>
      <c r="L90" s="430"/>
      <c r="M90" s="372"/>
      <c r="N90" s="372"/>
      <c r="O90" s="372"/>
      <c r="P90" s="372"/>
      <c r="R90" s="372"/>
    </row>
    <row r="91" spans="1:18" x14ac:dyDescent="0.2">
      <c r="A91" s="538"/>
      <c r="B91" s="499"/>
      <c r="C91" s="499"/>
      <c r="D91" s="539"/>
      <c r="E91" s="492"/>
      <c r="F91" s="425"/>
      <c r="G91" s="426"/>
      <c r="H91" s="427"/>
      <c r="I91" s="428"/>
      <c r="J91" s="429"/>
      <c r="K91" s="372"/>
      <c r="L91" s="430"/>
      <c r="M91" s="372"/>
      <c r="N91" s="372"/>
      <c r="O91" s="372"/>
      <c r="P91" s="372"/>
      <c r="R91" s="372"/>
    </row>
    <row r="92" spans="1:18" ht="30" x14ac:dyDescent="0.2">
      <c r="A92" s="538" t="s">
        <v>349</v>
      </c>
      <c r="B92" s="499" t="s">
        <v>45</v>
      </c>
      <c r="C92" s="499" t="s">
        <v>375</v>
      </c>
      <c r="D92" s="539" t="s">
        <v>376</v>
      </c>
      <c r="E92" s="492" t="s">
        <v>19</v>
      </c>
      <c r="F92" s="425">
        <v>2</v>
      </c>
      <c r="G92" s="426">
        <v>1506.7</v>
      </c>
      <c r="H92" s="427">
        <f t="shared" si="1"/>
        <v>1905.0064913620845</v>
      </c>
      <c r="I92" s="428">
        <f t="shared" si="2"/>
        <v>3810.01</v>
      </c>
      <c r="J92" s="429"/>
      <c r="K92" s="372"/>
      <c r="L92" s="430"/>
      <c r="M92" s="372"/>
      <c r="N92" s="372"/>
      <c r="O92" s="372"/>
      <c r="P92" s="372"/>
      <c r="R92" s="372"/>
    </row>
    <row r="93" spans="1:18" x14ac:dyDescent="0.2">
      <c r="A93" s="538"/>
      <c r="B93" s="499"/>
      <c r="C93" s="499"/>
      <c r="D93" s="539"/>
      <c r="E93" s="492"/>
      <c r="F93" s="425"/>
      <c r="G93" s="426"/>
      <c r="H93" s="427"/>
      <c r="I93" s="428"/>
      <c r="J93" s="429"/>
      <c r="K93" s="372"/>
      <c r="L93" s="430"/>
      <c r="M93" s="372"/>
      <c r="N93" s="372"/>
      <c r="O93" s="372"/>
      <c r="P93" s="372"/>
      <c r="R93" s="372"/>
    </row>
    <row r="94" spans="1:18" x14ac:dyDescent="0.2">
      <c r="A94" s="538"/>
      <c r="B94" s="499"/>
      <c r="C94" s="499"/>
      <c r="D94" s="539" t="s">
        <v>2255</v>
      </c>
      <c r="E94" s="492"/>
      <c r="F94" s="425"/>
      <c r="G94" s="426"/>
      <c r="H94" s="427"/>
      <c r="I94" s="428"/>
      <c r="J94" s="429"/>
      <c r="K94" s="372"/>
      <c r="L94" s="430"/>
      <c r="M94" s="372"/>
      <c r="N94" s="372"/>
      <c r="O94" s="372"/>
      <c r="P94" s="372"/>
      <c r="R94" s="372"/>
    </row>
    <row r="95" spans="1:18" x14ac:dyDescent="0.2">
      <c r="A95" s="538"/>
      <c r="B95" s="499"/>
      <c r="C95" s="499"/>
      <c r="D95" s="539"/>
      <c r="E95" s="492"/>
      <c r="F95" s="425"/>
      <c r="G95" s="426"/>
      <c r="H95" s="427"/>
      <c r="I95" s="428"/>
      <c r="J95" s="429"/>
      <c r="K95" s="372"/>
      <c r="L95" s="430"/>
      <c r="M95" s="372"/>
      <c r="N95" s="372"/>
      <c r="O95" s="372"/>
      <c r="P95" s="372"/>
      <c r="R95" s="372"/>
    </row>
    <row r="96" spans="1:18" s="373" customFormat="1" ht="30" x14ac:dyDescent="0.2">
      <c r="A96" s="538" t="s">
        <v>1476</v>
      </c>
      <c r="B96" s="499" t="s">
        <v>45</v>
      </c>
      <c r="C96" s="499">
        <v>93210</v>
      </c>
      <c r="D96" s="539" t="s">
        <v>1474</v>
      </c>
      <c r="E96" s="492" t="s">
        <v>15</v>
      </c>
      <c r="F96" s="425">
        <v>80</v>
      </c>
      <c r="G96" s="426">
        <v>346.42</v>
      </c>
      <c r="H96" s="427">
        <f t="shared" si="1"/>
        <v>437.99850583238424</v>
      </c>
      <c r="I96" s="428">
        <f t="shared" si="2"/>
        <v>35039.879999999997</v>
      </c>
      <c r="J96" s="429"/>
      <c r="K96" s="372"/>
      <c r="L96" s="372"/>
      <c r="M96" s="372"/>
      <c r="N96" s="372"/>
      <c r="O96" s="372"/>
      <c r="P96" s="372"/>
      <c r="R96" s="372"/>
    </row>
    <row r="97" spans="1:63" x14ac:dyDescent="0.2">
      <c r="A97" s="538"/>
      <c r="B97" s="499"/>
      <c r="C97" s="499"/>
      <c r="D97" s="539"/>
      <c r="E97" s="492"/>
      <c r="F97" s="425"/>
      <c r="G97" s="426"/>
      <c r="H97" s="427"/>
      <c r="I97" s="428"/>
      <c r="J97" s="429"/>
      <c r="K97" s="372"/>
      <c r="L97" s="430"/>
      <c r="M97" s="372"/>
      <c r="N97" s="372"/>
      <c r="O97" s="372"/>
      <c r="P97" s="372"/>
      <c r="R97" s="372"/>
    </row>
    <row r="98" spans="1:63" x14ac:dyDescent="0.2">
      <c r="A98" s="538"/>
      <c r="B98" s="499"/>
      <c r="C98" s="499"/>
      <c r="D98" s="540" t="s">
        <v>2253</v>
      </c>
      <c r="E98" s="492"/>
      <c r="F98" s="425"/>
      <c r="G98" s="426"/>
      <c r="H98" s="427"/>
      <c r="I98" s="428"/>
      <c r="J98" s="429"/>
      <c r="K98" s="372"/>
      <c r="L98" s="430"/>
      <c r="M98" s="372"/>
      <c r="N98" s="372"/>
      <c r="O98" s="372"/>
      <c r="P98" s="372"/>
      <c r="R98" s="372"/>
    </row>
    <row r="99" spans="1:63" x14ac:dyDescent="0.2">
      <c r="A99" s="538"/>
      <c r="B99" s="499"/>
      <c r="C99" s="499"/>
      <c r="D99" s="539"/>
      <c r="E99" s="492"/>
      <c r="F99" s="425"/>
      <c r="G99" s="426"/>
      <c r="H99" s="427"/>
      <c r="I99" s="428"/>
      <c r="J99" s="429"/>
      <c r="K99" s="372"/>
      <c r="L99" s="430"/>
      <c r="M99" s="372"/>
      <c r="N99" s="372"/>
      <c r="O99" s="372"/>
      <c r="P99" s="372"/>
      <c r="R99" s="372"/>
    </row>
    <row r="100" spans="1:63" x14ac:dyDescent="0.2">
      <c r="A100" s="538"/>
      <c r="B100" s="499"/>
      <c r="C100" s="499"/>
      <c r="D100" s="539"/>
      <c r="E100" s="492"/>
      <c r="F100" s="432"/>
      <c r="G100" s="433"/>
      <c r="H100" s="432"/>
      <c r="I100" s="434"/>
      <c r="J100" s="435"/>
      <c r="K100" s="372"/>
      <c r="L100" s="372"/>
      <c r="M100" s="372"/>
      <c r="N100" s="372"/>
      <c r="O100" s="372"/>
      <c r="P100" s="372"/>
      <c r="R100" s="372"/>
    </row>
    <row r="101" spans="1:63" ht="16.5" thickBot="1" x14ac:dyDescent="0.25">
      <c r="A101" s="544" t="s">
        <v>1086</v>
      </c>
      <c r="B101" s="501"/>
      <c r="C101" s="501"/>
      <c r="D101" s="545" t="s">
        <v>158</v>
      </c>
      <c r="E101" s="491"/>
      <c r="F101" s="404"/>
      <c r="G101" s="405"/>
      <c r="H101" s="406"/>
      <c r="I101" s="407">
        <f>SUM(I102:I102)</f>
        <v>687585.08</v>
      </c>
      <c r="J101" s="436"/>
      <c r="K101" s="372"/>
      <c r="L101" s="372"/>
      <c r="M101" s="372"/>
      <c r="N101" s="372"/>
      <c r="O101" s="372"/>
      <c r="P101" s="372"/>
      <c r="R101" s="372"/>
    </row>
    <row r="102" spans="1:63" s="373" customFormat="1" ht="31.5" thickTop="1" thickBot="1" x14ac:dyDescent="0.25">
      <c r="A102" s="538" t="s">
        <v>714</v>
      </c>
      <c r="B102" s="502" t="s">
        <v>335</v>
      </c>
      <c r="C102" s="503" t="str">
        <f>COMPOSIÇÕES!C13</f>
        <v>CE-001</v>
      </c>
      <c r="D102" s="539" t="s">
        <v>384</v>
      </c>
      <c r="E102" s="492" t="s">
        <v>20</v>
      </c>
      <c r="F102" s="432">
        <v>12</v>
      </c>
      <c r="G102" s="427">
        <f>COMPOSIÇÕES!I13</f>
        <v>45318.5</v>
      </c>
      <c r="H102" s="427">
        <f>G102*(1+$L$16)</f>
        <v>57298.756672723583</v>
      </c>
      <c r="I102" s="428">
        <f>ROUND(F102*H102,2)</f>
        <v>687585.08</v>
      </c>
      <c r="J102" s="437"/>
      <c r="K102" s="438" t="e">
        <f>I102/I54</f>
        <v>#REF!</v>
      </c>
      <c r="L102" s="424"/>
      <c r="M102" s="372" t="s">
        <v>385</v>
      </c>
      <c r="N102" s="372"/>
      <c r="O102" s="372"/>
      <c r="P102" s="372"/>
      <c r="R102" s="372"/>
    </row>
    <row r="103" spans="1:63" s="373" customFormat="1" ht="16.5" thickTop="1" x14ac:dyDescent="0.2">
      <c r="A103" s="538"/>
      <c r="B103" s="502"/>
      <c r="C103" s="503"/>
      <c r="D103" s="539"/>
      <c r="E103" s="492"/>
      <c r="F103" s="432"/>
      <c r="G103" s="427"/>
      <c r="H103" s="427"/>
      <c r="I103" s="428"/>
      <c r="J103" s="437"/>
      <c r="K103" s="509"/>
      <c r="L103" s="424"/>
      <c r="M103" s="372"/>
      <c r="N103" s="372"/>
      <c r="O103" s="372"/>
      <c r="P103" s="372"/>
      <c r="R103" s="372"/>
    </row>
    <row r="104" spans="1:63" s="373" customFormat="1" ht="18.75" customHeight="1" x14ac:dyDescent="0.2">
      <c r="A104" s="538"/>
      <c r="B104" s="502"/>
      <c r="C104" s="503"/>
      <c r="D104" s="539" t="s">
        <v>2282</v>
      </c>
      <c r="E104" s="492"/>
      <c r="F104" s="432"/>
      <c r="G104" s="427"/>
      <c r="H104" s="427"/>
      <c r="I104" s="428"/>
      <c r="J104" s="437"/>
      <c r="K104" s="509"/>
      <c r="L104" s="424"/>
      <c r="M104" s="372"/>
      <c r="N104" s="372"/>
      <c r="O104" s="372"/>
      <c r="P104" s="372"/>
      <c r="R104" s="372"/>
    </row>
    <row r="105" spans="1:63" x14ac:dyDescent="0.2">
      <c r="A105" s="538"/>
      <c r="B105" s="499"/>
      <c r="C105" s="499"/>
      <c r="D105" s="539"/>
      <c r="E105" s="492"/>
      <c r="F105" s="432"/>
      <c r="G105" s="433"/>
      <c r="H105" s="433"/>
      <c r="I105" s="434"/>
      <c r="J105" s="435"/>
      <c r="K105" s="372"/>
      <c r="L105" s="424"/>
      <c r="M105" s="372"/>
      <c r="N105" s="372"/>
      <c r="O105" s="372"/>
      <c r="P105" s="372"/>
      <c r="R105" s="372"/>
    </row>
    <row r="106" spans="1:63" ht="15.75" x14ac:dyDescent="0.2">
      <c r="A106" s="544" t="s">
        <v>1087</v>
      </c>
      <c r="B106" s="501"/>
      <c r="C106" s="501"/>
      <c r="D106" s="545" t="s">
        <v>776</v>
      </c>
      <c r="E106" s="491" t="s">
        <v>61</v>
      </c>
      <c r="F106" s="404"/>
      <c r="G106" s="405"/>
      <c r="H106" s="406"/>
      <c r="I106" s="439">
        <f>I107+I124+I173+I222+I280</f>
        <v>226805.13</v>
      </c>
      <c r="J106" s="435"/>
      <c r="K106" s="372" t="e">
        <f>I106/F301</f>
        <v>#DIV/0!</v>
      </c>
      <c r="L106" s="424"/>
      <c r="M106" s="372"/>
      <c r="N106" s="372"/>
      <c r="O106" s="372"/>
      <c r="P106" s="372"/>
      <c r="R106" s="372"/>
      <c r="S106" s="374"/>
      <c r="T106" s="374"/>
      <c r="U106" s="374"/>
      <c r="V106" s="374"/>
      <c r="W106" s="374"/>
      <c r="X106" s="374"/>
      <c r="Y106" s="374"/>
      <c r="Z106" s="374"/>
      <c r="AA106" s="374"/>
      <c r="AB106" s="374"/>
      <c r="AC106" s="374"/>
      <c r="AD106" s="374"/>
      <c r="AE106" s="374"/>
      <c r="AF106" s="374"/>
      <c r="AG106" s="374"/>
      <c r="AH106" s="374"/>
      <c r="AI106" s="374"/>
      <c r="AJ106" s="374"/>
      <c r="AK106" s="374"/>
      <c r="AL106" s="374"/>
      <c r="AM106" s="374"/>
      <c r="AN106" s="374"/>
      <c r="AO106" s="374"/>
      <c r="AP106" s="374"/>
      <c r="AQ106" s="374"/>
      <c r="AR106" s="374"/>
      <c r="AS106" s="374"/>
      <c r="AT106" s="374"/>
      <c r="AU106" s="374"/>
      <c r="AV106" s="374"/>
      <c r="AW106" s="374"/>
      <c r="AX106" s="374"/>
      <c r="AY106" s="374"/>
      <c r="AZ106" s="374"/>
      <c r="BA106" s="374"/>
      <c r="BB106" s="374"/>
      <c r="BC106" s="374"/>
      <c r="BD106" s="374"/>
      <c r="BE106" s="374"/>
      <c r="BF106" s="374"/>
      <c r="BG106" s="374"/>
      <c r="BH106" s="374"/>
      <c r="BI106" s="374"/>
      <c r="BJ106" s="374"/>
      <c r="BK106" s="374"/>
    </row>
    <row r="107" spans="1:63" s="373" customFormat="1" ht="15.75" x14ac:dyDescent="0.2">
      <c r="A107" s="546" t="s">
        <v>72</v>
      </c>
      <c r="B107" s="504"/>
      <c r="C107" s="504"/>
      <c r="D107" s="547" t="s">
        <v>338</v>
      </c>
      <c r="E107" s="493"/>
      <c r="F107" s="440"/>
      <c r="G107" s="441"/>
      <c r="H107" s="442"/>
      <c r="I107" s="443">
        <f>SUM(I108:I120)</f>
        <v>2266.56</v>
      </c>
      <c r="J107" s="444"/>
      <c r="K107" s="372"/>
      <c r="L107" s="424"/>
      <c r="M107" s="372"/>
      <c r="N107" s="372"/>
      <c r="O107" s="372"/>
      <c r="P107" s="372"/>
      <c r="R107" s="372"/>
    </row>
    <row r="108" spans="1:63" s="373" customFormat="1" ht="30" x14ac:dyDescent="0.2">
      <c r="A108" s="548" t="s">
        <v>457</v>
      </c>
      <c r="B108" s="505" t="s">
        <v>45</v>
      </c>
      <c r="C108" s="500" t="s">
        <v>785</v>
      </c>
      <c r="D108" s="540" t="s">
        <v>786</v>
      </c>
      <c r="E108" s="454" t="s">
        <v>16</v>
      </c>
      <c r="F108" s="426">
        <f>800.34*0.2</f>
        <v>160.06800000000001</v>
      </c>
      <c r="G108" s="426">
        <v>0.49</v>
      </c>
      <c r="H108" s="426">
        <f>ROUND((1+$L$16)*G108,2)</f>
        <v>0.62</v>
      </c>
      <c r="I108" s="445">
        <f t="shared" ref="I108:I120" si="3">ROUND(F108*H108,2)</f>
        <v>99.24</v>
      </c>
      <c r="J108" s="444"/>
      <c r="K108" s="372"/>
      <c r="L108" s="424"/>
      <c r="M108" s="372"/>
      <c r="N108" s="372"/>
      <c r="O108" s="372"/>
      <c r="P108" s="372"/>
      <c r="R108" s="372"/>
    </row>
    <row r="109" spans="1:63" x14ac:dyDescent="0.2">
      <c r="A109" s="538"/>
      <c r="B109" s="499"/>
      <c r="C109" s="499"/>
      <c r="D109" s="539"/>
      <c r="E109" s="492"/>
      <c r="F109" s="425"/>
      <c r="G109" s="426"/>
      <c r="H109" s="427"/>
      <c r="I109" s="428"/>
      <c r="J109" s="429"/>
      <c r="K109" s="372"/>
      <c r="L109" s="430"/>
      <c r="M109" s="372"/>
      <c r="N109" s="372"/>
      <c r="O109" s="372"/>
      <c r="P109" s="372"/>
      <c r="R109" s="372"/>
    </row>
    <row r="110" spans="1:63" x14ac:dyDescent="0.2">
      <c r="A110" s="538"/>
      <c r="B110" s="499"/>
      <c r="C110" s="499"/>
      <c r="D110" s="539" t="s">
        <v>2256</v>
      </c>
      <c r="E110" s="492"/>
      <c r="F110" s="425"/>
      <c r="G110" s="426"/>
      <c r="H110" s="427"/>
      <c r="I110" s="428"/>
      <c r="J110" s="429"/>
      <c r="K110" s="372"/>
      <c r="L110" s="430"/>
      <c r="M110" s="372"/>
      <c r="N110" s="372"/>
      <c r="O110" s="372"/>
      <c r="P110" s="372"/>
      <c r="R110" s="372"/>
    </row>
    <row r="111" spans="1:63" x14ac:dyDescent="0.2">
      <c r="A111" s="538"/>
      <c r="B111" s="499"/>
      <c r="C111" s="499"/>
      <c r="D111" s="539"/>
      <c r="E111" s="492"/>
      <c r="F111" s="425"/>
      <c r="G111" s="426"/>
      <c r="H111" s="427"/>
      <c r="I111" s="428"/>
      <c r="J111" s="429"/>
      <c r="K111" s="372"/>
      <c r="L111" s="430"/>
      <c r="M111" s="372"/>
      <c r="N111" s="372"/>
      <c r="O111" s="372"/>
      <c r="P111" s="372"/>
      <c r="R111" s="372"/>
    </row>
    <row r="112" spans="1:63" s="373" customFormat="1" x14ac:dyDescent="0.2">
      <c r="A112" s="548" t="s">
        <v>458</v>
      </c>
      <c r="B112" s="505" t="s">
        <v>45</v>
      </c>
      <c r="C112" s="506">
        <v>72898</v>
      </c>
      <c r="D112" s="549" t="s">
        <v>770</v>
      </c>
      <c r="E112" s="454" t="s">
        <v>16</v>
      </c>
      <c r="F112" s="426">
        <f>F108</f>
        <v>160.06800000000001</v>
      </c>
      <c r="G112" s="426">
        <v>3.57</v>
      </c>
      <c r="H112" s="426">
        <f>ROUND((1+$L$16)*G112,2)</f>
        <v>4.51</v>
      </c>
      <c r="I112" s="445">
        <f t="shared" si="3"/>
        <v>721.91</v>
      </c>
      <c r="J112" s="444"/>
      <c r="K112" s="372"/>
      <c r="L112" s="424"/>
      <c r="M112" s="372"/>
      <c r="N112" s="372"/>
      <c r="O112" s="372"/>
      <c r="P112" s="372"/>
      <c r="R112" s="372"/>
    </row>
    <row r="113" spans="1:18" x14ac:dyDescent="0.2">
      <c r="A113" s="538"/>
      <c r="B113" s="499"/>
      <c r="C113" s="499"/>
      <c r="D113" s="539"/>
      <c r="E113" s="492"/>
      <c r="F113" s="425"/>
      <c r="G113" s="426"/>
      <c r="H113" s="427"/>
      <c r="I113" s="428"/>
      <c r="J113" s="429"/>
      <c r="K113" s="372"/>
      <c r="L113" s="430"/>
      <c r="M113" s="372"/>
      <c r="N113" s="372"/>
      <c r="O113" s="372"/>
      <c r="P113" s="372"/>
      <c r="R113" s="372"/>
    </row>
    <row r="114" spans="1:18" x14ac:dyDescent="0.2">
      <c r="A114" s="550"/>
      <c r="B114" s="551"/>
      <c r="C114" s="551"/>
      <c r="D114" s="552" t="s">
        <v>2256</v>
      </c>
      <c r="E114" s="492"/>
      <c r="F114" s="425"/>
      <c r="G114" s="426"/>
      <c r="H114" s="427"/>
      <c r="I114" s="428"/>
      <c r="J114" s="429"/>
      <c r="K114" s="372"/>
      <c r="L114" s="430"/>
      <c r="M114" s="372"/>
      <c r="N114" s="372"/>
      <c r="O114" s="372"/>
      <c r="P114" s="372"/>
      <c r="R114" s="372"/>
    </row>
    <row r="115" spans="1:18" x14ac:dyDescent="0.2">
      <c r="A115" s="538"/>
      <c r="B115" s="499"/>
      <c r="C115" s="499"/>
      <c r="D115" s="539"/>
      <c r="E115" s="492"/>
      <c r="F115" s="432"/>
      <c r="G115" s="433"/>
      <c r="H115" s="432"/>
      <c r="I115" s="434"/>
      <c r="J115" s="435"/>
      <c r="K115" s="372"/>
      <c r="L115" s="372"/>
      <c r="M115" s="372"/>
      <c r="N115" s="372"/>
      <c r="O115" s="372"/>
      <c r="P115" s="372"/>
      <c r="R115" s="372"/>
    </row>
    <row r="116" spans="1:18" s="373" customFormat="1" ht="30" x14ac:dyDescent="0.2">
      <c r="A116" s="548" t="s">
        <v>459</v>
      </c>
      <c r="B116" s="505" t="s">
        <v>45</v>
      </c>
      <c r="C116" s="506">
        <v>72900</v>
      </c>
      <c r="D116" s="549" t="s">
        <v>771</v>
      </c>
      <c r="E116" s="454" t="s">
        <v>16</v>
      </c>
      <c r="F116" s="426">
        <f>F112</f>
        <v>160.06800000000001</v>
      </c>
      <c r="G116" s="426">
        <v>4.8899999999999997</v>
      </c>
      <c r="H116" s="426">
        <f>ROUND((1+$L$16)*G116,2)</f>
        <v>6.18</v>
      </c>
      <c r="I116" s="445">
        <f t="shared" si="3"/>
        <v>989.22</v>
      </c>
      <c r="J116" s="444"/>
      <c r="K116" s="372"/>
      <c r="L116" s="424"/>
      <c r="M116" s="372"/>
      <c r="N116" s="372"/>
      <c r="O116" s="372"/>
      <c r="P116" s="372"/>
      <c r="R116" s="372"/>
    </row>
    <row r="117" spans="1:18" x14ac:dyDescent="0.2">
      <c r="A117" s="538"/>
      <c r="B117" s="499"/>
      <c r="C117" s="499"/>
      <c r="D117" s="539"/>
      <c r="E117" s="492"/>
      <c r="F117" s="425"/>
      <c r="G117" s="426"/>
      <c r="H117" s="427"/>
      <c r="I117" s="428"/>
      <c r="J117" s="429"/>
      <c r="K117" s="372"/>
      <c r="L117" s="430"/>
      <c r="M117" s="372"/>
      <c r="N117" s="372"/>
      <c r="O117" s="372"/>
      <c r="P117" s="372"/>
      <c r="R117" s="372"/>
    </row>
    <row r="118" spans="1:18" x14ac:dyDescent="0.2">
      <c r="A118" s="538"/>
      <c r="B118" s="499"/>
      <c r="C118" s="499"/>
      <c r="D118" s="539" t="s">
        <v>2256</v>
      </c>
      <c r="E118" s="492"/>
      <c r="F118" s="425"/>
      <c r="G118" s="426"/>
      <c r="H118" s="427"/>
      <c r="I118" s="428"/>
      <c r="J118" s="429"/>
      <c r="K118" s="372"/>
      <c r="L118" s="430"/>
      <c r="M118" s="372"/>
      <c r="N118" s="372"/>
      <c r="O118" s="372"/>
      <c r="P118" s="372"/>
      <c r="R118" s="372"/>
    </row>
    <row r="119" spans="1:18" x14ac:dyDescent="0.2">
      <c r="A119" s="538"/>
      <c r="B119" s="499"/>
      <c r="C119" s="499"/>
      <c r="D119" s="539"/>
      <c r="E119" s="492"/>
      <c r="F119" s="432"/>
      <c r="G119" s="433"/>
      <c r="H119" s="432"/>
      <c r="I119" s="434"/>
      <c r="J119" s="435"/>
      <c r="K119" s="372"/>
      <c r="L119" s="372"/>
      <c r="M119" s="372"/>
      <c r="N119" s="372"/>
      <c r="O119" s="372"/>
      <c r="P119" s="372"/>
      <c r="R119" s="372"/>
    </row>
    <row r="120" spans="1:18" s="373" customFormat="1" x14ac:dyDescent="0.2">
      <c r="A120" s="548" t="s">
        <v>460</v>
      </c>
      <c r="B120" s="505" t="s">
        <v>45</v>
      </c>
      <c r="C120" s="500">
        <v>79472</v>
      </c>
      <c r="D120" s="540" t="s">
        <v>787</v>
      </c>
      <c r="E120" s="494" t="s">
        <v>15</v>
      </c>
      <c r="F120" s="426">
        <v>800.34</v>
      </c>
      <c r="G120" s="426">
        <v>0.45</v>
      </c>
      <c r="H120" s="426">
        <f>ROUND((1+$L$16)*G120,2)</f>
        <v>0.56999999999999995</v>
      </c>
      <c r="I120" s="445">
        <f t="shared" si="3"/>
        <v>456.19</v>
      </c>
      <c r="J120" s="444"/>
      <c r="K120" s="372"/>
      <c r="L120" s="424"/>
      <c r="M120" s="372"/>
      <c r="N120" s="372"/>
      <c r="O120" s="372"/>
      <c r="P120" s="372"/>
      <c r="R120" s="372"/>
    </row>
    <row r="121" spans="1:18" x14ac:dyDescent="0.2">
      <c r="A121" s="538"/>
      <c r="B121" s="499"/>
      <c r="C121" s="499"/>
      <c r="D121" s="539"/>
      <c r="E121" s="492"/>
      <c r="F121" s="425"/>
      <c r="G121" s="426"/>
      <c r="H121" s="427"/>
      <c r="I121" s="428"/>
      <c r="J121" s="429"/>
      <c r="K121" s="372"/>
      <c r="L121" s="430"/>
      <c r="M121" s="372"/>
      <c r="N121" s="372"/>
      <c r="O121" s="372"/>
      <c r="P121" s="372"/>
      <c r="R121" s="372"/>
    </row>
    <row r="122" spans="1:18" x14ac:dyDescent="0.2">
      <c r="A122" s="538"/>
      <c r="B122" s="499"/>
      <c r="C122" s="499"/>
      <c r="D122" s="539" t="s">
        <v>2257</v>
      </c>
      <c r="E122" s="492"/>
      <c r="F122" s="425"/>
      <c r="G122" s="426"/>
      <c r="H122" s="427"/>
      <c r="I122" s="428"/>
      <c r="J122" s="429"/>
      <c r="K122" s="372"/>
      <c r="L122" s="430"/>
      <c r="M122" s="372"/>
      <c r="N122" s="372"/>
      <c r="O122" s="372"/>
      <c r="P122" s="372"/>
      <c r="R122" s="372"/>
    </row>
    <row r="123" spans="1:18" x14ac:dyDescent="0.2">
      <c r="A123" s="538"/>
      <c r="B123" s="499"/>
      <c r="C123" s="499"/>
      <c r="D123" s="539"/>
      <c r="E123" s="492"/>
      <c r="F123" s="432"/>
      <c r="G123" s="433"/>
      <c r="H123" s="432"/>
      <c r="I123" s="434"/>
      <c r="J123" s="435"/>
      <c r="K123" s="372"/>
      <c r="L123" s="372"/>
      <c r="M123" s="372"/>
      <c r="N123" s="372"/>
      <c r="O123" s="372"/>
      <c r="P123" s="372"/>
      <c r="R123" s="372"/>
    </row>
    <row r="124" spans="1:18" s="447" customFormat="1" ht="15.75" x14ac:dyDescent="0.2">
      <c r="A124" s="546" t="s">
        <v>74</v>
      </c>
      <c r="B124" s="504"/>
      <c r="C124" s="504"/>
      <c r="D124" s="547" t="s">
        <v>1797</v>
      </c>
      <c r="E124" s="493"/>
      <c r="F124" s="440"/>
      <c r="G124" s="441"/>
      <c r="H124" s="442"/>
      <c r="I124" s="443">
        <f>SUM(I125:I169)</f>
        <v>15267.240000000002</v>
      </c>
      <c r="J124" s="446"/>
      <c r="K124" s="446"/>
      <c r="L124" s="446"/>
      <c r="M124" s="446"/>
      <c r="N124" s="446"/>
      <c r="O124" s="446"/>
    </row>
    <row r="125" spans="1:18" s="447" customFormat="1" ht="30" x14ac:dyDescent="0.2">
      <c r="A125" s="548" t="s">
        <v>461</v>
      </c>
      <c r="B125" s="505" t="s">
        <v>45</v>
      </c>
      <c r="C125" s="506" t="s">
        <v>730</v>
      </c>
      <c r="D125" s="554" t="s">
        <v>731</v>
      </c>
      <c r="E125" s="454" t="s">
        <v>15</v>
      </c>
      <c r="F125" s="426">
        <f>5.1*9.2</f>
        <v>46.919999999999995</v>
      </c>
      <c r="G125" s="426">
        <v>8.3000000000000007</v>
      </c>
      <c r="H125" s="426">
        <f t="shared" ref="H125:H169" si="4">ROUND((1+$L$16)*G125,2)</f>
        <v>10.49</v>
      </c>
      <c r="I125" s="445">
        <f t="shared" ref="I125:I133" si="5">ROUND(F125*H125,2)</f>
        <v>492.19</v>
      </c>
      <c r="J125" s="446"/>
      <c r="K125" s="446"/>
      <c r="L125" s="446"/>
      <c r="M125" s="446"/>
      <c r="N125" s="446"/>
      <c r="O125" s="446"/>
    </row>
    <row r="126" spans="1:18" x14ac:dyDescent="0.2">
      <c r="A126" s="538"/>
      <c r="B126" s="499"/>
      <c r="C126" s="499"/>
      <c r="D126" s="539"/>
      <c r="E126" s="492"/>
      <c r="F126" s="425"/>
      <c r="G126" s="426"/>
      <c r="H126" s="427"/>
      <c r="I126" s="428"/>
      <c r="J126" s="429"/>
      <c r="K126" s="372"/>
      <c r="L126" s="430"/>
      <c r="M126" s="372"/>
      <c r="N126" s="372"/>
      <c r="O126" s="372"/>
      <c r="P126" s="372"/>
      <c r="R126" s="372"/>
    </row>
    <row r="127" spans="1:18" ht="18.75" customHeight="1" x14ac:dyDescent="0.2">
      <c r="A127" s="538"/>
      <c r="B127" s="499"/>
      <c r="C127" s="499"/>
      <c r="D127" s="539" t="s">
        <v>2258</v>
      </c>
      <c r="E127" s="492"/>
      <c r="F127" s="425"/>
      <c r="G127" s="426"/>
      <c r="H127" s="427"/>
      <c r="I127" s="428"/>
      <c r="J127" s="429"/>
      <c r="K127" s="372"/>
      <c r="L127" s="430"/>
      <c r="M127" s="372"/>
      <c r="N127" s="372"/>
      <c r="O127" s="372"/>
      <c r="P127" s="372"/>
      <c r="R127" s="372"/>
    </row>
    <row r="128" spans="1:18" x14ac:dyDescent="0.2">
      <c r="A128" s="538"/>
      <c r="B128" s="499"/>
      <c r="C128" s="499"/>
      <c r="D128" s="539"/>
      <c r="E128" s="492"/>
      <c r="F128" s="432"/>
      <c r="G128" s="433"/>
      <c r="H128" s="432"/>
      <c r="I128" s="434"/>
      <c r="J128" s="435"/>
      <c r="K128" s="372"/>
      <c r="L128" s="372"/>
      <c r="M128" s="372"/>
      <c r="N128" s="372"/>
      <c r="O128" s="372"/>
      <c r="P128" s="372"/>
      <c r="R128" s="372"/>
    </row>
    <row r="129" spans="1:18" s="447" customFormat="1" ht="30" x14ac:dyDescent="0.2">
      <c r="A129" s="548" t="s">
        <v>462</v>
      </c>
      <c r="B129" s="505" t="s">
        <v>45</v>
      </c>
      <c r="C129" s="506">
        <v>83338</v>
      </c>
      <c r="D129" s="554" t="s">
        <v>795</v>
      </c>
      <c r="E129" s="494" t="s">
        <v>16</v>
      </c>
      <c r="F129" s="426">
        <f>8.2*4.1*1*0.9</f>
        <v>30.257999999999999</v>
      </c>
      <c r="G129" s="426">
        <v>2.41</v>
      </c>
      <c r="H129" s="426">
        <f t="shared" si="4"/>
        <v>3.05</v>
      </c>
      <c r="I129" s="445">
        <f t="shared" si="5"/>
        <v>92.29</v>
      </c>
      <c r="J129" s="446"/>
      <c r="K129" s="446"/>
      <c r="L129" s="446"/>
      <c r="M129" s="446"/>
      <c r="N129" s="446"/>
      <c r="O129" s="446"/>
    </row>
    <row r="130" spans="1:18" s="447" customFormat="1" x14ac:dyDescent="0.2">
      <c r="A130" s="548"/>
      <c r="B130" s="505"/>
      <c r="C130" s="506"/>
      <c r="D130" s="554"/>
      <c r="E130" s="494"/>
      <c r="F130" s="426"/>
      <c r="G130" s="426"/>
      <c r="H130" s="426"/>
      <c r="I130" s="455"/>
      <c r="J130" s="446"/>
      <c r="K130" s="446"/>
      <c r="L130" s="446"/>
      <c r="M130" s="446"/>
      <c r="N130" s="446"/>
      <c r="O130" s="446"/>
    </row>
    <row r="131" spans="1:18" s="447" customFormat="1" ht="30" x14ac:dyDescent="0.2">
      <c r="A131" s="548"/>
      <c r="B131" s="505"/>
      <c r="C131" s="506"/>
      <c r="D131" s="554" t="s">
        <v>2260</v>
      </c>
      <c r="E131" s="494"/>
      <c r="F131" s="426"/>
      <c r="G131" s="426"/>
      <c r="H131" s="426"/>
      <c r="I131" s="455"/>
      <c r="J131" s="446"/>
      <c r="K131" s="446"/>
      <c r="L131" s="446"/>
      <c r="M131" s="446"/>
      <c r="N131" s="446"/>
      <c r="O131" s="446"/>
    </row>
    <row r="132" spans="1:18" s="447" customFormat="1" x14ac:dyDescent="0.2">
      <c r="A132" s="548"/>
      <c r="B132" s="505"/>
      <c r="C132" s="506"/>
      <c r="D132" s="554"/>
      <c r="E132" s="494"/>
      <c r="F132" s="426"/>
      <c r="G132" s="426"/>
      <c r="H132" s="426"/>
      <c r="I132" s="455"/>
      <c r="J132" s="446"/>
      <c r="K132" s="446"/>
      <c r="L132" s="446"/>
      <c r="M132" s="446"/>
      <c r="N132" s="446"/>
      <c r="O132" s="446"/>
    </row>
    <row r="133" spans="1:18" x14ac:dyDescent="0.2">
      <c r="A133" s="548" t="s">
        <v>463</v>
      </c>
      <c r="B133" s="500" t="s">
        <v>335</v>
      </c>
      <c r="C133" s="500" t="str">
        <f>COMPOSIÇÕES!C46</f>
        <v>CE-002</v>
      </c>
      <c r="D133" s="540" t="str">
        <f>COMPOSIÇÕES!D46</f>
        <v>ESCAVACAO MECANICA DE VALAS (SOLO COM AGUA), ENTRE 1,00 E 3,00 M.</v>
      </c>
      <c r="E133" s="495" t="s">
        <v>16</v>
      </c>
      <c r="F133" s="426">
        <f>8.2*4.1*4.5*0.9</f>
        <v>136.161</v>
      </c>
      <c r="G133" s="426">
        <f>COMPOSIÇÕES!I79</f>
        <v>55.28</v>
      </c>
      <c r="H133" s="426">
        <f t="shared" si="4"/>
        <v>69.89</v>
      </c>
      <c r="I133" s="448">
        <f t="shared" si="5"/>
        <v>9516.2900000000009</v>
      </c>
      <c r="J133" s="435"/>
      <c r="K133" s="372"/>
      <c r="L133" s="424"/>
      <c r="M133" s="372"/>
      <c r="N133" s="372"/>
      <c r="O133" s="372"/>
      <c r="P133" s="372"/>
      <c r="R133" s="372"/>
    </row>
    <row r="134" spans="1:18" x14ac:dyDescent="0.2">
      <c r="A134" s="548"/>
      <c r="B134" s="500"/>
      <c r="C134" s="500"/>
      <c r="D134" s="540"/>
      <c r="E134" s="495"/>
      <c r="F134" s="426"/>
      <c r="G134" s="426"/>
      <c r="H134" s="426"/>
      <c r="I134" s="510"/>
      <c r="J134" s="435"/>
      <c r="K134" s="372"/>
      <c r="L134" s="424"/>
      <c r="M134" s="372"/>
      <c r="N134" s="372"/>
      <c r="O134" s="372"/>
      <c r="P134" s="372"/>
      <c r="R134" s="372"/>
    </row>
    <row r="135" spans="1:18" ht="28.5" customHeight="1" x14ac:dyDescent="0.2">
      <c r="A135" s="548"/>
      <c r="B135" s="500"/>
      <c r="C135" s="500"/>
      <c r="D135" s="540" t="s">
        <v>2261</v>
      </c>
      <c r="E135" s="495"/>
      <c r="F135" s="426"/>
      <c r="G135" s="426"/>
      <c r="H135" s="426"/>
      <c r="I135" s="510"/>
      <c r="J135" s="435"/>
      <c r="K135" s="372"/>
      <c r="L135" s="424"/>
      <c r="M135" s="372"/>
      <c r="N135" s="372"/>
      <c r="O135" s="372"/>
      <c r="P135" s="372"/>
      <c r="R135" s="372"/>
    </row>
    <row r="136" spans="1:18" x14ac:dyDescent="0.2">
      <c r="A136" s="548"/>
      <c r="B136" s="500"/>
      <c r="C136" s="500"/>
      <c r="D136" s="540"/>
      <c r="E136" s="495"/>
      <c r="F136" s="426"/>
      <c r="G136" s="426"/>
      <c r="H136" s="426"/>
      <c r="I136" s="510"/>
      <c r="J136" s="435"/>
      <c r="K136" s="372"/>
      <c r="L136" s="424"/>
      <c r="M136" s="372"/>
      <c r="N136" s="372"/>
      <c r="O136" s="372"/>
      <c r="P136" s="372"/>
      <c r="R136" s="372"/>
    </row>
    <row r="137" spans="1:18" s="447" customFormat="1" x14ac:dyDescent="0.2">
      <c r="A137" s="548" t="s">
        <v>464</v>
      </c>
      <c r="B137" s="505" t="s">
        <v>45</v>
      </c>
      <c r="C137" s="506">
        <v>93358</v>
      </c>
      <c r="D137" s="554" t="s">
        <v>794</v>
      </c>
      <c r="E137" s="494" t="s">
        <v>16</v>
      </c>
      <c r="F137" s="426">
        <f>(F129+F133)*0.1</f>
        <v>16.641900000000003</v>
      </c>
      <c r="G137" s="426">
        <v>65.819999999999993</v>
      </c>
      <c r="H137" s="426">
        <f t="shared" si="4"/>
        <v>83.22</v>
      </c>
      <c r="I137" s="445">
        <f t="shared" ref="I137" si="6">ROUND(F137*H137,2)</f>
        <v>1384.94</v>
      </c>
      <c r="J137" s="446"/>
      <c r="K137" s="446"/>
      <c r="L137" s="446"/>
      <c r="M137" s="446"/>
      <c r="N137" s="446"/>
      <c r="O137" s="446"/>
    </row>
    <row r="138" spans="1:18" s="447" customFormat="1" x14ac:dyDescent="0.2">
      <c r="A138" s="548"/>
      <c r="B138" s="505"/>
      <c r="C138" s="506"/>
      <c r="D138" s="554"/>
      <c r="E138" s="494"/>
      <c r="F138" s="437"/>
      <c r="G138" s="426"/>
      <c r="H138" s="426"/>
      <c r="I138" s="445"/>
      <c r="J138" s="446"/>
      <c r="K138" s="446"/>
      <c r="L138" s="446"/>
      <c r="M138" s="446"/>
      <c r="N138" s="446"/>
      <c r="O138" s="446"/>
    </row>
    <row r="139" spans="1:18" s="447" customFormat="1" x14ac:dyDescent="0.2">
      <c r="A139" s="548"/>
      <c r="B139" s="505"/>
      <c r="C139" s="506"/>
      <c r="D139" s="554" t="s">
        <v>2259</v>
      </c>
      <c r="E139" s="494"/>
      <c r="F139" s="437"/>
      <c r="G139" s="426"/>
      <c r="H139" s="426"/>
      <c r="I139" s="445"/>
      <c r="J139" s="446"/>
      <c r="K139" s="446"/>
      <c r="L139" s="446"/>
      <c r="M139" s="446"/>
      <c r="N139" s="446"/>
      <c r="O139" s="446"/>
    </row>
    <row r="140" spans="1:18" s="447" customFormat="1" x14ac:dyDescent="0.2">
      <c r="A140" s="548"/>
      <c r="B140" s="505"/>
      <c r="C140" s="506"/>
      <c r="D140" s="554"/>
      <c r="E140" s="494"/>
      <c r="F140" s="437"/>
      <c r="G140" s="426"/>
      <c r="H140" s="426"/>
      <c r="I140" s="445"/>
      <c r="J140" s="446"/>
      <c r="K140" s="446"/>
      <c r="L140" s="446"/>
      <c r="M140" s="446"/>
      <c r="N140" s="446"/>
      <c r="O140" s="446"/>
    </row>
    <row r="141" spans="1:18" s="447" customFormat="1" x14ac:dyDescent="0.2">
      <c r="A141" s="548" t="s">
        <v>465</v>
      </c>
      <c r="B141" s="505" t="s">
        <v>45</v>
      </c>
      <c r="C141" s="500">
        <v>93382</v>
      </c>
      <c r="D141" s="540" t="s">
        <v>732</v>
      </c>
      <c r="E141" s="495" t="s">
        <v>16</v>
      </c>
      <c r="F141" s="446">
        <f>(8.2*4.1-6.2*2.1)*2</f>
        <v>41.199999999999989</v>
      </c>
      <c r="G141" s="426">
        <v>23.98</v>
      </c>
      <c r="H141" s="426">
        <f t="shared" si="4"/>
        <v>30.32</v>
      </c>
      <c r="I141" s="445">
        <f>ROUND(F141*H141,2)</f>
        <v>1249.18</v>
      </c>
      <c r="J141" s="446"/>
      <c r="K141" s="446">
        <f>(8.2*4.1-6.2*2.1)*2.4</f>
        <v>49.439999999999984</v>
      </c>
      <c r="L141" s="446"/>
      <c r="M141" s="446"/>
      <c r="N141" s="446"/>
      <c r="O141" s="446"/>
    </row>
    <row r="142" spans="1:18" s="447" customFormat="1" x14ac:dyDescent="0.2">
      <c r="A142" s="548"/>
      <c r="B142" s="505"/>
      <c r="C142" s="500"/>
      <c r="D142" s="540"/>
      <c r="E142" s="495"/>
      <c r="F142" s="446"/>
      <c r="G142" s="426"/>
      <c r="H142" s="426"/>
      <c r="I142" s="455"/>
      <c r="J142" s="446"/>
      <c r="K142" s="446"/>
      <c r="L142" s="446"/>
      <c r="M142" s="446"/>
      <c r="N142" s="446"/>
      <c r="O142" s="446"/>
    </row>
    <row r="143" spans="1:18" s="447" customFormat="1" ht="36" customHeight="1" x14ac:dyDescent="0.2">
      <c r="A143" s="548"/>
      <c r="B143" s="505"/>
      <c r="C143" s="500"/>
      <c r="D143" s="540" t="s">
        <v>2262</v>
      </c>
      <c r="E143" s="495"/>
      <c r="F143" s="446"/>
      <c r="G143" s="426"/>
      <c r="H143" s="426"/>
      <c r="I143" s="455"/>
      <c r="J143" s="446"/>
      <c r="K143" s="446"/>
      <c r="L143" s="446"/>
      <c r="M143" s="446"/>
      <c r="N143" s="446"/>
      <c r="O143" s="446"/>
    </row>
    <row r="144" spans="1:18" s="447" customFormat="1" x14ac:dyDescent="0.2">
      <c r="A144" s="548"/>
      <c r="B144" s="505"/>
      <c r="C144" s="500"/>
      <c r="D144" s="540"/>
      <c r="E144" s="495"/>
      <c r="F144" s="446"/>
      <c r="G144" s="426"/>
      <c r="H144" s="426"/>
      <c r="I144" s="455"/>
      <c r="J144" s="446"/>
      <c r="K144" s="446"/>
      <c r="L144" s="446"/>
      <c r="M144" s="446"/>
      <c r="N144" s="446"/>
      <c r="O144" s="446"/>
    </row>
    <row r="145" spans="1:18" s="373" customFormat="1" ht="30" x14ac:dyDescent="0.2">
      <c r="A145" s="548" t="s">
        <v>466</v>
      </c>
      <c r="B145" s="500" t="s">
        <v>45</v>
      </c>
      <c r="C145" s="500">
        <v>79480</v>
      </c>
      <c r="D145" s="540" t="s">
        <v>1798</v>
      </c>
      <c r="E145" s="495" t="s">
        <v>16</v>
      </c>
      <c r="F145" s="446">
        <f>(8.2*4.1-6.2*2.1)*1</f>
        <v>20.599999999999994</v>
      </c>
      <c r="G145" s="426">
        <v>2.57</v>
      </c>
      <c r="H145" s="426">
        <f t="shared" si="4"/>
        <v>3.25</v>
      </c>
      <c r="I145" s="448">
        <f>ROUND(F145*H145,2)</f>
        <v>66.95</v>
      </c>
      <c r="J145" s="444"/>
      <c r="K145" s="372"/>
      <c r="L145" s="424"/>
      <c r="M145" s="372"/>
      <c r="N145" s="372"/>
      <c r="O145" s="372"/>
      <c r="P145" s="372"/>
      <c r="R145" s="372"/>
    </row>
    <row r="146" spans="1:18" s="373" customFormat="1" x14ac:dyDescent="0.2">
      <c r="A146" s="548"/>
      <c r="B146" s="500"/>
      <c r="C146" s="500"/>
      <c r="D146" s="540"/>
      <c r="E146" s="495"/>
      <c r="F146" s="446"/>
      <c r="G146" s="426"/>
      <c r="H146" s="426"/>
      <c r="I146" s="448"/>
      <c r="J146" s="444"/>
      <c r="K146" s="372"/>
      <c r="L146" s="424"/>
      <c r="M146" s="372"/>
      <c r="N146" s="372"/>
      <c r="O146" s="372"/>
      <c r="P146" s="372"/>
      <c r="R146" s="372"/>
    </row>
    <row r="147" spans="1:18" s="373" customFormat="1" ht="30" x14ac:dyDescent="0.2">
      <c r="A147" s="548"/>
      <c r="B147" s="500"/>
      <c r="C147" s="500"/>
      <c r="D147" s="540" t="s">
        <v>2263</v>
      </c>
      <c r="E147" s="495"/>
      <c r="F147" s="446"/>
      <c r="G147" s="426"/>
      <c r="H147" s="426"/>
      <c r="I147" s="448"/>
      <c r="J147" s="444"/>
      <c r="K147" s="372"/>
      <c r="L147" s="424"/>
      <c r="M147" s="372"/>
      <c r="N147" s="372"/>
      <c r="O147" s="372"/>
      <c r="P147" s="372"/>
      <c r="R147" s="372"/>
    </row>
    <row r="148" spans="1:18" s="373" customFormat="1" x14ac:dyDescent="0.2">
      <c r="A148" s="548"/>
      <c r="B148" s="500"/>
      <c r="C148" s="500"/>
      <c r="D148" s="540"/>
      <c r="E148" s="495"/>
      <c r="F148" s="446"/>
      <c r="G148" s="426"/>
      <c r="H148" s="426"/>
      <c r="I148" s="448"/>
      <c r="J148" s="444"/>
      <c r="K148" s="372"/>
      <c r="L148" s="424"/>
      <c r="M148" s="372"/>
      <c r="N148" s="372"/>
      <c r="O148" s="372"/>
      <c r="P148" s="372"/>
      <c r="R148" s="372"/>
    </row>
    <row r="149" spans="1:18" s="373" customFormat="1" x14ac:dyDescent="0.2">
      <c r="A149" s="548" t="s">
        <v>467</v>
      </c>
      <c r="B149" s="500" t="s">
        <v>45</v>
      </c>
      <c r="C149" s="500">
        <v>72898</v>
      </c>
      <c r="D149" s="540" t="s">
        <v>1799</v>
      </c>
      <c r="E149" s="495" t="s">
        <v>16</v>
      </c>
      <c r="F149" s="426">
        <f>F145*1.3</f>
        <v>26.779999999999994</v>
      </c>
      <c r="G149" s="426">
        <v>3.57</v>
      </c>
      <c r="H149" s="426">
        <f t="shared" si="4"/>
        <v>4.51</v>
      </c>
      <c r="I149" s="448">
        <f>ROUND(F149*H149,2)</f>
        <v>120.78</v>
      </c>
      <c r="J149" s="444"/>
      <c r="K149" s="372"/>
      <c r="L149" s="424"/>
      <c r="M149" s="372"/>
      <c r="N149" s="372">
        <v>170</v>
      </c>
      <c r="O149" s="372"/>
      <c r="P149" s="372"/>
      <c r="R149" s="372"/>
    </row>
    <row r="150" spans="1:18" s="373" customFormat="1" x14ac:dyDescent="0.2">
      <c r="A150" s="548"/>
      <c r="B150" s="500"/>
      <c r="C150" s="500"/>
      <c r="D150" s="540"/>
      <c r="E150" s="495"/>
      <c r="F150" s="426"/>
      <c r="G150" s="426"/>
      <c r="H150" s="426"/>
      <c r="I150" s="448"/>
      <c r="J150" s="444"/>
      <c r="K150" s="372"/>
      <c r="L150" s="424"/>
      <c r="M150" s="372"/>
      <c r="N150" s="372"/>
      <c r="O150" s="372"/>
      <c r="P150" s="372"/>
      <c r="R150" s="372"/>
    </row>
    <row r="151" spans="1:18" s="373" customFormat="1" ht="30" x14ac:dyDescent="0.2">
      <c r="A151" s="548"/>
      <c r="B151" s="500"/>
      <c r="C151" s="500"/>
      <c r="D151" s="540" t="s">
        <v>2264</v>
      </c>
      <c r="E151" s="495"/>
      <c r="F151" s="426"/>
      <c r="G151" s="426"/>
      <c r="H151" s="426"/>
      <c r="I151" s="448"/>
      <c r="J151" s="444"/>
      <c r="K151" s="372"/>
      <c r="L151" s="424"/>
      <c r="M151" s="372"/>
      <c r="N151" s="372"/>
      <c r="O151" s="372"/>
      <c r="P151" s="372"/>
      <c r="R151" s="372"/>
    </row>
    <row r="152" spans="1:18" s="373" customFormat="1" x14ac:dyDescent="0.2">
      <c r="A152" s="548"/>
      <c r="B152" s="500"/>
      <c r="C152" s="500"/>
      <c r="D152" s="540"/>
      <c r="E152" s="495"/>
      <c r="F152" s="426"/>
      <c r="G152" s="426"/>
      <c r="H152" s="426"/>
      <c r="I152" s="448"/>
      <c r="J152" s="444"/>
      <c r="K152" s="372"/>
      <c r="L152" s="424"/>
      <c r="M152" s="372"/>
      <c r="N152" s="372"/>
      <c r="O152" s="372"/>
      <c r="P152" s="372"/>
      <c r="R152" s="372"/>
    </row>
    <row r="153" spans="1:18" s="373" customFormat="1" ht="30" x14ac:dyDescent="0.2">
      <c r="A153" s="548" t="s">
        <v>468</v>
      </c>
      <c r="B153" s="500" t="s">
        <v>45</v>
      </c>
      <c r="C153" s="500">
        <v>72885</v>
      </c>
      <c r="D153" s="540" t="s">
        <v>1800</v>
      </c>
      <c r="E153" s="495" t="s">
        <v>725</v>
      </c>
      <c r="F153" s="449">
        <f>F149*5</f>
        <v>133.89999999999998</v>
      </c>
      <c r="G153" s="426">
        <v>1.36</v>
      </c>
      <c r="H153" s="426">
        <f t="shared" si="4"/>
        <v>1.72</v>
      </c>
      <c r="I153" s="448">
        <f t="shared" ref="I153" si="7">ROUND(F153*H153,2)</f>
        <v>230.31</v>
      </c>
      <c r="J153" s="444"/>
      <c r="K153" s="372"/>
      <c r="L153" s="424"/>
      <c r="M153" s="372"/>
      <c r="N153" s="372">
        <v>54</v>
      </c>
      <c r="O153" s="372"/>
      <c r="P153" s="372"/>
      <c r="R153" s="372"/>
    </row>
    <row r="154" spans="1:18" s="373" customFormat="1" x14ac:dyDescent="0.2">
      <c r="A154" s="548"/>
      <c r="B154" s="500"/>
      <c r="C154" s="500"/>
      <c r="D154" s="540"/>
      <c r="E154" s="495"/>
      <c r="F154" s="449"/>
      <c r="G154" s="426"/>
      <c r="H154" s="426"/>
      <c r="I154" s="448"/>
      <c r="J154" s="444"/>
      <c r="K154" s="372"/>
      <c r="L154" s="424"/>
      <c r="M154" s="372"/>
      <c r="N154" s="372"/>
      <c r="O154" s="372"/>
      <c r="P154" s="372"/>
      <c r="R154" s="372"/>
    </row>
    <row r="155" spans="1:18" s="373" customFormat="1" ht="30" x14ac:dyDescent="0.2">
      <c r="A155" s="548"/>
      <c r="B155" s="500"/>
      <c r="C155" s="500"/>
      <c r="D155" s="540" t="s">
        <v>2418</v>
      </c>
      <c r="E155" s="495"/>
      <c r="F155" s="449"/>
      <c r="G155" s="426"/>
      <c r="H155" s="426"/>
      <c r="I155" s="448"/>
      <c r="J155" s="444"/>
      <c r="K155" s="372"/>
      <c r="L155" s="424"/>
      <c r="M155" s="372"/>
      <c r="N155" s="372"/>
      <c r="O155" s="372"/>
      <c r="P155" s="372"/>
      <c r="R155" s="372"/>
    </row>
    <row r="156" spans="1:18" s="373" customFormat="1" x14ac:dyDescent="0.2">
      <c r="A156" s="548"/>
      <c r="B156" s="500"/>
      <c r="C156" s="500"/>
      <c r="D156" s="540"/>
      <c r="E156" s="495"/>
      <c r="F156" s="449"/>
      <c r="G156" s="426"/>
      <c r="H156" s="426"/>
      <c r="I156" s="448"/>
      <c r="J156" s="444"/>
      <c r="K156" s="372"/>
      <c r="L156" s="424"/>
      <c r="M156" s="372"/>
      <c r="N156" s="372"/>
      <c r="O156" s="372"/>
      <c r="P156" s="372"/>
      <c r="R156" s="372"/>
    </row>
    <row r="157" spans="1:18" s="373" customFormat="1" ht="30" x14ac:dyDescent="0.2">
      <c r="A157" s="548" t="s">
        <v>469</v>
      </c>
      <c r="B157" s="500" t="s">
        <v>45</v>
      </c>
      <c r="C157" s="500">
        <v>79480</v>
      </c>
      <c r="D157" s="540" t="s">
        <v>1801</v>
      </c>
      <c r="E157" s="495" t="s">
        <v>16</v>
      </c>
      <c r="F157" s="426">
        <f>F145+F182</f>
        <v>90.054999999999993</v>
      </c>
      <c r="G157" s="426">
        <v>2.57</v>
      </c>
      <c r="H157" s="426">
        <f t="shared" si="4"/>
        <v>3.25</v>
      </c>
      <c r="I157" s="448">
        <f>ROUND(F157*H157,2)</f>
        <v>292.68</v>
      </c>
      <c r="J157" s="444"/>
      <c r="K157" s="372"/>
      <c r="L157" s="424"/>
      <c r="M157" s="372"/>
      <c r="N157" s="372"/>
      <c r="O157" s="372"/>
      <c r="P157" s="372"/>
      <c r="R157" s="372"/>
    </row>
    <row r="158" spans="1:18" s="373" customFormat="1" x14ac:dyDescent="0.2">
      <c r="A158" s="548"/>
      <c r="B158" s="500"/>
      <c r="C158" s="500"/>
      <c r="D158" s="540"/>
      <c r="E158" s="495"/>
      <c r="F158" s="426"/>
      <c r="G158" s="426"/>
      <c r="H158" s="426"/>
      <c r="I158" s="448"/>
      <c r="J158" s="444"/>
      <c r="K158" s="372"/>
      <c r="L158" s="424"/>
      <c r="M158" s="372"/>
      <c r="N158" s="372"/>
      <c r="O158" s="372"/>
      <c r="P158" s="372"/>
      <c r="R158" s="372"/>
    </row>
    <row r="159" spans="1:18" s="373" customFormat="1" x14ac:dyDescent="0.2">
      <c r="A159" s="548"/>
      <c r="B159" s="500"/>
      <c r="C159" s="500"/>
      <c r="D159" s="540" t="s">
        <v>2265</v>
      </c>
      <c r="E159" s="495"/>
      <c r="F159" s="426"/>
      <c r="G159" s="426"/>
      <c r="H159" s="426"/>
      <c r="I159" s="448"/>
      <c r="J159" s="444"/>
      <c r="K159" s="372"/>
      <c r="L159" s="424"/>
      <c r="M159" s="372"/>
      <c r="N159" s="372"/>
      <c r="O159" s="372"/>
      <c r="P159" s="372"/>
      <c r="R159" s="372"/>
    </row>
    <row r="160" spans="1:18" s="373" customFormat="1" x14ac:dyDescent="0.2">
      <c r="A160" s="548"/>
      <c r="B160" s="500"/>
      <c r="C160" s="500"/>
      <c r="D160" s="540"/>
      <c r="E160" s="495"/>
      <c r="F160" s="426"/>
      <c r="G160" s="426"/>
      <c r="H160" s="426"/>
      <c r="I160" s="448"/>
      <c r="J160" s="444"/>
      <c r="K160" s="372"/>
      <c r="L160" s="424"/>
      <c r="M160" s="372"/>
      <c r="N160" s="372"/>
      <c r="O160" s="372"/>
      <c r="P160" s="372"/>
      <c r="R160" s="372"/>
    </row>
    <row r="161" spans="1:18" s="373" customFormat="1" x14ac:dyDescent="0.2">
      <c r="A161" s="548" t="s">
        <v>470</v>
      </c>
      <c r="B161" s="500" t="s">
        <v>45</v>
      </c>
      <c r="C161" s="500">
        <v>72898</v>
      </c>
      <c r="D161" s="540" t="s">
        <v>1802</v>
      </c>
      <c r="E161" s="495" t="s">
        <v>16</v>
      </c>
      <c r="F161" s="426">
        <f>F157*1.3</f>
        <v>117.0715</v>
      </c>
      <c r="G161" s="426">
        <v>3.57</v>
      </c>
      <c r="H161" s="426">
        <f t="shared" si="4"/>
        <v>4.51</v>
      </c>
      <c r="I161" s="448">
        <f>ROUND(F161*H161,2)</f>
        <v>527.99</v>
      </c>
      <c r="J161" s="444"/>
      <c r="K161" s="372"/>
      <c r="L161" s="424"/>
      <c r="M161" s="372"/>
      <c r="N161" s="372">
        <v>170</v>
      </c>
      <c r="O161" s="372"/>
      <c r="P161" s="372"/>
      <c r="R161" s="372"/>
    </row>
    <row r="162" spans="1:18" s="373" customFormat="1" x14ac:dyDescent="0.2">
      <c r="A162" s="548"/>
      <c r="B162" s="500"/>
      <c r="C162" s="500"/>
      <c r="D162" s="540"/>
      <c r="E162" s="495"/>
      <c r="F162" s="426"/>
      <c r="G162" s="426"/>
      <c r="H162" s="426"/>
      <c r="I162" s="448"/>
      <c r="J162" s="444"/>
      <c r="K162" s="372"/>
      <c r="L162" s="424"/>
      <c r="M162" s="372"/>
      <c r="N162" s="372"/>
      <c r="O162" s="372"/>
      <c r="P162" s="372"/>
      <c r="R162" s="372"/>
    </row>
    <row r="163" spans="1:18" s="373" customFormat="1" x14ac:dyDescent="0.2">
      <c r="A163" s="548"/>
      <c r="B163" s="500"/>
      <c r="C163" s="500"/>
      <c r="D163" s="540" t="s">
        <v>2266</v>
      </c>
      <c r="E163" s="495"/>
      <c r="F163" s="426"/>
      <c r="G163" s="426"/>
      <c r="H163" s="426"/>
      <c r="I163" s="448"/>
      <c r="J163" s="444"/>
      <c r="K163" s="372"/>
      <c r="L163" s="424"/>
      <c r="M163" s="372"/>
      <c r="N163" s="372"/>
      <c r="O163" s="372"/>
      <c r="P163" s="372"/>
      <c r="R163" s="372"/>
    </row>
    <row r="164" spans="1:18" s="373" customFormat="1" x14ac:dyDescent="0.2">
      <c r="A164" s="548"/>
      <c r="B164" s="500"/>
      <c r="C164" s="500"/>
      <c r="D164" s="540"/>
      <c r="E164" s="495"/>
      <c r="F164" s="426"/>
      <c r="G164" s="426"/>
      <c r="H164" s="426"/>
      <c r="I164" s="448"/>
      <c r="J164" s="444"/>
      <c r="K164" s="372"/>
      <c r="L164" s="424"/>
      <c r="M164" s="372"/>
      <c r="N164" s="372"/>
      <c r="O164" s="372"/>
      <c r="P164" s="372"/>
      <c r="R164" s="372"/>
    </row>
    <row r="165" spans="1:18" s="373" customFormat="1" ht="30" x14ac:dyDescent="0.2">
      <c r="A165" s="548" t="s">
        <v>507</v>
      </c>
      <c r="B165" s="500" t="s">
        <v>45</v>
      </c>
      <c r="C165" s="500">
        <v>72885</v>
      </c>
      <c r="D165" s="540" t="s">
        <v>1803</v>
      </c>
      <c r="E165" s="495" t="s">
        <v>725</v>
      </c>
      <c r="F165" s="449">
        <f>F161*5</f>
        <v>585.35749999999996</v>
      </c>
      <c r="G165" s="426">
        <v>1.36</v>
      </c>
      <c r="H165" s="426">
        <f t="shared" si="4"/>
        <v>1.72</v>
      </c>
      <c r="I165" s="448">
        <f t="shared" ref="I165" si="8">ROUND(F165*H165,2)</f>
        <v>1006.81</v>
      </c>
      <c r="J165" s="444"/>
      <c r="K165" s="372"/>
      <c r="L165" s="424"/>
      <c r="M165" s="372"/>
      <c r="N165" s="372">
        <v>54</v>
      </c>
      <c r="O165" s="372"/>
      <c r="P165" s="372"/>
      <c r="R165" s="372"/>
    </row>
    <row r="166" spans="1:18" s="373" customFormat="1" x14ac:dyDescent="0.2">
      <c r="A166" s="548"/>
      <c r="B166" s="500"/>
      <c r="C166" s="500"/>
      <c r="D166" s="540"/>
      <c r="E166" s="495"/>
      <c r="F166" s="449"/>
      <c r="G166" s="426"/>
      <c r="H166" s="426"/>
      <c r="I166" s="448"/>
      <c r="J166" s="444"/>
      <c r="K166" s="372"/>
      <c r="L166" s="424"/>
      <c r="M166" s="372"/>
      <c r="N166" s="372"/>
      <c r="O166" s="372"/>
      <c r="P166" s="372"/>
      <c r="R166" s="372"/>
    </row>
    <row r="167" spans="1:18" s="373" customFormat="1" x14ac:dyDescent="0.2">
      <c r="A167" s="548"/>
      <c r="B167" s="500"/>
      <c r="C167" s="500"/>
      <c r="D167" s="540" t="s">
        <v>2419</v>
      </c>
      <c r="E167" s="495"/>
      <c r="F167" s="449"/>
      <c r="G167" s="426"/>
      <c r="H167" s="426"/>
      <c r="I167" s="448"/>
      <c r="J167" s="444"/>
      <c r="K167" s="372"/>
      <c r="L167" s="424"/>
      <c r="M167" s="372"/>
      <c r="N167" s="372"/>
      <c r="O167" s="372"/>
      <c r="P167" s="372"/>
      <c r="R167" s="372"/>
    </row>
    <row r="168" spans="1:18" s="373" customFormat="1" x14ac:dyDescent="0.2">
      <c r="A168" s="548"/>
      <c r="B168" s="500"/>
      <c r="C168" s="500"/>
      <c r="D168" s="540"/>
      <c r="E168" s="495"/>
      <c r="F168" s="449"/>
      <c r="G168" s="426"/>
      <c r="H168" s="426"/>
      <c r="I168" s="448"/>
      <c r="J168" s="444"/>
      <c r="K168" s="372"/>
      <c r="L168" s="424"/>
      <c r="M168" s="372"/>
      <c r="N168" s="372"/>
      <c r="O168" s="372"/>
      <c r="P168" s="372"/>
      <c r="R168" s="372"/>
    </row>
    <row r="169" spans="1:18" s="373" customFormat="1" x14ac:dyDescent="0.2">
      <c r="A169" s="548" t="s">
        <v>1835</v>
      </c>
      <c r="B169" s="500" t="s">
        <v>45</v>
      </c>
      <c r="C169" s="500" t="s">
        <v>57</v>
      </c>
      <c r="D169" s="540" t="s">
        <v>1804</v>
      </c>
      <c r="E169" s="495" t="s">
        <v>16</v>
      </c>
      <c r="F169" s="426">
        <f>F161</f>
        <v>117.0715</v>
      </c>
      <c r="G169" s="426">
        <v>1.94</v>
      </c>
      <c r="H169" s="426">
        <f t="shared" si="4"/>
        <v>2.4500000000000002</v>
      </c>
      <c r="I169" s="448">
        <f>ROUND(F169*H169,2)</f>
        <v>286.83</v>
      </c>
      <c r="J169" s="444"/>
      <c r="K169" s="372"/>
      <c r="L169" s="424"/>
      <c r="M169" s="372"/>
      <c r="N169" s="372"/>
      <c r="O169" s="372"/>
      <c r="P169" s="372"/>
      <c r="R169" s="372"/>
    </row>
    <row r="170" spans="1:18" s="373" customFormat="1" x14ac:dyDescent="0.2">
      <c r="A170" s="548"/>
      <c r="B170" s="500"/>
      <c r="C170" s="500"/>
      <c r="D170" s="540"/>
      <c r="E170" s="495"/>
      <c r="F170" s="426"/>
      <c r="G170" s="426"/>
      <c r="H170" s="426"/>
      <c r="I170" s="510"/>
      <c r="J170" s="444"/>
      <c r="K170" s="372"/>
      <c r="L170" s="424"/>
      <c r="M170" s="372"/>
      <c r="N170" s="372"/>
      <c r="O170" s="372"/>
      <c r="P170" s="372"/>
      <c r="R170" s="372"/>
    </row>
    <row r="171" spans="1:18" s="373" customFormat="1" x14ac:dyDescent="0.2">
      <c r="A171" s="550"/>
      <c r="B171" s="551"/>
      <c r="C171" s="551"/>
      <c r="D171" s="552" t="s">
        <v>2266</v>
      </c>
      <c r="E171" s="495"/>
      <c r="F171" s="426"/>
      <c r="G171" s="426"/>
      <c r="H171" s="426"/>
      <c r="I171" s="510"/>
      <c r="J171" s="444"/>
      <c r="K171" s="372"/>
      <c r="L171" s="424"/>
      <c r="M171" s="372"/>
      <c r="N171" s="372"/>
      <c r="O171" s="372"/>
      <c r="P171" s="372"/>
      <c r="R171" s="372"/>
    </row>
    <row r="172" spans="1:18" s="447" customFormat="1" x14ac:dyDescent="0.2">
      <c r="A172" s="548"/>
      <c r="B172" s="505"/>
      <c r="C172" s="506"/>
      <c r="D172" s="554"/>
      <c r="E172" s="494"/>
      <c r="F172" s="426"/>
      <c r="G172" s="426"/>
      <c r="H172" s="426"/>
      <c r="I172" s="445"/>
      <c r="J172" s="446"/>
      <c r="K172" s="446"/>
      <c r="L172" s="446"/>
      <c r="M172" s="446"/>
      <c r="N172" s="446"/>
      <c r="O172" s="446"/>
    </row>
    <row r="173" spans="1:18" s="447" customFormat="1" ht="15.75" x14ac:dyDescent="0.2">
      <c r="A173" s="546" t="s">
        <v>248</v>
      </c>
      <c r="B173" s="504"/>
      <c r="C173" s="504"/>
      <c r="D173" s="547" t="s">
        <v>1796</v>
      </c>
      <c r="E173" s="493"/>
      <c r="F173" s="440"/>
      <c r="G173" s="441"/>
      <c r="H173" s="442"/>
      <c r="I173" s="443">
        <f>SUM(I174:I215)</f>
        <v>47724.490000000005</v>
      </c>
      <c r="J173" s="446"/>
      <c r="K173" s="446"/>
      <c r="L173" s="446"/>
      <c r="M173" s="446"/>
      <c r="N173" s="446"/>
      <c r="O173" s="446"/>
    </row>
    <row r="174" spans="1:18" s="447" customFormat="1" x14ac:dyDescent="0.2">
      <c r="A174" s="548" t="s">
        <v>471</v>
      </c>
      <c r="B174" s="500" t="s">
        <v>45</v>
      </c>
      <c r="C174" s="506" t="s">
        <v>59</v>
      </c>
      <c r="D174" s="549" t="s">
        <v>60</v>
      </c>
      <c r="E174" s="454" t="s">
        <v>14</v>
      </c>
      <c r="F174" s="426">
        <f>8*44</f>
        <v>352</v>
      </c>
      <c r="G174" s="426">
        <v>6.17</v>
      </c>
      <c r="H174" s="426">
        <f t="shared" ref="H174:H194" si="9">ROUND((1+$L$16)*G174,2)</f>
        <v>7.8</v>
      </c>
      <c r="I174" s="426">
        <f>ROUND(F174*H174,2)</f>
        <v>2745.6</v>
      </c>
      <c r="J174" s="446"/>
      <c r="K174" s="446"/>
      <c r="L174" s="446"/>
      <c r="M174" s="446"/>
      <c r="N174" s="446"/>
      <c r="O174" s="446"/>
    </row>
    <row r="175" spans="1:18" s="447" customFormat="1" x14ac:dyDescent="0.2">
      <c r="A175" s="548"/>
      <c r="B175" s="500"/>
      <c r="C175" s="506"/>
      <c r="D175" s="549"/>
      <c r="E175" s="454"/>
      <c r="F175" s="426"/>
      <c r="G175" s="426"/>
      <c r="H175" s="426"/>
      <c r="I175" s="426"/>
      <c r="J175" s="446"/>
      <c r="K175" s="446"/>
      <c r="L175" s="446"/>
      <c r="M175" s="446"/>
      <c r="N175" s="446"/>
      <c r="O175" s="446"/>
    </row>
    <row r="176" spans="1:18" s="447" customFormat="1" x14ac:dyDescent="0.2">
      <c r="A176" s="548"/>
      <c r="B176" s="500"/>
      <c r="C176" s="506"/>
      <c r="D176" s="549" t="s">
        <v>2267</v>
      </c>
      <c r="E176" s="454"/>
      <c r="F176" s="426"/>
      <c r="G176" s="426"/>
      <c r="H176" s="426"/>
      <c r="I176" s="426"/>
      <c r="J176" s="446"/>
      <c r="K176" s="446"/>
      <c r="L176" s="446"/>
      <c r="M176" s="446"/>
      <c r="N176" s="446"/>
      <c r="O176" s="446"/>
    </row>
    <row r="177" spans="1:15" s="447" customFormat="1" x14ac:dyDescent="0.2">
      <c r="A177" s="548"/>
      <c r="B177" s="500"/>
      <c r="C177" s="506"/>
      <c r="D177" s="549"/>
      <c r="E177" s="454"/>
      <c r="F177" s="426"/>
      <c r="G177" s="426"/>
      <c r="H177" s="426"/>
      <c r="I177" s="426"/>
      <c r="J177" s="446"/>
      <c r="K177" s="446"/>
      <c r="L177" s="446"/>
      <c r="M177" s="446"/>
      <c r="N177" s="446"/>
      <c r="O177" s="446"/>
    </row>
    <row r="178" spans="1:15" s="447" customFormat="1" x14ac:dyDescent="0.2">
      <c r="A178" s="548" t="s">
        <v>472</v>
      </c>
      <c r="B178" s="500" t="s">
        <v>45</v>
      </c>
      <c r="C178" s="506">
        <v>40780</v>
      </c>
      <c r="D178" s="549" t="s">
        <v>790</v>
      </c>
      <c r="E178" s="454" t="s">
        <v>15</v>
      </c>
      <c r="F178" s="426">
        <f>2.1*6</f>
        <v>12.600000000000001</v>
      </c>
      <c r="G178" s="426">
        <v>9.4</v>
      </c>
      <c r="H178" s="426">
        <f t="shared" si="9"/>
        <v>11.88</v>
      </c>
      <c r="I178" s="426">
        <f>ROUND(F178*H178,2)</f>
        <v>149.69</v>
      </c>
      <c r="J178" s="446"/>
      <c r="K178" s="446"/>
      <c r="L178" s="446"/>
      <c r="M178" s="446"/>
      <c r="N178" s="446"/>
      <c r="O178" s="446"/>
    </row>
    <row r="179" spans="1:15" s="447" customFormat="1" x14ac:dyDescent="0.2">
      <c r="A179" s="548"/>
      <c r="B179" s="500"/>
      <c r="C179" s="506"/>
      <c r="D179" s="549"/>
      <c r="E179" s="454"/>
      <c r="F179" s="426"/>
      <c r="G179" s="426"/>
      <c r="H179" s="426"/>
      <c r="I179" s="426"/>
      <c r="J179" s="446"/>
      <c r="K179" s="446"/>
      <c r="L179" s="446"/>
      <c r="M179" s="446"/>
      <c r="N179" s="446"/>
      <c r="O179" s="446"/>
    </row>
    <row r="180" spans="1:15" s="447" customFormat="1" x14ac:dyDescent="0.2">
      <c r="A180" s="548"/>
      <c r="B180" s="500"/>
      <c r="C180" s="506"/>
      <c r="D180" s="549" t="s">
        <v>2268</v>
      </c>
      <c r="E180" s="454"/>
      <c r="F180" s="426"/>
      <c r="G180" s="426"/>
      <c r="H180" s="426"/>
      <c r="I180" s="426"/>
      <c r="J180" s="446"/>
      <c r="K180" s="446"/>
      <c r="L180" s="446"/>
      <c r="M180" s="446"/>
      <c r="N180" s="446"/>
      <c r="O180" s="446"/>
    </row>
    <row r="181" spans="1:15" s="447" customFormat="1" x14ac:dyDescent="0.2">
      <c r="A181" s="548"/>
      <c r="B181" s="500"/>
      <c r="C181" s="506"/>
      <c r="D181" s="549"/>
      <c r="E181" s="454"/>
      <c r="F181" s="426"/>
      <c r="G181" s="426"/>
      <c r="H181" s="426"/>
      <c r="I181" s="426"/>
      <c r="J181" s="446"/>
      <c r="K181" s="446"/>
      <c r="L181" s="446"/>
      <c r="M181" s="446"/>
      <c r="N181" s="446"/>
      <c r="O181" s="446"/>
    </row>
    <row r="182" spans="1:15" s="447" customFormat="1" x14ac:dyDescent="0.2">
      <c r="A182" s="548" t="s">
        <v>473</v>
      </c>
      <c r="B182" s="500" t="s">
        <v>45</v>
      </c>
      <c r="C182" s="506">
        <v>6454</v>
      </c>
      <c r="D182" s="549" t="s">
        <v>1794</v>
      </c>
      <c r="E182" s="495" t="s">
        <v>16</v>
      </c>
      <c r="F182" s="426">
        <f>3*2.9*1.55+1.8*2.9*1+2.9*7*2.5</f>
        <v>69.454999999999998</v>
      </c>
      <c r="G182" s="426">
        <v>155.35</v>
      </c>
      <c r="H182" s="426">
        <f t="shared" si="9"/>
        <v>196.42</v>
      </c>
      <c r="I182" s="426">
        <f>ROUND(F182*H182,2)</f>
        <v>13642.35</v>
      </c>
      <c r="J182" s="446"/>
      <c r="K182" s="446"/>
      <c r="L182" s="446"/>
      <c r="M182" s="446"/>
      <c r="N182" s="446"/>
      <c r="O182" s="446"/>
    </row>
    <row r="183" spans="1:15" s="447" customFormat="1" x14ac:dyDescent="0.2">
      <c r="A183" s="548"/>
      <c r="B183" s="500"/>
      <c r="C183" s="506"/>
      <c r="D183" s="549"/>
      <c r="E183" s="495"/>
      <c r="F183" s="426"/>
      <c r="G183" s="426"/>
      <c r="H183" s="426"/>
      <c r="I183" s="426"/>
      <c r="J183" s="446"/>
      <c r="K183" s="446"/>
      <c r="L183" s="446"/>
      <c r="M183" s="446"/>
      <c r="N183" s="446"/>
      <c r="O183" s="446"/>
    </row>
    <row r="184" spans="1:15" s="447" customFormat="1" ht="34.5" customHeight="1" x14ac:dyDescent="0.2">
      <c r="A184" s="548"/>
      <c r="B184" s="500"/>
      <c r="C184" s="506"/>
      <c r="D184" s="549" t="s">
        <v>2269</v>
      </c>
      <c r="E184" s="495"/>
      <c r="F184" s="426"/>
      <c r="G184" s="426"/>
      <c r="H184" s="426"/>
      <c r="I184" s="426"/>
      <c r="J184" s="446"/>
      <c r="K184" s="446"/>
      <c r="L184" s="446"/>
      <c r="M184" s="446"/>
      <c r="N184" s="446"/>
      <c r="O184" s="446"/>
    </row>
    <row r="185" spans="1:15" s="447" customFormat="1" x14ac:dyDescent="0.2">
      <c r="A185" s="548"/>
      <c r="B185" s="500"/>
      <c r="C185" s="506"/>
      <c r="D185" s="549"/>
      <c r="E185" s="495"/>
      <c r="F185" s="426"/>
      <c r="G185" s="426"/>
      <c r="H185" s="426"/>
      <c r="I185" s="426"/>
      <c r="J185" s="446"/>
      <c r="K185" s="446"/>
      <c r="L185" s="446"/>
      <c r="M185" s="446"/>
      <c r="N185" s="446"/>
      <c r="O185" s="446"/>
    </row>
    <row r="186" spans="1:15" s="447" customFormat="1" ht="30" x14ac:dyDescent="0.2">
      <c r="A186" s="548" t="s">
        <v>474</v>
      </c>
      <c r="B186" s="506" t="s">
        <v>45</v>
      </c>
      <c r="C186" s="506">
        <v>95241</v>
      </c>
      <c r="D186" s="549" t="s">
        <v>733</v>
      </c>
      <c r="E186" s="454" t="s">
        <v>15</v>
      </c>
      <c r="F186" s="426">
        <f>2.1*6.2</f>
        <v>13.020000000000001</v>
      </c>
      <c r="G186" s="426">
        <v>19.88</v>
      </c>
      <c r="H186" s="426">
        <f t="shared" si="9"/>
        <v>25.14</v>
      </c>
      <c r="I186" s="445">
        <f t="shared" ref="I186:I203" si="10">ROUND(F186*H186,2)</f>
        <v>327.32</v>
      </c>
      <c r="J186" s="446"/>
      <c r="K186" s="446"/>
      <c r="L186" s="446"/>
      <c r="M186" s="446"/>
      <c r="N186" s="446"/>
      <c r="O186" s="446"/>
    </row>
    <row r="187" spans="1:15" s="447" customFormat="1" x14ac:dyDescent="0.2">
      <c r="A187" s="548"/>
      <c r="B187" s="506"/>
      <c r="C187" s="506"/>
      <c r="D187" s="549"/>
      <c r="E187" s="454"/>
      <c r="F187" s="426"/>
      <c r="G187" s="426"/>
      <c r="H187" s="426"/>
      <c r="I187" s="445"/>
      <c r="J187" s="446"/>
      <c r="K187" s="446"/>
      <c r="L187" s="446"/>
      <c r="M187" s="446"/>
      <c r="N187" s="446"/>
      <c r="O187" s="446"/>
    </row>
    <row r="188" spans="1:15" s="447" customFormat="1" x14ac:dyDescent="0.2">
      <c r="A188" s="548"/>
      <c r="B188" s="506"/>
      <c r="C188" s="506"/>
      <c r="D188" s="549" t="s">
        <v>2270</v>
      </c>
      <c r="E188" s="454"/>
      <c r="F188" s="426"/>
      <c r="G188" s="426"/>
      <c r="H188" s="426"/>
      <c r="I188" s="445"/>
      <c r="J188" s="446"/>
      <c r="K188" s="446"/>
      <c r="L188" s="446"/>
      <c r="M188" s="446"/>
      <c r="N188" s="446"/>
      <c r="O188" s="446"/>
    </row>
    <row r="189" spans="1:15" s="447" customFormat="1" x14ac:dyDescent="0.2">
      <c r="A189" s="548"/>
      <c r="B189" s="506"/>
      <c r="C189" s="506"/>
      <c r="D189" s="549"/>
      <c r="E189" s="454"/>
      <c r="F189" s="426"/>
      <c r="G189" s="426"/>
      <c r="H189" s="426"/>
      <c r="I189" s="445"/>
      <c r="J189" s="446"/>
      <c r="K189" s="446"/>
      <c r="L189" s="446"/>
      <c r="M189" s="446"/>
      <c r="N189" s="446"/>
      <c r="O189" s="446"/>
    </row>
    <row r="190" spans="1:15" s="447" customFormat="1" ht="30" x14ac:dyDescent="0.2">
      <c r="A190" s="548" t="s">
        <v>788</v>
      </c>
      <c r="B190" s="506" t="s">
        <v>45</v>
      </c>
      <c r="C190" s="506">
        <v>92481</v>
      </c>
      <c r="D190" s="540" t="s">
        <v>796</v>
      </c>
      <c r="E190" s="494" t="s">
        <v>15</v>
      </c>
      <c r="F190" s="426">
        <f>6.2*2.1</f>
        <v>13.020000000000001</v>
      </c>
      <c r="G190" s="426">
        <v>148.88999999999999</v>
      </c>
      <c r="H190" s="426">
        <f t="shared" si="9"/>
        <v>188.25</v>
      </c>
      <c r="I190" s="445">
        <f>ROUND(F190*H190,2)</f>
        <v>2451.02</v>
      </c>
      <c r="J190" s="446"/>
      <c r="K190" s="450">
        <f>6.2*2.1</f>
        <v>13.020000000000001</v>
      </c>
      <c r="L190" s="446"/>
      <c r="M190" s="446"/>
      <c r="N190" s="446"/>
      <c r="O190" s="446"/>
    </row>
    <row r="191" spans="1:15" s="447" customFormat="1" x14ac:dyDescent="0.2">
      <c r="A191" s="548"/>
      <c r="B191" s="506"/>
      <c r="C191" s="506"/>
      <c r="D191" s="540"/>
      <c r="E191" s="494"/>
      <c r="F191" s="426"/>
      <c r="G191" s="426"/>
      <c r="H191" s="426"/>
      <c r="I191" s="445"/>
      <c r="J191" s="446"/>
      <c r="K191" s="450"/>
      <c r="L191" s="446"/>
      <c r="M191" s="446"/>
      <c r="N191" s="446"/>
      <c r="O191" s="446"/>
    </row>
    <row r="192" spans="1:15" s="447" customFormat="1" ht="15.75" x14ac:dyDescent="0.2">
      <c r="A192" s="548"/>
      <c r="B192" s="506"/>
      <c r="C192" s="506"/>
      <c r="D192" s="555" t="s">
        <v>2271</v>
      </c>
      <c r="E192" s="494"/>
      <c r="F192" s="426"/>
      <c r="G192" s="426"/>
      <c r="H192" s="426"/>
      <c r="I192" s="445"/>
      <c r="J192" s="446"/>
      <c r="K192" s="450"/>
      <c r="L192" s="446"/>
      <c r="M192" s="446"/>
      <c r="N192" s="446"/>
      <c r="O192" s="446"/>
    </row>
    <row r="193" spans="1:15" s="447" customFormat="1" x14ac:dyDescent="0.2">
      <c r="A193" s="548"/>
      <c r="B193" s="506"/>
      <c r="C193" s="506"/>
      <c r="D193" s="540"/>
      <c r="E193" s="494"/>
      <c r="F193" s="426"/>
      <c r="G193" s="426"/>
      <c r="H193" s="426"/>
      <c r="I193" s="445"/>
      <c r="J193" s="446"/>
      <c r="K193" s="450"/>
      <c r="L193" s="446"/>
      <c r="M193" s="446"/>
      <c r="N193" s="446"/>
      <c r="O193" s="446"/>
    </row>
    <row r="194" spans="1:15" s="447" customFormat="1" ht="45" x14ac:dyDescent="0.2">
      <c r="A194" s="548" t="s">
        <v>973</v>
      </c>
      <c r="B194" s="506" t="s">
        <v>45</v>
      </c>
      <c r="C194" s="506">
        <v>92408</v>
      </c>
      <c r="D194" s="540" t="s">
        <v>797</v>
      </c>
      <c r="E194" s="494" t="s">
        <v>15</v>
      </c>
      <c r="F194" s="426">
        <f>110.1-F190</f>
        <v>97.08</v>
      </c>
      <c r="G194" s="426">
        <v>126.28</v>
      </c>
      <c r="H194" s="426">
        <f t="shared" si="9"/>
        <v>159.66</v>
      </c>
      <c r="I194" s="445">
        <f>ROUND(F194*H194,2)</f>
        <v>15499.79</v>
      </c>
      <c r="J194" s="446"/>
      <c r="K194" s="450">
        <f>15.06*2+2.1*2.4+2.1*1.8+2.9*2*2.2+3.5*2*3.2+4.1*2*1.6</f>
        <v>87.220000000000013</v>
      </c>
      <c r="L194" s="446"/>
      <c r="M194" s="446"/>
      <c r="N194" s="446"/>
      <c r="O194" s="446"/>
    </row>
    <row r="195" spans="1:15" s="447" customFormat="1" x14ac:dyDescent="0.2">
      <c r="A195" s="548"/>
      <c r="B195" s="506"/>
      <c r="C195" s="506"/>
      <c r="D195" s="540"/>
      <c r="E195" s="494"/>
      <c r="F195" s="426"/>
      <c r="G195" s="426"/>
      <c r="H195" s="426"/>
      <c r="I195" s="445"/>
      <c r="J195" s="446"/>
      <c r="K195" s="511"/>
      <c r="L195" s="446"/>
      <c r="M195" s="446"/>
      <c r="N195" s="446"/>
      <c r="O195" s="446"/>
    </row>
    <row r="196" spans="1:15" s="447" customFormat="1" ht="15.75" x14ac:dyDescent="0.2">
      <c r="A196" s="548"/>
      <c r="B196" s="506"/>
      <c r="C196" s="506"/>
      <c r="D196" s="556" t="s">
        <v>2272</v>
      </c>
      <c r="E196" s="494"/>
      <c r="F196" s="426"/>
      <c r="G196" s="426"/>
      <c r="H196" s="426"/>
      <c r="I196" s="445"/>
      <c r="J196" s="446"/>
      <c r="K196" s="511"/>
      <c r="L196" s="446"/>
      <c r="M196" s="446"/>
      <c r="N196" s="446"/>
      <c r="O196" s="446"/>
    </row>
    <row r="197" spans="1:15" s="447" customFormat="1" ht="15.75" x14ac:dyDescent="0.2">
      <c r="A197" s="548"/>
      <c r="B197" s="506"/>
      <c r="C197" s="506"/>
      <c r="D197" s="556" t="s">
        <v>2273</v>
      </c>
      <c r="E197" s="494"/>
      <c r="F197" s="426"/>
      <c r="G197" s="426"/>
      <c r="H197" s="426"/>
      <c r="I197" s="445"/>
      <c r="J197" s="446"/>
      <c r="K197" s="511"/>
      <c r="L197" s="446"/>
      <c r="M197" s="446"/>
      <c r="N197" s="446"/>
      <c r="O197" s="446"/>
    </row>
    <row r="198" spans="1:15" s="447" customFormat="1" x14ac:dyDescent="0.2">
      <c r="A198" s="548"/>
      <c r="B198" s="506"/>
      <c r="C198" s="506"/>
      <c r="D198" s="540"/>
      <c r="E198" s="494"/>
      <c r="F198" s="426"/>
      <c r="G198" s="426"/>
      <c r="H198" s="426"/>
      <c r="I198" s="445"/>
      <c r="J198" s="446"/>
      <c r="K198" s="511"/>
      <c r="L198" s="446"/>
      <c r="M198" s="446"/>
      <c r="N198" s="446"/>
      <c r="O198" s="446"/>
    </row>
    <row r="199" spans="1:15" s="447" customFormat="1" x14ac:dyDescent="0.2">
      <c r="A199" s="548" t="s">
        <v>974</v>
      </c>
      <c r="B199" s="506" t="s">
        <v>45</v>
      </c>
      <c r="C199" s="506">
        <v>34439</v>
      </c>
      <c r="D199" s="540" t="s">
        <v>798</v>
      </c>
      <c r="E199" s="494" t="s">
        <v>169</v>
      </c>
      <c r="F199" s="426">
        <v>60.9</v>
      </c>
      <c r="G199" s="426">
        <v>4</v>
      </c>
      <c r="H199" s="426">
        <f>ROUND((1+$K$16)*G199,2)</f>
        <v>4.67</v>
      </c>
      <c r="I199" s="445">
        <f t="shared" si="10"/>
        <v>284.39999999999998</v>
      </c>
      <c r="J199" s="446"/>
      <c r="K199" s="446"/>
      <c r="L199" s="446"/>
      <c r="M199" s="446"/>
      <c r="N199" s="446"/>
      <c r="O199" s="446"/>
    </row>
    <row r="200" spans="1:15" s="447" customFormat="1" x14ac:dyDescent="0.2">
      <c r="A200" s="548"/>
      <c r="B200" s="506"/>
      <c r="C200" s="506"/>
      <c r="D200" s="540"/>
      <c r="E200" s="494"/>
      <c r="F200" s="426"/>
      <c r="G200" s="426"/>
      <c r="H200" s="426"/>
      <c r="I200" s="445"/>
      <c r="J200" s="446"/>
      <c r="K200" s="446">
        <v>1432</v>
      </c>
      <c r="L200" s="446"/>
      <c r="M200" s="446"/>
      <c r="N200" s="446"/>
      <c r="O200" s="446"/>
    </row>
    <row r="201" spans="1:15" s="447" customFormat="1" x14ac:dyDescent="0.2">
      <c r="A201" s="548"/>
      <c r="B201" s="506"/>
      <c r="C201" s="506"/>
      <c r="D201" s="540" t="s">
        <v>2512</v>
      </c>
      <c r="E201" s="494"/>
      <c r="F201" s="426"/>
      <c r="G201" s="426"/>
      <c r="H201" s="426"/>
      <c r="I201" s="445"/>
      <c r="J201" s="446"/>
      <c r="K201" s="446">
        <v>111</v>
      </c>
      <c r="L201" s="446"/>
      <c r="M201" s="446"/>
      <c r="N201" s="446"/>
      <c r="O201" s="446"/>
    </row>
    <row r="202" spans="1:15" s="447" customFormat="1" x14ac:dyDescent="0.2">
      <c r="A202" s="548"/>
      <c r="B202" s="506"/>
      <c r="C202" s="506"/>
      <c r="D202" s="540"/>
      <c r="E202" s="494"/>
      <c r="F202" s="426"/>
      <c r="G202" s="426"/>
      <c r="H202" s="426"/>
      <c r="I202" s="445"/>
      <c r="J202" s="446"/>
      <c r="K202" s="446"/>
      <c r="L202" s="446"/>
      <c r="M202" s="446"/>
      <c r="N202" s="446"/>
      <c r="O202" s="446"/>
    </row>
    <row r="203" spans="1:15" s="447" customFormat="1" x14ac:dyDescent="0.2">
      <c r="A203" s="548" t="s">
        <v>975</v>
      </c>
      <c r="B203" s="506" t="s">
        <v>45</v>
      </c>
      <c r="C203" s="506">
        <v>33</v>
      </c>
      <c r="D203" s="540" t="s">
        <v>799</v>
      </c>
      <c r="E203" s="494" t="s">
        <v>169</v>
      </c>
      <c r="F203" s="426">
        <v>725.3</v>
      </c>
      <c r="G203" s="426">
        <v>4.1900000000000004</v>
      </c>
      <c r="H203" s="426">
        <f>ROUND((1+$K$16)*G203,2)</f>
        <v>4.8899999999999997</v>
      </c>
      <c r="I203" s="445">
        <f t="shared" si="10"/>
        <v>3546.72</v>
      </c>
      <c r="J203" s="446"/>
      <c r="K203" s="446"/>
      <c r="L203" s="446"/>
      <c r="M203" s="446"/>
      <c r="N203" s="446"/>
      <c r="O203" s="446"/>
    </row>
    <row r="204" spans="1:15" s="447" customFormat="1" x14ac:dyDescent="0.2">
      <c r="A204" s="548"/>
      <c r="B204" s="506"/>
      <c r="C204" s="506"/>
      <c r="D204" s="540"/>
      <c r="E204" s="494"/>
      <c r="F204" s="426"/>
      <c r="G204" s="426"/>
      <c r="H204" s="426"/>
      <c r="I204" s="445"/>
      <c r="J204" s="446"/>
      <c r="K204" s="446"/>
      <c r="L204" s="446"/>
      <c r="M204" s="446"/>
      <c r="N204" s="446"/>
      <c r="O204" s="446"/>
    </row>
    <row r="205" spans="1:15" s="447" customFormat="1" x14ac:dyDescent="0.2">
      <c r="A205" s="548"/>
      <c r="B205" s="506"/>
      <c r="C205" s="506"/>
      <c r="D205" s="540" t="s">
        <v>2513</v>
      </c>
      <c r="E205" s="494"/>
      <c r="F205" s="426"/>
      <c r="G205" s="426"/>
      <c r="H205" s="426"/>
      <c r="I205" s="445"/>
      <c r="J205" s="446"/>
      <c r="K205" s="446"/>
      <c r="L205" s="446"/>
      <c r="M205" s="446"/>
      <c r="N205" s="446"/>
      <c r="O205" s="446"/>
    </row>
    <row r="206" spans="1:15" s="447" customFormat="1" x14ac:dyDescent="0.2">
      <c r="A206" s="548"/>
      <c r="B206" s="506"/>
      <c r="C206" s="506"/>
      <c r="D206" s="540"/>
      <c r="E206" s="494"/>
      <c r="F206" s="426"/>
      <c r="G206" s="426"/>
      <c r="H206" s="426"/>
      <c r="I206" s="445"/>
      <c r="J206" s="446"/>
      <c r="K206" s="446"/>
      <c r="L206" s="446"/>
      <c r="M206" s="446"/>
      <c r="N206" s="446"/>
      <c r="O206" s="446"/>
    </row>
    <row r="207" spans="1:15" s="447" customFormat="1" ht="30" x14ac:dyDescent="0.2">
      <c r="A207" s="548" t="s">
        <v>976</v>
      </c>
      <c r="B207" s="500" t="s">
        <v>45</v>
      </c>
      <c r="C207" s="506">
        <v>94973</v>
      </c>
      <c r="D207" s="549" t="s">
        <v>734</v>
      </c>
      <c r="E207" s="495" t="s">
        <v>16</v>
      </c>
      <c r="F207" s="426">
        <v>15.6</v>
      </c>
      <c r="G207" s="426">
        <v>318.3</v>
      </c>
      <c r="H207" s="426">
        <f>ROUND((1+$L$16)*G207,2)</f>
        <v>402.44</v>
      </c>
      <c r="I207" s="445">
        <f>ROUND(F207*H207,2)</f>
        <v>6278.06</v>
      </c>
      <c r="J207" s="453"/>
      <c r="K207" s="446"/>
      <c r="L207" s="446"/>
      <c r="M207" s="446"/>
      <c r="N207" s="446"/>
      <c r="O207" s="446"/>
    </row>
    <row r="208" spans="1:15" s="447" customFormat="1" x14ac:dyDescent="0.2">
      <c r="A208" s="548"/>
      <c r="B208" s="500"/>
      <c r="C208" s="506"/>
      <c r="D208" s="549"/>
      <c r="E208" s="495"/>
      <c r="F208" s="426"/>
      <c r="G208" s="426"/>
      <c r="H208" s="426"/>
      <c r="I208" s="445"/>
      <c r="J208" s="453"/>
      <c r="K208" s="446"/>
      <c r="L208" s="446"/>
      <c r="M208" s="446"/>
      <c r="N208" s="446"/>
      <c r="O208" s="446"/>
    </row>
    <row r="209" spans="1:22" s="447" customFormat="1" x14ac:dyDescent="0.2">
      <c r="A209" s="548"/>
      <c r="B209" s="500"/>
      <c r="C209" s="506"/>
      <c r="D209" s="549" t="s">
        <v>2274</v>
      </c>
      <c r="E209" s="495"/>
      <c r="F209" s="426"/>
      <c r="G209" s="426"/>
      <c r="H209" s="426"/>
      <c r="I209" s="445"/>
      <c r="J209" s="453"/>
      <c r="K209" s="446"/>
      <c r="L209" s="446"/>
      <c r="M209" s="446"/>
      <c r="N209" s="446"/>
      <c r="O209" s="446"/>
    </row>
    <row r="210" spans="1:22" s="447" customFormat="1" x14ac:dyDescent="0.2">
      <c r="A210" s="548"/>
      <c r="B210" s="500"/>
      <c r="C210" s="506"/>
      <c r="D210" s="549"/>
      <c r="E210" s="495"/>
      <c r="F210" s="426"/>
      <c r="G210" s="426"/>
      <c r="H210" s="426"/>
      <c r="I210" s="445"/>
      <c r="J210" s="453"/>
      <c r="K210" s="446"/>
      <c r="L210" s="446"/>
      <c r="M210" s="446"/>
      <c r="N210" s="446"/>
      <c r="O210" s="446"/>
    </row>
    <row r="211" spans="1:22" s="373" customFormat="1" ht="30" x14ac:dyDescent="0.2">
      <c r="A211" s="548" t="s">
        <v>977</v>
      </c>
      <c r="B211" s="500" t="s">
        <v>45</v>
      </c>
      <c r="C211" s="500">
        <v>92874</v>
      </c>
      <c r="D211" s="540" t="s">
        <v>800</v>
      </c>
      <c r="E211" s="495" t="s">
        <v>16</v>
      </c>
      <c r="F211" s="426">
        <f>F207</f>
        <v>15.6</v>
      </c>
      <c r="G211" s="426">
        <v>27.56</v>
      </c>
      <c r="H211" s="426">
        <f>ROUND((1+$L$16)*G211,2)</f>
        <v>34.85</v>
      </c>
      <c r="I211" s="426">
        <f t="shared" ref="I211:I275" si="11">ROUND(F211*H211,2)</f>
        <v>543.66</v>
      </c>
      <c r="J211" s="444"/>
      <c r="K211" s="372"/>
      <c r="L211" s="424"/>
      <c r="M211" s="372"/>
      <c r="N211" s="372"/>
      <c r="O211" s="372"/>
      <c r="P211" s="372"/>
      <c r="Q211" s="372"/>
      <c r="S211" s="372"/>
    </row>
    <row r="212" spans="1:22" s="373" customFormat="1" x14ac:dyDescent="0.2">
      <c r="A212" s="548"/>
      <c r="B212" s="500"/>
      <c r="C212" s="500"/>
      <c r="D212" s="540"/>
      <c r="E212" s="495"/>
      <c r="F212" s="426"/>
      <c r="G212" s="426"/>
      <c r="H212" s="426"/>
      <c r="I212" s="426"/>
      <c r="J212" s="444"/>
      <c r="K212" s="372"/>
      <c r="L212" s="424"/>
      <c r="M212" s="372"/>
      <c r="N212" s="372"/>
      <c r="O212" s="372"/>
      <c r="P212" s="372"/>
      <c r="Q212" s="372"/>
      <c r="S212" s="372"/>
    </row>
    <row r="213" spans="1:22" s="373" customFormat="1" x14ac:dyDescent="0.2">
      <c r="A213" s="548"/>
      <c r="B213" s="500"/>
      <c r="C213" s="500"/>
      <c r="D213" s="549" t="s">
        <v>2274</v>
      </c>
      <c r="E213" s="495"/>
      <c r="F213" s="426"/>
      <c r="G213" s="426"/>
      <c r="H213" s="426"/>
      <c r="I213" s="426"/>
      <c r="J213" s="444"/>
      <c r="K213" s="372"/>
      <c r="L213" s="424"/>
      <c r="M213" s="372"/>
      <c r="N213" s="372"/>
      <c r="O213" s="372"/>
      <c r="P213" s="372"/>
      <c r="Q213" s="372"/>
      <c r="S213" s="372"/>
    </row>
    <row r="214" spans="1:22" s="373" customFormat="1" x14ac:dyDescent="0.2">
      <c r="A214" s="548"/>
      <c r="B214" s="500"/>
      <c r="C214" s="500"/>
      <c r="D214" s="540"/>
      <c r="E214" s="495"/>
      <c r="F214" s="426"/>
      <c r="G214" s="426"/>
      <c r="H214" s="426"/>
      <c r="I214" s="426"/>
      <c r="J214" s="444"/>
      <c r="K214" s="372"/>
      <c r="L214" s="424"/>
      <c r="M214" s="372"/>
      <c r="N214" s="372"/>
      <c r="O214" s="372"/>
      <c r="P214" s="372"/>
      <c r="Q214" s="372"/>
      <c r="S214" s="372"/>
    </row>
    <row r="215" spans="1:22" s="447" customFormat="1" ht="30" x14ac:dyDescent="0.2">
      <c r="A215" s="548" t="s">
        <v>978</v>
      </c>
      <c r="B215" s="500" t="s">
        <v>45</v>
      </c>
      <c r="C215" s="506" t="s">
        <v>377</v>
      </c>
      <c r="D215" s="549" t="s">
        <v>735</v>
      </c>
      <c r="E215" s="495" t="s">
        <v>15</v>
      </c>
      <c r="F215" s="426">
        <f>1.7*1.2+1.8*1.7+2.4*1.7+2.9*2*2.2+3.5*2*3.2+4.1*2*1.6</f>
        <v>57.46</v>
      </c>
      <c r="G215" s="426">
        <v>31.05</v>
      </c>
      <c r="H215" s="426">
        <f>ROUND((1+$L$16)*G215,2)</f>
        <v>39.26</v>
      </c>
      <c r="I215" s="445">
        <f t="shared" si="11"/>
        <v>2255.88</v>
      </c>
      <c r="J215" s="446"/>
      <c r="K215" s="446"/>
      <c r="L215" s="446"/>
      <c r="M215" s="446"/>
      <c r="N215" s="446"/>
      <c r="O215" s="446"/>
    </row>
    <row r="216" spans="1:22" s="447" customFormat="1" x14ac:dyDescent="0.2">
      <c r="A216" s="548"/>
      <c r="B216" s="500"/>
      <c r="C216" s="506"/>
      <c r="D216" s="549"/>
      <c r="E216" s="495"/>
      <c r="F216" s="426"/>
      <c r="G216" s="426"/>
      <c r="H216" s="426"/>
      <c r="I216" s="455"/>
      <c r="J216" s="446"/>
      <c r="K216" s="446"/>
      <c r="L216" s="446"/>
      <c r="M216" s="446"/>
      <c r="N216" s="446"/>
      <c r="O216" s="446"/>
    </row>
    <row r="217" spans="1:22" s="447" customFormat="1" x14ac:dyDescent="0.2">
      <c r="A217" s="548"/>
      <c r="B217" s="500"/>
      <c r="C217" s="506"/>
      <c r="D217" s="549" t="s">
        <v>2276</v>
      </c>
      <c r="E217" s="495"/>
      <c r="F217" s="426"/>
      <c r="G217" s="426"/>
      <c r="H217" s="426"/>
      <c r="I217" s="455"/>
      <c r="J217" s="446"/>
      <c r="K217" s="446"/>
      <c r="L217" s="446"/>
      <c r="M217" s="446"/>
      <c r="N217" s="446"/>
      <c r="O217" s="446"/>
    </row>
    <row r="218" spans="1:22" s="447" customFormat="1" x14ac:dyDescent="0.2">
      <c r="A218" s="548"/>
      <c r="B218" s="500"/>
      <c r="C218" s="506"/>
      <c r="D218" s="549" t="s">
        <v>2277</v>
      </c>
      <c r="E218" s="495"/>
      <c r="F218" s="426"/>
      <c r="G218" s="426"/>
      <c r="H218" s="426"/>
      <c r="I218" s="455"/>
      <c r="J218" s="446"/>
      <c r="K218" s="446"/>
      <c r="L218" s="446"/>
      <c r="M218" s="446"/>
      <c r="N218" s="446"/>
      <c r="O218" s="446"/>
    </row>
    <row r="219" spans="1:22" s="447" customFormat="1" x14ac:dyDescent="0.2">
      <c r="A219" s="548"/>
      <c r="B219" s="500"/>
      <c r="C219" s="506"/>
      <c r="D219" s="549" t="s">
        <v>2275</v>
      </c>
      <c r="E219" s="495"/>
      <c r="F219" s="426"/>
      <c r="G219" s="426"/>
      <c r="H219" s="426"/>
      <c r="I219" s="455"/>
      <c r="J219" s="446"/>
      <c r="K219" s="446"/>
      <c r="L219" s="446"/>
      <c r="M219" s="446"/>
      <c r="N219" s="446"/>
      <c r="O219" s="446"/>
    </row>
    <row r="220" spans="1:22" s="447" customFormat="1" x14ac:dyDescent="0.2">
      <c r="A220" s="548"/>
      <c r="B220" s="500"/>
      <c r="C220" s="506"/>
      <c r="D220" s="549"/>
      <c r="E220" s="495"/>
      <c r="F220" s="426"/>
      <c r="G220" s="426"/>
      <c r="H220" s="426"/>
      <c r="I220" s="455"/>
      <c r="J220" s="446"/>
      <c r="K220" s="446"/>
      <c r="L220" s="446"/>
      <c r="M220" s="446"/>
      <c r="N220" s="446"/>
      <c r="O220" s="446"/>
    </row>
    <row r="221" spans="1:22" s="447" customFormat="1" x14ac:dyDescent="0.2">
      <c r="A221" s="548"/>
      <c r="B221" s="500"/>
      <c r="C221" s="506"/>
      <c r="D221" s="549"/>
      <c r="E221" s="495"/>
      <c r="F221" s="426"/>
      <c r="G221" s="426"/>
      <c r="H221" s="426"/>
      <c r="I221" s="455"/>
      <c r="J221" s="446"/>
      <c r="K221" s="446"/>
      <c r="L221" s="446"/>
      <c r="M221" s="446"/>
      <c r="N221" s="446"/>
      <c r="O221" s="446"/>
    </row>
    <row r="222" spans="1:22" s="447" customFormat="1" ht="15.75" x14ac:dyDescent="0.2">
      <c r="A222" s="546" t="s">
        <v>316</v>
      </c>
      <c r="B222" s="504"/>
      <c r="C222" s="504"/>
      <c r="D222" s="547" t="s">
        <v>1806</v>
      </c>
      <c r="E222" s="493"/>
      <c r="F222" s="440"/>
      <c r="G222" s="441"/>
      <c r="H222" s="442"/>
      <c r="I222" s="443">
        <f>SUM(I223:I275)</f>
        <v>133021.71</v>
      </c>
      <c r="J222" s="446"/>
      <c r="K222" s="446"/>
      <c r="L222" s="446"/>
      <c r="M222" s="446"/>
      <c r="N222" s="446"/>
      <c r="O222" s="446"/>
    </row>
    <row r="223" spans="1:22" s="457" customFormat="1" ht="17.25" customHeight="1" x14ac:dyDescent="0.2">
      <c r="A223" s="548" t="s">
        <v>475</v>
      </c>
      <c r="B223" s="506" t="s">
        <v>335</v>
      </c>
      <c r="C223" s="506" t="str">
        <f>COMPOSIÇÕES!C50</f>
        <v>CE-003</v>
      </c>
      <c r="D223" s="554" t="s">
        <v>946</v>
      </c>
      <c r="E223" s="494" t="s">
        <v>18</v>
      </c>
      <c r="F223" s="426">
        <v>1</v>
      </c>
      <c r="G223" s="426">
        <f>COMPOSIÇÕES!I50</f>
        <v>6251.47</v>
      </c>
      <c r="H223" s="426">
        <f t="shared" ref="H223:H255" si="12">ROUND((1+$L$16)*G223,2)</f>
        <v>7904.09</v>
      </c>
      <c r="I223" s="448">
        <f t="shared" si="11"/>
        <v>7904.09</v>
      </c>
      <c r="J223" s="437"/>
      <c r="K223" s="456"/>
      <c r="L223" s="456"/>
      <c r="M223" s="456"/>
      <c r="N223" s="372"/>
      <c r="O223" s="372"/>
      <c r="P223" s="372"/>
      <c r="Q223" s="373"/>
      <c r="R223" s="372"/>
      <c r="S223" s="373"/>
      <c r="T223" s="373"/>
      <c r="U223" s="373"/>
      <c r="V223" s="373"/>
    </row>
    <row r="224" spans="1:22" s="457" customFormat="1" ht="17.25" customHeight="1" x14ac:dyDescent="0.2">
      <c r="A224" s="548"/>
      <c r="B224" s="506"/>
      <c r="C224" s="506"/>
      <c r="D224" s="554"/>
      <c r="E224" s="494"/>
      <c r="F224" s="426"/>
      <c r="G224" s="426"/>
      <c r="H224" s="426"/>
      <c r="I224" s="448"/>
      <c r="J224" s="437"/>
      <c r="K224" s="456"/>
      <c r="L224" s="456"/>
      <c r="M224" s="456"/>
      <c r="N224" s="372"/>
      <c r="O224" s="372"/>
      <c r="P224" s="372"/>
      <c r="Q224" s="373"/>
      <c r="R224" s="372"/>
      <c r="S224" s="373"/>
      <c r="T224" s="373"/>
      <c r="U224" s="373"/>
      <c r="V224" s="373"/>
    </row>
    <row r="225" spans="1:22" s="457" customFormat="1" ht="17.25" customHeight="1" x14ac:dyDescent="0.2">
      <c r="A225" s="548"/>
      <c r="B225" s="506"/>
      <c r="C225" s="506"/>
      <c r="D225" s="554" t="s">
        <v>2278</v>
      </c>
      <c r="E225" s="494"/>
      <c r="F225" s="426"/>
      <c r="G225" s="426"/>
      <c r="H225" s="426"/>
      <c r="I225" s="448"/>
      <c r="J225" s="437"/>
      <c r="K225" s="456"/>
      <c r="L225" s="456"/>
      <c r="M225" s="456"/>
      <c r="N225" s="372"/>
      <c r="O225" s="372"/>
      <c r="P225" s="372"/>
      <c r="Q225" s="373"/>
      <c r="R225" s="372"/>
      <c r="S225" s="373"/>
      <c r="T225" s="373"/>
      <c r="U225" s="373"/>
      <c r="V225" s="373"/>
    </row>
    <row r="226" spans="1:22" s="457" customFormat="1" ht="17.25" customHeight="1" x14ac:dyDescent="0.2">
      <c r="A226" s="548"/>
      <c r="B226" s="506"/>
      <c r="C226" s="506"/>
      <c r="D226" s="554"/>
      <c r="E226" s="494"/>
      <c r="F226" s="426"/>
      <c r="G226" s="426"/>
      <c r="H226" s="426"/>
      <c r="I226" s="448"/>
      <c r="J226" s="437"/>
      <c r="K226" s="456"/>
      <c r="L226" s="456"/>
      <c r="M226" s="456"/>
      <c r="N226" s="372"/>
      <c r="O226" s="372"/>
      <c r="P226" s="372"/>
      <c r="Q226" s="373"/>
      <c r="R226" s="372"/>
      <c r="S226" s="373"/>
      <c r="T226" s="373"/>
      <c r="U226" s="373"/>
      <c r="V226" s="373"/>
    </row>
    <row r="227" spans="1:22" s="457" customFormat="1" x14ac:dyDescent="0.2">
      <c r="A227" s="548" t="s">
        <v>476</v>
      </c>
      <c r="B227" s="506" t="s">
        <v>45</v>
      </c>
      <c r="C227" s="506">
        <v>73661</v>
      </c>
      <c r="D227" s="554" t="s">
        <v>336</v>
      </c>
      <c r="E227" s="494" t="s">
        <v>18</v>
      </c>
      <c r="F227" s="426">
        <v>1</v>
      </c>
      <c r="G227" s="426">
        <v>1752.73</v>
      </c>
      <c r="H227" s="426">
        <f t="shared" si="12"/>
        <v>2216.08</v>
      </c>
      <c r="I227" s="448">
        <f t="shared" si="11"/>
        <v>2216.08</v>
      </c>
      <c r="J227" s="437"/>
      <c r="K227" s="456"/>
      <c r="L227" s="456"/>
      <c r="M227" s="456"/>
      <c r="N227" s="372"/>
      <c r="O227" s="372"/>
      <c r="P227" s="372"/>
      <c r="Q227" s="373"/>
      <c r="R227" s="372"/>
      <c r="S227" s="373"/>
      <c r="T227" s="373"/>
      <c r="U227" s="373"/>
      <c r="V227" s="373"/>
    </row>
    <row r="228" spans="1:22" s="457" customFormat="1" x14ac:dyDescent="0.2">
      <c r="A228" s="548"/>
      <c r="B228" s="506"/>
      <c r="C228" s="506"/>
      <c r="D228" s="554"/>
      <c r="E228" s="494"/>
      <c r="F228" s="426"/>
      <c r="G228" s="426"/>
      <c r="H228" s="426"/>
      <c r="I228" s="510"/>
      <c r="J228" s="437"/>
      <c r="K228" s="456"/>
      <c r="L228" s="456"/>
      <c r="M228" s="456"/>
      <c r="N228" s="372"/>
      <c r="O228" s="372"/>
      <c r="P228" s="372"/>
      <c r="Q228" s="373"/>
      <c r="R228" s="372"/>
      <c r="S228" s="373"/>
      <c r="T228" s="373"/>
      <c r="U228" s="373"/>
      <c r="V228" s="373"/>
    </row>
    <row r="229" spans="1:22" s="457" customFormat="1" x14ac:dyDescent="0.2">
      <c r="A229" s="548"/>
      <c r="B229" s="506"/>
      <c r="C229" s="506"/>
      <c r="D229" s="554" t="s">
        <v>2280</v>
      </c>
      <c r="E229" s="494"/>
      <c r="F229" s="426"/>
      <c r="G229" s="426"/>
      <c r="H229" s="426"/>
      <c r="I229" s="510"/>
      <c r="J229" s="437"/>
      <c r="K229" s="456"/>
      <c r="L229" s="456"/>
      <c r="M229" s="456"/>
      <c r="N229" s="372"/>
      <c r="O229" s="372"/>
      <c r="P229" s="372"/>
      <c r="Q229" s="373"/>
      <c r="R229" s="372"/>
      <c r="S229" s="373"/>
      <c r="T229" s="373"/>
      <c r="U229" s="373"/>
      <c r="V229" s="373"/>
    </row>
    <row r="230" spans="1:22" s="457" customFormat="1" x14ac:dyDescent="0.2">
      <c r="A230" s="548"/>
      <c r="B230" s="506"/>
      <c r="C230" s="506"/>
      <c r="D230" s="554"/>
      <c r="E230" s="494"/>
      <c r="F230" s="426"/>
      <c r="G230" s="426"/>
      <c r="H230" s="426"/>
      <c r="I230" s="510"/>
      <c r="J230" s="437"/>
      <c r="K230" s="456"/>
      <c r="L230" s="456"/>
      <c r="M230" s="456"/>
      <c r="N230" s="372"/>
      <c r="O230" s="372"/>
      <c r="P230" s="372"/>
      <c r="Q230" s="373"/>
      <c r="R230" s="372"/>
      <c r="S230" s="373"/>
      <c r="T230" s="373"/>
      <c r="U230" s="373"/>
      <c r="V230" s="373"/>
    </row>
    <row r="231" spans="1:22" s="447" customFormat="1" x14ac:dyDescent="0.2">
      <c r="A231" s="548" t="s">
        <v>764</v>
      </c>
      <c r="B231" s="506" t="s">
        <v>65</v>
      </c>
      <c r="C231" s="500"/>
      <c r="D231" s="540" t="s">
        <v>802</v>
      </c>
      <c r="E231" s="495" t="s">
        <v>19</v>
      </c>
      <c r="F231" s="426">
        <v>2</v>
      </c>
      <c r="G231" s="426">
        <v>0</v>
      </c>
      <c r="H231" s="426">
        <f t="shared" si="12"/>
        <v>0</v>
      </c>
      <c r="I231" s="445">
        <f t="shared" si="11"/>
        <v>0</v>
      </c>
      <c r="J231" s="446"/>
      <c r="K231" s="446"/>
      <c r="L231" s="446"/>
      <c r="M231" s="446"/>
      <c r="N231" s="446"/>
      <c r="O231" s="446"/>
    </row>
    <row r="232" spans="1:22" s="447" customFormat="1" x14ac:dyDescent="0.2">
      <c r="A232" s="548"/>
      <c r="B232" s="506"/>
      <c r="C232" s="500"/>
      <c r="D232" s="540"/>
      <c r="E232" s="495"/>
      <c r="F232" s="426"/>
      <c r="G232" s="426"/>
      <c r="H232" s="426"/>
      <c r="I232" s="445"/>
      <c r="J232" s="446"/>
      <c r="K232" s="446"/>
      <c r="L232" s="446"/>
      <c r="M232" s="446"/>
      <c r="N232" s="446"/>
      <c r="O232" s="446"/>
    </row>
    <row r="233" spans="1:22" s="447" customFormat="1" x14ac:dyDescent="0.2">
      <c r="A233" s="550"/>
      <c r="B233" s="551"/>
      <c r="C233" s="551"/>
      <c r="D233" s="552" t="s">
        <v>2279</v>
      </c>
      <c r="E233" s="495"/>
      <c r="F233" s="426"/>
      <c r="G233" s="426"/>
      <c r="H233" s="426"/>
      <c r="I233" s="445"/>
      <c r="J233" s="446"/>
      <c r="K233" s="446"/>
      <c r="L233" s="446"/>
      <c r="M233" s="446"/>
      <c r="N233" s="446"/>
      <c r="O233" s="446"/>
    </row>
    <row r="234" spans="1:22" s="447" customFormat="1" x14ac:dyDescent="0.2">
      <c r="A234" s="548"/>
      <c r="B234" s="506"/>
      <c r="C234" s="500"/>
      <c r="D234" s="540"/>
      <c r="E234" s="495"/>
      <c r="F234" s="426"/>
      <c r="G234" s="426"/>
      <c r="H234" s="426"/>
      <c r="I234" s="445"/>
      <c r="J234" s="446"/>
      <c r="K234" s="446"/>
      <c r="L234" s="446"/>
      <c r="M234" s="446"/>
      <c r="N234" s="446"/>
      <c r="O234" s="446"/>
    </row>
    <row r="235" spans="1:22" s="447" customFormat="1" x14ac:dyDescent="0.2">
      <c r="A235" s="548" t="s">
        <v>789</v>
      </c>
      <c r="B235" s="506" t="s">
        <v>45</v>
      </c>
      <c r="C235" s="506" t="s">
        <v>401</v>
      </c>
      <c r="D235" s="554" t="s">
        <v>402</v>
      </c>
      <c r="E235" s="494" t="s">
        <v>18</v>
      </c>
      <c r="F235" s="426">
        <v>2</v>
      </c>
      <c r="G235" s="426">
        <v>199.94</v>
      </c>
      <c r="H235" s="426">
        <f t="shared" si="12"/>
        <v>252.8</v>
      </c>
      <c r="I235" s="445">
        <f>ROUND(F235*H235,2)</f>
        <v>505.6</v>
      </c>
      <c r="J235" s="446"/>
      <c r="K235" s="446"/>
      <c r="L235" s="446"/>
      <c r="M235" s="446"/>
      <c r="N235" s="446"/>
      <c r="O235" s="446"/>
    </row>
    <row r="236" spans="1:22" s="447" customFormat="1" x14ac:dyDescent="0.2">
      <c r="A236" s="548"/>
      <c r="B236" s="506"/>
      <c r="C236" s="506"/>
      <c r="D236" s="554"/>
      <c r="E236" s="494"/>
      <c r="F236" s="426"/>
      <c r="G236" s="426"/>
      <c r="H236" s="426"/>
      <c r="I236" s="455"/>
      <c r="J236" s="446"/>
      <c r="K236" s="446"/>
      <c r="L236" s="446"/>
      <c r="M236" s="446"/>
      <c r="N236" s="446"/>
      <c r="O236" s="446"/>
    </row>
    <row r="237" spans="1:22" s="447" customFormat="1" x14ac:dyDescent="0.2">
      <c r="A237" s="548"/>
      <c r="B237" s="506"/>
      <c r="C237" s="506"/>
      <c r="D237" s="540" t="s">
        <v>2279</v>
      </c>
      <c r="E237" s="494"/>
      <c r="F237" s="426"/>
      <c r="G237" s="426"/>
      <c r="H237" s="426"/>
      <c r="I237" s="455"/>
      <c r="J237" s="446"/>
      <c r="K237" s="446"/>
      <c r="L237" s="446"/>
      <c r="M237" s="446"/>
      <c r="N237" s="446"/>
      <c r="O237" s="446"/>
    </row>
    <row r="238" spans="1:22" s="447" customFormat="1" x14ac:dyDescent="0.2">
      <c r="A238" s="548"/>
      <c r="B238" s="506"/>
      <c r="C238" s="506"/>
      <c r="D238" s="554"/>
      <c r="E238" s="494"/>
      <c r="F238" s="426"/>
      <c r="G238" s="426"/>
      <c r="H238" s="426"/>
      <c r="I238" s="455"/>
      <c r="J238" s="446"/>
      <c r="K238" s="446"/>
      <c r="L238" s="446"/>
      <c r="M238" s="446"/>
      <c r="N238" s="446"/>
      <c r="O238" s="446"/>
    </row>
    <row r="239" spans="1:22" s="457" customFormat="1" ht="45" x14ac:dyDescent="0.2">
      <c r="A239" s="548" t="s">
        <v>1578</v>
      </c>
      <c r="B239" s="506" t="s">
        <v>335</v>
      </c>
      <c r="C239" s="506" t="str">
        <f>COMPOSIÇÕES!C57</f>
        <v>CE-004</v>
      </c>
      <c r="D239" s="554" t="s">
        <v>780</v>
      </c>
      <c r="E239" s="494" t="s">
        <v>18</v>
      </c>
      <c r="F239" s="426">
        <v>1</v>
      </c>
      <c r="G239" s="426">
        <f>COMPOSIÇÕES!I57</f>
        <v>1039.79</v>
      </c>
      <c r="H239" s="426">
        <f t="shared" si="12"/>
        <v>1314.67</v>
      </c>
      <c r="I239" s="448">
        <f t="shared" si="11"/>
        <v>1314.67</v>
      </c>
      <c r="J239" s="437"/>
      <c r="K239" s="456"/>
      <c r="L239" s="456"/>
      <c r="M239" s="456"/>
      <c r="N239" s="372"/>
      <c r="O239" s="372"/>
      <c r="P239" s="372"/>
      <c r="Q239" s="373"/>
      <c r="R239" s="372"/>
      <c r="S239" s="373"/>
      <c r="T239" s="373"/>
      <c r="U239" s="373"/>
      <c r="V239" s="373"/>
    </row>
    <row r="240" spans="1:22" s="457" customFormat="1" x14ac:dyDescent="0.2">
      <c r="A240" s="548"/>
      <c r="B240" s="506"/>
      <c r="C240" s="506"/>
      <c r="D240" s="554"/>
      <c r="E240" s="494"/>
      <c r="F240" s="426"/>
      <c r="G240" s="426"/>
      <c r="H240" s="426"/>
      <c r="I240" s="510"/>
      <c r="J240" s="437"/>
      <c r="K240" s="456"/>
      <c r="L240" s="456"/>
      <c r="M240" s="456"/>
      <c r="N240" s="372"/>
      <c r="O240" s="372"/>
      <c r="P240" s="372"/>
      <c r="Q240" s="373"/>
      <c r="R240" s="372"/>
      <c r="S240" s="373"/>
      <c r="T240" s="373"/>
      <c r="U240" s="373"/>
      <c r="V240" s="373"/>
    </row>
    <row r="241" spans="1:22" s="457" customFormat="1" x14ac:dyDescent="0.2">
      <c r="A241" s="548"/>
      <c r="B241" s="506"/>
      <c r="C241" s="506"/>
      <c r="D241" s="554" t="s">
        <v>2281</v>
      </c>
      <c r="E241" s="494"/>
      <c r="F241" s="426"/>
      <c r="G241" s="426"/>
      <c r="H241" s="426"/>
      <c r="I241" s="510"/>
      <c r="J241" s="437"/>
      <c r="K241" s="456"/>
      <c r="L241" s="456"/>
      <c r="M241" s="456"/>
      <c r="N241" s="372"/>
      <c r="O241" s="372"/>
      <c r="P241" s="372"/>
      <c r="Q241" s="373"/>
      <c r="R241" s="372"/>
      <c r="S241" s="373"/>
      <c r="T241" s="373"/>
      <c r="U241" s="373"/>
      <c r="V241" s="373"/>
    </row>
    <row r="242" spans="1:22" s="457" customFormat="1" x14ac:dyDescent="0.2">
      <c r="A242" s="548"/>
      <c r="B242" s="506"/>
      <c r="C242" s="506"/>
      <c r="D242" s="554"/>
      <c r="E242" s="494"/>
      <c r="F242" s="426"/>
      <c r="G242" s="426"/>
      <c r="H242" s="426"/>
      <c r="I242" s="510"/>
      <c r="J242" s="437"/>
      <c r="K242" s="456"/>
      <c r="L242" s="456"/>
      <c r="M242" s="456"/>
      <c r="N242" s="372"/>
      <c r="O242" s="372"/>
      <c r="P242" s="372"/>
      <c r="Q242" s="373"/>
      <c r="R242" s="372"/>
      <c r="S242" s="373"/>
      <c r="T242" s="373"/>
      <c r="U242" s="373"/>
      <c r="V242" s="373"/>
    </row>
    <row r="243" spans="1:22" s="447" customFormat="1" ht="30" x14ac:dyDescent="0.2">
      <c r="A243" s="548" t="s">
        <v>1836</v>
      </c>
      <c r="B243" s="505" t="s">
        <v>335</v>
      </c>
      <c r="C243" s="500" t="str">
        <f>COMPOSIÇÕES!C69</f>
        <v>CE-005</v>
      </c>
      <c r="D243" s="540" t="s">
        <v>805</v>
      </c>
      <c r="E243" s="495" t="s">
        <v>19</v>
      </c>
      <c r="F243" s="426">
        <v>2</v>
      </c>
      <c r="G243" s="426">
        <f>COMPOSIÇÕES!I69</f>
        <v>522.31999999999994</v>
      </c>
      <c r="H243" s="426">
        <f t="shared" si="12"/>
        <v>660.4</v>
      </c>
      <c r="I243" s="445">
        <f t="shared" ref="I243" si="13">ROUND(F243*H243,2)</f>
        <v>1320.8</v>
      </c>
      <c r="J243" s="446"/>
      <c r="K243" s="446"/>
      <c r="L243" s="446"/>
      <c r="M243" s="446"/>
      <c r="N243" s="446"/>
      <c r="O243" s="446"/>
    </row>
    <row r="244" spans="1:22" s="447" customFormat="1" x14ac:dyDescent="0.2">
      <c r="A244" s="548"/>
      <c r="B244" s="505"/>
      <c r="C244" s="500"/>
      <c r="D244" s="540"/>
      <c r="E244" s="495"/>
      <c r="F244" s="426"/>
      <c r="G244" s="426"/>
      <c r="H244" s="426"/>
      <c r="I244" s="445"/>
      <c r="J244" s="446"/>
      <c r="K244" s="446"/>
      <c r="L244" s="446"/>
      <c r="M244" s="446"/>
      <c r="N244" s="446"/>
      <c r="O244" s="446"/>
    </row>
    <row r="245" spans="1:22" s="447" customFormat="1" x14ac:dyDescent="0.2">
      <c r="A245" s="548"/>
      <c r="B245" s="505"/>
      <c r="C245" s="500"/>
      <c r="D245" s="554" t="s">
        <v>2283</v>
      </c>
      <c r="E245" s="495"/>
      <c r="F245" s="426"/>
      <c r="G245" s="426"/>
      <c r="H245" s="426"/>
      <c r="I245" s="445"/>
      <c r="J245" s="446"/>
      <c r="K245" s="446"/>
      <c r="L245" s="446"/>
      <c r="M245" s="446"/>
      <c r="N245" s="446"/>
      <c r="O245" s="446"/>
    </row>
    <row r="246" spans="1:22" s="447" customFormat="1" x14ac:dyDescent="0.2">
      <c r="A246" s="548"/>
      <c r="B246" s="505"/>
      <c r="C246" s="500"/>
      <c r="D246" s="540"/>
      <c r="E246" s="495"/>
      <c r="F246" s="426"/>
      <c r="G246" s="426"/>
      <c r="H246" s="426"/>
      <c r="I246" s="445"/>
      <c r="J246" s="446"/>
      <c r="K246" s="446"/>
      <c r="L246" s="446"/>
      <c r="M246" s="446"/>
      <c r="N246" s="446"/>
      <c r="O246" s="446"/>
    </row>
    <row r="247" spans="1:22" s="447" customFormat="1" ht="30" x14ac:dyDescent="0.2">
      <c r="A247" s="548" t="s">
        <v>1837</v>
      </c>
      <c r="B247" s="505" t="s">
        <v>335</v>
      </c>
      <c r="C247" s="500" t="str">
        <f>COMPOSIÇÕES!C75</f>
        <v>CE-006</v>
      </c>
      <c r="D247" s="540" t="s">
        <v>736</v>
      </c>
      <c r="E247" s="495" t="s">
        <v>19</v>
      </c>
      <c r="F247" s="426">
        <v>4</v>
      </c>
      <c r="G247" s="426">
        <f>COMPOSIÇÕES!I75</f>
        <v>399.49</v>
      </c>
      <c r="H247" s="426">
        <f t="shared" si="12"/>
        <v>505.1</v>
      </c>
      <c r="I247" s="445">
        <f t="shared" si="11"/>
        <v>2020.4</v>
      </c>
      <c r="J247" s="446"/>
      <c r="K247" s="446"/>
      <c r="L247" s="446"/>
      <c r="M247" s="446"/>
      <c r="N247" s="446"/>
      <c r="O247" s="446"/>
    </row>
    <row r="248" spans="1:22" s="447" customFormat="1" x14ac:dyDescent="0.2">
      <c r="A248" s="548"/>
      <c r="B248" s="505"/>
      <c r="C248" s="500"/>
      <c r="D248" s="540"/>
      <c r="E248" s="495"/>
      <c r="F248" s="426"/>
      <c r="G248" s="426"/>
      <c r="H248" s="426"/>
      <c r="I248" s="445"/>
      <c r="J248" s="446"/>
      <c r="K248" s="446"/>
      <c r="L248" s="446"/>
      <c r="M248" s="446"/>
      <c r="N248" s="446"/>
      <c r="O248" s="446"/>
    </row>
    <row r="249" spans="1:22" s="447" customFormat="1" x14ac:dyDescent="0.2">
      <c r="A249" s="548"/>
      <c r="B249" s="505"/>
      <c r="C249" s="500"/>
      <c r="D249" s="554" t="s">
        <v>2284</v>
      </c>
      <c r="E249" s="495"/>
      <c r="F249" s="426"/>
      <c r="G249" s="426"/>
      <c r="H249" s="426"/>
      <c r="I249" s="445"/>
      <c r="J249" s="446"/>
      <c r="K249" s="446"/>
      <c r="L249" s="446"/>
      <c r="M249" s="446"/>
      <c r="N249" s="446"/>
      <c r="O249" s="446"/>
    </row>
    <row r="250" spans="1:22" s="447" customFormat="1" x14ac:dyDescent="0.2">
      <c r="A250" s="548"/>
      <c r="B250" s="505"/>
      <c r="C250" s="500"/>
      <c r="D250" s="540"/>
      <c r="E250" s="495"/>
      <c r="F250" s="426"/>
      <c r="G250" s="426"/>
      <c r="H250" s="426"/>
      <c r="I250" s="445"/>
      <c r="J250" s="446"/>
      <c r="K250" s="446"/>
      <c r="L250" s="446"/>
      <c r="M250" s="446"/>
      <c r="N250" s="446"/>
      <c r="O250" s="446"/>
    </row>
    <row r="251" spans="1:22" s="447" customFormat="1" ht="30" x14ac:dyDescent="0.2">
      <c r="A251" s="548" t="s">
        <v>1838</v>
      </c>
      <c r="B251" s="505" t="s">
        <v>335</v>
      </c>
      <c r="C251" s="500" t="str">
        <f>COMPOSIÇÕES!C81</f>
        <v>CE-007</v>
      </c>
      <c r="D251" s="540" t="s">
        <v>739</v>
      </c>
      <c r="E251" s="495" t="s">
        <v>19</v>
      </c>
      <c r="F251" s="426">
        <v>1</v>
      </c>
      <c r="G251" s="426">
        <f>COMPOSIÇÕES!I81</f>
        <v>322.78999999999996</v>
      </c>
      <c r="H251" s="426">
        <f t="shared" si="12"/>
        <v>408.12</v>
      </c>
      <c r="I251" s="445">
        <f t="shared" si="11"/>
        <v>408.12</v>
      </c>
      <c r="J251" s="446"/>
      <c r="K251" s="446"/>
      <c r="L251" s="446"/>
      <c r="M251" s="446"/>
      <c r="N251" s="446"/>
      <c r="O251" s="446"/>
    </row>
    <row r="252" spans="1:22" s="447" customFormat="1" x14ac:dyDescent="0.2">
      <c r="A252" s="548"/>
      <c r="B252" s="505"/>
      <c r="C252" s="500"/>
      <c r="D252" s="540"/>
      <c r="E252" s="495"/>
      <c r="F252" s="426"/>
      <c r="G252" s="426"/>
      <c r="H252" s="426"/>
      <c r="I252" s="445"/>
      <c r="J252" s="446"/>
      <c r="K252" s="446"/>
      <c r="L252" s="446"/>
      <c r="M252" s="446"/>
      <c r="N252" s="446"/>
      <c r="O252" s="446"/>
    </row>
    <row r="253" spans="1:22" s="447" customFormat="1" x14ac:dyDescent="0.2">
      <c r="A253" s="548"/>
      <c r="B253" s="505"/>
      <c r="C253" s="500"/>
      <c r="D253" s="554" t="s">
        <v>2285</v>
      </c>
      <c r="E253" s="495"/>
      <c r="F253" s="426"/>
      <c r="G253" s="426"/>
      <c r="H253" s="426"/>
      <c r="I253" s="445"/>
      <c r="J253" s="446"/>
      <c r="K253" s="446"/>
      <c r="L253" s="446"/>
      <c r="M253" s="446"/>
      <c r="N253" s="446"/>
      <c r="O253" s="446"/>
    </row>
    <row r="254" spans="1:22" s="447" customFormat="1" x14ac:dyDescent="0.2">
      <c r="A254" s="548"/>
      <c r="B254" s="505"/>
      <c r="C254" s="500"/>
      <c r="D254" s="540"/>
      <c r="E254" s="495"/>
      <c r="F254" s="426"/>
      <c r="G254" s="426"/>
      <c r="H254" s="426"/>
      <c r="I254" s="445"/>
      <c r="J254" s="446"/>
      <c r="K254" s="446"/>
      <c r="L254" s="446"/>
      <c r="M254" s="446"/>
      <c r="N254" s="446"/>
      <c r="O254" s="446"/>
    </row>
    <row r="255" spans="1:22" s="447" customFormat="1" ht="30" x14ac:dyDescent="0.2">
      <c r="A255" s="548" t="s">
        <v>1839</v>
      </c>
      <c r="B255" s="505" t="s">
        <v>335</v>
      </c>
      <c r="C255" s="505" t="str">
        <f>COMPOSIÇÕES!C87</f>
        <v>CE-008</v>
      </c>
      <c r="D255" s="540" t="s">
        <v>737</v>
      </c>
      <c r="E255" s="495" t="s">
        <v>18</v>
      </c>
      <c r="F255" s="426">
        <v>1</v>
      </c>
      <c r="G255" s="426">
        <f>COMPOSIÇÕES!I87</f>
        <v>16381.03</v>
      </c>
      <c r="H255" s="426">
        <f t="shared" si="12"/>
        <v>20711.47</v>
      </c>
      <c r="I255" s="445">
        <f t="shared" si="11"/>
        <v>20711.47</v>
      </c>
      <c r="J255" s="446"/>
      <c r="K255" s="446"/>
      <c r="L255" s="446"/>
      <c r="M255" s="446"/>
      <c r="N255" s="446"/>
      <c r="O255" s="446"/>
    </row>
    <row r="256" spans="1:22" s="447" customFormat="1" x14ac:dyDescent="0.2">
      <c r="A256" s="548"/>
      <c r="B256" s="505"/>
      <c r="C256" s="505"/>
      <c r="D256" s="540"/>
      <c r="E256" s="495"/>
      <c r="F256" s="426"/>
      <c r="G256" s="426"/>
      <c r="H256" s="426"/>
      <c r="I256" s="455"/>
      <c r="J256" s="446"/>
      <c r="K256" s="446"/>
      <c r="L256" s="446"/>
      <c r="M256" s="446"/>
      <c r="N256" s="446"/>
      <c r="O256" s="446"/>
    </row>
    <row r="257" spans="1:22" s="447" customFormat="1" x14ac:dyDescent="0.2">
      <c r="A257" s="548"/>
      <c r="B257" s="505"/>
      <c r="C257" s="505"/>
      <c r="D257" s="554" t="s">
        <v>2286</v>
      </c>
      <c r="E257" s="495"/>
      <c r="F257" s="426"/>
      <c r="G257" s="426"/>
      <c r="H257" s="426"/>
      <c r="I257" s="455"/>
      <c r="J257" s="446"/>
      <c r="K257" s="446"/>
      <c r="L257" s="446"/>
      <c r="M257" s="446"/>
      <c r="N257" s="446"/>
      <c r="O257" s="446"/>
    </row>
    <row r="258" spans="1:22" s="447" customFormat="1" x14ac:dyDescent="0.2">
      <c r="A258" s="548"/>
      <c r="B258" s="505"/>
      <c r="C258" s="505"/>
      <c r="D258" s="540"/>
      <c r="E258" s="495"/>
      <c r="F258" s="426"/>
      <c r="G258" s="426"/>
      <c r="H258" s="426"/>
      <c r="I258" s="455"/>
      <c r="J258" s="446"/>
      <c r="K258" s="446"/>
      <c r="L258" s="446"/>
      <c r="M258" s="446"/>
      <c r="N258" s="446"/>
      <c r="O258" s="446"/>
    </row>
    <row r="259" spans="1:22" s="457" customFormat="1" x14ac:dyDescent="0.2">
      <c r="A259" s="548" t="s">
        <v>1840</v>
      </c>
      <c r="B259" s="506"/>
      <c r="C259" s="506" t="s">
        <v>2346</v>
      </c>
      <c r="D259" s="554" t="s">
        <v>2347</v>
      </c>
      <c r="E259" s="494" t="s">
        <v>18</v>
      </c>
      <c r="F259" s="426">
        <v>1</v>
      </c>
      <c r="G259" s="426">
        <v>11480.33</v>
      </c>
      <c r="H259" s="426">
        <v>14515.23</v>
      </c>
      <c r="I259" s="448">
        <v>14515.23</v>
      </c>
      <c r="J259" s="437"/>
      <c r="K259" s="456"/>
      <c r="L259" s="456"/>
      <c r="M259" s="456"/>
      <c r="N259" s="372"/>
      <c r="O259" s="372"/>
      <c r="P259" s="372"/>
      <c r="Q259" s="373"/>
      <c r="R259" s="372"/>
      <c r="S259" s="373"/>
      <c r="T259" s="373"/>
      <c r="U259" s="373"/>
      <c r="V259" s="373"/>
    </row>
    <row r="260" spans="1:22" s="457" customFormat="1" x14ac:dyDescent="0.2">
      <c r="A260" s="548"/>
      <c r="B260" s="506"/>
      <c r="C260" s="506"/>
      <c r="D260" s="554"/>
      <c r="E260" s="494"/>
      <c r="F260" s="426"/>
      <c r="G260" s="426"/>
      <c r="H260" s="426"/>
      <c r="I260" s="510"/>
      <c r="J260" s="437"/>
      <c r="K260" s="456"/>
      <c r="L260" s="456"/>
      <c r="M260" s="456"/>
      <c r="N260" s="372"/>
      <c r="O260" s="372"/>
      <c r="P260" s="372"/>
      <c r="Q260" s="373"/>
      <c r="R260" s="372"/>
      <c r="S260" s="373"/>
      <c r="T260" s="373"/>
      <c r="U260" s="373"/>
      <c r="V260" s="373"/>
    </row>
    <row r="261" spans="1:22" s="457" customFormat="1" x14ac:dyDescent="0.2">
      <c r="A261" s="548"/>
      <c r="B261" s="506"/>
      <c r="C261" s="506"/>
      <c r="D261" s="554" t="s">
        <v>2352</v>
      </c>
      <c r="E261" s="494"/>
      <c r="F261" s="426"/>
      <c r="G261" s="426"/>
      <c r="H261" s="426"/>
      <c r="I261" s="510"/>
      <c r="J261" s="437"/>
      <c r="K261" s="456"/>
      <c r="L261" s="456"/>
      <c r="M261" s="456"/>
      <c r="N261" s="372"/>
      <c r="O261" s="372"/>
      <c r="P261" s="372"/>
      <c r="Q261" s="373"/>
      <c r="R261" s="372"/>
      <c r="S261" s="373"/>
      <c r="T261" s="373"/>
      <c r="U261" s="373"/>
      <c r="V261" s="373"/>
    </row>
    <row r="262" spans="1:22" s="457" customFormat="1" x14ac:dyDescent="0.2">
      <c r="A262" s="548"/>
      <c r="B262" s="506"/>
      <c r="C262" s="506"/>
      <c r="D262" s="554"/>
      <c r="E262" s="494"/>
      <c r="F262" s="426"/>
      <c r="G262" s="426"/>
      <c r="H262" s="426"/>
      <c r="I262" s="510"/>
      <c r="J262" s="437"/>
      <c r="K262" s="456"/>
      <c r="L262" s="456"/>
      <c r="M262" s="456"/>
      <c r="N262" s="372"/>
      <c r="O262" s="372"/>
      <c r="P262" s="372"/>
      <c r="Q262" s="373"/>
      <c r="R262" s="372"/>
      <c r="S262" s="373"/>
      <c r="T262" s="373"/>
      <c r="U262" s="373"/>
      <c r="V262" s="373"/>
    </row>
    <row r="263" spans="1:22" s="457" customFormat="1" x14ac:dyDescent="0.2">
      <c r="A263" s="548" t="s">
        <v>1841</v>
      </c>
      <c r="B263" s="506"/>
      <c r="C263" s="506" t="s">
        <v>2348</v>
      </c>
      <c r="D263" s="554" t="s">
        <v>2349</v>
      </c>
      <c r="E263" s="494" t="s">
        <v>18</v>
      </c>
      <c r="F263" s="426">
        <v>1</v>
      </c>
      <c r="G263" s="426">
        <v>5644.95</v>
      </c>
      <c r="H263" s="426">
        <v>7137.23</v>
      </c>
      <c r="I263" s="510">
        <v>7137.23</v>
      </c>
      <c r="J263" s="437"/>
      <c r="K263" s="456"/>
      <c r="L263" s="456"/>
      <c r="M263" s="456"/>
      <c r="N263" s="372"/>
      <c r="O263" s="372"/>
      <c r="P263" s="372"/>
      <c r="Q263" s="373"/>
      <c r="R263" s="372"/>
      <c r="S263" s="373"/>
      <c r="T263" s="373"/>
      <c r="U263" s="373"/>
      <c r="V263" s="373"/>
    </row>
    <row r="264" spans="1:22" s="457" customFormat="1" x14ac:dyDescent="0.2">
      <c r="A264" s="548"/>
      <c r="B264" s="506"/>
      <c r="C264" s="506"/>
      <c r="D264" s="554"/>
      <c r="E264" s="494"/>
      <c r="F264" s="426"/>
      <c r="G264" s="426"/>
      <c r="H264" s="426"/>
      <c r="I264" s="510"/>
      <c r="J264" s="437"/>
      <c r="K264" s="456"/>
      <c r="L264" s="456"/>
      <c r="M264" s="456"/>
      <c r="N264" s="372"/>
      <c r="O264" s="372"/>
      <c r="P264" s="372"/>
      <c r="Q264" s="373"/>
      <c r="R264" s="372"/>
      <c r="S264" s="373"/>
      <c r="T264" s="373"/>
      <c r="U264" s="373"/>
      <c r="V264" s="373"/>
    </row>
    <row r="265" spans="1:22" s="457" customFormat="1" x14ac:dyDescent="0.2">
      <c r="A265" s="548"/>
      <c r="B265" s="506"/>
      <c r="C265" s="506"/>
      <c r="D265" s="554" t="s">
        <v>2353</v>
      </c>
      <c r="E265" s="494"/>
      <c r="F265" s="426"/>
      <c r="G265" s="426"/>
      <c r="H265" s="426"/>
      <c r="I265" s="510"/>
      <c r="J265" s="437"/>
      <c r="K265" s="456"/>
      <c r="L265" s="456"/>
      <c r="M265" s="456"/>
      <c r="N265" s="372"/>
      <c r="O265" s="372"/>
      <c r="P265" s="372"/>
      <c r="Q265" s="373"/>
      <c r="R265" s="372"/>
      <c r="S265" s="373"/>
      <c r="T265" s="373"/>
      <c r="U265" s="373"/>
      <c r="V265" s="373"/>
    </row>
    <row r="266" spans="1:22" s="457" customFormat="1" x14ac:dyDescent="0.2">
      <c r="A266" s="548"/>
      <c r="B266" s="506"/>
      <c r="C266" s="506"/>
      <c r="D266" s="554"/>
      <c r="E266" s="494"/>
      <c r="F266" s="426"/>
      <c r="G266" s="426"/>
      <c r="H266" s="426"/>
      <c r="I266" s="510"/>
      <c r="J266" s="437"/>
      <c r="K266" s="456"/>
      <c r="L266" s="456"/>
      <c r="M266" s="456"/>
      <c r="N266" s="372"/>
      <c r="O266" s="372"/>
      <c r="P266" s="372"/>
      <c r="Q266" s="373"/>
      <c r="R266" s="372"/>
      <c r="S266" s="373"/>
      <c r="T266" s="373"/>
      <c r="U266" s="373"/>
      <c r="V266" s="373"/>
    </row>
    <row r="267" spans="1:22" s="457" customFormat="1" x14ac:dyDescent="0.2">
      <c r="A267" s="548" t="s">
        <v>1842</v>
      </c>
      <c r="B267" s="506"/>
      <c r="C267" s="506" t="s">
        <v>2350</v>
      </c>
      <c r="D267" s="554" t="s">
        <v>2351</v>
      </c>
      <c r="E267" s="494" t="s">
        <v>18</v>
      </c>
      <c r="F267" s="426">
        <v>1</v>
      </c>
      <c r="G267" s="426">
        <v>42464</v>
      </c>
      <c r="H267" s="426">
        <v>53689.65</v>
      </c>
      <c r="I267" s="510">
        <v>53689.65</v>
      </c>
      <c r="J267" s="437"/>
      <c r="K267" s="456"/>
      <c r="L267" s="456"/>
      <c r="M267" s="456"/>
      <c r="N267" s="372"/>
      <c r="O267" s="372"/>
      <c r="P267" s="372"/>
      <c r="Q267" s="373"/>
      <c r="R267" s="372"/>
      <c r="S267" s="373"/>
      <c r="T267" s="373"/>
      <c r="U267" s="373"/>
      <c r="V267" s="373"/>
    </row>
    <row r="268" spans="1:22" s="457" customFormat="1" x14ac:dyDescent="0.2">
      <c r="A268" s="548"/>
      <c r="B268" s="506"/>
      <c r="C268" s="506"/>
      <c r="D268" s="554"/>
      <c r="E268" s="494"/>
      <c r="F268" s="426"/>
      <c r="G268" s="426"/>
      <c r="H268" s="426"/>
      <c r="I268" s="510"/>
      <c r="J268" s="437"/>
      <c r="K268" s="456"/>
      <c r="L268" s="456"/>
      <c r="M268" s="456"/>
      <c r="N268" s="372"/>
      <c r="O268" s="372"/>
      <c r="P268" s="372"/>
      <c r="Q268" s="373"/>
      <c r="R268" s="372"/>
      <c r="S268" s="373"/>
      <c r="T268" s="373"/>
      <c r="U268" s="373"/>
      <c r="V268" s="373"/>
    </row>
    <row r="269" spans="1:22" s="457" customFormat="1" x14ac:dyDescent="0.2">
      <c r="A269" s="548"/>
      <c r="B269" s="506"/>
      <c r="C269" s="506"/>
      <c r="D269" s="554" t="s">
        <v>2354</v>
      </c>
      <c r="E269" s="494"/>
      <c r="F269" s="426"/>
      <c r="G269" s="426"/>
      <c r="H269" s="426"/>
      <c r="I269" s="510"/>
      <c r="J269" s="437"/>
      <c r="K269" s="456"/>
      <c r="L269" s="456"/>
      <c r="M269" s="456"/>
      <c r="N269" s="372"/>
      <c r="O269" s="372"/>
      <c r="P269" s="372"/>
      <c r="Q269" s="373"/>
      <c r="R269" s="372"/>
      <c r="S269" s="373"/>
      <c r="T269" s="373"/>
      <c r="U269" s="373"/>
      <c r="V269" s="373"/>
    </row>
    <row r="270" spans="1:22" s="457" customFormat="1" x14ac:dyDescent="0.2">
      <c r="A270" s="548"/>
      <c r="B270" s="506"/>
      <c r="C270" s="506"/>
      <c r="D270" s="554"/>
      <c r="E270" s="494"/>
      <c r="F270" s="426"/>
      <c r="G270" s="426"/>
      <c r="H270" s="426"/>
      <c r="I270" s="510"/>
      <c r="J270" s="437"/>
      <c r="K270" s="456"/>
      <c r="L270" s="456"/>
      <c r="M270" s="456"/>
      <c r="N270" s="372"/>
      <c r="O270" s="372"/>
      <c r="P270" s="372"/>
      <c r="Q270" s="373"/>
      <c r="R270" s="372"/>
      <c r="S270" s="373"/>
      <c r="T270" s="373"/>
      <c r="U270" s="373"/>
      <c r="V270" s="373"/>
    </row>
    <row r="271" spans="1:22" s="457" customFormat="1" x14ac:dyDescent="0.2">
      <c r="A271" s="548" t="s">
        <v>1843</v>
      </c>
      <c r="B271" s="506" t="s">
        <v>65</v>
      </c>
      <c r="C271" s="506"/>
      <c r="D271" s="554" t="s">
        <v>2514</v>
      </c>
      <c r="E271" s="494" t="s">
        <v>18</v>
      </c>
      <c r="F271" s="426">
        <v>1</v>
      </c>
      <c r="G271" s="426"/>
      <c r="H271" s="426"/>
      <c r="I271" s="510"/>
      <c r="J271" s="437"/>
      <c r="K271" s="456"/>
      <c r="L271" s="456"/>
      <c r="M271" s="456"/>
      <c r="N271" s="372"/>
      <c r="O271" s="372"/>
      <c r="P271" s="372"/>
      <c r="Q271" s="373"/>
      <c r="R271" s="372"/>
      <c r="S271" s="373"/>
      <c r="T271" s="373"/>
      <c r="U271" s="373"/>
      <c r="V271" s="373"/>
    </row>
    <row r="272" spans="1:22" s="457" customFormat="1" x14ac:dyDescent="0.2">
      <c r="A272" s="548"/>
      <c r="B272" s="506"/>
      <c r="C272" s="506"/>
      <c r="D272" s="554"/>
      <c r="E272" s="494"/>
      <c r="F272" s="426"/>
      <c r="G272" s="426"/>
      <c r="H272" s="426"/>
      <c r="I272" s="510"/>
      <c r="J272" s="437"/>
      <c r="K272" s="456"/>
      <c r="L272" s="456"/>
      <c r="M272" s="456"/>
      <c r="N272" s="372"/>
      <c r="O272" s="372"/>
      <c r="P272" s="372"/>
      <c r="Q272" s="373"/>
      <c r="R272" s="372"/>
      <c r="S272" s="373"/>
      <c r="T272" s="373"/>
      <c r="U272" s="373"/>
      <c r="V272" s="373"/>
    </row>
    <row r="273" spans="1:22" s="457" customFormat="1" x14ac:dyDescent="0.2">
      <c r="A273" s="548"/>
      <c r="B273" s="506"/>
      <c r="C273" s="506"/>
      <c r="D273" s="554" t="s">
        <v>2280</v>
      </c>
      <c r="E273" s="494"/>
      <c r="F273" s="426"/>
      <c r="G273" s="426"/>
      <c r="H273" s="426"/>
      <c r="I273" s="510"/>
      <c r="J273" s="437"/>
      <c r="K273" s="456"/>
      <c r="L273" s="456"/>
      <c r="M273" s="456"/>
      <c r="N273" s="372"/>
      <c r="O273" s="372"/>
      <c r="P273" s="372"/>
      <c r="Q273" s="373"/>
      <c r="R273" s="372"/>
      <c r="S273" s="373"/>
      <c r="T273" s="373"/>
      <c r="U273" s="373"/>
      <c r="V273" s="373"/>
    </row>
    <row r="274" spans="1:22" s="457" customFormat="1" x14ac:dyDescent="0.2">
      <c r="A274" s="548"/>
      <c r="B274" s="506"/>
      <c r="C274" s="506"/>
      <c r="D274" s="554"/>
      <c r="E274" s="494"/>
      <c r="F274" s="426"/>
      <c r="G274" s="426"/>
      <c r="H274" s="426"/>
      <c r="I274" s="510"/>
      <c r="J274" s="437"/>
      <c r="K274" s="456"/>
      <c r="L274" s="456"/>
      <c r="M274" s="456"/>
      <c r="N274" s="372"/>
      <c r="O274" s="372"/>
      <c r="P274" s="372"/>
      <c r="Q274" s="373"/>
      <c r="R274" s="372"/>
      <c r="S274" s="373"/>
      <c r="T274" s="373"/>
      <c r="U274" s="373"/>
      <c r="V274" s="373"/>
    </row>
    <row r="275" spans="1:22" s="447" customFormat="1" ht="30" x14ac:dyDescent="0.2">
      <c r="A275" s="548" t="s">
        <v>2355</v>
      </c>
      <c r="B275" s="505" t="s">
        <v>335</v>
      </c>
      <c r="C275" s="505" t="str">
        <f>COMPOSIÇÕES!C113</f>
        <v>CE-009</v>
      </c>
      <c r="D275" s="540" t="s">
        <v>1053</v>
      </c>
      <c r="E275" s="495" t="s">
        <v>738</v>
      </c>
      <c r="F275" s="426">
        <v>1</v>
      </c>
      <c r="G275" s="426">
        <f>COMPOSIÇÕES!I113</f>
        <v>16829.400000000001</v>
      </c>
      <c r="H275" s="426">
        <f>ROUND((1+$L$16)*G275,2)</f>
        <v>21278.37</v>
      </c>
      <c r="I275" s="445">
        <f t="shared" si="11"/>
        <v>21278.37</v>
      </c>
      <c r="J275" s="446"/>
      <c r="K275" s="446"/>
      <c r="L275" s="446"/>
      <c r="M275" s="446"/>
      <c r="N275" s="446"/>
      <c r="O275" s="446"/>
    </row>
    <row r="276" spans="1:22" s="447" customFormat="1" x14ac:dyDescent="0.2">
      <c r="A276" s="548"/>
      <c r="B276" s="505"/>
      <c r="C276" s="505"/>
      <c r="D276" s="540"/>
      <c r="E276" s="495"/>
      <c r="F276" s="426"/>
      <c r="G276" s="426"/>
      <c r="H276" s="426"/>
      <c r="I276" s="455"/>
      <c r="J276" s="446"/>
      <c r="K276" s="446"/>
      <c r="L276" s="446"/>
      <c r="M276" s="446"/>
      <c r="N276" s="446"/>
      <c r="O276" s="446"/>
    </row>
    <row r="277" spans="1:22" s="447" customFormat="1" x14ac:dyDescent="0.2">
      <c r="A277" s="548"/>
      <c r="B277" s="505"/>
      <c r="C277" s="505"/>
      <c r="D277" s="554" t="s">
        <v>2287</v>
      </c>
      <c r="E277" s="495"/>
      <c r="F277" s="426"/>
      <c r="G277" s="426"/>
      <c r="H277" s="426"/>
      <c r="I277" s="455"/>
      <c r="J277" s="446"/>
      <c r="K277" s="446"/>
      <c r="L277" s="446"/>
      <c r="M277" s="446"/>
      <c r="N277" s="446"/>
      <c r="O277" s="446"/>
    </row>
    <row r="278" spans="1:22" s="447" customFormat="1" x14ac:dyDescent="0.2">
      <c r="A278" s="548"/>
      <c r="B278" s="505"/>
      <c r="C278" s="505"/>
      <c r="D278" s="540"/>
      <c r="E278" s="495"/>
      <c r="F278" s="426"/>
      <c r="G278" s="426"/>
      <c r="H278" s="426"/>
      <c r="I278" s="455"/>
      <c r="J278" s="446"/>
      <c r="K278" s="446"/>
      <c r="L278" s="446"/>
      <c r="M278" s="446"/>
      <c r="N278" s="446"/>
      <c r="O278" s="446"/>
    </row>
    <row r="279" spans="1:22" x14ac:dyDescent="0.2">
      <c r="A279" s="538"/>
      <c r="B279" s="499"/>
      <c r="C279" s="499"/>
      <c r="D279" s="539"/>
      <c r="E279" s="492"/>
      <c r="F279" s="432"/>
      <c r="G279" s="433"/>
      <c r="H279" s="433"/>
      <c r="I279" s="434"/>
      <c r="J279" s="435"/>
      <c r="K279" s="372"/>
      <c r="L279" s="424"/>
      <c r="M279" s="372"/>
      <c r="N279" s="372"/>
      <c r="O279" s="372"/>
      <c r="P279" s="372"/>
      <c r="R279" s="372"/>
    </row>
    <row r="280" spans="1:22" s="373" customFormat="1" ht="15.75" x14ac:dyDescent="0.2">
      <c r="A280" s="546" t="s">
        <v>857</v>
      </c>
      <c r="B280" s="504"/>
      <c r="C280" s="504"/>
      <c r="D280" s="547" t="s">
        <v>781</v>
      </c>
      <c r="E280" s="493"/>
      <c r="F280" s="440"/>
      <c r="G280" s="441"/>
      <c r="H280" s="442"/>
      <c r="I280" s="443">
        <f>SUM(I281:I297)</f>
        <v>28525.13</v>
      </c>
      <c r="J280" s="372"/>
      <c r="K280" s="372"/>
      <c r="L280" s="372"/>
      <c r="M280" s="372"/>
      <c r="N280" s="372"/>
      <c r="O280" s="372"/>
      <c r="P280" s="372"/>
      <c r="Q280" s="372"/>
      <c r="R280" s="372"/>
    </row>
    <row r="281" spans="1:22" s="373" customFormat="1" ht="30" x14ac:dyDescent="0.2">
      <c r="A281" s="557" t="s">
        <v>1844</v>
      </c>
      <c r="B281" s="506" t="s">
        <v>45</v>
      </c>
      <c r="C281" s="506" t="s">
        <v>791</v>
      </c>
      <c r="D281" s="549" t="s">
        <v>792</v>
      </c>
      <c r="E281" s="494" t="s">
        <v>15</v>
      </c>
      <c r="F281" s="426">
        <f>4.4*2.1</f>
        <v>9.240000000000002</v>
      </c>
      <c r="G281" s="426">
        <v>954.7</v>
      </c>
      <c r="H281" s="426">
        <f>ROUND((1+$L$16)*G281,2)</f>
        <v>1207.08</v>
      </c>
      <c r="I281" s="448">
        <f t="shared" ref="I281:I293" si="14">ROUND(F281*H281,2)</f>
        <v>11153.42</v>
      </c>
      <c r="J281" s="458"/>
    </row>
    <row r="282" spans="1:22" s="373" customFormat="1" x14ac:dyDescent="0.2">
      <c r="A282" s="557"/>
      <c r="B282" s="506"/>
      <c r="C282" s="506"/>
      <c r="D282" s="549"/>
      <c r="E282" s="494"/>
      <c r="F282" s="426"/>
      <c r="G282" s="426"/>
      <c r="H282" s="426"/>
      <c r="I282" s="448"/>
      <c r="J282" s="458"/>
    </row>
    <row r="283" spans="1:22" s="373" customFormat="1" ht="15.75" x14ac:dyDescent="0.2">
      <c r="A283" s="557"/>
      <c r="B283" s="506"/>
      <c r="C283" s="506"/>
      <c r="D283" s="549" t="s">
        <v>2288</v>
      </c>
      <c r="E283" s="494"/>
      <c r="F283" s="426"/>
      <c r="G283" s="426"/>
      <c r="H283" s="426"/>
      <c r="I283" s="448"/>
      <c r="J283" s="458"/>
    </row>
    <row r="284" spans="1:22" s="373" customFormat="1" x14ac:dyDescent="0.2">
      <c r="A284" s="557"/>
      <c r="B284" s="506"/>
      <c r="C284" s="506"/>
      <c r="D284" s="549"/>
      <c r="E284" s="494"/>
      <c r="F284" s="426"/>
      <c r="G284" s="426"/>
      <c r="H284" s="426"/>
      <c r="I284" s="448"/>
      <c r="J284" s="458"/>
    </row>
    <row r="285" spans="1:22" s="373" customFormat="1" ht="30" x14ac:dyDescent="0.2">
      <c r="A285" s="557" t="s">
        <v>1845</v>
      </c>
      <c r="B285" s="506" t="s">
        <v>45</v>
      </c>
      <c r="C285" s="506">
        <v>94992</v>
      </c>
      <c r="D285" s="549" t="s">
        <v>782</v>
      </c>
      <c r="E285" s="494" t="s">
        <v>15</v>
      </c>
      <c r="F285" s="426">
        <v>71</v>
      </c>
      <c r="G285" s="426">
        <v>51.67</v>
      </c>
      <c r="H285" s="426">
        <f>ROUND((1+$L$16)*G285,2)</f>
        <v>65.33</v>
      </c>
      <c r="I285" s="448">
        <f t="shared" si="14"/>
        <v>4638.43</v>
      </c>
      <c r="J285" s="458"/>
    </row>
    <row r="286" spans="1:22" s="373" customFormat="1" x14ac:dyDescent="0.2">
      <c r="A286" s="557"/>
      <c r="B286" s="506"/>
      <c r="C286" s="506"/>
      <c r="D286" s="549"/>
      <c r="E286" s="494"/>
      <c r="F286" s="426"/>
      <c r="G286" s="426"/>
      <c r="H286" s="426"/>
      <c r="I286" s="448"/>
      <c r="J286" s="458"/>
    </row>
    <row r="287" spans="1:22" s="373" customFormat="1" x14ac:dyDescent="0.2">
      <c r="A287" s="557"/>
      <c r="B287" s="506"/>
      <c r="C287" s="506"/>
      <c r="D287" s="549" t="s">
        <v>2289</v>
      </c>
      <c r="E287" s="494"/>
      <c r="F287" s="426"/>
      <c r="G287" s="426"/>
      <c r="H287" s="426"/>
      <c r="I287" s="448"/>
      <c r="J287" s="458"/>
    </row>
    <row r="288" spans="1:22" s="373" customFormat="1" x14ac:dyDescent="0.2">
      <c r="A288" s="557"/>
      <c r="B288" s="506"/>
      <c r="C288" s="506"/>
      <c r="D288" s="549"/>
      <c r="E288" s="494"/>
      <c r="F288" s="426"/>
      <c r="G288" s="426"/>
      <c r="H288" s="426"/>
      <c r="I288" s="448"/>
      <c r="J288" s="458"/>
    </row>
    <row r="289" spans="1:63" s="373" customFormat="1" x14ac:dyDescent="0.2">
      <c r="A289" s="557" t="s">
        <v>1846</v>
      </c>
      <c r="B289" s="506" t="s">
        <v>45</v>
      </c>
      <c r="C289" s="506" t="s">
        <v>36</v>
      </c>
      <c r="D289" s="549" t="s">
        <v>783</v>
      </c>
      <c r="E289" s="494" t="s">
        <v>15</v>
      </c>
      <c r="F289" s="426">
        <v>126</v>
      </c>
      <c r="G289" s="426">
        <v>9.75</v>
      </c>
      <c r="H289" s="426">
        <f>ROUND((1+$L$16)*G289,2)</f>
        <v>12.33</v>
      </c>
      <c r="I289" s="448">
        <f t="shared" si="14"/>
        <v>1553.58</v>
      </c>
      <c r="J289" s="458"/>
    </row>
    <row r="290" spans="1:63" s="373" customFormat="1" x14ac:dyDescent="0.2">
      <c r="A290" s="557"/>
      <c r="B290" s="506"/>
      <c r="C290" s="506"/>
      <c r="D290" s="549"/>
      <c r="E290" s="494"/>
      <c r="F290" s="426"/>
      <c r="G290" s="426"/>
      <c r="H290" s="426"/>
      <c r="I290" s="448"/>
      <c r="J290" s="458"/>
    </row>
    <row r="291" spans="1:63" s="373" customFormat="1" x14ac:dyDescent="0.2">
      <c r="A291" s="557"/>
      <c r="B291" s="506"/>
      <c r="C291" s="506"/>
      <c r="D291" s="549" t="s">
        <v>2290</v>
      </c>
      <c r="E291" s="494"/>
      <c r="F291" s="426"/>
      <c r="G291" s="426"/>
      <c r="H291" s="426"/>
      <c r="I291" s="448"/>
      <c r="J291" s="458"/>
    </row>
    <row r="292" spans="1:63" s="373" customFormat="1" x14ac:dyDescent="0.2">
      <c r="A292" s="557"/>
      <c r="B292" s="506"/>
      <c r="C292" s="506"/>
      <c r="D292" s="549"/>
      <c r="E292" s="494"/>
      <c r="F292" s="426"/>
      <c r="G292" s="426"/>
      <c r="H292" s="426"/>
      <c r="I292" s="448"/>
      <c r="J292" s="458"/>
    </row>
    <row r="293" spans="1:63" s="373" customFormat="1" ht="30" x14ac:dyDescent="0.2">
      <c r="A293" s="557" t="s">
        <v>1847</v>
      </c>
      <c r="B293" s="506" t="s">
        <v>45</v>
      </c>
      <c r="C293" s="506">
        <v>94281</v>
      </c>
      <c r="D293" s="549" t="s">
        <v>784</v>
      </c>
      <c r="E293" s="494" t="s">
        <v>15</v>
      </c>
      <c r="F293" s="426">
        <v>55</v>
      </c>
      <c r="G293" s="426">
        <v>55</v>
      </c>
      <c r="H293" s="426">
        <f>ROUND((1+$L$16)*G293,2)</f>
        <v>69.540000000000006</v>
      </c>
      <c r="I293" s="448">
        <f t="shared" si="14"/>
        <v>3824.7</v>
      </c>
      <c r="J293" s="458"/>
    </row>
    <row r="294" spans="1:63" s="373" customFormat="1" x14ac:dyDescent="0.2">
      <c r="A294" s="550"/>
      <c r="B294" s="551"/>
      <c r="C294" s="551"/>
      <c r="D294" s="552"/>
      <c r="E294" s="494"/>
      <c r="F294" s="426"/>
      <c r="G294" s="426"/>
      <c r="H294" s="426"/>
      <c r="I294" s="448"/>
      <c r="J294" s="458"/>
    </row>
    <row r="295" spans="1:63" s="373" customFormat="1" x14ac:dyDescent="0.2">
      <c r="A295" s="557"/>
      <c r="B295" s="506"/>
      <c r="C295" s="506"/>
      <c r="D295" s="549" t="s">
        <v>2291</v>
      </c>
      <c r="E295" s="494"/>
      <c r="F295" s="426"/>
      <c r="G295" s="426"/>
      <c r="H295" s="426"/>
      <c r="I295" s="448"/>
      <c r="J295" s="458"/>
    </row>
    <row r="296" spans="1:63" s="373" customFormat="1" x14ac:dyDescent="0.2">
      <c r="A296" s="557"/>
      <c r="B296" s="506"/>
      <c r="C296" s="506"/>
      <c r="D296" s="549"/>
      <c r="E296" s="494"/>
      <c r="F296" s="426"/>
      <c r="G296" s="426"/>
      <c r="H296" s="426"/>
      <c r="I296" s="448"/>
      <c r="J296" s="458"/>
    </row>
    <row r="297" spans="1:63" ht="30" x14ac:dyDescent="0.2">
      <c r="A297" s="557" t="s">
        <v>1848</v>
      </c>
      <c r="B297" s="506" t="s">
        <v>45</v>
      </c>
      <c r="C297" s="506">
        <v>92393</v>
      </c>
      <c r="D297" s="549" t="s">
        <v>793</v>
      </c>
      <c r="E297" s="494" t="s">
        <v>15</v>
      </c>
      <c r="F297" s="426">
        <v>125</v>
      </c>
      <c r="G297" s="426">
        <v>46.54</v>
      </c>
      <c r="H297" s="426">
        <f>ROUND((1+$L$16)*G297,2)</f>
        <v>58.84</v>
      </c>
      <c r="I297" s="448">
        <f t="shared" ref="I297" si="15">ROUND(F297*H297,2)</f>
        <v>7355</v>
      </c>
      <c r="J297" s="435"/>
      <c r="K297" s="372"/>
      <c r="L297" s="424"/>
      <c r="M297" s="372"/>
      <c r="N297" s="372"/>
      <c r="O297" s="372"/>
      <c r="P297" s="372"/>
      <c r="R297" s="372"/>
    </row>
    <row r="298" spans="1:63" x14ac:dyDescent="0.2">
      <c r="A298" s="557"/>
      <c r="B298" s="506"/>
      <c r="C298" s="506"/>
      <c r="D298" s="549"/>
      <c r="E298" s="494"/>
      <c r="F298" s="426"/>
      <c r="G298" s="426"/>
      <c r="H298" s="426"/>
      <c r="I298" s="448"/>
      <c r="J298" s="435"/>
      <c r="K298" s="372"/>
      <c r="L298" s="424"/>
      <c r="M298" s="372"/>
      <c r="N298" s="372"/>
      <c r="O298" s="372"/>
      <c r="P298" s="372"/>
      <c r="R298" s="372"/>
    </row>
    <row r="299" spans="1:63" x14ac:dyDescent="0.2">
      <c r="A299" s="557"/>
      <c r="B299" s="506"/>
      <c r="C299" s="506"/>
      <c r="D299" s="549" t="s">
        <v>2292</v>
      </c>
      <c r="E299" s="494"/>
      <c r="F299" s="426"/>
      <c r="G299" s="426"/>
      <c r="H299" s="426"/>
      <c r="I299" s="448"/>
      <c r="J299" s="435"/>
      <c r="K299" s="372"/>
      <c r="L299" s="424"/>
      <c r="M299" s="372"/>
      <c r="N299" s="372"/>
      <c r="O299" s="372"/>
      <c r="P299" s="372"/>
      <c r="R299" s="372"/>
    </row>
    <row r="300" spans="1:63" x14ac:dyDescent="0.2">
      <c r="A300" s="557"/>
      <c r="B300" s="506"/>
      <c r="C300" s="506"/>
      <c r="D300" s="549"/>
      <c r="E300" s="494"/>
      <c r="F300" s="426"/>
      <c r="G300" s="426"/>
      <c r="H300" s="426"/>
      <c r="I300" s="448"/>
      <c r="J300" s="435"/>
      <c r="K300" s="372"/>
      <c r="L300" s="424"/>
      <c r="M300" s="372"/>
      <c r="N300" s="372"/>
      <c r="O300" s="372"/>
      <c r="P300" s="372"/>
      <c r="R300" s="372"/>
    </row>
    <row r="301" spans="1:63" x14ac:dyDescent="0.2">
      <c r="A301" s="538"/>
      <c r="B301" s="499"/>
      <c r="C301" s="499"/>
      <c r="D301" s="539"/>
      <c r="E301" s="492"/>
      <c r="F301" s="432"/>
      <c r="G301" s="433"/>
      <c r="H301" s="433"/>
      <c r="I301" s="434"/>
      <c r="J301" s="435"/>
      <c r="K301" s="372"/>
      <c r="L301" s="424"/>
      <c r="M301" s="372"/>
      <c r="N301" s="372"/>
      <c r="O301" s="372"/>
      <c r="P301" s="372"/>
      <c r="R301" s="372"/>
    </row>
    <row r="302" spans="1:63" ht="15.75" x14ac:dyDescent="0.2">
      <c r="A302" s="544" t="s">
        <v>1088</v>
      </c>
      <c r="B302" s="501"/>
      <c r="C302" s="501"/>
      <c r="D302" s="545" t="s">
        <v>777</v>
      </c>
      <c r="E302" s="491" t="s">
        <v>61</v>
      </c>
      <c r="F302" s="404"/>
      <c r="G302" s="405"/>
      <c r="H302" s="406"/>
      <c r="I302" s="407">
        <f>I303+I336+I349+I355+I390+I399+I364+I377</f>
        <v>75829</v>
      </c>
      <c r="J302" s="435"/>
      <c r="K302" s="372" t="e">
        <f>I302/F427</f>
        <v>#DIV/0!</v>
      </c>
      <c r="L302" s="424"/>
      <c r="M302" s="372"/>
      <c r="N302" s="372"/>
      <c r="O302" s="372"/>
      <c r="P302" s="372"/>
      <c r="R302" s="372"/>
      <c r="S302" s="374"/>
      <c r="T302" s="374"/>
      <c r="U302" s="374"/>
      <c r="V302" s="374"/>
      <c r="W302" s="374"/>
      <c r="X302" s="374"/>
      <c r="Y302" s="374"/>
      <c r="Z302" s="374"/>
      <c r="AA302" s="374"/>
      <c r="AB302" s="374"/>
      <c r="AC302" s="374"/>
      <c r="AD302" s="374"/>
      <c r="AE302" s="374"/>
      <c r="AF302" s="374"/>
      <c r="AG302" s="374"/>
      <c r="AH302" s="374"/>
      <c r="AI302" s="374"/>
      <c r="AJ302" s="374"/>
      <c r="AK302" s="374"/>
      <c r="AL302" s="374"/>
      <c r="AM302" s="374"/>
      <c r="AN302" s="374"/>
      <c r="AO302" s="374"/>
      <c r="AP302" s="374"/>
      <c r="AQ302" s="374"/>
      <c r="AR302" s="374"/>
      <c r="AS302" s="374"/>
      <c r="AT302" s="374"/>
      <c r="AU302" s="374"/>
      <c r="AV302" s="374"/>
      <c r="AW302" s="374"/>
      <c r="AX302" s="374"/>
      <c r="AY302" s="374"/>
      <c r="AZ302" s="374"/>
      <c r="BA302" s="374"/>
      <c r="BB302" s="374"/>
      <c r="BC302" s="374"/>
      <c r="BD302" s="374"/>
      <c r="BE302" s="374"/>
      <c r="BF302" s="374"/>
      <c r="BG302" s="374"/>
      <c r="BH302" s="374"/>
      <c r="BI302" s="374"/>
      <c r="BJ302" s="374"/>
      <c r="BK302" s="374"/>
    </row>
    <row r="303" spans="1:63" ht="15.75" x14ac:dyDescent="0.2">
      <c r="A303" s="558" t="s">
        <v>75</v>
      </c>
      <c r="B303" s="501"/>
      <c r="C303" s="501"/>
      <c r="D303" s="545" t="s">
        <v>338</v>
      </c>
      <c r="E303" s="491"/>
      <c r="F303" s="404"/>
      <c r="G303" s="405"/>
      <c r="H303" s="406"/>
      <c r="I303" s="407">
        <f>SUM(I304:I332)</f>
        <v>14874.68</v>
      </c>
      <c r="J303" s="435"/>
      <c r="K303" s="372"/>
      <c r="L303" s="424"/>
      <c r="M303" s="372"/>
      <c r="N303" s="372"/>
      <c r="O303" s="372"/>
      <c r="P303" s="372"/>
      <c r="R303" s="372"/>
    </row>
    <row r="304" spans="1:63" ht="30" x14ac:dyDescent="0.2">
      <c r="A304" s="542" t="s">
        <v>477</v>
      </c>
      <c r="B304" s="500" t="s">
        <v>45</v>
      </c>
      <c r="C304" s="500">
        <v>85323</v>
      </c>
      <c r="D304" s="540" t="s">
        <v>945</v>
      </c>
      <c r="E304" s="495" t="s">
        <v>17</v>
      </c>
      <c r="F304" s="426">
        <v>284.2</v>
      </c>
      <c r="G304" s="426">
        <v>1.56</v>
      </c>
      <c r="H304" s="426">
        <f>ROUND((1+$L$16)*G304,2)</f>
        <v>1.97</v>
      </c>
      <c r="I304" s="448">
        <f t="shared" ref="I304:I328" si="16">ROUND(F304*H304,2)</f>
        <v>559.87</v>
      </c>
      <c r="J304" s="435"/>
      <c r="K304" s="372"/>
      <c r="L304" s="424"/>
      <c r="M304" s="372"/>
      <c r="N304" s="372"/>
      <c r="O304" s="372"/>
      <c r="P304" s="372"/>
      <c r="R304" s="372"/>
    </row>
    <row r="305" spans="1:18" x14ac:dyDescent="0.2">
      <c r="A305" s="542"/>
      <c r="B305" s="500"/>
      <c r="C305" s="500"/>
      <c r="D305" s="540"/>
      <c r="E305" s="495"/>
      <c r="F305" s="426"/>
      <c r="G305" s="426"/>
      <c r="H305" s="426"/>
      <c r="I305" s="448"/>
      <c r="J305" s="435"/>
      <c r="K305" s="372"/>
      <c r="L305" s="424"/>
      <c r="M305" s="372"/>
      <c r="N305" s="372"/>
      <c r="O305" s="372"/>
      <c r="P305" s="372"/>
      <c r="R305" s="372"/>
    </row>
    <row r="306" spans="1:18" x14ac:dyDescent="0.2">
      <c r="A306" s="542"/>
      <c r="B306" s="500"/>
      <c r="C306" s="500"/>
      <c r="D306" s="540" t="s">
        <v>2293</v>
      </c>
      <c r="E306" s="495"/>
      <c r="F306" s="426"/>
      <c r="G306" s="426"/>
      <c r="H306" s="426"/>
      <c r="I306" s="448"/>
      <c r="J306" s="435"/>
      <c r="K306" s="372"/>
      <c r="L306" s="424"/>
      <c r="M306" s="372"/>
      <c r="N306" s="372"/>
      <c r="O306" s="372"/>
      <c r="P306" s="372"/>
      <c r="R306" s="372"/>
    </row>
    <row r="307" spans="1:18" x14ac:dyDescent="0.2">
      <c r="A307" s="542"/>
      <c r="B307" s="500"/>
      <c r="C307" s="500"/>
      <c r="D307" s="540"/>
      <c r="E307" s="495"/>
      <c r="F307" s="426"/>
      <c r="G307" s="426"/>
      <c r="H307" s="426"/>
      <c r="I307" s="448"/>
      <c r="J307" s="435"/>
      <c r="K307" s="372"/>
      <c r="L307" s="424"/>
      <c r="M307" s="372"/>
      <c r="N307" s="372"/>
      <c r="O307" s="372"/>
      <c r="P307" s="372"/>
      <c r="R307" s="372"/>
    </row>
    <row r="308" spans="1:18" x14ac:dyDescent="0.2">
      <c r="A308" s="542" t="s">
        <v>478</v>
      </c>
      <c r="B308" s="500" t="s">
        <v>45</v>
      </c>
      <c r="C308" s="500" t="s">
        <v>46</v>
      </c>
      <c r="D308" s="540" t="s">
        <v>47</v>
      </c>
      <c r="E308" s="495" t="s">
        <v>15</v>
      </c>
      <c r="F308" s="426">
        <v>6</v>
      </c>
      <c r="G308" s="426">
        <v>319.02999999999997</v>
      </c>
      <c r="H308" s="426">
        <f>ROUND((1+$L$16)*G308,2)</f>
        <v>403.37</v>
      </c>
      <c r="I308" s="448">
        <f t="shared" si="16"/>
        <v>2420.2199999999998</v>
      </c>
      <c r="J308" s="435"/>
      <c r="K308" s="372"/>
      <c r="L308" s="424"/>
      <c r="M308" s="372"/>
      <c r="N308" s="372"/>
      <c r="O308" s="372"/>
      <c r="P308" s="372"/>
      <c r="R308" s="372"/>
    </row>
    <row r="309" spans="1:18" x14ac:dyDescent="0.2">
      <c r="A309" s="542"/>
      <c r="B309" s="500"/>
      <c r="C309" s="500"/>
      <c r="D309" s="540"/>
      <c r="E309" s="495"/>
      <c r="F309" s="426"/>
      <c r="G309" s="426"/>
      <c r="H309" s="426"/>
      <c r="I309" s="448"/>
      <c r="J309" s="435"/>
      <c r="K309" s="372"/>
      <c r="L309" s="424"/>
      <c r="M309" s="372"/>
      <c r="N309" s="372"/>
      <c r="O309" s="372"/>
      <c r="P309" s="372"/>
      <c r="R309" s="372"/>
    </row>
    <row r="310" spans="1:18" x14ac:dyDescent="0.2">
      <c r="A310" s="542"/>
      <c r="B310" s="500"/>
      <c r="C310" s="500"/>
      <c r="D310" s="539" t="s">
        <v>2294</v>
      </c>
      <c r="E310" s="495"/>
      <c r="F310" s="426"/>
      <c r="G310" s="426"/>
      <c r="H310" s="426"/>
      <c r="I310" s="448"/>
      <c r="J310" s="435"/>
      <c r="K310" s="372"/>
      <c r="L310" s="424"/>
      <c r="M310" s="372"/>
      <c r="N310" s="372"/>
      <c r="O310" s="372"/>
      <c r="P310" s="372"/>
      <c r="R310" s="372"/>
    </row>
    <row r="311" spans="1:18" x14ac:dyDescent="0.2">
      <c r="A311" s="542"/>
      <c r="B311" s="500"/>
      <c r="C311" s="500"/>
      <c r="D311" s="540"/>
      <c r="E311" s="495"/>
      <c r="F311" s="426"/>
      <c r="G311" s="426"/>
      <c r="H311" s="426"/>
      <c r="I311" s="448"/>
      <c r="J311" s="435"/>
      <c r="K311" s="372"/>
      <c r="L311" s="424"/>
      <c r="M311" s="372"/>
      <c r="N311" s="372"/>
      <c r="O311" s="372"/>
      <c r="P311" s="372"/>
      <c r="R311" s="372"/>
    </row>
    <row r="312" spans="1:18" ht="30" x14ac:dyDescent="0.2">
      <c r="A312" s="542" t="s">
        <v>979</v>
      </c>
      <c r="B312" s="500" t="s">
        <v>45</v>
      </c>
      <c r="C312" s="506" t="s">
        <v>161</v>
      </c>
      <c r="D312" s="540" t="s">
        <v>755</v>
      </c>
      <c r="E312" s="495" t="s">
        <v>15</v>
      </c>
      <c r="F312" s="426">
        <f>2*3*10</f>
        <v>60</v>
      </c>
      <c r="G312" s="426">
        <v>52.37</v>
      </c>
      <c r="H312" s="426">
        <f>ROUND((1+$L$16)*G312,2)</f>
        <v>66.209999999999994</v>
      </c>
      <c r="I312" s="448">
        <f t="shared" si="16"/>
        <v>3972.6</v>
      </c>
      <c r="J312" s="435"/>
      <c r="K312" s="372"/>
      <c r="L312" s="424"/>
      <c r="M312" s="372"/>
      <c r="N312" s="372"/>
      <c r="O312" s="372"/>
      <c r="P312" s="372"/>
      <c r="R312" s="372"/>
    </row>
    <row r="313" spans="1:18" x14ac:dyDescent="0.2">
      <c r="A313" s="542"/>
      <c r="B313" s="500"/>
      <c r="C313" s="506"/>
      <c r="D313" s="540"/>
      <c r="E313" s="495"/>
      <c r="F313" s="426"/>
      <c r="G313" s="426"/>
      <c r="H313" s="426"/>
      <c r="I313" s="448"/>
      <c r="J313" s="435"/>
      <c r="K313" s="372"/>
      <c r="L313" s="424"/>
      <c r="M313" s="372"/>
      <c r="N313" s="372"/>
      <c r="O313" s="372"/>
      <c r="P313" s="372"/>
      <c r="R313" s="372"/>
    </row>
    <row r="314" spans="1:18" x14ac:dyDescent="0.2">
      <c r="A314" s="542"/>
      <c r="B314" s="500"/>
      <c r="C314" s="506"/>
      <c r="D314" s="540" t="s">
        <v>2295</v>
      </c>
      <c r="E314" s="495"/>
      <c r="F314" s="426"/>
      <c r="G314" s="426"/>
      <c r="H314" s="426"/>
      <c r="I314" s="448"/>
      <c r="J314" s="435"/>
      <c r="K314" s="372"/>
      <c r="L314" s="424"/>
      <c r="M314" s="372"/>
      <c r="N314" s="372"/>
      <c r="O314" s="372"/>
      <c r="P314" s="372"/>
      <c r="R314" s="372"/>
    </row>
    <row r="315" spans="1:18" x14ac:dyDescent="0.2">
      <c r="A315" s="542"/>
      <c r="B315" s="500"/>
      <c r="C315" s="506"/>
      <c r="D315" s="540"/>
      <c r="E315" s="495"/>
      <c r="F315" s="426"/>
      <c r="G315" s="426"/>
      <c r="H315" s="426"/>
      <c r="I315" s="448"/>
      <c r="J315" s="435"/>
      <c r="K315" s="372"/>
      <c r="L315" s="424"/>
      <c r="M315" s="372"/>
      <c r="N315" s="372"/>
      <c r="O315" s="372"/>
      <c r="P315" s="372"/>
      <c r="R315" s="372"/>
    </row>
    <row r="316" spans="1:18" x14ac:dyDescent="0.2">
      <c r="A316" s="542" t="s">
        <v>980</v>
      </c>
      <c r="B316" s="506" t="s">
        <v>45</v>
      </c>
      <c r="C316" s="506" t="s">
        <v>359</v>
      </c>
      <c r="D316" s="554" t="s">
        <v>360</v>
      </c>
      <c r="E316" s="494" t="s">
        <v>17</v>
      </c>
      <c r="F316" s="426">
        <f>F304</f>
        <v>284.2</v>
      </c>
      <c r="G316" s="426">
        <v>2.39</v>
      </c>
      <c r="H316" s="426">
        <f>ROUND((1+$L$16)*G316,2)</f>
        <v>3.02</v>
      </c>
      <c r="I316" s="448">
        <f t="shared" si="16"/>
        <v>858.28</v>
      </c>
      <c r="J316" s="435"/>
      <c r="K316" s="372"/>
      <c r="L316" s="424"/>
      <c r="M316" s="372"/>
      <c r="N316" s="372"/>
      <c r="O316" s="372"/>
      <c r="P316" s="372"/>
      <c r="R316" s="372"/>
    </row>
    <row r="317" spans="1:18" x14ac:dyDescent="0.2">
      <c r="A317" s="542"/>
      <c r="B317" s="506"/>
      <c r="C317" s="506"/>
      <c r="D317" s="554"/>
      <c r="E317" s="494"/>
      <c r="F317" s="426"/>
      <c r="G317" s="426"/>
      <c r="H317" s="426"/>
      <c r="I317" s="510"/>
      <c r="J317" s="435"/>
      <c r="K317" s="372"/>
      <c r="L317" s="424"/>
      <c r="M317" s="372"/>
      <c r="N317" s="372"/>
      <c r="O317" s="372"/>
      <c r="P317" s="372"/>
      <c r="R317" s="372"/>
    </row>
    <row r="318" spans="1:18" x14ac:dyDescent="0.2">
      <c r="A318" s="542"/>
      <c r="B318" s="506"/>
      <c r="C318" s="506"/>
      <c r="D318" s="540" t="s">
        <v>2293</v>
      </c>
      <c r="E318" s="494"/>
      <c r="F318" s="426"/>
      <c r="G318" s="426"/>
      <c r="H318" s="426"/>
      <c r="I318" s="510"/>
      <c r="J318" s="435"/>
      <c r="K318" s="372"/>
      <c r="L318" s="424"/>
      <c r="M318" s="372"/>
      <c r="N318" s="372"/>
      <c r="O318" s="372"/>
      <c r="P318" s="372"/>
      <c r="R318" s="372"/>
    </row>
    <row r="319" spans="1:18" x14ac:dyDescent="0.2">
      <c r="A319" s="542"/>
      <c r="B319" s="506"/>
      <c r="C319" s="506"/>
      <c r="D319" s="554"/>
      <c r="E319" s="494"/>
      <c r="F319" s="426"/>
      <c r="G319" s="426"/>
      <c r="H319" s="426"/>
      <c r="I319" s="510"/>
      <c r="J319" s="435"/>
      <c r="K319" s="372"/>
      <c r="L319" s="424"/>
      <c r="M319" s="372"/>
      <c r="N319" s="372"/>
      <c r="O319" s="372"/>
      <c r="P319" s="372"/>
      <c r="R319" s="372"/>
    </row>
    <row r="320" spans="1:18" x14ac:dyDescent="0.2">
      <c r="A320" s="542" t="s">
        <v>981</v>
      </c>
      <c r="B320" s="506" t="s">
        <v>45</v>
      </c>
      <c r="C320" s="506">
        <v>13244</v>
      </c>
      <c r="D320" s="554" t="s">
        <v>756</v>
      </c>
      <c r="E320" s="494" t="s">
        <v>19</v>
      </c>
      <c r="F320" s="426">
        <f>_xlfn.FLOOR.PRECISE(F316/10)</f>
        <v>28</v>
      </c>
      <c r="G320" s="426">
        <v>53.2</v>
      </c>
      <c r="H320" s="426">
        <f>ROUND((1+$K$16)*G320,2)</f>
        <v>62.14</v>
      </c>
      <c r="I320" s="459">
        <f t="shared" si="16"/>
        <v>1739.92</v>
      </c>
      <c r="J320" s="435"/>
      <c r="K320" s="372"/>
      <c r="L320" s="424"/>
      <c r="M320" s="372"/>
      <c r="N320" s="372"/>
      <c r="O320" s="372"/>
      <c r="P320" s="372"/>
      <c r="R320" s="372"/>
    </row>
    <row r="321" spans="1:18" x14ac:dyDescent="0.2">
      <c r="A321" s="542"/>
      <c r="B321" s="506"/>
      <c r="C321" s="506"/>
      <c r="D321" s="554"/>
      <c r="E321" s="494"/>
      <c r="F321" s="426"/>
      <c r="G321" s="426"/>
      <c r="H321" s="426"/>
      <c r="I321" s="512"/>
      <c r="J321" s="435"/>
      <c r="K321" s="372"/>
      <c r="L321" s="424"/>
      <c r="M321" s="372"/>
      <c r="N321" s="372"/>
      <c r="O321" s="372"/>
      <c r="P321" s="372"/>
      <c r="R321" s="372"/>
    </row>
    <row r="322" spans="1:18" ht="15.75" x14ac:dyDescent="0.2">
      <c r="A322" s="542"/>
      <c r="B322" s="506"/>
      <c r="C322" s="506"/>
      <c r="D322" s="554" t="s">
        <v>2296</v>
      </c>
      <c r="E322" s="494"/>
      <c r="F322" s="426"/>
      <c r="G322" s="426"/>
      <c r="H322" s="426"/>
      <c r="I322" s="512"/>
      <c r="J322" s="435"/>
      <c r="K322" s="372"/>
      <c r="L322" s="424"/>
      <c r="M322" s="372"/>
      <c r="N322" s="372"/>
      <c r="O322" s="372"/>
      <c r="P322" s="372"/>
      <c r="R322" s="372"/>
    </row>
    <row r="323" spans="1:18" x14ac:dyDescent="0.2">
      <c r="A323" s="542"/>
      <c r="B323" s="506"/>
      <c r="C323" s="506"/>
      <c r="D323" s="554"/>
      <c r="E323" s="494"/>
      <c r="F323" s="426"/>
      <c r="G323" s="426"/>
      <c r="H323" s="426"/>
      <c r="I323" s="512"/>
      <c r="J323" s="435"/>
      <c r="K323" s="372"/>
      <c r="L323" s="424"/>
      <c r="M323" s="372"/>
      <c r="N323" s="372"/>
      <c r="O323" s="372"/>
      <c r="P323" s="372"/>
      <c r="R323" s="372"/>
    </row>
    <row r="324" spans="1:18" x14ac:dyDescent="0.2">
      <c r="A324" s="542" t="s">
        <v>982</v>
      </c>
      <c r="B324" s="506" t="s">
        <v>45</v>
      </c>
      <c r="C324" s="506" t="s">
        <v>49</v>
      </c>
      <c r="D324" s="554" t="s">
        <v>757</v>
      </c>
      <c r="E324" s="494" t="s">
        <v>15</v>
      </c>
      <c r="F324" s="426">
        <f>5*2*3</f>
        <v>30</v>
      </c>
      <c r="G324" s="426">
        <v>51.86</v>
      </c>
      <c r="H324" s="426">
        <f>ROUND((1+$L$16)*G324,2)</f>
        <v>65.569999999999993</v>
      </c>
      <c r="I324" s="448">
        <f t="shared" si="16"/>
        <v>1967.1</v>
      </c>
      <c r="J324" s="435"/>
      <c r="K324" s="372"/>
      <c r="L324" s="424"/>
      <c r="M324" s="372"/>
      <c r="N324" s="372"/>
      <c r="O324" s="372"/>
      <c r="P324" s="372"/>
      <c r="R324" s="372"/>
    </row>
    <row r="325" spans="1:18" x14ac:dyDescent="0.2">
      <c r="A325" s="542"/>
      <c r="B325" s="506"/>
      <c r="C325" s="506"/>
      <c r="D325" s="554"/>
      <c r="E325" s="494"/>
      <c r="F325" s="426"/>
      <c r="G325" s="426"/>
      <c r="H325" s="426"/>
      <c r="I325" s="448"/>
      <c r="J325" s="435"/>
      <c r="K325" s="372"/>
      <c r="L325" s="424"/>
      <c r="M325" s="372"/>
      <c r="N325" s="372"/>
      <c r="O325" s="372"/>
      <c r="P325" s="372"/>
      <c r="R325" s="372"/>
    </row>
    <row r="326" spans="1:18" x14ac:dyDescent="0.2">
      <c r="A326" s="542"/>
      <c r="B326" s="506"/>
      <c r="C326" s="506"/>
      <c r="D326" s="540" t="s">
        <v>2297</v>
      </c>
      <c r="E326" s="494"/>
      <c r="F326" s="426"/>
      <c r="G326" s="426"/>
      <c r="H326" s="426"/>
      <c r="I326" s="448"/>
      <c r="J326" s="435"/>
      <c r="K326" s="372"/>
      <c r="L326" s="424"/>
      <c r="M326" s="372"/>
      <c r="N326" s="372"/>
      <c r="O326" s="372"/>
      <c r="P326" s="372"/>
      <c r="R326" s="372"/>
    </row>
    <row r="327" spans="1:18" x14ac:dyDescent="0.2">
      <c r="A327" s="542"/>
      <c r="B327" s="506"/>
      <c r="C327" s="506"/>
      <c r="D327" s="554"/>
      <c r="E327" s="494"/>
      <c r="F327" s="426"/>
      <c r="G327" s="426"/>
      <c r="H327" s="426"/>
      <c r="I327" s="448"/>
      <c r="J327" s="435"/>
      <c r="K327" s="372"/>
      <c r="L327" s="424"/>
      <c r="M327" s="372"/>
      <c r="N327" s="372"/>
      <c r="O327" s="372"/>
      <c r="P327" s="372"/>
      <c r="R327" s="372"/>
    </row>
    <row r="328" spans="1:18" x14ac:dyDescent="0.2">
      <c r="A328" s="542" t="s">
        <v>983</v>
      </c>
      <c r="B328" s="506" t="s">
        <v>45</v>
      </c>
      <c r="C328" s="506" t="s">
        <v>164</v>
      </c>
      <c r="D328" s="554" t="s">
        <v>758</v>
      </c>
      <c r="E328" s="494" t="s">
        <v>15</v>
      </c>
      <c r="F328" s="426">
        <f>3*3*3</f>
        <v>27</v>
      </c>
      <c r="G328" s="460">
        <v>46.38</v>
      </c>
      <c r="H328" s="426">
        <f>ROUND((1+$L$16)*G328,2)</f>
        <v>58.64</v>
      </c>
      <c r="I328" s="448">
        <f t="shared" si="16"/>
        <v>1583.28</v>
      </c>
      <c r="J328" s="435"/>
      <c r="K328" s="372"/>
      <c r="L328" s="424"/>
      <c r="M328" s="372"/>
      <c r="N328" s="372"/>
      <c r="O328" s="372"/>
      <c r="P328" s="372"/>
      <c r="R328" s="372"/>
    </row>
    <row r="329" spans="1:18" x14ac:dyDescent="0.2">
      <c r="A329" s="542"/>
      <c r="B329" s="506"/>
      <c r="C329" s="506"/>
      <c r="D329" s="554"/>
      <c r="E329" s="494"/>
      <c r="F329" s="426"/>
      <c r="G329" s="460"/>
      <c r="H329" s="426"/>
      <c r="I329" s="448"/>
      <c r="J329" s="435"/>
      <c r="K329" s="372"/>
      <c r="L329" s="424"/>
      <c r="M329" s="372"/>
      <c r="N329" s="372"/>
      <c r="O329" s="372"/>
      <c r="P329" s="372"/>
      <c r="R329" s="372"/>
    </row>
    <row r="330" spans="1:18" x14ac:dyDescent="0.2">
      <c r="A330" s="542"/>
      <c r="B330" s="506"/>
      <c r="C330" s="506"/>
      <c r="D330" s="540" t="s">
        <v>2298</v>
      </c>
      <c r="E330" s="494"/>
      <c r="F330" s="426"/>
      <c r="G330" s="460"/>
      <c r="H330" s="426"/>
      <c r="I330" s="448"/>
      <c r="J330" s="435"/>
      <c r="K330" s="372"/>
      <c r="L330" s="424"/>
      <c r="M330" s="372"/>
      <c r="N330" s="372"/>
      <c r="O330" s="372"/>
      <c r="P330" s="372"/>
      <c r="R330" s="372"/>
    </row>
    <row r="331" spans="1:18" x14ac:dyDescent="0.2">
      <c r="A331" s="542"/>
      <c r="B331" s="506"/>
      <c r="C331" s="506"/>
      <c r="D331" s="554"/>
      <c r="E331" s="494"/>
      <c r="F331" s="426"/>
      <c r="G331" s="460"/>
      <c r="H331" s="426"/>
      <c r="I331" s="448"/>
      <c r="J331" s="435"/>
      <c r="K331" s="372"/>
      <c r="L331" s="424"/>
      <c r="M331" s="372"/>
      <c r="N331" s="372"/>
      <c r="O331" s="372"/>
      <c r="P331" s="372"/>
      <c r="R331" s="372"/>
    </row>
    <row r="332" spans="1:18" x14ac:dyDescent="0.2">
      <c r="A332" s="542" t="s">
        <v>984</v>
      </c>
      <c r="B332" s="506" t="s">
        <v>45</v>
      </c>
      <c r="C332" s="506">
        <v>9537</v>
      </c>
      <c r="D332" s="554" t="s">
        <v>754</v>
      </c>
      <c r="E332" s="494" t="s">
        <v>15</v>
      </c>
      <c r="F332" s="449">
        <f>F304*2</f>
        <v>568.4</v>
      </c>
      <c r="G332" s="426">
        <v>2.4700000000000002</v>
      </c>
      <c r="H332" s="426">
        <f>ROUND((1+$L$16)*G332,2)</f>
        <v>3.12</v>
      </c>
      <c r="I332" s="448">
        <f t="shared" ref="I332" si="17">ROUND(F332*H332,2)</f>
        <v>1773.41</v>
      </c>
      <c r="J332" s="435"/>
      <c r="K332" s="372"/>
      <c r="L332" s="424"/>
      <c r="M332" s="372"/>
      <c r="N332" s="372"/>
      <c r="O332" s="372"/>
      <c r="P332" s="372"/>
      <c r="R332" s="372"/>
    </row>
    <row r="333" spans="1:18" x14ac:dyDescent="0.2">
      <c r="A333" s="542"/>
      <c r="B333" s="506"/>
      <c r="C333" s="506"/>
      <c r="D333" s="554"/>
      <c r="E333" s="494"/>
      <c r="F333" s="449"/>
      <c r="G333" s="426"/>
      <c r="H333" s="426"/>
      <c r="I333" s="448"/>
      <c r="J333" s="435"/>
      <c r="K333" s="372"/>
      <c r="L333" s="424"/>
      <c r="M333" s="372"/>
      <c r="N333" s="372"/>
      <c r="O333" s="372"/>
      <c r="P333" s="372"/>
      <c r="R333" s="372"/>
    </row>
    <row r="334" spans="1:18" ht="18" customHeight="1" x14ac:dyDescent="0.2">
      <c r="A334" s="542"/>
      <c r="B334" s="506"/>
      <c r="C334" s="506"/>
      <c r="D334" s="540" t="s">
        <v>2299</v>
      </c>
      <c r="E334" s="494"/>
      <c r="F334" s="449"/>
      <c r="G334" s="426"/>
      <c r="H334" s="426"/>
      <c r="I334" s="448"/>
      <c r="J334" s="435"/>
      <c r="K334" s="372"/>
      <c r="L334" s="424"/>
      <c r="M334" s="372"/>
      <c r="N334" s="372"/>
      <c r="O334" s="372"/>
      <c r="P334" s="372"/>
      <c r="R334" s="372"/>
    </row>
    <row r="335" spans="1:18" x14ac:dyDescent="0.2">
      <c r="A335" s="542"/>
      <c r="B335" s="506"/>
      <c r="C335" s="506"/>
      <c r="D335" s="554"/>
      <c r="E335" s="494"/>
      <c r="F335" s="449"/>
      <c r="G335" s="426"/>
      <c r="H335" s="426"/>
      <c r="I335" s="448"/>
      <c r="J335" s="435"/>
      <c r="K335" s="372"/>
      <c r="L335" s="424"/>
      <c r="M335" s="372"/>
      <c r="N335" s="372"/>
      <c r="O335" s="372"/>
      <c r="P335" s="372"/>
      <c r="R335" s="372"/>
    </row>
    <row r="336" spans="1:18" ht="15.75" x14ac:dyDescent="0.2">
      <c r="A336" s="558" t="s">
        <v>99</v>
      </c>
      <c r="B336" s="501"/>
      <c r="C336" s="501"/>
      <c r="D336" s="545" t="s">
        <v>339</v>
      </c>
      <c r="E336" s="491"/>
      <c r="F336" s="404"/>
      <c r="G336" s="405"/>
      <c r="H336" s="406"/>
      <c r="I336" s="407">
        <f>SUM(I337:I345)</f>
        <v>4198.82</v>
      </c>
      <c r="J336" s="435"/>
      <c r="K336" s="372"/>
      <c r="L336" s="424"/>
      <c r="M336" s="372"/>
      <c r="N336" s="372"/>
      <c r="O336" s="372"/>
      <c r="P336" s="372"/>
      <c r="R336" s="372"/>
    </row>
    <row r="337" spans="1:18" x14ac:dyDescent="0.2">
      <c r="A337" s="542" t="s">
        <v>479</v>
      </c>
      <c r="B337" s="500" t="s">
        <v>335</v>
      </c>
      <c r="C337" s="500" t="str">
        <f>COMPOSIÇÕES!C140</f>
        <v>CE-010</v>
      </c>
      <c r="D337" s="540" t="str">
        <f>COMPOSIÇÕES!D140</f>
        <v>ESCAVACAO MECANICA DE VALAS (SOLO COM AGUA), PROFUNDIDADE ATE 1,50 M.</v>
      </c>
      <c r="E337" s="495" t="s">
        <v>16</v>
      </c>
      <c r="F337" s="426">
        <f>F304*0.65*1*0.15</f>
        <v>27.709499999999998</v>
      </c>
      <c r="G337" s="426">
        <f>COMPOSIÇÕES!I140</f>
        <v>15.5</v>
      </c>
      <c r="H337" s="426">
        <f>ROUND((1+$L$16)*G337,2)</f>
        <v>19.600000000000001</v>
      </c>
      <c r="I337" s="448">
        <f t="shared" ref="I337" si="18">ROUND(F337*H337,2)</f>
        <v>543.11</v>
      </c>
      <c r="J337" s="435"/>
      <c r="K337" s="372"/>
      <c r="L337" s="424"/>
      <c r="M337" s="372"/>
      <c r="N337" s="372"/>
      <c r="O337" s="372"/>
      <c r="P337" s="372"/>
      <c r="R337" s="372"/>
    </row>
    <row r="338" spans="1:18" x14ac:dyDescent="0.2">
      <c r="A338" s="542"/>
      <c r="B338" s="500"/>
      <c r="C338" s="500"/>
      <c r="D338" s="540"/>
      <c r="E338" s="495"/>
      <c r="F338" s="426"/>
      <c r="G338" s="426"/>
      <c r="H338" s="426"/>
      <c r="I338" s="448"/>
      <c r="J338" s="435"/>
      <c r="K338" s="372"/>
      <c r="L338" s="424"/>
      <c r="M338" s="372"/>
      <c r="N338" s="372"/>
      <c r="O338" s="372"/>
      <c r="P338" s="372"/>
      <c r="R338" s="372"/>
    </row>
    <row r="339" spans="1:18" ht="33" customHeight="1" x14ac:dyDescent="0.2">
      <c r="A339" s="542"/>
      <c r="B339" s="500"/>
      <c r="C339" s="500"/>
      <c r="D339" s="540" t="s">
        <v>2300</v>
      </c>
      <c r="E339" s="495"/>
      <c r="F339" s="426"/>
      <c r="G339" s="426"/>
      <c r="H339" s="426"/>
      <c r="I339" s="448"/>
      <c r="J339" s="435"/>
      <c r="K339" s="372"/>
      <c r="L339" s="424"/>
      <c r="M339" s="372"/>
      <c r="N339" s="372"/>
      <c r="O339" s="372"/>
      <c r="P339" s="372"/>
      <c r="R339" s="372"/>
    </row>
    <row r="340" spans="1:18" x14ac:dyDescent="0.2">
      <c r="A340" s="542"/>
      <c r="B340" s="500"/>
      <c r="C340" s="500"/>
      <c r="D340" s="540"/>
      <c r="E340" s="495"/>
      <c r="F340" s="426"/>
      <c r="G340" s="426"/>
      <c r="H340" s="426"/>
      <c r="I340" s="448"/>
      <c r="J340" s="435"/>
      <c r="K340" s="372"/>
      <c r="L340" s="424"/>
      <c r="M340" s="372"/>
      <c r="N340" s="372"/>
      <c r="O340" s="372"/>
      <c r="P340" s="372"/>
      <c r="R340" s="372"/>
    </row>
    <row r="341" spans="1:18" ht="60" x14ac:dyDescent="0.2">
      <c r="A341" s="542" t="s">
        <v>480</v>
      </c>
      <c r="B341" s="500" t="s">
        <v>45</v>
      </c>
      <c r="C341" s="500">
        <v>90105</v>
      </c>
      <c r="D341" s="540" t="s">
        <v>759</v>
      </c>
      <c r="E341" s="495" t="s">
        <v>16</v>
      </c>
      <c r="F341" s="426">
        <f>F304*0.65*1*0.75</f>
        <v>138.54749999999999</v>
      </c>
      <c r="G341" s="426">
        <v>12.09</v>
      </c>
      <c r="H341" s="426">
        <f>ROUND((1+$L$16)*G341,2)</f>
        <v>15.29</v>
      </c>
      <c r="I341" s="448">
        <f t="shared" ref="I341:I345" si="19">ROUND(F341*H341,2)</f>
        <v>2118.39</v>
      </c>
      <c r="J341" s="435"/>
      <c r="K341" s="372"/>
      <c r="L341" s="424"/>
      <c r="M341" s="372"/>
      <c r="N341" s="372"/>
      <c r="O341" s="372"/>
      <c r="P341" s="372"/>
      <c r="R341" s="372"/>
    </row>
    <row r="342" spans="1:18" x14ac:dyDescent="0.2">
      <c r="A342" s="542"/>
      <c r="B342" s="500"/>
      <c r="C342" s="500"/>
      <c r="D342" s="540"/>
      <c r="E342" s="495"/>
      <c r="F342" s="426"/>
      <c r="G342" s="426"/>
      <c r="H342" s="426"/>
      <c r="I342" s="448"/>
      <c r="J342" s="435"/>
      <c r="K342" s="372"/>
      <c r="L342" s="424"/>
      <c r="M342" s="372"/>
      <c r="N342" s="372"/>
      <c r="O342" s="372"/>
      <c r="P342" s="372"/>
      <c r="R342" s="372"/>
    </row>
    <row r="343" spans="1:18" ht="30" x14ac:dyDescent="0.2">
      <c r="A343" s="542"/>
      <c r="B343" s="500"/>
      <c r="C343" s="500"/>
      <c r="D343" s="540" t="s">
        <v>2301</v>
      </c>
      <c r="E343" s="495"/>
      <c r="F343" s="426"/>
      <c r="G343" s="426"/>
      <c r="H343" s="426"/>
      <c r="I343" s="448"/>
      <c r="J343" s="435"/>
      <c r="K343" s="372"/>
      <c r="L343" s="424"/>
      <c r="M343" s="372"/>
      <c r="N343" s="372"/>
      <c r="O343" s="372"/>
      <c r="P343" s="372"/>
      <c r="R343" s="372"/>
    </row>
    <row r="344" spans="1:18" x14ac:dyDescent="0.2">
      <c r="A344" s="542"/>
      <c r="B344" s="500"/>
      <c r="C344" s="500"/>
      <c r="D344" s="540"/>
      <c r="E344" s="495"/>
      <c r="F344" s="426"/>
      <c r="G344" s="426"/>
      <c r="H344" s="426"/>
      <c r="I344" s="448"/>
      <c r="J344" s="435"/>
      <c r="K344" s="372"/>
      <c r="L344" s="424"/>
      <c r="M344" s="372"/>
      <c r="N344" s="372"/>
      <c r="O344" s="372"/>
      <c r="P344" s="372"/>
      <c r="R344" s="372"/>
    </row>
    <row r="345" spans="1:18" x14ac:dyDescent="0.2">
      <c r="A345" s="542" t="s">
        <v>1361</v>
      </c>
      <c r="B345" s="500" t="s">
        <v>45</v>
      </c>
      <c r="C345" s="500">
        <v>93358</v>
      </c>
      <c r="D345" s="540" t="s">
        <v>803</v>
      </c>
      <c r="E345" s="495" t="s">
        <v>16</v>
      </c>
      <c r="F345" s="426">
        <f>F304*0.65*1*0.1</f>
        <v>18.472999999999999</v>
      </c>
      <c r="G345" s="426">
        <v>65.819999999999993</v>
      </c>
      <c r="H345" s="426">
        <f>ROUND((1+$L$16)*G345,2)</f>
        <v>83.22</v>
      </c>
      <c r="I345" s="448">
        <f t="shared" si="19"/>
        <v>1537.32</v>
      </c>
      <c r="J345" s="435"/>
      <c r="K345" s="372"/>
      <c r="L345" s="424"/>
      <c r="M345" s="372"/>
      <c r="N345" s="372"/>
      <c r="O345" s="372"/>
      <c r="P345" s="372"/>
      <c r="R345" s="372"/>
    </row>
    <row r="346" spans="1:18" x14ac:dyDescent="0.2">
      <c r="A346" s="542"/>
      <c r="B346" s="500"/>
      <c r="C346" s="500"/>
      <c r="D346" s="540"/>
      <c r="E346" s="495"/>
      <c r="F346" s="426"/>
      <c r="G346" s="426"/>
      <c r="H346" s="426"/>
      <c r="I346" s="448"/>
      <c r="J346" s="435"/>
      <c r="K346" s="372"/>
      <c r="L346" s="424"/>
      <c r="M346" s="372"/>
      <c r="N346" s="372"/>
      <c r="O346" s="372"/>
      <c r="P346" s="372"/>
      <c r="R346" s="372"/>
    </row>
    <row r="347" spans="1:18" ht="30" x14ac:dyDescent="0.2">
      <c r="A347" s="542"/>
      <c r="B347" s="500"/>
      <c r="C347" s="500"/>
      <c r="D347" s="540" t="s">
        <v>2302</v>
      </c>
      <c r="E347" s="495"/>
      <c r="F347" s="426"/>
      <c r="G347" s="426"/>
      <c r="H347" s="426"/>
      <c r="I347" s="448"/>
      <c r="J347" s="435"/>
      <c r="K347" s="372"/>
      <c r="L347" s="424"/>
      <c r="M347" s="372"/>
      <c r="N347" s="372"/>
      <c r="O347" s="372"/>
      <c r="P347" s="372"/>
      <c r="R347" s="372"/>
    </row>
    <row r="348" spans="1:18" x14ac:dyDescent="0.2">
      <c r="A348" s="538"/>
      <c r="B348" s="502"/>
      <c r="C348" s="502"/>
      <c r="D348" s="559"/>
      <c r="E348" s="496"/>
      <c r="F348" s="426"/>
      <c r="G348" s="426"/>
      <c r="H348" s="427"/>
      <c r="I348" s="428"/>
      <c r="J348" s="435"/>
      <c r="K348" s="372"/>
      <c r="L348" s="424"/>
      <c r="M348" s="372"/>
      <c r="N348" s="372"/>
      <c r="O348" s="372"/>
      <c r="P348" s="372"/>
      <c r="R348" s="372"/>
    </row>
    <row r="349" spans="1:18" ht="15.75" x14ac:dyDescent="0.2">
      <c r="A349" s="558" t="s">
        <v>252</v>
      </c>
      <c r="B349" s="501"/>
      <c r="C349" s="501"/>
      <c r="D349" s="545" t="s">
        <v>340</v>
      </c>
      <c r="E349" s="491"/>
      <c r="F349" s="404"/>
      <c r="G349" s="405"/>
      <c r="H349" s="406"/>
      <c r="I349" s="407">
        <f>SUM(I350:I350)</f>
        <v>4945.08</v>
      </c>
      <c r="J349" s="435"/>
      <c r="K349" s="372"/>
      <c r="L349" s="424"/>
      <c r="M349" s="372"/>
      <c r="N349" s="372"/>
      <c r="O349" s="372"/>
      <c r="P349" s="372"/>
      <c r="R349" s="372"/>
    </row>
    <row r="350" spans="1:18" ht="30" x14ac:dyDescent="0.2">
      <c r="A350" s="542" t="s">
        <v>481</v>
      </c>
      <c r="B350" s="500" t="s">
        <v>45</v>
      </c>
      <c r="C350" s="506">
        <v>94043</v>
      </c>
      <c r="D350" s="554" t="s">
        <v>760</v>
      </c>
      <c r="E350" s="494" t="s">
        <v>15</v>
      </c>
      <c r="F350" s="426">
        <f>F304*1*1</f>
        <v>284.2</v>
      </c>
      <c r="G350" s="460">
        <v>13.76</v>
      </c>
      <c r="H350" s="426">
        <f>ROUND((1+$L$16)*G350,2)</f>
        <v>17.399999999999999</v>
      </c>
      <c r="I350" s="448">
        <f>ROUND(F350*H350,2)</f>
        <v>4945.08</v>
      </c>
      <c r="J350" s="435"/>
      <c r="K350" s="372"/>
      <c r="L350" s="424"/>
      <c r="M350" s="372"/>
      <c r="N350" s="372"/>
      <c r="O350" s="372"/>
      <c r="P350" s="372"/>
      <c r="R350" s="372"/>
    </row>
    <row r="351" spans="1:18" x14ac:dyDescent="0.2">
      <c r="A351" s="542"/>
      <c r="B351" s="500"/>
      <c r="C351" s="506"/>
      <c r="D351" s="554"/>
      <c r="E351" s="494"/>
      <c r="F351" s="426"/>
      <c r="G351" s="460"/>
      <c r="H351" s="426"/>
      <c r="I351" s="448"/>
      <c r="J351" s="435"/>
      <c r="K351" s="372"/>
      <c r="L351" s="424"/>
      <c r="M351" s="372"/>
      <c r="N351" s="372"/>
      <c r="O351" s="372"/>
      <c r="P351" s="372"/>
      <c r="R351" s="372"/>
    </row>
    <row r="352" spans="1:18" ht="18" customHeight="1" x14ac:dyDescent="0.2">
      <c r="A352" s="542"/>
      <c r="B352" s="500"/>
      <c r="C352" s="506"/>
      <c r="D352" s="540" t="s">
        <v>2303</v>
      </c>
      <c r="E352" s="494"/>
      <c r="F352" s="426"/>
      <c r="G352" s="460"/>
      <c r="H352" s="426"/>
      <c r="I352" s="448"/>
      <c r="J352" s="435"/>
      <c r="K352" s="372"/>
      <c r="L352" s="424"/>
      <c r="M352" s="372"/>
      <c r="N352" s="372"/>
      <c r="O352" s="372"/>
      <c r="P352" s="372"/>
      <c r="R352" s="372"/>
    </row>
    <row r="353" spans="1:63" x14ac:dyDescent="0.2">
      <c r="A353" s="542"/>
      <c r="B353" s="500"/>
      <c r="C353" s="506"/>
      <c r="D353" s="554"/>
      <c r="E353" s="494"/>
      <c r="F353" s="426"/>
      <c r="G353" s="460"/>
      <c r="H353" s="426"/>
      <c r="I353" s="448"/>
      <c r="J353" s="435"/>
      <c r="K353" s="372"/>
      <c r="L353" s="424"/>
      <c r="M353" s="372"/>
      <c r="N353" s="372"/>
      <c r="O353" s="372"/>
      <c r="P353" s="372"/>
      <c r="R353" s="372"/>
    </row>
    <row r="354" spans="1:63" x14ac:dyDescent="0.2">
      <c r="A354" s="550"/>
      <c r="B354" s="551"/>
      <c r="C354" s="551"/>
      <c r="D354" s="552"/>
      <c r="E354" s="496"/>
      <c r="F354" s="426"/>
      <c r="G354" s="426"/>
      <c r="H354" s="427"/>
      <c r="I354" s="428"/>
      <c r="J354" s="435"/>
      <c r="K354" s="372"/>
      <c r="L354" s="424"/>
      <c r="M354" s="372"/>
      <c r="N354" s="372"/>
      <c r="O354" s="372"/>
      <c r="P354" s="372"/>
      <c r="R354" s="372"/>
    </row>
    <row r="355" spans="1:63" ht="15" customHeight="1" x14ac:dyDescent="0.2">
      <c r="A355" s="558" t="s">
        <v>253</v>
      </c>
      <c r="B355" s="501"/>
      <c r="C355" s="501"/>
      <c r="D355" s="545" t="s">
        <v>761</v>
      </c>
      <c r="E355" s="491"/>
      <c r="F355" s="404"/>
      <c r="G355" s="405"/>
      <c r="H355" s="406"/>
      <c r="I355" s="407">
        <f>SUM(I356:I360)</f>
        <v>5082.1000000000004</v>
      </c>
      <c r="J355" s="435"/>
      <c r="K355" s="372"/>
      <c r="L355" s="424"/>
      <c r="M355" s="372"/>
      <c r="N355" s="372"/>
      <c r="O355" s="372"/>
      <c r="P355" s="372"/>
      <c r="R355" s="372"/>
    </row>
    <row r="356" spans="1:63" ht="30" x14ac:dyDescent="0.2">
      <c r="A356" s="542" t="s">
        <v>985</v>
      </c>
      <c r="B356" s="500" t="s">
        <v>45</v>
      </c>
      <c r="C356" s="500">
        <v>94097</v>
      </c>
      <c r="D356" s="540" t="s">
        <v>762</v>
      </c>
      <c r="E356" s="495" t="s">
        <v>15</v>
      </c>
      <c r="F356" s="426">
        <f>F304*0.65</f>
        <v>184.73</v>
      </c>
      <c r="G356" s="426">
        <v>4.91</v>
      </c>
      <c r="H356" s="426">
        <f>ROUND((1+$L$16)*G356,2)</f>
        <v>6.21</v>
      </c>
      <c r="I356" s="448">
        <f>ROUND(F356*H356,2)</f>
        <v>1147.17</v>
      </c>
      <c r="J356" s="435"/>
      <c r="K356" s="372" t="e">
        <f>#REF!/F639</f>
        <v>#REF!</v>
      </c>
      <c r="L356" s="424"/>
      <c r="M356" s="372"/>
      <c r="N356" s="372"/>
      <c r="O356" s="372"/>
      <c r="P356" s="372"/>
      <c r="R356" s="372"/>
      <c r="S356" s="374"/>
      <c r="T356" s="374"/>
      <c r="U356" s="374"/>
      <c r="V356" s="374"/>
      <c r="W356" s="374"/>
      <c r="X356" s="374"/>
      <c r="Y356" s="374"/>
      <c r="Z356" s="374"/>
      <c r="AA356" s="374"/>
      <c r="AB356" s="374"/>
      <c r="AC356" s="374"/>
      <c r="AD356" s="374"/>
      <c r="AE356" s="374"/>
      <c r="AF356" s="374"/>
      <c r="AG356" s="374"/>
      <c r="AH356" s="374"/>
      <c r="AI356" s="374"/>
      <c r="AJ356" s="374"/>
      <c r="AK356" s="374"/>
      <c r="AL356" s="374"/>
      <c r="AM356" s="374"/>
      <c r="AN356" s="374"/>
      <c r="AO356" s="374"/>
      <c r="AP356" s="374"/>
      <c r="AQ356" s="374"/>
      <c r="AR356" s="374"/>
      <c r="AS356" s="374"/>
      <c r="AT356" s="374"/>
      <c r="AU356" s="374"/>
      <c r="AV356" s="374"/>
      <c r="AW356" s="374"/>
      <c r="AX356" s="374"/>
      <c r="AY356" s="374"/>
      <c r="AZ356" s="374"/>
      <c r="BA356" s="374"/>
      <c r="BB356" s="374"/>
      <c r="BC356" s="374"/>
      <c r="BD356" s="374"/>
      <c r="BE356" s="374"/>
      <c r="BF356" s="374"/>
      <c r="BG356" s="374"/>
      <c r="BH356" s="374"/>
      <c r="BI356" s="374"/>
      <c r="BJ356" s="374"/>
      <c r="BK356" s="374"/>
    </row>
    <row r="357" spans="1:63" x14ac:dyDescent="0.2">
      <c r="A357" s="542"/>
      <c r="B357" s="500"/>
      <c r="C357" s="500"/>
      <c r="D357" s="540"/>
      <c r="E357" s="495"/>
      <c r="F357" s="426"/>
      <c r="G357" s="426"/>
      <c r="H357" s="426"/>
      <c r="I357" s="448"/>
      <c r="J357" s="435"/>
      <c r="K357" s="372"/>
      <c r="L357" s="424"/>
      <c r="M357" s="372"/>
      <c r="N357" s="372"/>
      <c r="O357" s="372"/>
      <c r="P357" s="372"/>
      <c r="R357" s="372"/>
      <c r="S357" s="374"/>
      <c r="T357" s="374"/>
      <c r="U357" s="374"/>
      <c r="V357" s="374"/>
      <c r="W357" s="374"/>
      <c r="X357" s="374"/>
      <c r="Y357" s="374"/>
      <c r="Z357" s="374"/>
      <c r="AA357" s="374"/>
      <c r="AB357" s="374"/>
      <c r="AC357" s="374"/>
      <c r="AD357" s="374"/>
      <c r="AE357" s="374"/>
      <c r="AF357" s="374"/>
      <c r="AG357" s="374"/>
      <c r="AH357" s="374"/>
      <c r="AI357" s="374"/>
      <c r="AJ357" s="374"/>
      <c r="AK357" s="374"/>
      <c r="AL357" s="374"/>
      <c r="AM357" s="374"/>
      <c r="AN357" s="374"/>
      <c r="AO357" s="374"/>
      <c r="AP357" s="374"/>
      <c r="AQ357" s="374"/>
      <c r="AR357" s="374"/>
      <c r="AS357" s="374"/>
      <c r="AT357" s="374"/>
      <c r="AU357" s="374"/>
      <c r="AV357" s="374"/>
      <c r="AW357" s="374"/>
      <c r="AX357" s="374"/>
      <c r="AY357" s="374"/>
      <c r="AZ357" s="374"/>
      <c r="BA357" s="374"/>
      <c r="BB357" s="374"/>
      <c r="BC357" s="374"/>
      <c r="BD357" s="374"/>
      <c r="BE357" s="374"/>
      <c r="BF357" s="374"/>
      <c r="BG357" s="374"/>
      <c r="BH357" s="374"/>
      <c r="BI357" s="374"/>
      <c r="BJ357" s="374"/>
      <c r="BK357" s="374"/>
    </row>
    <row r="358" spans="1:63" x14ac:dyDescent="0.2">
      <c r="A358" s="542"/>
      <c r="B358" s="500"/>
      <c r="C358" s="500"/>
      <c r="D358" s="540" t="s">
        <v>2304</v>
      </c>
      <c r="E358" s="495"/>
      <c r="F358" s="426"/>
      <c r="G358" s="426"/>
      <c r="H358" s="426"/>
      <c r="I358" s="448"/>
      <c r="J358" s="435"/>
      <c r="K358" s="372"/>
      <c r="L358" s="424"/>
      <c r="M358" s="372"/>
      <c r="N358" s="372"/>
      <c r="O358" s="372"/>
      <c r="P358" s="372"/>
      <c r="R358" s="372"/>
      <c r="S358" s="374"/>
      <c r="T358" s="374"/>
      <c r="U358" s="374"/>
      <c r="V358" s="374"/>
      <c r="W358" s="374"/>
      <c r="X358" s="374"/>
      <c r="Y358" s="374"/>
      <c r="Z358" s="374"/>
      <c r="AA358" s="374"/>
      <c r="AB358" s="374"/>
      <c r="AC358" s="374"/>
      <c r="AD358" s="374"/>
      <c r="AE358" s="374"/>
      <c r="AF358" s="374"/>
      <c r="AG358" s="374"/>
      <c r="AH358" s="374"/>
      <c r="AI358" s="374"/>
      <c r="AJ358" s="374"/>
      <c r="AK358" s="374"/>
      <c r="AL358" s="374"/>
      <c r="AM358" s="374"/>
      <c r="AN358" s="374"/>
      <c r="AO358" s="374"/>
      <c r="AP358" s="374"/>
      <c r="AQ358" s="374"/>
      <c r="AR358" s="374"/>
      <c r="AS358" s="374"/>
      <c r="AT358" s="374"/>
      <c r="AU358" s="374"/>
      <c r="AV358" s="374"/>
      <c r="AW358" s="374"/>
      <c r="AX358" s="374"/>
      <c r="AY358" s="374"/>
      <c r="AZ358" s="374"/>
      <c r="BA358" s="374"/>
      <c r="BB358" s="374"/>
      <c r="BC358" s="374"/>
      <c r="BD358" s="374"/>
      <c r="BE358" s="374"/>
      <c r="BF358" s="374"/>
      <c r="BG358" s="374"/>
      <c r="BH358" s="374"/>
      <c r="BI358" s="374"/>
      <c r="BJ358" s="374"/>
      <c r="BK358" s="374"/>
    </row>
    <row r="359" spans="1:63" x14ac:dyDescent="0.2">
      <c r="A359" s="542"/>
      <c r="B359" s="500"/>
      <c r="C359" s="500"/>
      <c r="D359" s="540"/>
      <c r="E359" s="495"/>
      <c r="F359" s="426"/>
      <c r="G359" s="426"/>
      <c r="H359" s="426"/>
      <c r="I359" s="448"/>
      <c r="J359" s="435"/>
      <c r="K359" s="372"/>
      <c r="L359" s="424"/>
      <c r="M359" s="372"/>
      <c r="N359" s="372"/>
      <c r="O359" s="372"/>
      <c r="P359" s="372"/>
      <c r="R359" s="372"/>
      <c r="S359" s="374"/>
      <c r="T359" s="374"/>
      <c r="U359" s="374"/>
      <c r="V359" s="374"/>
      <c r="W359" s="374"/>
      <c r="X359" s="374"/>
      <c r="Y359" s="374"/>
      <c r="Z359" s="374"/>
      <c r="AA359" s="374"/>
      <c r="AB359" s="374"/>
      <c r="AC359" s="374"/>
      <c r="AD359" s="374"/>
      <c r="AE359" s="374"/>
      <c r="AF359" s="374"/>
      <c r="AG359" s="374"/>
      <c r="AH359" s="374"/>
      <c r="AI359" s="374"/>
      <c r="AJ359" s="374"/>
      <c r="AK359" s="374"/>
      <c r="AL359" s="374"/>
      <c r="AM359" s="374"/>
      <c r="AN359" s="374"/>
      <c r="AO359" s="374"/>
      <c r="AP359" s="374"/>
      <c r="AQ359" s="374"/>
      <c r="AR359" s="374"/>
      <c r="AS359" s="374"/>
      <c r="AT359" s="374"/>
      <c r="AU359" s="374"/>
      <c r="AV359" s="374"/>
      <c r="AW359" s="374"/>
      <c r="AX359" s="374"/>
      <c r="AY359" s="374"/>
      <c r="AZ359" s="374"/>
      <c r="BA359" s="374"/>
      <c r="BB359" s="374"/>
      <c r="BC359" s="374"/>
      <c r="BD359" s="374"/>
      <c r="BE359" s="374"/>
      <c r="BF359" s="374"/>
      <c r="BG359" s="374"/>
      <c r="BH359" s="374"/>
      <c r="BI359" s="374"/>
      <c r="BJ359" s="374"/>
      <c r="BK359" s="374"/>
    </row>
    <row r="360" spans="1:63" ht="45" x14ac:dyDescent="0.2">
      <c r="A360" s="542" t="s">
        <v>986</v>
      </c>
      <c r="B360" s="500" t="s">
        <v>45</v>
      </c>
      <c r="C360" s="500">
        <v>93378</v>
      </c>
      <c r="D360" s="540" t="s">
        <v>763</v>
      </c>
      <c r="E360" s="495" t="s">
        <v>16</v>
      </c>
      <c r="F360" s="426">
        <f>F341+F345</f>
        <v>157.02049999999997</v>
      </c>
      <c r="G360" s="426">
        <v>19.82</v>
      </c>
      <c r="H360" s="426">
        <f>ROUND((1+$L$16)*G360,2)</f>
        <v>25.06</v>
      </c>
      <c r="I360" s="448">
        <f>ROUND(F360*H360,2)</f>
        <v>3934.93</v>
      </c>
      <c r="J360" s="435"/>
      <c r="K360" s="372"/>
      <c r="L360" s="424"/>
      <c r="M360" s="372"/>
      <c r="N360" s="372"/>
      <c r="O360" s="372"/>
      <c r="P360" s="372"/>
      <c r="R360" s="372"/>
    </row>
    <row r="361" spans="1:63" x14ac:dyDescent="0.2">
      <c r="A361" s="542"/>
      <c r="B361" s="500"/>
      <c r="C361" s="500"/>
      <c r="D361" s="540"/>
      <c r="E361" s="495"/>
      <c r="F361" s="426"/>
      <c r="G361" s="426"/>
      <c r="H361" s="426"/>
      <c r="I361" s="448"/>
      <c r="J361" s="435"/>
      <c r="K361" s="372"/>
      <c r="L361" s="424"/>
      <c r="M361" s="372"/>
      <c r="N361" s="372"/>
      <c r="O361" s="372"/>
      <c r="P361" s="372"/>
      <c r="R361" s="372"/>
    </row>
    <row r="362" spans="1:63" x14ac:dyDescent="0.2">
      <c r="A362" s="542"/>
      <c r="B362" s="500"/>
      <c r="C362" s="500"/>
      <c r="D362" s="540" t="s">
        <v>2305</v>
      </c>
      <c r="E362" s="495"/>
      <c r="F362" s="426"/>
      <c r="G362" s="426"/>
      <c r="H362" s="426"/>
      <c r="I362" s="448"/>
      <c r="J362" s="435"/>
      <c r="K362" s="372"/>
      <c r="L362" s="424"/>
      <c r="M362" s="372"/>
      <c r="N362" s="372"/>
      <c r="O362" s="372"/>
      <c r="P362" s="372"/>
      <c r="R362" s="372"/>
    </row>
    <row r="363" spans="1:63" x14ac:dyDescent="0.2">
      <c r="A363" s="542"/>
      <c r="B363" s="500"/>
      <c r="C363" s="500"/>
      <c r="D363" s="540"/>
      <c r="E363" s="495"/>
      <c r="F363" s="426"/>
      <c r="G363" s="426"/>
      <c r="H363" s="426"/>
      <c r="I363" s="448"/>
      <c r="J363" s="435"/>
      <c r="K363" s="372"/>
      <c r="L363" s="424"/>
      <c r="M363" s="372"/>
      <c r="N363" s="372"/>
      <c r="O363" s="372"/>
      <c r="P363" s="372"/>
      <c r="R363" s="372"/>
    </row>
    <row r="364" spans="1:63" s="373" customFormat="1" ht="15.75" x14ac:dyDescent="0.2">
      <c r="A364" s="558" t="s">
        <v>315</v>
      </c>
      <c r="B364" s="501"/>
      <c r="C364" s="501"/>
      <c r="D364" s="545" t="s">
        <v>765</v>
      </c>
      <c r="E364" s="491"/>
      <c r="F364" s="404"/>
      <c r="G364" s="405"/>
      <c r="H364" s="406"/>
      <c r="I364" s="407">
        <f>SUM(I365:I373)</f>
        <v>562.31000000000006</v>
      </c>
      <c r="J364" s="444"/>
      <c r="K364" s="372"/>
      <c r="L364" s="424"/>
      <c r="M364" s="372"/>
      <c r="N364" s="372"/>
      <c r="O364" s="372"/>
      <c r="P364" s="372"/>
      <c r="R364" s="372"/>
    </row>
    <row r="365" spans="1:63" s="373" customFormat="1" x14ac:dyDescent="0.2">
      <c r="A365" s="542" t="s">
        <v>1003</v>
      </c>
      <c r="B365" s="500" t="s">
        <v>45</v>
      </c>
      <c r="C365" s="500">
        <v>79480</v>
      </c>
      <c r="D365" s="540" t="s">
        <v>852</v>
      </c>
      <c r="E365" s="495" t="s">
        <v>16</v>
      </c>
      <c r="F365" s="426">
        <f>F337</f>
        <v>27.709499999999998</v>
      </c>
      <c r="G365" s="426">
        <v>2.57</v>
      </c>
      <c r="H365" s="426">
        <f>ROUND((1+$L$16)*G365,2)</f>
        <v>3.25</v>
      </c>
      <c r="I365" s="448">
        <f>ROUND(F365*H365,2)</f>
        <v>90.06</v>
      </c>
      <c r="J365" s="444"/>
      <c r="K365" s="372"/>
      <c r="L365" s="424"/>
      <c r="M365" s="372"/>
      <c r="N365" s="372"/>
      <c r="O365" s="372"/>
      <c r="P365" s="372"/>
      <c r="R365" s="372"/>
    </row>
    <row r="366" spans="1:63" s="373" customFormat="1" x14ac:dyDescent="0.2">
      <c r="A366" s="542"/>
      <c r="B366" s="500"/>
      <c r="C366" s="500"/>
      <c r="D366" s="540"/>
      <c r="E366" s="495"/>
      <c r="F366" s="426"/>
      <c r="G366" s="426"/>
      <c r="H366" s="426"/>
      <c r="I366" s="448"/>
      <c r="J366" s="444"/>
      <c r="K366" s="372"/>
      <c r="L366" s="424"/>
      <c r="M366" s="372"/>
      <c r="N366" s="372"/>
      <c r="O366" s="372"/>
      <c r="P366" s="372"/>
      <c r="R366" s="372"/>
    </row>
    <row r="367" spans="1:63" s="373" customFormat="1" ht="30" x14ac:dyDescent="0.2">
      <c r="A367" s="542"/>
      <c r="B367" s="500"/>
      <c r="C367" s="500"/>
      <c r="D367" s="540" t="s">
        <v>2300</v>
      </c>
      <c r="E367" s="495"/>
      <c r="F367" s="426"/>
      <c r="G367" s="426"/>
      <c r="H367" s="426"/>
      <c r="I367" s="448"/>
      <c r="J367" s="444"/>
      <c r="K367" s="372"/>
      <c r="L367" s="424"/>
      <c r="M367" s="372"/>
      <c r="N367" s="372"/>
      <c r="O367" s="372"/>
      <c r="P367" s="372"/>
      <c r="R367" s="372"/>
    </row>
    <row r="368" spans="1:63" s="373" customFormat="1" x14ac:dyDescent="0.2">
      <c r="A368" s="542"/>
      <c r="B368" s="500"/>
      <c r="C368" s="500"/>
      <c r="D368" s="540"/>
      <c r="E368" s="495"/>
      <c r="F368" s="426"/>
      <c r="G368" s="426"/>
      <c r="H368" s="426"/>
      <c r="I368" s="448"/>
      <c r="J368" s="444"/>
      <c r="K368" s="372"/>
      <c r="L368" s="424"/>
      <c r="M368" s="372"/>
      <c r="N368" s="372"/>
      <c r="O368" s="372"/>
      <c r="P368" s="372"/>
      <c r="R368" s="372"/>
    </row>
    <row r="369" spans="1:18" s="373" customFormat="1" x14ac:dyDescent="0.2">
      <c r="A369" s="542" t="s">
        <v>1004</v>
      </c>
      <c r="B369" s="500" t="s">
        <v>45</v>
      </c>
      <c r="C369" s="500">
        <v>72898</v>
      </c>
      <c r="D369" s="540" t="s">
        <v>770</v>
      </c>
      <c r="E369" s="495" t="s">
        <v>16</v>
      </c>
      <c r="F369" s="426">
        <f>F365*1.3</f>
        <v>36.022349999999996</v>
      </c>
      <c r="G369" s="426">
        <v>3.57</v>
      </c>
      <c r="H369" s="426">
        <f>ROUND((1+$L$16)*G369,2)</f>
        <v>4.51</v>
      </c>
      <c r="I369" s="448">
        <f>ROUND(F369*H369,2)</f>
        <v>162.46</v>
      </c>
      <c r="J369" s="444"/>
      <c r="K369" s="372"/>
      <c r="L369" s="424"/>
      <c r="M369" s="372"/>
      <c r="N369" s="372">
        <v>170</v>
      </c>
      <c r="O369" s="372"/>
      <c r="P369" s="372"/>
      <c r="R369" s="372"/>
    </row>
    <row r="370" spans="1:18" s="373" customFormat="1" x14ac:dyDescent="0.2">
      <c r="A370" s="542"/>
      <c r="B370" s="500"/>
      <c r="C370" s="500"/>
      <c r="D370" s="540"/>
      <c r="E370" s="495"/>
      <c r="F370" s="426"/>
      <c r="G370" s="426"/>
      <c r="H370" s="426"/>
      <c r="I370" s="448"/>
      <c r="J370" s="444"/>
      <c r="K370" s="372"/>
      <c r="L370" s="424"/>
      <c r="M370" s="372"/>
      <c r="N370" s="372"/>
      <c r="O370" s="372"/>
      <c r="P370" s="372"/>
      <c r="R370" s="372"/>
    </row>
    <row r="371" spans="1:18" s="373" customFormat="1" ht="30" x14ac:dyDescent="0.2">
      <c r="A371" s="542"/>
      <c r="B371" s="500"/>
      <c r="C371" s="500"/>
      <c r="D371" s="540" t="s">
        <v>2306</v>
      </c>
      <c r="E371" s="495"/>
      <c r="F371" s="426"/>
      <c r="G371" s="426"/>
      <c r="H371" s="426"/>
      <c r="I371" s="448"/>
      <c r="J371" s="444"/>
      <c r="K371" s="372"/>
      <c r="L371" s="424"/>
      <c r="M371" s="372"/>
      <c r="N371" s="372"/>
      <c r="O371" s="372"/>
      <c r="P371" s="372"/>
      <c r="R371" s="372"/>
    </row>
    <row r="372" spans="1:18" s="373" customFormat="1" x14ac:dyDescent="0.2">
      <c r="A372" s="542"/>
      <c r="B372" s="500"/>
      <c r="C372" s="500"/>
      <c r="D372" s="540"/>
      <c r="E372" s="495"/>
      <c r="F372" s="426"/>
      <c r="G372" s="426"/>
      <c r="H372" s="426"/>
      <c r="I372" s="448"/>
      <c r="J372" s="444"/>
      <c r="K372" s="372"/>
      <c r="L372" s="424"/>
      <c r="M372" s="372"/>
      <c r="N372" s="372"/>
      <c r="O372" s="372"/>
      <c r="P372" s="372"/>
      <c r="R372" s="372"/>
    </row>
    <row r="373" spans="1:18" s="373" customFormat="1" x14ac:dyDescent="0.2">
      <c r="A373" s="542" t="s">
        <v>1005</v>
      </c>
      <c r="B373" s="500" t="s">
        <v>45</v>
      </c>
      <c r="C373" s="500">
        <v>72885</v>
      </c>
      <c r="D373" s="540" t="s">
        <v>333</v>
      </c>
      <c r="E373" s="495" t="s">
        <v>725</v>
      </c>
      <c r="F373" s="449">
        <f>F369*5</f>
        <v>180.11174999999997</v>
      </c>
      <c r="G373" s="426">
        <v>1.36</v>
      </c>
      <c r="H373" s="426">
        <f>ROUND((1+$L$16)*G373,2)</f>
        <v>1.72</v>
      </c>
      <c r="I373" s="448">
        <f t="shared" ref="I373" si="20">ROUND(F373*H373,2)</f>
        <v>309.79000000000002</v>
      </c>
      <c r="J373" s="444"/>
      <c r="K373" s="372"/>
      <c r="L373" s="424"/>
      <c r="M373" s="372"/>
      <c r="N373" s="372">
        <v>54</v>
      </c>
      <c r="O373" s="372"/>
      <c r="P373" s="372"/>
      <c r="R373" s="372"/>
    </row>
    <row r="374" spans="1:18" s="373" customFormat="1" x14ac:dyDescent="0.2">
      <c r="A374" s="542"/>
      <c r="B374" s="500"/>
      <c r="C374" s="500"/>
      <c r="D374" s="540"/>
      <c r="E374" s="495"/>
      <c r="F374" s="449"/>
      <c r="G374" s="426"/>
      <c r="H374" s="426"/>
      <c r="I374" s="448"/>
      <c r="J374" s="444"/>
      <c r="K374" s="372"/>
      <c r="L374" s="424"/>
      <c r="M374" s="372"/>
      <c r="N374" s="372"/>
      <c r="O374" s="372"/>
      <c r="P374" s="372"/>
      <c r="R374" s="372"/>
    </row>
    <row r="375" spans="1:18" s="373" customFormat="1" ht="30" x14ac:dyDescent="0.2">
      <c r="A375" s="542"/>
      <c r="B375" s="500"/>
      <c r="C375" s="500"/>
      <c r="D375" s="540" t="s">
        <v>2420</v>
      </c>
      <c r="E375" s="495"/>
      <c r="F375" s="449"/>
      <c r="G375" s="426"/>
      <c r="H375" s="426"/>
      <c r="I375" s="448"/>
      <c r="J375" s="444"/>
      <c r="K375" s="372"/>
      <c r="L375" s="424"/>
      <c r="M375" s="372"/>
      <c r="N375" s="372"/>
      <c r="O375" s="372"/>
      <c r="P375" s="372"/>
      <c r="R375" s="372"/>
    </row>
    <row r="376" spans="1:18" s="464" customFormat="1" x14ac:dyDescent="0.2">
      <c r="A376" s="542"/>
      <c r="B376" s="500"/>
      <c r="C376" s="500"/>
      <c r="D376" s="540"/>
      <c r="E376" s="495"/>
      <c r="F376" s="426"/>
      <c r="G376" s="426"/>
      <c r="H376" s="426"/>
      <c r="I376" s="448"/>
      <c r="J376" s="461"/>
      <c r="K376" s="462"/>
      <c r="L376" s="463"/>
      <c r="M376" s="462"/>
      <c r="N376" s="462"/>
      <c r="O376" s="462"/>
      <c r="P376" s="462"/>
      <c r="R376" s="462"/>
    </row>
    <row r="377" spans="1:18" s="373" customFormat="1" ht="15.75" x14ac:dyDescent="0.2">
      <c r="A377" s="558" t="s">
        <v>868</v>
      </c>
      <c r="B377" s="501"/>
      <c r="C377" s="501"/>
      <c r="D377" s="545" t="s">
        <v>1364</v>
      </c>
      <c r="E377" s="491"/>
      <c r="F377" s="404"/>
      <c r="G377" s="405"/>
      <c r="H377" s="406"/>
      <c r="I377" s="407">
        <f>SUM(I378:I386)</f>
        <v>562.31000000000006</v>
      </c>
      <c r="J377" s="444"/>
      <c r="K377" s="372"/>
      <c r="L377" s="424"/>
      <c r="M377" s="372"/>
      <c r="N377" s="372"/>
      <c r="O377" s="372"/>
      <c r="P377" s="372"/>
      <c r="R377" s="372"/>
    </row>
    <row r="378" spans="1:18" s="373" customFormat="1" x14ac:dyDescent="0.2">
      <c r="A378" s="542" t="s">
        <v>482</v>
      </c>
      <c r="B378" s="500" t="s">
        <v>45</v>
      </c>
      <c r="C378" s="500">
        <v>79480</v>
      </c>
      <c r="D378" s="540" t="s">
        <v>852</v>
      </c>
      <c r="E378" s="495" t="s">
        <v>16</v>
      </c>
      <c r="F378" s="426">
        <f>F365</f>
        <v>27.709499999999998</v>
      </c>
      <c r="G378" s="426">
        <v>2.57</v>
      </c>
      <c r="H378" s="426">
        <f>ROUND((1+$L$16)*G378,2)</f>
        <v>3.25</v>
      </c>
      <c r="I378" s="448">
        <f>ROUND(F378*H378,2)</f>
        <v>90.06</v>
      </c>
      <c r="J378" s="444"/>
      <c r="K378" s="372"/>
      <c r="L378" s="424"/>
      <c r="M378" s="372"/>
      <c r="N378" s="372"/>
      <c r="O378" s="372"/>
      <c r="P378" s="372"/>
      <c r="R378" s="372"/>
    </row>
    <row r="379" spans="1:18" s="373" customFormat="1" x14ac:dyDescent="0.2">
      <c r="A379" s="542"/>
      <c r="B379" s="500"/>
      <c r="C379" s="500"/>
      <c r="D379" s="540"/>
      <c r="E379" s="495"/>
      <c r="F379" s="426"/>
      <c r="G379" s="426"/>
      <c r="H379" s="426"/>
      <c r="I379" s="448"/>
      <c r="J379" s="444"/>
      <c r="K379" s="372"/>
      <c r="L379" s="424"/>
      <c r="M379" s="372"/>
      <c r="N379" s="372"/>
      <c r="O379" s="372"/>
      <c r="P379" s="372"/>
      <c r="R379" s="372"/>
    </row>
    <row r="380" spans="1:18" s="373" customFormat="1" ht="30" x14ac:dyDescent="0.2">
      <c r="A380" s="542"/>
      <c r="B380" s="500"/>
      <c r="C380" s="500"/>
      <c r="D380" s="540" t="s">
        <v>2300</v>
      </c>
      <c r="E380" s="495"/>
      <c r="F380" s="426"/>
      <c r="G380" s="426"/>
      <c r="H380" s="426"/>
      <c r="I380" s="448"/>
      <c r="J380" s="444"/>
      <c r="K380" s="372"/>
      <c r="L380" s="424"/>
      <c r="M380" s="372"/>
      <c r="N380" s="372"/>
      <c r="O380" s="372"/>
      <c r="P380" s="372"/>
      <c r="R380" s="372"/>
    </row>
    <row r="381" spans="1:18" s="373" customFormat="1" x14ac:dyDescent="0.2">
      <c r="A381" s="542"/>
      <c r="B381" s="500"/>
      <c r="C381" s="500"/>
      <c r="D381" s="540"/>
      <c r="E381" s="495"/>
      <c r="F381" s="426"/>
      <c r="G381" s="426"/>
      <c r="H381" s="426"/>
      <c r="I381" s="448"/>
      <c r="J381" s="444"/>
      <c r="K381" s="372"/>
      <c r="L381" s="424"/>
      <c r="M381" s="372"/>
      <c r="N381" s="372"/>
      <c r="O381" s="372"/>
      <c r="P381" s="372"/>
      <c r="R381" s="372"/>
    </row>
    <row r="382" spans="1:18" s="373" customFormat="1" x14ac:dyDescent="0.2">
      <c r="A382" s="542" t="s">
        <v>483</v>
      </c>
      <c r="B382" s="500" t="s">
        <v>45</v>
      </c>
      <c r="C382" s="500">
        <v>72898</v>
      </c>
      <c r="D382" s="540" t="s">
        <v>770</v>
      </c>
      <c r="E382" s="495" t="s">
        <v>16</v>
      </c>
      <c r="F382" s="426">
        <f>F378*1.3</f>
        <v>36.022349999999996</v>
      </c>
      <c r="G382" s="426">
        <v>3.57</v>
      </c>
      <c r="H382" s="426">
        <f>ROUND((1+$L$16)*G382,2)</f>
        <v>4.51</v>
      </c>
      <c r="I382" s="448">
        <f>ROUND(F382*H382,2)</f>
        <v>162.46</v>
      </c>
      <c r="J382" s="444"/>
      <c r="K382" s="372"/>
      <c r="L382" s="424"/>
      <c r="M382" s="372"/>
      <c r="N382" s="372">
        <v>170</v>
      </c>
      <c r="O382" s="372"/>
      <c r="P382" s="372"/>
      <c r="R382" s="372"/>
    </row>
    <row r="383" spans="1:18" s="373" customFormat="1" x14ac:dyDescent="0.2">
      <c r="A383" s="542"/>
      <c r="B383" s="500"/>
      <c r="C383" s="500"/>
      <c r="D383" s="540"/>
      <c r="E383" s="495"/>
      <c r="F383" s="426"/>
      <c r="G383" s="426"/>
      <c r="H383" s="426"/>
      <c r="I383" s="448"/>
      <c r="J383" s="444"/>
      <c r="K383" s="372"/>
      <c r="L383" s="424"/>
      <c r="M383" s="372"/>
      <c r="N383" s="372"/>
      <c r="O383" s="372"/>
      <c r="P383" s="372"/>
      <c r="R383" s="372"/>
    </row>
    <row r="384" spans="1:18" s="373" customFormat="1" ht="30" x14ac:dyDescent="0.2">
      <c r="A384" s="542"/>
      <c r="B384" s="500"/>
      <c r="C384" s="500"/>
      <c r="D384" s="540" t="s">
        <v>2306</v>
      </c>
      <c r="E384" s="495"/>
      <c r="F384" s="426"/>
      <c r="G384" s="426"/>
      <c r="H384" s="426"/>
      <c r="I384" s="448"/>
      <c r="J384" s="444"/>
      <c r="K384" s="372"/>
      <c r="L384" s="424"/>
      <c r="M384" s="372"/>
      <c r="N384" s="372"/>
      <c r="O384" s="372"/>
      <c r="P384" s="372"/>
      <c r="R384" s="372"/>
    </row>
    <row r="385" spans="1:18" s="373" customFormat="1" x14ac:dyDescent="0.2">
      <c r="A385" s="542"/>
      <c r="B385" s="500"/>
      <c r="C385" s="500"/>
      <c r="D385" s="540"/>
      <c r="E385" s="495"/>
      <c r="F385" s="426"/>
      <c r="G385" s="426"/>
      <c r="H385" s="426"/>
      <c r="I385" s="448"/>
      <c r="J385" s="444"/>
      <c r="K385" s="372"/>
      <c r="L385" s="424"/>
      <c r="M385" s="372"/>
      <c r="N385" s="372"/>
      <c r="O385" s="372"/>
      <c r="P385" s="372"/>
      <c r="R385" s="372"/>
    </row>
    <row r="386" spans="1:18" s="373" customFormat="1" x14ac:dyDescent="0.2">
      <c r="A386" s="542" t="s">
        <v>484</v>
      </c>
      <c r="B386" s="500" t="s">
        <v>45</v>
      </c>
      <c r="C386" s="500">
        <v>72885</v>
      </c>
      <c r="D386" s="540" t="s">
        <v>333</v>
      </c>
      <c r="E386" s="495" t="s">
        <v>725</v>
      </c>
      <c r="F386" s="449">
        <f>F382*5</f>
        <v>180.11174999999997</v>
      </c>
      <c r="G386" s="426">
        <v>1.36</v>
      </c>
      <c r="H386" s="426">
        <f>ROUND((1+$L$16)*G386,2)</f>
        <v>1.72</v>
      </c>
      <c r="I386" s="448">
        <f t="shared" ref="I386" si="21">ROUND(F386*H386,2)</f>
        <v>309.79000000000002</v>
      </c>
      <c r="J386" s="444"/>
      <c r="K386" s="372"/>
      <c r="L386" s="424"/>
      <c r="M386" s="372"/>
      <c r="N386" s="372">
        <v>54</v>
      </c>
      <c r="O386" s="372"/>
      <c r="P386" s="372"/>
      <c r="R386" s="372"/>
    </row>
    <row r="387" spans="1:18" s="373" customFormat="1" x14ac:dyDescent="0.2">
      <c r="A387" s="542"/>
      <c r="B387" s="500"/>
      <c r="C387" s="500"/>
      <c r="D387" s="540"/>
      <c r="E387" s="495"/>
      <c r="F387" s="449"/>
      <c r="G387" s="426"/>
      <c r="H387" s="426"/>
      <c r="I387" s="448"/>
      <c r="J387" s="444"/>
      <c r="K387" s="372"/>
      <c r="L387" s="424"/>
      <c r="M387" s="372"/>
      <c r="N387" s="372"/>
      <c r="O387" s="372"/>
      <c r="P387" s="372"/>
      <c r="R387" s="372"/>
    </row>
    <row r="388" spans="1:18" s="373" customFormat="1" ht="30" x14ac:dyDescent="0.2">
      <c r="A388" s="542"/>
      <c r="B388" s="500"/>
      <c r="C388" s="500"/>
      <c r="D388" s="540" t="s">
        <v>2420</v>
      </c>
      <c r="E388" s="495"/>
      <c r="F388" s="449"/>
      <c r="G388" s="426"/>
      <c r="H388" s="426"/>
      <c r="I388" s="448"/>
      <c r="J388" s="444"/>
      <c r="K388" s="372"/>
      <c r="L388" s="424"/>
      <c r="M388" s="372"/>
      <c r="N388" s="372"/>
      <c r="O388" s="372"/>
      <c r="P388" s="372"/>
      <c r="R388" s="372"/>
    </row>
    <row r="389" spans="1:18" x14ac:dyDescent="0.2">
      <c r="A389" s="542"/>
      <c r="B389" s="500"/>
      <c r="C389" s="500"/>
      <c r="D389" s="540"/>
      <c r="E389" s="495"/>
      <c r="F389" s="426"/>
      <c r="G389" s="426"/>
      <c r="H389" s="426"/>
      <c r="I389" s="448"/>
      <c r="J389" s="435"/>
      <c r="K389" s="372"/>
      <c r="L389" s="424"/>
      <c r="M389" s="372"/>
      <c r="N389" s="372"/>
      <c r="O389" s="372"/>
      <c r="P389" s="372"/>
      <c r="R389" s="372"/>
    </row>
    <row r="390" spans="1:18" ht="15.75" x14ac:dyDescent="0.2">
      <c r="A390" s="558" t="s">
        <v>869</v>
      </c>
      <c r="B390" s="501"/>
      <c r="C390" s="501"/>
      <c r="D390" s="545" t="s">
        <v>346</v>
      </c>
      <c r="E390" s="491"/>
      <c r="F390" s="404"/>
      <c r="G390" s="405"/>
      <c r="H390" s="406"/>
      <c r="I390" s="407">
        <f>SUM(I391:I395)</f>
        <v>12342.8</v>
      </c>
      <c r="J390" s="435"/>
      <c r="K390" s="372"/>
      <c r="L390" s="424"/>
      <c r="M390" s="372"/>
      <c r="N390" s="372"/>
      <c r="O390" s="372"/>
      <c r="P390" s="372"/>
      <c r="R390" s="372"/>
    </row>
    <row r="391" spans="1:18" x14ac:dyDescent="0.2">
      <c r="A391" s="557" t="s">
        <v>1362</v>
      </c>
      <c r="B391" s="500" t="s">
        <v>45</v>
      </c>
      <c r="C391" s="506">
        <v>9825</v>
      </c>
      <c r="D391" s="554" t="s">
        <v>827</v>
      </c>
      <c r="E391" s="494" t="s">
        <v>17</v>
      </c>
      <c r="F391" s="426">
        <f>F304</f>
        <v>284.2</v>
      </c>
      <c r="G391" s="426">
        <v>34</v>
      </c>
      <c r="H391" s="426">
        <f>ROUND((1+$K$16)*G391,2)</f>
        <v>39.71</v>
      </c>
      <c r="I391" s="459">
        <f t="shared" ref="I391:I395" si="22">ROUND(F391*H391,2)</f>
        <v>11285.58</v>
      </c>
      <c r="J391" s="435"/>
      <c r="K391" s="372"/>
      <c r="L391" s="424"/>
      <c r="M391" s="372"/>
      <c r="N391" s="372"/>
      <c r="O391" s="372"/>
      <c r="P391" s="372"/>
      <c r="R391" s="372"/>
    </row>
    <row r="392" spans="1:18" x14ac:dyDescent="0.2">
      <c r="A392" s="557"/>
      <c r="B392" s="500"/>
      <c r="C392" s="506"/>
      <c r="D392" s="554"/>
      <c r="E392" s="494"/>
      <c r="F392" s="426"/>
      <c r="G392" s="426"/>
      <c r="H392" s="426"/>
      <c r="I392" s="512"/>
      <c r="J392" s="435"/>
      <c r="K392" s="372"/>
      <c r="L392" s="424"/>
      <c r="M392" s="372"/>
      <c r="N392" s="372"/>
      <c r="O392" s="372"/>
      <c r="P392" s="372"/>
      <c r="R392" s="372"/>
    </row>
    <row r="393" spans="1:18" x14ac:dyDescent="0.2">
      <c r="A393" s="557"/>
      <c r="B393" s="500"/>
      <c r="C393" s="506"/>
      <c r="D393" s="540" t="s">
        <v>2293</v>
      </c>
      <c r="E393" s="494"/>
      <c r="F393" s="426"/>
      <c r="G393" s="426"/>
      <c r="H393" s="426"/>
      <c r="I393" s="512"/>
      <c r="J393" s="435"/>
      <c r="K393" s="372"/>
      <c r="L393" s="424"/>
      <c r="M393" s="372"/>
      <c r="N393" s="372"/>
      <c r="O393" s="372"/>
      <c r="P393" s="372"/>
      <c r="R393" s="372"/>
    </row>
    <row r="394" spans="1:18" x14ac:dyDescent="0.2">
      <c r="A394" s="557"/>
      <c r="B394" s="500"/>
      <c r="C394" s="506"/>
      <c r="D394" s="554"/>
      <c r="E394" s="494"/>
      <c r="F394" s="426"/>
      <c r="G394" s="426"/>
      <c r="H394" s="426"/>
      <c r="I394" s="512"/>
      <c r="J394" s="435"/>
      <c r="K394" s="372"/>
      <c r="L394" s="424"/>
      <c r="M394" s="372"/>
      <c r="N394" s="372"/>
      <c r="O394" s="372"/>
      <c r="P394" s="372"/>
      <c r="R394" s="372"/>
    </row>
    <row r="395" spans="1:18" x14ac:dyDescent="0.2">
      <c r="A395" s="557" t="s">
        <v>1363</v>
      </c>
      <c r="B395" s="500" t="s">
        <v>45</v>
      </c>
      <c r="C395" s="500" t="s">
        <v>825</v>
      </c>
      <c r="D395" s="540" t="s">
        <v>826</v>
      </c>
      <c r="E395" s="495" t="s">
        <v>17</v>
      </c>
      <c r="F395" s="426">
        <f>F391</f>
        <v>284.2</v>
      </c>
      <c r="G395" s="426">
        <v>2.94</v>
      </c>
      <c r="H395" s="426">
        <f>ROUND((1+$L$16)*G395,2)</f>
        <v>3.72</v>
      </c>
      <c r="I395" s="448">
        <f t="shared" si="22"/>
        <v>1057.22</v>
      </c>
      <c r="J395" s="435"/>
      <c r="K395" s="372"/>
      <c r="L395" s="424"/>
      <c r="M395" s="372"/>
      <c r="N395" s="372"/>
      <c r="O395" s="372"/>
      <c r="P395" s="372"/>
      <c r="R395" s="372"/>
    </row>
    <row r="396" spans="1:18" x14ac:dyDescent="0.2">
      <c r="A396" s="557"/>
      <c r="B396" s="500"/>
      <c r="C396" s="500"/>
      <c r="D396" s="540"/>
      <c r="E396" s="495"/>
      <c r="F396" s="426"/>
      <c r="G396" s="426"/>
      <c r="H396" s="426"/>
      <c r="I396" s="448"/>
      <c r="J396" s="435"/>
      <c r="K396" s="372"/>
      <c r="L396" s="424"/>
      <c r="M396" s="372"/>
      <c r="N396" s="372"/>
      <c r="O396" s="372"/>
      <c r="P396" s="372"/>
      <c r="R396" s="372"/>
    </row>
    <row r="397" spans="1:18" x14ac:dyDescent="0.2">
      <c r="A397" s="557"/>
      <c r="B397" s="500"/>
      <c r="C397" s="500"/>
      <c r="D397" s="540" t="s">
        <v>2293</v>
      </c>
      <c r="E397" s="495"/>
      <c r="F397" s="426"/>
      <c r="G397" s="426"/>
      <c r="H397" s="426"/>
      <c r="I397" s="448"/>
      <c r="J397" s="435"/>
      <c r="K397" s="372"/>
      <c r="L397" s="424"/>
      <c r="M397" s="372"/>
      <c r="N397" s="372"/>
      <c r="O397" s="372"/>
      <c r="P397" s="372"/>
      <c r="R397" s="372"/>
    </row>
    <row r="398" spans="1:18" x14ac:dyDescent="0.2">
      <c r="A398" s="560"/>
      <c r="B398" s="502"/>
      <c r="C398" s="503"/>
      <c r="D398" s="559"/>
      <c r="E398" s="496"/>
      <c r="F398" s="426"/>
      <c r="G398" s="426"/>
      <c r="H398" s="427"/>
      <c r="I398" s="428"/>
      <c r="J398" s="435"/>
      <c r="K398" s="372"/>
      <c r="L398" s="424"/>
      <c r="M398" s="372"/>
      <c r="N398" s="372"/>
      <c r="O398" s="372"/>
      <c r="P398" s="372"/>
      <c r="R398" s="372"/>
    </row>
    <row r="399" spans="1:18" ht="15.75" x14ac:dyDescent="0.2">
      <c r="A399" s="558" t="s">
        <v>870</v>
      </c>
      <c r="B399" s="501"/>
      <c r="C399" s="501"/>
      <c r="D399" s="545" t="s">
        <v>355</v>
      </c>
      <c r="E399" s="491"/>
      <c r="F399" s="404"/>
      <c r="G399" s="405"/>
      <c r="H399" s="406"/>
      <c r="I399" s="407">
        <f>SUM(I400:I424)</f>
        <v>33260.9</v>
      </c>
      <c r="J399" s="435"/>
      <c r="K399" s="372"/>
      <c r="L399" s="424"/>
      <c r="M399" s="372"/>
      <c r="N399" s="372"/>
      <c r="O399" s="372"/>
      <c r="P399" s="372"/>
      <c r="R399" s="372"/>
    </row>
    <row r="400" spans="1:18" ht="30" x14ac:dyDescent="0.2">
      <c r="A400" s="542" t="s">
        <v>1365</v>
      </c>
      <c r="B400" s="500" t="s">
        <v>45</v>
      </c>
      <c r="C400" s="500">
        <v>92970</v>
      </c>
      <c r="D400" s="540" t="s">
        <v>769</v>
      </c>
      <c r="E400" s="495" t="s">
        <v>15</v>
      </c>
      <c r="F400" s="426">
        <f>F304*2</f>
        <v>568.4</v>
      </c>
      <c r="G400" s="426">
        <v>11.43</v>
      </c>
      <c r="H400" s="426">
        <f t="shared" ref="H400:H424" si="23">ROUND((1+$L$16)*G400,2)</f>
        <v>14.45</v>
      </c>
      <c r="I400" s="448">
        <f t="shared" ref="I400" si="24">ROUND(F400*H400,2)</f>
        <v>8213.3799999999992</v>
      </c>
      <c r="J400" s="435"/>
      <c r="K400" s="372"/>
      <c r="L400" s="424"/>
      <c r="M400" s="372"/>
      <c r="N400" s="372"/>
      <c r="O400" s="372"/>
      <c r="P400" s="372"/>
      <c r="R400" s="372"/>
    </row>
    <row r="401" spans="1:18" x14ac:dyDescent="0.2">
      <c r="A401" s="542"/>
      <c r="B401" s="500"/>
      <c r="C401" s="500"/>
      <c r="D401" s="540"/>
      <c r="E401" s="495"/>
      <c r="F401" s="426"/>
      <c r="G401" s="426"/>
      <c r="H401" s="426"/>
      <c r="I401" s="448"/>
      <c r="J401" s="435"/>
      <c r="K401" s="372"/>
      <c r="L401" s="424"/>
      <c r="M401" s="372"/>
      <c r="N401" s="372"/>
      <c r="O401" s="372"/>
      <c r="P401" s="372"/>
      <c r="R401" s="372"/>
    </row>
    <row r="402" spans="1:18" x14ac:dyDescent="0.2">
      <c r="A402" s="542"/>
      <c r="B402" s="500"/>
      <c r="C402" s="500"/>
      <c r="D402" s="540" t="s">
        <v>2307</v>
      </c>
      <c r="E402" s="495"/>
      <c r="F402" s="426"/>
      <c r="G402" s="426"/>
      <c r="H402" s="426"/>
      <c r="I402" s="448"/>
      <c r="J402" s="435"/>
      <c r="K402" s="372"/>
      <c r="L402" s="424"/>
      <c r="M402" s="372"/>
      <c r="N402" s="372"/>
      <c r="O402" s="372"/>
      <c r="P402" s="372"/>
      <c r="R402" s="372"/>
    </row>
    <row r="403" spans="1:18" x14ac:dyDescent="0.2">
      <c r="A403" s="542"/>
      <c r="B403" s="500"/>
      <c r="C403" s="500"/>
      <c r="D403" s="540"/>
      <c r="E403" s="495"/>
      <c r="F403" s="426"/>
      <c r="G403" s="426"/>
      <c r="H403" s="426"/>
      <c r="I403" s="448"/>
      <c r="J403" s="435"/>
      <c r="K403" s="372"/>
      <c r="L403" s="424"/>
      <c r="M403" s="372"/>
      <c r="N403" s="372"/>
      <c r="O403" s="372"/>
      <c r="P403" s="372"/>
      <c r="R403" s="372"/>
    </row>
    <row r="404" spans="1:18" x14ac:dyDescent="0.2">
      <c r="A404" s="542" t="s">
        <v>1366</v>
      </c>
      <c r="B404" s="500" t="s">
        <v>45</v>
      </c>
      <c r="C404" s="500">
        <v>73711</v>
      </c>
      <c r="D404" s="540" t="s">
        <v>829</v>
      </c>
      <c r="E404" s="495" t="s">
        <v>16</v>
      </c>
      <c r="F404" s="449">
        <f>F400*0.2</f>
        <v>113.68</v>
      </c>
      <c r="G404" s="426">
        <v>76.510000000000005</v>
      </c>
      <c r="H404" s="426">
        <f t="shared" si="23"/>
        <v>96.74</v>
      </c>
      <c r="I404" s="448">
        <f>ROUND(F404*H404,2)</f>
        <v>10997.4</v>
      </c>
      <c r="J404" s="435"/>
      <c r="K404" s="372"/>
      <c r="L404" s="424"/>
      <c r="M404" s="372"/>
      <c r="N404" s="372"/>
      <c r="O404" s="372"/>
      <c r="P404" s="372"/>
      <c r="R404" s="372"/>
    </row>
    <row r="405" spans="1:18" x14ac:dyDescent="0.2">
      <c r="A405" s="542"/>
      <c r="B405" s="500"/>
      <c r="C405" s="500"/>
      <c r="D405" s="540"/>
      <c r="E405" s="495"/>
      <c r="F405" s="449"/>
      <c r="G405" s="426"/>
      <c r="H405" s="426"/>
      <c r="I405" s="448"/>
      <c r="J405" s="435"/>
      <c r="K405" s="372"/>
      <c r="L405" s="424"/>
      <c r="M405" s="372"/>
      <c r="N405" s="372"/>
      <c r="O405" s="372"/>
      <c r="P405" s="372"/>
      <c r="R405" s="372"/>
    </row>
    <row r="406" spans="1:18" x14ac:dyDescent="0.2">
      <c r="A406" s="542"/>
      <c r="B406" s="500"/>
      <c r="C406" s="500"/>
      <c r="D406" s="540" t="s">
        <v>2308</v>
      </c>
      <c r="E406" s="495"/>
      <c r="F406" s="449"/>
      <c r="G406" s="426"/>
      <c r="H406" s="426"/>
      <c r="I406" s="448"/>
      <c r="J406" s="435"/>
      <c r="K406" s="372"/>
      <c r="L406" s="424"/>
      <c r="M406" s="372"/>
      <c r="N406" s="372"/>
      <c r="O406" s="372"/>
      <c r="P406" s="372"/>
      <c r="R406" s="372"/>
    </row>
    <row r="407" spans="1:18" x14ac:dyDescent="0.2">
      <c r="A407" s="542"/>
      <c r="B407" s="500"/>
      <c r="C407" s="500"/>
      <c r="D407" s="540"/>
      <c r="E407" s="495"/>
      <c r="F407" s="449"/>
      <c r="G407" s="426"/>
      <c r="H407" s="426"/>
      <c r="I407" s="448"/>
      <c r="J407" s="435"/>
      <c r="K407" s="372"/>
      <c r="L407" s="424"/>
      <c r="M407" s="372"/>
      <c r="N407" s="372"/>
      <c r="O407" s="372"/>
      <c r="P407" s="372"/>
      <c r="R407" s="372"/>
    </row>
    <row r="408" spans="1:18" ht="30" x14ac:dyDescent="0.2">
      <c r="A408" s="542" t="s">
        <v>1367</v>
      </c>
      <c r="B408" s="500" t="s">
        <v>45</v>
      </c>
      <c r="C408" s="500" t="s">
        <v>432</v>
      </c>
      <c r="D408" s="540" t="s">
        <v>828</v>
      </c>
      <c r="E408" s="495" t="s">
        <v>16</v>
      </c>
      <c r="F408" s="426">
        <f>F400*0.05</f>
        <v>28.42</v>
      </c>
      <c r="G408" s="426">
        <v>329.34</v>
      </c>
      <c r="H408" s="426">
        <f t="shared" si="23"/>
        <v>416.4</v>
      </c>
      <c r="I408" s="448">
        <f>ROUND(F408*H408,2)</f>
        <v>11834.09</v>
      </c>
      <c r="J408" s="435"/>
      <c r="K408" s="372"/>
      <c r="L408" s="424"/>
      <c r="M408" s="372"/>
      <c r="N408" s="372"/>
      <c r="O408" s="372"/>
      <c r="P408" s="372"/>
      <c r="R408" s="372"/>
    </row>
    <row r="409" spans="1:18" x14ac:dyDescent="0.2">
      <c r="A409" s="542"/>
      <c r="B409" s="500"/>
      <c r="C409" s="500"/>
      <c r="D409" s="540"/>
      <c r="E409" s="495"/>
      <c r="F409" s="426"/>
      <c r="G409" s="426"/>
      <c r="H409" s="426"/>
      <c r="I409" s="448"/>
      <c r="J409" s="435"/>
      <c r="K409" s="372"/>
      <c r="L409" s="424"/>
      <c r="M409" s="372"/>
      <c r="N409" s="372"/>
      <c r="O409" s="372"/>
      <c r="P409" s="372"/>
      <c r="R409" s="372"/>
    </row>
    <row r="410" spans="1:18" x14ac:dyDescent="0.2">
      <c r="A410" s="542"/>
      <c r="B410" s="500"/>
      <c r="C410" s="500"/>
      <c r="D410" s="540" t="s">
        <v>2309</v>
      </c>
      <c r="E410" s="495"/>
      <c r="F410" s="426"/>
      <c r="G410" s="426"/>
      <c r="H410" s="426"/>
      <c r="I410" s="448"/>
      <c r="J410" s="435"/>
      <c r="K410" s="372"/>
      <c r="L410" s="424"/>
      <c r="M410" s="372"/>
      <c r="N410" s="372"/>
      <c r="O410" s="372"/>
      <c r="P410" s="372"/>
      <c r="R410" s="372"/>
    </row>
    <row r="411" spans="1:18" x14ac:dyDescent="0.2">
      <c r="A411" s="542"/>
      <c r="B411" s="500"/>
      <c r="C411" s="500"/>
      <c r="D411" s="540"/>
      <c r="E411" s="495"/>
      <c r="F411" s="426"/>
      <c r="G411" s="426"/>
      <c r="H411" s="426"/>
      <c r="I411" s="448"/>
      <c r="J411" s="435"/>
      <c r="K411" s="372"/>
      <c r="L411" s="424"/>
      <c r="M411" s="372"/>
      <c r="N411" s="372"/>
      <c r="O411" s="372"/>
      <c r="P411" s="372"/>
      <c r="R411" s="372"/>
    </row>
    <row r="412" spans="1:18" x14ac:dyDescent="0.2">
      <c r="A412" s="542" t="s">
        <v>1368</v>
      </c>
      <c r="B412" s="500" t="s">
        <v>45</v>
      </c>
      <c r="C412" s="500">
        <v>72898</v>
      </c>
      <c r="D412" s="540" t="s">
        <v>770</v>
      </c>
      <c r="E412" s="495" t="s">
        <v>16</v>
      </c>
      <c r="F412" s="426">
        <f>F400*0.05*1.3</f>
        <v>36.946000000000005</v>
      </c>
      <c r="G412" s="426">
        <v>3.57</v>
      </c>
      <c r="H412" s="426">
        <f t="shared" si="23"/>
        <v>4.51</v>
      </c>
      <c r="I412" s="448">
        <f t="shared" ref="I412:I420" si="25">ROUND(F412*H412,2)</f>
        <v>166.63</v>
      </c>
      <c r="J412" s="435"/>
      <c r="K412" s="372"/>
      <c r="L412" s="424"/>
      <c r="M412" s="372"/>
      <c r="N412" s="372"/>
      <c r="O412" s="372"/>
      <c r="P412" s="372"/>
      <c r="R412" s="372"/>
    </row>
    <row r="413" spans="1:18" x14ac:dyDescent="0.2">
      <c r="A413" s="542"/>
      <c r="B413" s="500"/>
      <c r="C413" s="500"/>
      <c r="D413" s="540"/>
      <c r="E413" s="495"/>
      <c r="F413" s="426"/>
      <c r="G413" s="426"/>
      <c r="H413" s="426"/>
      <c r="I413" s="448"/>
      <c r="J413" s="435"/>
      <c r="K413" s="372"/>
      <c r="L413" s="424"/>
      <c r="M413" s="372"/>
      <c r="N413" s="372"/>
      <c r="O413" s="372"/>
      <c r="P413" s="372"/>
      <c r="R413" s="372"/>
    </row>
    <row r="414" spans="1:18" x14ac:dyDescent="0.2">
      <c r="A414" s="550"/>
      <c r="B414" s="551"/>
      <c r="C414" s="551"/>
      <c r="D414" s="552" t="s">
        <v>2310</v>
      </c>
      <c r="E414" s="495"/>
      <c r="F414" s="426"/>
      <c r="G414" s="426"/>
      <c r="H414" s="426"/>
      <c r="I414" s="448"/>
      <c r="J414" s="435"/>
      <c r="K414" s="372"/>
      <c r="L414" s="424"/>
      <c r="M414" s="372"/>
      <c r="N414" s="372"/>
      <c r="O414" s="372"/>
      <c r="P414" s="372"/>
      <c r="R414" s="372"/>
    </row>
    <row r="415" spans="1:18" x14ac:dyDescent="0.2">
      <c r="A415" s="542"/>
      <c r="B415" s="500"/>
      <c r="C415" s="500"/>
      <c r="D415" s="540"/>
      <c r="E415" s="495"/>
      <c r="F415" s="426"/>
      <c r="G415" s="426"/>
      <c r="H415" s="426"/>
      <c r="I415" s="448"/>
      <c r="J415" s="435"/>
      <c r="K415" s="372"/>
      <c r="L415" s="424"/>
      <c r="M415" s="372"/>
      <c r="N415" s="372"/>
      <c r="O415" s="372"/>
      <c r="P415" s="372"/>
      <c r="R415" s="372"/>
    </row>
    <row r="416" spans="1:18" ht="30" x14ac:dyDescent="0.2">
      <c r="A416" s="542" t="s">
        <v>1369</v>
      </c>
      <c r="B416" s="500" t="s">
        <v>45</v>
      </c>
      <c r="C416" s="500">
        <v>72900</v>
      </c>
      <c r="D416" s="540" t="s">
        <v>771</v>
      </c>
      <c r="E416" s="495" t="s">
        <v>16</v>
      </c>
      <c r="F416" s="426">
        <f>F412</f>
        <v>36.946000000000005</v>
      </c>
      <c r="G416" s="426">
        <v>4.8899999999999997</v>
      </c>
      <c r="H416" s="426">
        <f t="shared" si="23"/>
        <v>6.18</v>
      </c>
      <c r="I416" s="448">
        <f t="shared" si="25"/>
        <v>228.33</v>
      </c>
      <c r="J416" s="435"/>
      <c r="K416" s="372" t="e">
        <f>#REF!/#REF!</f>
        <v>#REF!</v>
      </c>
      <c r="L416" s="424"/>
      <c r="M416" s="372"/>
      <c r="N416" s="372"/>
      <c r="O416" s="372"/>
      <c r="P416" s="372"/>
      <c r="R416" s="372"/>
    </row>
    <row r="417" spans="1:18" x14ac:dyDescent="0.2">
      <c r="A417" s="542"/>
      <c r="B417" s="500"/>
      <c r="C417" s="500"/>
      <c r="D417" s="540"/>
      <c r="E417" s="495"/>
      <c r="F417" s="426"/>
      <c r="G417" s="426"/>
      <c r="H417" s="426"/>
      <c r="I417" s="448"/>
      <c r="J417" s="435"/>
      <c r="K417" s="372"/>
      <c r="L417" s="424"/>
      <c r="M417" s="372"/>
      <c r="N417" s="372"/>
      <c r="O417" s="372"/>
      <c r="P417" s="372"/>
      <c r="R417" s="372"/>
    </row>
    <row r="418" spans="1:18" x14ac:dyDescent="0.2">
      <c r="A418" s="542"/>
      <c r="B418" s="500"/>
      <c r="C418" s="500"/>
      <c r="D418" s="540" t="s">
        <v>2421</v>
      </c>
      <c r="E418" s="495"/>
      <c r="F418" s="426"/>
      <c r="G418" s="426"/>
      <c r="H418" s="426"/>
      <c r="I418" s="448"/>
      <c r="J418" s="435"/>
      <c r="K418" s="372"/>
      <c r="L418" s="424"/>
      <c r="M418" s="372"/>
      <c r="N418" s="372"/>
      <c r="O418" s="372"/>
      <c r="P418" s="372"/>
      <c r="R418" s="372"/>
    </row>
    <row r="419" spans="1:18" x14ac:dyDescent="0.2">
      <c r="A419" s="542"/>
      <c r="B419" s="500"/>
      <c r="C419" s="500"/>
      <c r="D419" s="540"/>
      <c r="E419" s="495"/>
      <c r="F419" s="426"/>
      <c r="G419" s="426"/>
      <c r="H419" s="426"/>
      <c r="I419" s="448"/>
      <c r="J419" s="435"/>
      <c r="K419" s="372"/>
      <c r="L419" s="424"/>
      <c r="M419" s="372"/>
      <c r="N419" s="372"/>
      <c r="O419" s="372"/>
      <c r="P419" s="372"/>
      <c r="R419" s="372"/>
    </row>
    <row r="420" spans="1:18" x14ac:dyDescent="0.2">
      <c r="A420" s="542" t="s">
        <v>1370</v>
      </c>
      <c r="B420" s="500" t="s">
        <v>45</v>
      </c>
      <c r="C420" s="500">
        <v>83344</v>
      </c>
      <c r="D420" s="540" t="s">
        <v>772</v>
      </c>
      <c r="E420" s="495" t="s">
        <v>16</v>
      </c>
      <c r="F420" s="426">
        <f>F416</f>
        <v>36.946000000000005</v>
      </c>
      <c r="G420" s="426">
        <v>1.02</v>
      </c>
      <c r="H420" s="426">
        <f t="shared" si="23"/>
        <v>1.29</v>
      </c>
      <c r="I420" s="448">
        <f t="shared" si="25"/>
        <v>47.66</v>
      </c>
      <c r="J420" s="435"/>
      <c r="K420" s="372"/>
      <c r="L420" s="424"/>
      <c r="M420" s="372"/>
      <c r="N420" s="372"/>
      <c r="O420" s="372"/>
      <c r="P420" s="372"/>
      <c r="R420" s="372"/>
    </row>
    <row r="421" spans="1:18" x14ac:dyDescent="0.2">
      <c r="A421" s="542"/>
      <c r="B421" s="500"/>
      <c r="C421" s="500"/>
      <c r="D421" s="540"/>
      <c r="E421" s="495"/>
      <c r="F421" s="426"/>
      <c r="G421" s="426"/>
      <c r="H421" s="426"/>
      <c r="I421" s="448"/>
      <c r="J421" s="435"/>
      <c r="K421" s="372"/>
      <c r="L421" s="424"/>
      <c r="M421" s="372"/>
      <c r="N421" s="372"/>
      <c r="O421" s="372"/>
      <c r="P421" s="372"/>
      <c r="R421" s="372"/>
    </row>
    <row r="422" spans="1:18" x14ac:dyDescent="0.2">
      <c r="A422" s="542"/>
      <c r="B422" s="500"/>
      <c r="C422" s="500"/>
      <c r="D422" s="540" t="s">
        <v>2310</v>
      </c>
      <c r="E422" s="495"/>
      <c r="F422" s="426"/>
      <c r="G422" s="426"/>
      <c r="H422" s="426"/>
      <c r="I422" s="448"/>
      <c r="J422" s="435"/>
      <c r="K422" s="372"/>
      <c r="L422" s="424"/>
      <c r="M422" s="372"/>
      <c r="N422" s="372"/>
      <c r="O422" s="372"/>
      <c r="P422" s="372"/>
      <c r="R422" s="372"/>
    </row>
    <row r="423" spans="1:18" x14ac:dyDescent="0.2">
      <c r="A423" s="542"/>
      <c r="B423" s="500"/>
      <c r="C423" s="500"/>
      <c r="D423" s="540"/>
      <c r="E423" s="495"/>
      <c r="F423" s="426"/>
      <c r="G423" s="426"/>
      <c r="H423" s="426"/>
      <c r="I423" s="448"/>
      <c r="J423" s="435"/>
      <c r="K423" s="372"/>
      <c r="L423" s="424"/>
      <c r="M423" s="372"/>
      <c r="N423" s="372"/>
      <c r="O423" s="372"/>
      <c r="P423" s="372"/>
      <c r="R423" s="372"/>
    </row>
    <row r="424" spans="1:18" x14ac:dyDescent="0.2">
      <c r="A424" s="542" t="s">
        <v>1371</v>
      </c>
      <c r="B424" s="506" t="s">
        <v>45</v>
      </c>
      <c r="C424" s="506">
        <v>9537</v>
      </c>
      <c r="D424" s="554" t="s">
        <v>754</v>
      </c>
      <c r="E424" s="494" t="s">
        <v>15</v>
      </c>
      <c r="F424" s="449">
        <f>F400</f>
        <v>568.4</v>
      </c>
      <c r="G424" s="426">
        <v>2.4700000000000002</v>
      </c>
      <c r="H424" s="426">
        <f t="shared" si="23"/>
        <v>3.12</v>
      </c>
      <c r="I424" s="448">
        <f t="shared" ref="I424" si="26">ROUND(F424*H424,2)</f>
        <v>1773.41</v>
      </c>
      <c r="J424" s="435"/>
      <c r="K424" s="372"/>
      <c r="L424" s="424"/>
      <c r="M424" s="372"/>
      <c r="N424" s="372"/>
      <c r="O424" s="372"/>
      <c r="P424" s="372"/>
      <c r="R424" s="372"/>
    </row>
    <row r="425" spans="1:18" x14ac:dyDescent="0.2">
      <c r="A425" s="542"/>
      <c r="B425" s="506"/>
      <c r="C425" s="506"/>
      <c r="D425" s="554"/>
      <c r="E425" s="494"/>
      <c r="F425" s="449"/>
      <c r="G425" s="426"/>
      <c r="H425" s="426"/>
      <c r="I425" s="448"/>
      <c r="J425" s="435"/>
      <c r="K425" s="372"/>
      <c r="L425" s="424"/>
      <c r="M425" s="372"/>
      <c r="N425" s="372"/>
      <c r="O425" s="372"/>
      <c r="P425" s="372"/>
      <c r="R425" s="372"/>
    </row>
    <row r="426" spans="1:18" x14ac:dyDescent="0.2">
      <c r="A426" s="542"/>
      <c r="B426" s="506"/>
      <c r="C426" s="506"/>
      <c r="D426" s="540" t="s">
        <v>2307</v>
      </c>
      <c r="E426" s="494"/>
      <c r="F426" s="449"/>
      <c r="G426" s="426"/>
      <c r="H426" s="426"/>
      <c r="I426" s="448"/>
      <c r="J426" s="435"/>
      <c r="K426" s="372"/>
      <c r="L426" s="424"/>
      <c r="M426" s="372"/>
      <c r="N426" s="372"/>
      <c r="O426" s="372"/>
      <c r="P426" s="372"/>
      <c r="R426" s="372"/>
    </row>
    <row r="427" spans="1:18" s="468" customFormat="1" x14ac:dyDescent="0.2">
      <c r="A427" s="538"/>
      <c r="B427" s="499"/>
      <c r="C427" s="499"/>
      <c r="D427" s="539"/>
      <c r="E427" s="492"/>
      <c r="F427" s="432"/>
      <c r="G427" s="433"/>
      <c r="H427" s="433"/>
      <c r="I427" s="434"/>
      <c r="J427" s="465"/>
      <c r="K427" s="466"/>
      <c r="L427" s="467"/>
      <c r="M427" s="466"/>
      <c r="N427" s="466"/>
      <c r="O427" s="466"/>
      <c r="P427" s="466"/>
      <c r="R427" s="466"/>
    </row>
    <row r="428" spans="1:18" s="468" customFormat="1" ht="15.75" x14ac:dyDescent="0.2">
      <c r="A428" s="544" t="s">
        <v>1089</v>
      </c>
      <c r="B428" s="501"/>
      <c r="C428" s="501"/>
      <c r="D428" s="545" t="s">
        <v>830</v>
      </c>
      <c r="E428" s="491" t="s">
        <v>61</v>
      </c>
      <c r="F428" s="404"/>
      <c r="G428" s="405"/>
      <c r="H428" s="406"/>
      <c r="I428" s="407">
        <f>I429+I466+I479+I488+I605+I519+I568+I610+I498</f>
        <v>1269351.79</v>
      </c>
      <c r="J428" s="465"/>
      <c r="K428" s="466"/>
      <c r="L428" s="467"/>
      <c r="M428" s="466"/>
      <c r="N428" s="466"/>
      <c r="O428" s="466"/>
      <c r="P428" s="466"/>
      <c r="R428" s="466"/>
    </row>
    <row r="429" spans="1:18" ht="15" customHeight="1" x14ac:dyDescent="0.2">
      <c r="A429" s="558" t="s">
        <v>8</v>
      </c>
      <c r="B429" s="501"/>
      <c r="C429" s="501"/>
      <c r="D429" s="545" t="s">
        <v>338</v>
      </c>
      <c r="E429" s="491"/>
      <c r="F429" s="404"/>
      <c r="G429" s="405"/>
      <c r="H429" s="406"/>
      <c r="I429" s="407">
        <f>SUM(I430:I462)</f>
        <v>39722.11</v>
      </c>
      <c r="J429" s="435"/>
      <c r="K429" s="372"/>
      <c r="L429" s="424"/>
      <c r="M429" s="372"/>
      <c r="N429" s="372"/>
      <c r="O429" s="372"/>
      <c r="P429" s="372"/>
      <c r="R429" s="372"/>
    </row>
    <row r="430" spans="1:18" ht="30" x14ac:dyDescent="0.2">
      <c r="A430" s="542" t="s">
        <v>987</v>
      </c>
      <c r="B430" s="500" t="s">
        <v>45</v>
      </c>
      <c r="C430" s="500">
        <v>85323</v>
      </c>
      <c r="D430" s="540" t="s">
        <v>945</v>
      </c>
      <c r="E430" s="495" t="s">
        <v>17</v>
      </c>
      <c r="F430" s="426">
        <f>F569+F573+F577+F593+F597+F601</f>
        <v>3896.69</v>
      </c>
      <c r="G430" s="426">
        <v>1.56</v>
      </c>
      <c r="H430" s="426">
        <f>ROUND((1+$L$16)*G430,2)</f>
        <v>1.97</v>
      </c>
      <c r="I430" s="448">
        <f t="shared" ref="I430:I458" si="27">ROUND(F430*H430,2)</f>
        <v>7676.48</v>
      </c>
      <c r="J430" s="435"/>
      <c r="K430" s="372"/>
      <c r="L430" s="424"/>
      <c r="M430" s="372"/>
      <c r="N430" s="372"/>
      <c r="O430" s="372"/>
      <c r="P430" s="372"/>
      <c r="R430" s="372"/>
    </row>
    <row r="431" spans="1:18" x14ac:dyDescent="0.2">
      <c r="A431" s="542"/>
      <c r="B431" s="500"/>
      <c r="C431" s="500"/>
      <c r="D431" s="540"/>
      <c r="E431" s="495"/>
      <c r="F431" s="426"/>
      <c r="G431" s="426"/>
      <c r="H431" s="426"/>
      <c r="I431" s="448"/>
      <c r="J431" s="435"/>
      <c r="K431" s="372"/>
      <c r="L431" s="424"/>
      <c r="M431" s="372"/>
      <c r="N431" s="372"/>
      <c r="O431" s="372"/>
      <c r="P431" s="372"/>
      <c r="R431" s="372"/>
    </row>
    <row r="432" spans="1:18" x14ac:dyDescent="0.2">
      <c r="A432" s="542"/>
      <c r="B432" s="500"/>
      <c r="C432" s="500"/>
      <c r="D432" s="540" t="s">
        <v>2311</v>
      </c>
      <c r="E432" s="495"/>
      <c r="F432" s="426"/>
      <c r="G432" s="426"/>
      <c r="H432" s="426"/>
      <c r="I432" s="448"/>
      <c r="J432" s="435"/>
      <c r="K432" s="372"/>
      <c r="L432" s="424"/>
      <c r="M432" s="372"/>
      <c r="N432" s="372"/>
      <c r="O432" s="372"/>
      <c r="P432" s="372"/>
      <c r="R432" s="372"/>
    </row>
    <row r="433" spans="1:18" x14ac:dyDescent="0.2">
      <c r="A433" s="542"/>
      <c r="B433" s="500"/>
      <c r="C433" s="500"/>
      <c r="D433" s="540"/>
      <c r="E433" s="495"/>
      <c r="F433" s="426"/>
      <c r="G433" s="426"/>
      <c r="H433" s="426"/>
      <c r="I433" s="448"/>
      <c r="J433" s="435"/>
      <c r="K433" s="372"/>
      <c r="L433" s="424"/>
      <c r="M433" s="372"/>
      <c r="N433" s="372"/>
      <c r="O433" s="372"/>
      <c r="P433" s="372"/>
      <c r="R433" s="372"/>
    </row>
    <row r="434" spans="1:18" s="373" customFormat="1" ht="30" x14ac:dyDescent="0.2">
      <c r="A434" s="542" t="s">
        <v>988</v>
      </c>
      <c r="B434" s="506" t="s">
        <v>45</v>
      </c>
      <c r="C434" s="506" t="s">
        <v>62</v>
      </c>
      <c r="D434" s="554" t="s">
        <v>379</v>
      </c>
      <c r="E434" s="494" t="s">
        <v>15</v>
      </c>
      <c r="F434" s="426">
        <f>F430*3</f>
        <v>11690.07</v>
      </c>
      <c r="G434" s="426">
        <v>0.14000000000000001</v>
      </c>
      <c r="H434" s="426">
        <f>ROUND((1+$L$16)*G434,2)</f>
        <v>0.18</v>
      </c>
      <c r="I434" s="448">
        <f t="shared" si="27"/>
        <v>2104.21</v>
      </c>
      <c r="J434" s="444"/>
      <c r="K434" s="372"/>
      <c r="L434" s="424"/>
      <c r="M434" s="372"/>
      <c r="N434" s="372"/>
      <c r="O434" s="372"/>
      <c r="P434" s="372"/>
      <c r="R434" s="372"/>
    </row>
    <row r="435" spans="1:18" s="373" customFormat="1" x14ac:dyDescent="0.2">
      <c r="A435" s="542"/>
      <c r="B435" s="506"/>
      <c r="C435" s="506"/>
      <c r="D435" s="554"/>
      <c r="E435" s="494"/>
      <c r="F435" s="426"/>
      <c r="G435" s="426"/>
      <c r="H435" s="426"/>
      <c r="I435" s="448"/>
      <c r="J435" s="444"/>
      <c r="K435" s="372"/>
      <c r="L435" s="424"/>
      <c r="M435" s="372"/>
      <c r="N435" s="372"/>
      <c r="O435" s="372"/>
      <c r="P435" s="372"/>
      <c r="R435" s="372"/>
    </row>
    <row r="436" spans="1:18" s="373" customFormat="1" x14ac:dyDescent="0.2">
      <c r="A436" s="542"/>
      <c r="B436" s="506"/>
      <c r="C436" s="506"/>
      <c r="D436" s="540" t="s">
        <v>2317</v>
      </c>
      <c r="E436" s="494"/>
      <c r="F436" s="426"/>
      <c r="G436" s="426"/>
      <c r="H436" s="426"/>
      <c r="I436" s="448"/>
      <c r="J436" s="444"/>
      <c r="K436" s="372"/>
      <c r="L436" s="424"/>
      <c r="M436" s="372"/>
      <c r="N436" s="372"/>
      <c r="O436" s="372"/>
      <c r="P436" s="372"/>
      <c r="R436" s="372"/>
    </row>
    <row r="437" spans="1:18" s="373" customFormat="1" x14ac:dyDescent="0.2">
      <c r="A437" s="542"/>
      <c r="B437" s="506"/>
      <c r="C437" s="506"/>
      <c r="D437" s="554"/>
      <c r="E437" s="494"/>
      <c r="F437" s="426"/>
      <c r="G437" s="426"/>
      <c r="H437" s="426"/>
      <c r="I437" s="448"/>
      <c r="J437" s="444"/>
      <c r="K437" s="372"/>
      <c r="L437" s="424"/>
      <c r="M437" s="372"/>
      <c r="N437" s="372"/>
      <c r="O437" s="372"/>
      <c r="P437" s="372"/>
      <c r="R437" s="372"/>
    </row>
    <row r="438" spans="1:18" x14ac:dyDescent="0.2">
      <c r="A438" s="542" t="s">
        <v>989</v>
      </c>
      <c r="B438" s="500" t="s">
        <v>45</v>
      </c>
      <c r="C438" s="500" t="s">
        <v>46</v>
      </c>
      <c r="D438" s="540" t="s">
        <v>47</v>
      </c>
      <c r="E438" s="495" t="s">
        <v>15</v>
      </c>
      <c r="F438" s="426">
        <v>6</v>
      </c>
      <c r="G438" s="426">
        <v>319.02999999999997</v>
      </c>
      <c r="H438" s="426">
        <f>ROUND((1+$L$16)*G438,2)</f>
        <v>403.37</v>
      </c>
      <c r="I438" s="448">
        <f t="shared" si="27"/>
        <v>2420.2199999999998</v>
      </c>
      <c r="J438" s="435"/>
      <c r="K438" s="372"/>
      <c r="L438" s="424"/>
      <c r="M438" s="372"/>
      <c r="N438" s="372"/>
      <c r="O438" s="372"/>
      <c r="P438" s="372"/>
      <c r="R438" s="372"/>
    </row>
    <row r="439" spans="1:18" x14ac:dyDescent="0.2">
      <c r="A439" s="542"/>
      <c r="B439" s="500"/>
      <c r="C439" s="500"/>
      <c r="D439" s="540"/>
      <c r="E439" s="495"/>
      <c r="F439" s="426"/>
      <c r="G439" s="426"/>
      <c r="H439" s="426"/>
      <c r="I439" s="448"/>
      <c r="J439" s="435"/>
      <c r="K439" s="372"/>
      <c r="L439" s="424"/>
      <c r="M439" s="372"/>
      <c r="N439" s="372"/>
      <c r="O439" s="372"/>
      <c r="P439" s="372"/>
      <c r="R439" s="372"/>
    </row>
    <row r="440" spans="1:18" x14ac:dyDescent="0.2">
      <c r="A440" s="542"/>
      <c r="B440" s="500"/>
      <c r="C440" s="500"/>
      <c r="D440" s="539" t="s">
        <v>2294</v>
      </c>
      <c r="E440" s="495"/>
      <c r="F440" s="426"/>
      <c r="G440" s="426"/>
      <c r="H440" s="426"/>
      <c r="I440" s="448"/>
      <c r="J440" s="435"/>
      <c r="K440" s="372"/>
      <c r="L440" s="424"/>
      <c r="M440" s="372"/>
      <c r="N440" s="372"/>
      <c r="O440" s="372"/>
      <c r="P440" s="372"/>
      <c r="R440" s="372"/>
    </row>
    <row r="441" spans="1:18" x14ac:dyDescent="0.2">
      <c r="A441" s="542"/>
      <c r="B441" s="500"/>
      <c r="C441" s="500"/>
      <c r="D441" s="540"/>
      <c r="E441" s="495"/>
      <c r="F441" s="426"/>
      <c r="G441" s="426"/>
      <c r="H441" s="426"/>
      <c r="I441" s="448"/>
      <c r="J441" s="435"/>
      <c r="K441" s="372"/>
      <c r="L441" s="424"/>
      <c r="M441" s="372"/>
      <c r="N441" s="372"/>
      <c r="O441" s="372"/>
      <c r="P441" s="372"/>
      <c r="R441" s="372"/>
    </row>
    <row r="442" spans="1:18" ht="30" x14ac:dyDescent="0.2">
      <c r="A442" s="542" t="s">
        <v>990</v>
      </c>
      <c r="B442" s="500" t="s">
        <v>45</v>
      </c>
      <c r="C442" s="506" t="s">
        <v>161</v>
      </c>
      <c r="D442" s="540" t="s">
        <v>755</v>
      </c>
      <c r="E442" s="495" t="s">
        <v>15</v>
      </c>
      <c r="F442" s="426">
        <f>2*3*2</f>
        <v>12</v>
      </c>
      <c r="G442" s="426">
        <v>52.37</v>
      </c>
      <c r="H442" s="426">
        <f>ROUND((1+$L$16)*G442,2)</f>
        <v>66.209999999999994</v>
      </c>
      <c r="I442" s="448">
        <f t="shared" si="27"/>
        <v>794.52</v>
      </c>
      <c r="J442" s="435"/>
      <c r="K442" s="372"/>
      <c r="L442" s="424"/>
      <c r="M442" s="372"/>
      <c r="N442" s="372"/>
      <c r="O442" s="372"/>
      <c r="P442" s="372"/>
      <c r="R442" s="372"/>
    </row>
    <row r="443" spans="1:18" x14ac:dyDescent="0.2">
      <c r="A443" s="542"/>
      <c r="B443" s="500"/>
      <c r="C443" s="506"/>
      <c r="D443" s="540"/>
      <c r="E443" s="495"/>
      <c r="F443" s="426"/>
      <c r="G443" s="426"/>
      <c r="H443" s="426"/>
      <c r="I443" s="448"/>
      <c r="J443" s="435"/>
      <c r="K443" s="372"/>
      <c r="L443" s="424"/>
      <c r="M443" s="372"/>
      <c r="N443" s="372"/>
      <c r="O443" s="372"/>
      <c r="P443" s="372"/>
      <c r="R443" s="372"/>
    </row>
    <row r="444" spans="1:18" x14ac:dyDescent="0.2">
      <c r="A444" s="542"/>
      <c r="B444" s="500"/>
      <c r="C444" s="506"/>
      <c r="D444" s="539" t="s">
        <v>2312</v>
      </c>
      <c r="E444" s="495"/>
      <c r="F444" s="426"/>
      <c r="G444" s="426"/>
      <c r="H444" s="426"/>
      <c r="I444" s="448"/>
      <c r="J444" s="435"/>
      <c r="K444" s="372"/>
      <c r="L444" s="424"/>
      <c r="M444" s="372"/>
      <c r="N444" s="372"/>
      <c r="O444" s="372"/>
      <c r="P444" s="372"/>
      <c r="R444" s="372"/>
    </row>
    <row r="445" spans="1:18" x14ac:dyDescent="0.2">
      <c r="A445" s="542"/>
      <c r="B445" s="500"/>
      <c r="C445" s="506"/>
      <c r="D445" s="540"/>
      <c r="E445" s="495"/>
      <c r="F445" s="426"/>
      <c r="G445" s="426"/>
      <c r="H445" s="426"/>
      <c r="I445" s="448"/>
      <c r="J445" s="435"/>
      <c r="K445" s="372"/>
      <c r="L445" s="424"/>
      <c r="M445" s="372"/>
      <c r="N445" s="372"/>
      <c r="O445" s="372"/>
      <c r="P445" s="372"/>
      <c r="R445" s="372"/>
    </row>
    <row r="446" spans="1:18" x14ac:dyDescent="0.2">
      <c r="A446" s="542" t="s">
        <v>991</v>
      </c>
      <c r="B446" s="506" t="s">
        <v>45</v>
      </c>
      <c r="C446" s="506" t="s">
        <v>359</v>
      </c>
      <c r="D446" s="554" t="s">
        <v>360</v>
      </c>
      <c r="E446" s="494" t="s">
        <v>17</v>
      </c>
      <c r="F446" s="426">
        <f>F430/60</f>
        <v>64.944833333333335</v>
      </c>
      <c r="G446" s="426">
        <v>2.39</v>
      </c>
      <c r="H446" s="426">
        <f>ROUND((1+$L$16)*G446,2)</f>
        <v>3.02</v>
      </c>
      <c r="I446" s="448">
        <f t="shared" si="27"/>
        <v>196.13</v>
      </c>
      <c r="J446" s="435"/>
      <c r="K446" s="372"/>
      <c r="L446" s="424"/>
      <c r="M446" s="372"/>
      <c r="N446" s="372"/>
      <c r="O446" s="372"/>
      <c r="P446" s="372"/>
      <c r="R446" s="372"/>
    </row>
    <row r="447" spans="1:18" x14ac:dyDescent="0.2">
      <c r="A447" s="542"/>
      <c r="B447" s="506"/>
      <c r="C447" s="506"/>
      <c r="D447" s="554"/>
      <c r="E447" s="494"/>
      <c r="F447" s="426"/>
      <c r="G447" s="426"/>
      <c r="H447" s="426"/>
      <c r="I447" s="510"/>
      <c r="J447" s="435"/>
      <c r="K447" s="372"/>
      <c r="L447" s="424"/>
      <c r="M447" s="372"/>
      <c r="N447" s="372"/>
      <c r="O447" s="372"/>
      <c r="P447" s="372"/>
      <c r="R447" s="372"/>
    </row>
    <row r="448" spans="1:18" ht="15.75" x14ac:dyDescent="0.2">
      <c r="A448" s="542"/>
      <c r="B448" s="506"/>
      <c r="C448" s="506"/>
      <c r="D448" s="540" t="s">
        <v>2313</v>
      </c>
      <c r="E448" s="494"/>
      <c r="F448" s="426"/>
      <c r="G448" s="426"/>
      <c r="H448" s="426"/>
      <c r="I448" s="510"/>
      <c r="J448" s="435"/>
      <c r="K448" s="372"/>
      <c r="L448" s="424"/>
      <c r="M448" s="372"/>
      <c r="N448" s="372"/>
      <c r="O448" s="372"/>
      <c r="P448" s="372"/>
      <c r="R448" s="372"/>
    </row>
    <row r="449" spans="1:18" x14ac:dyDescent="0.2">
      <c r="A449" s="542"/>
      <c r="B449" s="506"/>
      <c r="C449" s="506"/>
      <c r="D449" s="554"/>
      <c r="E449" s="494"/>
      <c r="F449" s="426"/>
      <c r="G449" s="426"/>
      <c r="H449" s="426"/>
      <c r="I449" s="510"/>
      <c r="J449" s="435"/>
      <c r="K449" s="372"/>
      <c r="L449" s="424"/>
      <c r="M449" s="372"/>
      <c r="N449" s="372"/>
      <c r="O449" s="372"/>
      <c r="P449" s="372"/>
      <c r="R449" s="372"/>
    </row>
    <row r="450" spans="1:18" x14ac:dyDescent="0.2">
      <c r="A450" s="542" t="s">
        <v>992</v>
      </c>
      <c r="B450" s="506" t="s">
        <v>45</v>
      </c>
      <c r="C450" s="506">
        <v>13244</v>
      </c>
      <c r="D450" s="554" t="s">
        <v>756</v>
      </c>
      <c r="E450" s="494" t="s">
        <v>19</v>
      </c>
      <c r="F450" s="426">
        <f>_xlfn.FLOOR.PRECISE(F446/10)</f>
        <v>6</v>
      </c>
      <c r="G450" s="426">
        <v>53.2</v>
      </c>
      <c r="H450" s="426">
        <f>ROUND((1+$K$16)*G450,2)</f>
        <v>62.14</v>
      </c>
      <c r="I450" s="459">
        <f t="shared" si="27"/>
        <v>372.84</v>
      </c>
      <c r="J450" s="435"/>
      <c r="K450" s="372"/>
      <c r="L450" s="424"/>
      <c r="M450" s="372"/>
      <c r="N450" s="372"/>
      <c r="O450" s="372"/>
      <c r="P450" s="372"/>
      <c r="R450" s="372"/>
    </row>
    <row r="451" spans="1:18" x14ac:dyDescent="0.2">
      <c r="A451" s="542"/>
      <c r="B451" s="506"/>
      <c r="C451" s="506"/>
      <c r="D451" s="554"/>
      <c r="E451" s="494"/>
      <c r="F451" s="426"/>
      <c r="G451" s="426"/>
      <c r="H451" s="426"/>
      <c r="I451" s="512"/>
      <c r="J451" s="435"/>
      <c r="K451" s="372"/>
      <c r="L451" s="424"/>
      <c r="M451" s="372"/>
      <c r="N451" s="372"/>
      <c r="O451" s="372"/>
      <c r="P451" s="372"/>
      <c r="R451" s="372"/>
    </row>
    <row r="452" spans="1:18" ht="15.75" x14ac:dyDescent="0.2">
      <c r="A452" s="542"/>
      <c r="B452" s="506"/>
      <c r="C452" s="506"/>
      <c r="D452" s="540" t="s">
        <v>2314</v>
      </c>
      <c r="E452" s="494"/>
      <c r="F452" s="426"/>
      <c r="G452" s="426"/>
      <c r="H452" s="426"/>
      <c r="I452" s="512"/>
      <c r="J452" s="435"/>
      <c r="K452" s="372"/>
      <c r="L452" s="424"/>
      <c r="M452" s="372"/>
      <c r="N452" s="372"/>
      <c r="O452" s="372"/>
      <c r="P452" s="372"/>
      <c r="R452" s="372"/>
    </row>
    <row r="453" spans="1:18" x14ac:dyDescent="0.2">
      <c r="A453" s="542"/>
      <c r="B453" s="506"/>
      <c r="C453" s="506"/>
      <c r="D453" s="554"/>
      <c r="E453" s="494"/>
      <c r="F453" s="426"/>
      <c r="G453" s="426"/>
      <c r="H453" s="426"/>
      <c r="I453" s="512"/>
      <c r="J453" s="435"/>
      <c r="K453" s="372"/>
      <c r="L453" s="424"/>
      <c r="M453" s="372"/>
      <c r="N453" s="372"/>
      <c r="O453" s="372"/>
      <c r="P453" s="372"/>
      <c r="R453" s="372"/>
    </row>
    <row r="454" spans="1:18" x14ac:dyDescent="0.2">
      <c r="A454" s="542" t="s">
        <v>993</v>
      </c>
      <c r="B454" s="506" t="s">
        <v>45</v>
      </c>
      <c r="C454" s="506" t="s">
        <v>49</v>
      </c>
      <c r="D454" s="554" t="s">
        <v>757</v>
      </c>
      <c r="E454" s="494" t="s">
        <v>15</v>
      </c>
      <c r="F454" s="426">
        <f>2*2*3</f>
        <v>12</v>
      </c>
      <c r="G454" s="426">
        <v>51.86</v>
      </c>
      <c r="H454" s="426">
        <f>ROUND((1+$L$16)*G454,2)</f>
        <v>65.569999999999993</v>
      </c>
      <c r="I454" s="448">
        <f t="shared" si="27"/>
        <v>786.84</v>
      </c>
      <c r="J454" s="435"/>
      <c r="K454" s="372"/>
      <c r="L454" s="424"/>
      <c r="M454" s="372"/>
      <c r="N454" s="372"/>
      <c r="O454" s="372"/>
      <c r="P454" s="372"/>
      <c r="R454" s="372"/>
    </row>
    <row r="455" spans="1:18" x14ac:dyDescent="0.2">
      <c r="A455" s="542"/>
      <c r="B455" s="506"/>
      <c r="C455" s="506"/>
      <c r="D455" s="554"/>
      <c r="E455" s="494"/>
      <c r="F455" s="426"/>
      <c r="G455" s="426"/>
      <c r="H455" s="426"/>
      <c r="I455" s="448"/>
      <c r="J455" s="435"/>
      <c r="K455" s="372"/>
      <c r="L455" s="424"/>
      <c r="M455" s="372"/>
      <c r="N455" s="372"/>
      <c r="O455" s="372"/>
      <c r="P455" s="372"/>
      <c r="R455" s="372"/>
    </row>
    <row r="456" spans="1:18" x14ac:dyDescent="0.2">
      <c r="A456" s="542"/>
      <c r="B456" s="506"/>
      <c r="C456" s="506"/>
      <c r="D456" s="539" t="s">
        <v>2312</v>
      </c>
      <c r="E456" s="494"/>
      <c r="F456" s="426"/>
      <c r="G456" s="426"/>
      <c r="H456" s="426"/>
      <c r="I456" s="448"/>
      <c r="J456" s="435"/>
      <c r="K456" s="372"/>
      <c r="L456" s="424"/>
      <c r="M456" s="372"/>
      <c r="N456" s="372"/>
      <c r="O456" s="372"/>
      <c r="P456" s="372"/>
      <c r="R456" s="372"/>
    </row>
    <row r="457" spans="1:18" x14ac:dyDescent="0.2">
      <c r="A457" s="542"/>
      <c r="B457" s="506"/>
      <c r="C457" s="506"/>
      <c r="D457" s="554"/>
      <c r="E457" s="494"/>
      <c r="F457" s="426"/>
      <c r="G457" s="426"/>
      <c r="H457" s="426"/>
      <c r="I457" s="448"/>
      <c r="J457" s="435"/>
      <c r="K457" s="372"/>
      <c r="L457" s="424"/>
      <c r="M457" s="372"/>
      <c r="N457" s="372"/>
      <c r="O457" s="372"/>
      <c r="P457" s="372"/>
      <c r="R457" s="372"/>
    </row>
    <row r="458" spans="1:18" x14ac:dyDescent="0.2">
      <c r="A458" s="542" t="s">
        <v>994</v>
      </c>
      <c r="B458" s="506" t="s">
        <v>45</v>
      </c>
      <c r="C458" s="506" t="s">
        <v>164</v>
      </c>
      <c r="D458" s="554" t="s">
        <v>758</v>
      </c>
      <c r="E458" s="494" t="s">
        <v>15</v>
      </c>
      <c r="F458" s="426">
        <f>2*3*3</f>
        <v>18</v>
      </c>
      <c r="G458" s="460">
        <v>46.38</v>
      </c>
      <c r="H458" s="426">
        <f>ROUND((1+$L$16)*G458,2)</f>
        <v>58.64</v>
      </c>
      <c r="I458" s="448">
        <f t="shared" si="27"/>
        <v>1055.52</v>
      </c>
      <c r="J458" s="435"/>
      <c r="K458" s="372"/>
      <c r="L458" s="424"/>
      <c r="M458" s="372"/>
      <c r="N458" s="372"/>
      <c r="O458" s="372"/>
      <c r="P458" s="372"/>
      <c r="R458" s="372"/>
    </row>
    <row r="459" spans="1:18" x14ac:dyDescent="0.2">
      <c r="A459" s="542"/>
      <c r="B459" s="506"/>
      <c r="C459" s="506"/>
      <c r="D459" s="554"/>
      <c r="E459" s="494"/>
      <c r="F459" s="426"/>
      <c r="G459" s="460"/>
      <c r="H459" s="426"/>
      <c r="I459" s="448"/>
      <c r="J459" s="435"/>
      <c r="K459" s="372"/>
      <c r="L459" s="424"/>
      <c r="M459" s="372"/>
      <c r="N459" s="372"/>
      <c r="O459" s="372"/>
      <c r="P459" s="372"/>
      <c r="R459" s="372"/>
    </row>
    <row r="460" spans="1:18" x14ac:dyDescent="0.2">
      <c r="A460" s="542"/>
      <c r="B460" s="506"/>
      <c r="C460" s="506"/>
      <c r="D460" s="539" t="s">
        <v>2315</v>
      </c>
      <c r="E460" s="494"/>
      <c r="F460" s="426"/>
      <c r="G460" s="460"/>
      <c r="H460" s="426"/>
      <c r="I460" s="448"/>
      <c r="J460" s="435"/>
      <c r="K460" s="372"/>
      <c r="L460" s="424"/>
      <c r="M460" s="372"/>
      <c r="N460" s="372"/>
      <c r="O460" s="372"/>
      <c r="P460" s="372"/>
      <c r="R460" s="372"/>
    </row>
    <row r="461" spans="1:18" x14ac:dyDescent="0.2">
      <c r="A461" s="542"/>
      <c r="B461" s="506"/>
      <c r="C461" s="506"/>
      <c r="D461" s="554"/>
      <c r="E461" s="494"/>
      <c r="F461" s="426"/>
      <c r="G461" s="460"/>
      <c r="H461" s="426"/>
      <c r="I461" s="448"/>
      <c r="J461" s="435"/>
      <c r="K461" s="372"/>
      <c r="L461" s="424"/>
      <c r="M461" s="372"/>
      <c r="N461" s="372"/>
      <c r="O461" s="372"/>
      <c r="P461" s="372"/>
      <c r="R461" s="372"/>
    </row>
    <row r="462" spans="1:18" x14ac:dyDescent="0.2">
      <c r="A462" s="542" t="s">
        <v>995</v>
      </c>
      <c r="B462" s="506" t="s">
        <v>45</v>
      </c>
      <c r="C462" s="506">
        <v>9537</v>
      </c>
      <c r="D462" s="554" t="s">
        <v>754</v>
      </c>
      <c r="E462" s="494" t="s">
        <v>15</v>
      </c>
      <c r="F462" s="449">
        <f>F430*2</f>
        <v>7793.38</v>
      </c>
      <c r="G462" s="426">
        <v>2.4700000000000002</v>
      </c>
      <c r="H462" s="426">
        <f>ROUND((1+$L$16)*G462,2)</f>
        <v>3.12</v>
      </c>
      <c r="I462" s="448">
        <f t="shared" ref="I462" si="28">ROUND(F462*H462,2)</f>
        <v>24315.35</v>
      </c>
      <c r="J462" s="435"/>
      <c r="K462" s="372"/>
      <c r="L462" s="424"/>
      <c r="M462" s="372"/>
      <c r="N462" s="372"/>
      <c r="O462" s="372"/>
      <c r="P462" s="372"/>
      <c r="R462" s="372"/>
    </row>
    <row r="463" spans="1:18" x14ac:dyDescent="0.2">
      <c r="A463" s="542"/>
      <c r="B463" s="506"/>
      <c r="C463" s="506"/>
      <c r="D463" s="554"/>
      <c r="E463" s="494"/>
      <c r="F463" s="449"/>
      <c r="G463" s="426"/>
      <c r="H463" s="426"/>
      <c r="I463" s="448"/>
      <c r="J463" s="435"/>
      <c r="K463" s="372"/>
      <c r="L463" s="424"/>
      <c r="M463" s="372"/>
      <c r="N463" s="372"/>
      <c r="O463" s="372"/>
      <c r="P463" s="372"/>
      <c r="R463" s="372"/>
    </row>
    <row r="464" spans="1:18" ht="18.75" customHeight="1" x14ac:dyDescent="0.2">
      <c r="A464" s="542"/>
      <c r="B464" s="506"/>
      <c r="C464" s="506"/>
      <c r="D464" s="540" t="s">
        <v>2316</v>
      </c>
      <c r="E464" s="494"/>
      <c r="F464" s="449"/>
      <c r="G464" s="426"/>
      <c r="H464" s="426"/>
      <c r="I464" s="448"/>
      <c r="J464" s="435"/>
      <c r="K464" s="372"/>
      <c r="L464" s="424"/>
      <c r="M464" s="372"/>
      <c r="N464" s="372"/>
      <c r="O464" s="372"/>
      <c r="P464" s="372"/>
      <c r="R464" s="372"/>
    </row>
    <row r="465" spans="1:18" x14ac:dyDescent="0.2">
      <c r="A465" s="542"/>
      <c r="B465" s="506"/>
      <c r="C465" s="506"/>
      <c r="D465" s="554"/>
      <c r="E465" s="494"/>
      <c r="F465" s="449"/>
      <c r="G465" s="426"/>
      <c r="H465" s="426"/>
      <c r="I465" s="448"/>
      <c r="J465" s="435"/>
      <c r="K465" s="372"/>
      <c r="L465" s="424"/>
      <c r="M465" s="372"/>
      <c r="N465" s="372"/>
      <c r="O465" s="372"/>
      <c r="P465" s="372"/>
      <c r="R465" s="372"/>
    </row>
    <row r="466" spans="1:18" ht="15" customHeight="1" x14ac:dyDescent="0.2">
      <c r="A466" s="558" t="s">
        <v>9</v>
      </c>
      <c r="B466" s="501"/>
      <c r="C466" s="501"/>
      <c r="D466" s="545" t="s">
        <v>339</v>
      </c>
      <c r="E466" s="491"/>
      <c r="F466" s="404"/>
      <c r="G466" s="405"/>
      <c r="H466" s="406"/>
      <c r="I466" s="407">
        <f>SUM(I467:I475)</f>
        <v>56716.490000000005</v>
      </c>
      <c r="J466" s="435"/>
      <c r="K466" s="372"/>
      <c r="L466" s="424"/>
      <c r="M466" s="372"/>
      <c r="N466" s="372"/>
      <c r="O466" s="372"/>
      <c r="P466" s="372"/>
      <c r="R466" s="372"/>
    </row>
    <row r="467" spans="1:18" ht="60" x14ac:dyDescent="0.2">
      <c r="A467" s="542" t="s">
        <v>996</v>
      </c>
      <c r="B467" s="500" t="s">
        <v>45</v>
      </c>
      <c r="C467" s="500">
        <v>90105</v>
      </c>
      <c r="D467" s="540" t="s">
        <v>759</v>
      </c>
      <c r="E467" s="495" t="s">
        <v>16</v>
      </c>
      <c r="F467" s="426">
        <f>'planilha auxiliar'!I75*0.95</f>
        <v>2629.0882591895183</v>
      </c>
      <c r="G467" s="426">
        <v>12.09</v>
      </c>
      <c r="H467" s="426">
        <f>ROUND((1+$L$16)*G467,2)</f>
        <v>15.29</v>
      </c>
      <c r="I467" s="448">
        <f t="shared" ref="I467" si="29">ROUND(F467*H467,2)</f>
        <v>40198.76</v>
      </c>
      <c r="J467" s="435"/>
      <c r="K467" s="372"/>
      <c r="L467" s="424"/>
      <c r="M467" s="372"/>
      <c r="N467" s="372"/>
      <c r="O467" s="372"/>
      <c r="P467" s="372"/>
      <c r="R467" s="372"/>
    </row>
    <row r="468" spans="1:18" x14ac:dyDescent="0.2">
      <c r="A468" s="542"/>
      <c r="B468" s="500"/>
      <c r="C468" s="500"/>
      <c r="D468" s="540"/>
      <c r="E468" s="495"/>
      <c r="F468" s="426"/>
      <c r="G468" s="426"/>
      <c r="H468" s="426"/>
      <c r="I468" s="448"/>
      <c r="J468" s="435"/>
      <c r="K468" s="372"/>
      <c r="L468" s="424"/>
      <c r="M468" s="372"/>
      <c r="N468" s="372"/>
      <c r="O468" s="372"/>
      <c r="P468" s="372"/>
      <c r="R468" s="372"/>
    </row>
    <row r="469" spans="1:18" ht="30" customHeight="1" x14ac:dyDescent="0.2">
      <c r="A469" s="542"/>
      <c r="B469" s="500"/>
      <c r="C469" s="500"/>
      <c r="D469" s="540" t="s">
        <v>2318</v>
      </c>
      <c r="E469" s="495"/>
      <c r="F469" s="426">
        <v>2629.0882591895183</v>
      </c>
      <c r="G469" s="426"/>
      <c r="H469" s="426"/>
      <c r="I469" s="448"/>
      <c r="J469" s="435"/>
      <c r="K469" s="513"/>
      <c r="L469" s="424"/>
      <c r="M469" s="372"/>
      <c r="N469" s="372"/>
      <c r="O469" s="372"/>
      <c r="P469" s="372"/>
      <c r="R469" s="372"/>
    </row>
    <row r="470" spans="1:18" x14ac:dyDescent="0.2">
      <c r="A470" s="542"/>
      <c r="B470" s="500"/>
      <c r="C470" s="500"/>
      <c r="D470" s="540"/>
      <c r="E470" s="495"/>
      <c r="F470" s="426"/>
      <c r="G470" s="426"/>
      <c r="H470" s="426"/>
      <c r="I470" s="448"/>
      <c r="J470" s="435"/>
      <c r="K470" s="513"/>
      <c r="L470" s="424"/>
      <c r="M470" s="372"/>
      <c r="N470" s="372"/>
      <c r="O470" s="372"/>
      <c r="P470" s="372"/>
      <c r="R470" s="372"/>
    </row>
    <row r="471" spans="1:18" ht="60" x14ac:dyDescent="0.2">
      <c r="A471" s="542" t="s">
        <v>997</v>
      </c>
      <c r="B471" s="500" t="s">
        <v>45</v>
      </c>
      <c r="C471" s="500">
        <v>90107</v>
      </c>
      <c r="D471" s="540" t="s">
        <v>850</v>
      </c>
      <c r="E471" s="495" t="s">
        <v>16</v>
      </c>
      <c r="F471" s="426">
        <f>'planilha auxiliar'!J75</f>
        <v>388.3786745373489</v>
      </c>
      <c r="G471" s="426">
        <v>10.19</v>
      </c>
      <c r="H471" s="426">
        <f>ROUND((1+$L$16)*G471,2)</f>
        <v>12.88</v>
      </c>
      <c r="I471" s="448">
        <f t="shared" ref="I471" si="30">ROUND(F471*H471,2)</f>
        <v>5002.32</v>
      </c>
      <c r="J471" s="435"/>
      <c r="K471" s="513"/>
      <c r="L471" s="424"/>
      <c r="M471" s="372"/>
      <c r="N471" s="372"/>
      <c r="O471" s="372"/>
      <c r="P471" s="372"/>
      <c r="R471" s="372"/>
    </row>
    <row r="472" spans="1:18" x14ac:dyDescent="0.2">
      <c r="A472" s="542"/>
      <c r="B472" s="500"/>
      <c r="C472" s="500"/>
      <c r="D472" s="540"/>
      <c r="E472" s="495"/>
      <c r="F472" s="426"/>
      <c r="G472" s="426"/>
      <c r="H472" s="426"/>
      <c r="I472" s="448"/>
      <c r="J472" s="435"/>
      <c r="K472" s="372"/>
      <c r="L472" s="424"/>
      <c r="M472" s="372"/>
      <c r="N472" s="372"/>
      <c r="O472" s="372"/>
      <c r="P472" s="372"/>
      <c r="R472" s="372"/>
    </row>
    <row r="473" spans="1:18" ht="21.75" customHeight="1" x14ac:dyDescent="0.2">
      <c r="A473" s="550"/>
      <c r="B473" s="551"/>
      <c r="C473" s="551"/>
      <c r="D473" s="552" t="s">
        <v>2320</v>
      </c>
      <c r="E473" s="495"/>
      <c r="F473" s="426"/>
      <c r="G473" s="426"/>
      <c r="H473" s="426"/>
      <c r="I473" s="448"/>
      <c r="J473" s="435"/>
      <c r="K473" s="372"/>
      <c r="L473" s="424"/>
      <c r="M473" s="372"/>
      <c r="N473" s="372"/>
      <c r="O473" s="372"/>
      <c r="P473" s="372"/>
      <c r="R473" s="372"/>
    </row>
    <row r="474" spans="1:18" x14ac:dyDescent="0.2">
      <c r="A474" s="542"/>
      <c r="B474" s="500"/>
      <c r="C474" s="500"/>
      <c r="D474" s="540"/>
      <c r="E474" s="495"/>
      <c r="F474" s="426"/>
      <c r="G474" s="426"/>
      <c r="H474" s="426"/>
      <c r="I474" s="448"/>
      <c r="J474" s="435"/>
      <c r="K474" s="372"/>
      <c r="L474" s="424"/>
      <c r="M474" s="372"/>
      <c r="N474" s="372"/>
      <c r="O474" s="372"/>
      <c r="P474" s="372"/>
      <c r="R474" s="372"/>
    </row>
    <row r="475" spans="1:18" x14ac:dyDescent="0.2">
      <c r="A475" s="542" t="s">
        <v>998</v>
      </c>
      <c r="B475" s="500" t="s">
        <v>45</v>
      </c>
      <c r="C475" s="500">
        <v>93358</v>
      </c>
      <c r="D475" s="540" t="s">
        <v>803</v>
      </c>
      <c r="E475" s="495" t="s">
        <v>16</v>
      </c>
      <c r="F475" s="426">
        <f>'planilha auxiliar'!I75*0.05</f>
        <v>138.37306627313257</v>
      </c>
      <c r="G475" s="426">
        <v>65.819999999999993</v>
      </c>
      <c r="H475" s="426">
        <f>ROUND((1+$L$16)*G475,2)</f>
        <v>83.22</v>
      </c>
      <c r="I475" s="448">
        <f>ROUND(F475*H475,2)</f>
        <v>11515.41</v>
      </c>
      <c r="J475" s="435"/>
      <c r="K475" s="372"/>
      <c r="L475" s="424"/>
      <c r="M475" s="372"/>
      <c r="N475" s="372"/>
      <c r="O475" s="372"/>
      <c r="P475" s="372"/>
      <c r="R475" s="372"/>
    </row>
    <row r="476" spans="1:18" x14ac:dyDescent="0.2">
      <c r="A476" s="542"/>
      <c r="B476" s="500"/>
      <c r="C476" s="500"/>
      <c r="D476" s="540"/>
      <c r="E476" s="495"/>
      <c r="F476" s="426"/>
      <c r="G476" s="426"/>
      <c r="H476" s="426"/>
      <c r="I476" s="448"/>
      <c r="J476" s="435"/>
      <c r="K476" s="372"/>
      <c r="L476" s="424"/>
      <c r="M476" s="372"/>
      <c r="N476" s="372"/>
      <c r="O476" s="372"/>
      <c r="P476" s="372"/>
      <c r="R476" s="372"/>
    </row>
    <row r="477" spans="1:18" ht="30" x14ac:dyDescent="0.2">
      <c r="A477" s="542"/>
      <c r="B477" s="500"/>
      <c r="C477" s="500"/>
      <c r="D477" s="540" t="s">
        <v>2319</v>
      </c>
      <c r="E477" s="495"/>
      <c r="F477" s="426"/>
      <c r="G477" s="426"/>
      <c r="H477" s="426"/>
      <c r="I477" s="448"/>
      <c r="J477" s="435"/>
      <c r="K477" s="372"/>
      <c r="L477" s="424"/>
      <c r="M477" s="372"/>
      <c r="N477" s="372"/>
      <c r="O477" s="372"/>
      <c r="P477" s="372"/>
      <c r="R477" s="372"/>
    </row>
    <row r="478" spans="1:18" x14ac:dyDescent="0.2">
      <c r="A478" s="538"/>
      <c r="B478" s="502"/>
      <c r="C478" s="502"/>
      <c r="D478" s="559" t="s">
        <v>849</v>
      </c>
      <c r="E478" s="496"/>
      <c r="F478" s="426"/>
      <c r="G478" s="426"/>
      <c r="H478" s="427"/>
      <c r="I478" s="428"/>
      <c r="J478" s="435"/>
      <c r="K478" s="372"/>
      <c r="L478" s="424"/>
      <c r="M478" s="372"/>
      <c r="N478" s="372"/>
      <c r="O478" s="372"/>
      <c r="P478" s="372"/>
      <c r="R478" s="372"/>
    </row>
    <row r="479" spans="1:18" ht="15" customHeight="1" x14ac:dyDescent="0.2">
      <c r="A479" s="558" t="s">
        <v>10</v>
      </c>
      <c r="B479" s="501"/>
      <c r="C479" s="501"/>
      <c r="D479" s="545" t="s">
        <v>340</v>
      </c>
      <c r="E479" s="491"/>
      <c r="F479" s="404"/>
      <c r="G479" s="405"/>
      <c r="H479" s="406"/>
      <c r="I479" s="407">
        <f>SUM(I480:I484)</f>
        <v>108734.08</v>
      </c>
      <c r="J479" s="435"/>
      <c r="K479" s="372"/>
      <c r="L479" s="424"/>
      <c r="M479" s="372"/>
      <c r="N479" s="372"/>
      <c r="O479" s="372"/>
      <c r="P479" s="372"/>
      <c r="R479" s="372"/>
    </row>
    <row r="480" spans="1:18" ht="30" x14ac:dyDescent="0.2">
      <c r="A480" s="542" t="s">
        <v>999</v>
      </c>
      <c r="B480" s="500" t="s">
        <v>45</v>
      </c>
      <c r="C480" s="506">
        <v>94043</v>
      </c>
      <c r="D480" s="554" t="s">
        <v>760</v>
      </c>
      <c r="E480" s="494" t="s">
        <v>15</v>
      </c>
      <c r="F480" s="426">
        <f>'planilha auxiliar'!O75</f>
        <v>4871.2996192837436</v>
      </c>
      <c r="G480" s="460">
        <v>13.76</v>
      </c>
      <c r="H480" s="426">
        <f>ROUND((1+$L$16)*G480,2)</f>
        <v>17.399999999999999</v>
      </c>
      <c r="I480" s="448">
        <f>ROUND(F480*H480,2)</f>
        <v>84760.61</v>
      </c>
      <c r="J480" s="435"/>
      <c r="K480" s="372"/>
      <c r="L480" s="424"/>
      <c r="M480" s="372"/>
      <c r="N480" s="372"/>
      <c r="O480" s="372"/>
      <c r="P480" s="372"/>
      <c r="R480" s="372"/>
    </row>
    <row r="481" spans="1:63" x14ac:dyDescent="0.2">
      <c r="A481" s="542"/>
      <c r="B481" s="500"/>
      <c r="C481" s="506"/>
      <c r="D481" s="554"/>
      <c r="E481" s="494"/>
      <c r="F481" s="426"/>
      <c r="G481" s="460"/>
      <c r="H481" s="426"/>
      <c r="I481" s="448"/>
      <c r="J481" s="435"/>
      <c r="K481" s="372"/>
      <c r="L481" s="424"/>
      <c r="M481" s="372"/>
      <c r="N481" s="372"/>
      <c r="O481" s="372"/>
      <c r="P481" s="372"/>
      <c r="R481" s="372"/>
    </row>
    <row r="482" spans="1:63" ht="19.5" customHeight="1" x14ac:dyDescent="0.2">
      <c r="A482" s="542"/>
      <c r="B482" s="500"/>
      <c r="C482" s="506"/>
      <c r="D482" s="540" t="s">
        <v>2321</v>
      </c>
      <c r="E482" s="494"/>
      <c r="F482" s="426"/>
      <c r="G482" s="460"/>
      <c r="H482" s="426"/>
      <c r="I482" s="448"/>
      <c r="J482" s="435"/>
      <c r="K482" s="372"/>
      <c r="L482" s="424"/>
      <c r="M482" s="372"/>
      <c r="N482" s="372"/>
      <c r="O482" s="372"/>
      <c r="P482" s="372"/>
      <c r="R482" s="372"/>
    </row>
    <row r="483" spans="1:63" x14ac:dyDescent="0.2">
      <c r="A483" s="542"/>
      <c r="B483" s="500"/>
      <c r="C483" s="506"/>
      <c r="D483" s="554"/>
      <c r="E483" s="494"/>
      <c r="F483" s="426"/>
      <c r="G483" s="460"/>
      <c r="H483" s="426"/>
      <c r="I483" s="448"/>
      <c r="J483" s="435"/>
      <c r="K483" s="372"/>
      <c r="L483" s="424"/>
      <c r="M483" s="372"/>
      <c r="N483" s="372"/>
      <c r="O483" s="372"/>
      <c r="P483" s="372"/>
      <c r="R483" s="372"/>
    </row>
    <row r="484" spans="1:63" ht="43.5" customHeight="1" x14ac:dyDescent="0.2">
      <c r="A484" s="542" t="s">
        <v>1000</v>
      </c>
      <c r="B484" s="500" t="s">
        <v>45</v>
      </c>
      <c r="C484" s="506">
        <v>94046</v>
      </c>
      <c r="D484" s="554" t="s">
        <v>851</v>
      </c>
      <c r="E484" s="495" t="s">
        <v>16</v>
      </c>
      <c r="F484" s="426">
        <f>'planilha auxiliar'!P75</f>
        <v>1134.5703807162558</v>
      </c>
      <c r="G484" s="460">
        <v>16.71</v>
      </c>
      <c r="H484" s="426">
        <f>ROUND((1+$L$16)*G484,2)</f>
        <v>21.13</v>
      </c>
      <c r="I484" s="448">
        <f>ROUND(F484*H484,2)</f>
        <v>23973.47</v>
      </c>
      <c r="J484" s="435"/>
      <c r="K484" s="372"/>
      <c r="L484" s="424"/>
      <c r="M484" s="372"/>
      <c r="N484" s="372"/>
      <c r="O484" s="372"/>
      <c r="P484" s="372"/>
      <c r="R484" s="372"/>
    </row>
    <row r="485" spans="1:63" x14ac:dyDescent="0.2">
      <c r="A485" s="542"/>
      <c r="B485" s="500"/>
      <c r="C485" s="506"/>
      <c r="D485" s="554"/>
      <c r="E485" s="495"/>
      <c r="F485" s="426"/>
      <c r="G485" s="460"/>
      <c r="H485" s="426"/>
      <c r="I485" s="448"/>
      <c r="J485" s="435"/>
      <c r="K485" s="372"/>
      <c r="L485" s="424"/>
      <c r="M485" s="372"/>
      <c r="N485" s="372"/>
      <c r="O485" s="372"/>
      <c r="P485" s="372"/>
      <c r="R485" s="372"/>
    </row>
    <row r="486" spans="1:63" ht="18" customHeight="1" x14ac:dyDescent="0.2">
      <c r="A486" s="542"/>
      <c r="B486" s="500"/>
      <c r="C486" s="506"/>
      <c r="D486" s="540" t="s">
        <v>2322</v>
      </c>
      <c r="E486" s="495"/>
      <c r="F486" s="426"/>
      <c r="G486" s="460"/>
      <c r="H486" s="426"/>
      <c r="I486" s="448"/>
      <c r="J486" s="435"/>
      <c r="K486" s="372"/>
      <c r="L486" s="424"/>
      <c r="M486" s="372"/>
      <c r="N486" s="372"/>
      <c r="O486" s="372"/>
      <c r="P486" s="372"/>
      <c r="R486" s="372"/>
    </row>
    <row r="487" spans="1:63" x14ac:dyDescent="0.2">
      <c r="A487" s="542"/>
      <c r="B487" s="500"/>
      <c r="C487" s="506"/>
      <c r="D487" s="554"/>
      <c r="E487" s="495"/>
      <c r="F487" s="426"/>
      <c r="G487" s="460"/>
      <c r="H487" s="426"/>
      <c r="I487" s="448"/>
      <c r="J487" s="435"/>
      <c r="K487" s="372"/>
      <c r="L487" s="424"/>
      <c r="M487" s="372"/>
      <c r="N487" s="372"/>
      <c r="O487" s="372"/>
      <c r="P487" s="372"/>
      <c r="R487" s="372"/>
    </row>
    <row r="488" spans="1:63" ht="15" customHeight="1" x14ac:dyDescent="0.2">
      <c r="A488" s="558" t="s">
        <v>11</v>
      </c>
      <c r="B488" s="501"/>
      <c r="C488" s="501"/>
      <c r="D488" s="545" t="s">
        <v>761</v>
      </c>
      <c r="E488" s="491"/>
      <c r="F488" s="404"/>
      <c r="G488" s="405"/>
      <c r="H488" s="406"/>
      <c r="I488" s="407">
        <f>SUM(I489:I493)</f>
        <v>96628.6</v>
      </c>
      <c r="J488" s="435"/>
      <c r="K488" s="372"/>
      <c r="L488" s="424"/>
      <c r="M488" s="372"/>
      <c r="N488" s="372"/>
      <c r="O488" s="372"/>
      <c r="P488" s="372"/>
      <c r="R488" s="372"/>
    </row>
    <row r="489" spans="1:63" ht="30" x14ac:dyDescent="0.2">
      <c r="A489" s="542" t="s">
        <v>1001</v>
      </c>
      <c r="B489" s="500" t="s">
        <v>45</v>
      </c>
      <c r="C489" s="500">
        <v>94097</v>
      </c>
      <c r="D489" s="540" t="s">
        <v>762</v>
      </c>
      <c r="E489" s="495" t="s">
        <v>15</v>
      </c>
      <c r="F489" s="426">
        <f>1221+289+392+923</f>
        <v>2825</v>
      </c>
      <c r="G489" s="426">
        <v>4.91</v>
      </c>
      <c r="H489" s="426">
        <f>ROUND((1+$L$16)*G489,2)</f>
        <v>6.21</v>
      </c>
      <c r="I489" s="448">
        <f>ROUND(F489*H489,2)</f>
        <v>17543.25</v>
      </c>
      <c r="J489" s="435"/>
      <c r="K489" s="372" t="e">
        <f>#REF!/#REF!</f>
        <v>#REF!</v>
      </c>
      <c r="L489" s="424"/>
      <c r="M489" s="372"/>
      <c r="N489" s="372"/>
      <c r="O489" s="372"/>
      <c r="P489" s="372"/>
      <c r="R489" s="372"/>
      <c r="S489" s="374"/>
      <c r="T489" s="374"/>
      <c r="U489" s="374"/>
      <c r="V489" s="374"/>
      <c r="W489" s="374"/>
      <c r="X489" s="374"/>
      <c r="Y489" s="374"/>
      <c r="Z489" s="374"/>
      <c r="AA489" s="374"/>
      <c r="AB489" s="374"/>
      <c r="AC489" s="374"/>
      <c r="AD489" s="374"/>
      <c r="AE489" s="374"/>
      <c r="AF489" s="374"/>
      <c r="AG489" s="374"/>
      <c r="AH489" s="374"/>
      <c r="AI489" s="374"/>
      <c r="AJ489" s="374"/>
      <c r="AK489" s="374"/>
      <c r="AL489" s="374"/>
      <c r="AM489" s="374"/>
      <c r="AN489" s="374"/>
      <c r="AO489" s="374"/>
      <c r="AP489" s="374"/>
      <c r="AQ489" s="374"/>
      <c r="AR489" s="374"/>
      <c r="AS489" s="374"/>
      <c r="AT489" s="374"/>
      <c r="AU489" s="374"/>
      <c r="AV489" s="374"/>
      <c r="AW489" s="374"/>
      <c r="AX489" s="374"/>
      <c r="AY489" s="374"/>
      <c r="AZ489" s="374"/>
      <c r="BA489" s="374"/>
      <c r="BB489" s="374"/>
      <c r="BC489" s="374"/>
      <c r="BD489" s="374"/>
      <c r="BE489" s="374"/>
      <c r="BF489" s="374"/>
      <c r="BG489" s="374"/>
      <c r="BH489" s="374"/>
      <c r="BI489" s="374"/>
      <c r="BJ489" s="374"/>
      <c r="BK489" s="374"/>
    </row>
    <row r="490" spans="1:63" x14ac:dyDescent="0.2">
      <c r="A490" s="542"/>
      <c r="B490" s="500"/>
      <c r="C490" s="500"/>
      <c r="D490" s="540"/>
      <c r="E490" s="495"/>
      <c r="F490" s="426"/>
      <c r="G490" s="426"/>
      <c r="H490" s="426"/>
      <c r="I490" s="448"/>
      <c r="J490" s="435"/>
      <c r="K490" s="372"/>
      <c r="L490" s="424"/>
      <c r="M490" s="372"/>
      <c r="N490" s="372"/>
      <c r="O490" s="372"/>
      <c r="P490" s="372"/>
      <c r="R490" s="372"/>
      <c r="S490" s="374"/>
      <c r="T490" s="374"/>
      <c r="U490" s="374"/>
      <c r="V490" s="374"/>
      <c r="W490" s="374"/>
      <c r="X490" s="374"/>
      <c r="Y490" s="374"/>
      <c r="Z490" s="374"/>
      <c r="AA490" s="374"/>
      <c r="AB490" s="374"/>
      <c r="AC490" s="374"/>
      <c r="AD490" s="374"/>
      <c r="AE490" s="374"/>
      <c r="AF490" s="374"/>
      <c r="AG490" s="374"/>
      <c r="AH490" s="374"/>
      <c r="AI490" s="374"/>
      <c r="AJ490" s="374"/>
      <c r="AK490" s="374"/>
      <c r="AL490" s="374"/>
      <c r="AM490" s="374"/>
      <c r="AN490" s="374"/>
      <c r="AO490" s="374"/>
      <c r="AP490" s="374"/>
      <c r="AQ490" s="374"/>
      <c r="AR490" s="374"/>
      <c r="AS490" s="374"/>
      <c r="AT490" s="374"/>
      <c r="AU490" s="374"/>
      <c r="AV490" s="374"/>
      <c r="AW490" s="374"/>
      <c r="AX490" s="374"/>
      <c r="AY490" s="374"/>
      <c r="AZ490" s="374"/>
      <c r="BA490" s="374"/>
      <c r="BB490" s="374"/>
      <c r="BC490" s="374"/>
      <c r="BD490" s="374"/>
      <c r="BE490" s="374"/>
      <c r="BF490" s="374"/>
      <c r="BG490" s="374"/>
      <c r="BH490" s="374"/>
      <c r="BI490" s="374"/>
      <c r="BJ490" s="374"/>
      <c r="BK490" s="374"/>
    </row>
    <row r="491" spans="1:63" ht="17.25" customHeight="1" x14ac:dyDescent="0.2">
      <c r="A491" s="542"/>
      <c r="B491" s="500"/>
      <c r="C491" s="500"/>
      <c r="D491" s="540" t="s">
        <v>2323</v>
      </c>
      <c r="E491" s="495"/>
      <c r="F491" s="426"/>
      <c r="G491" s="426"/>
      <c r="H491" s="426"/>
      <c r="I491" s="448"/>
      <c r="J491" s="435"/>
      <c r="K491" s="372"/>
      <c r="L491" s="424"/>
      <c r="M491" s="372"/>
      <c r="N491" s="372"/>
      <c r="O491" s="372"/>
      <c r="P491" s="372"/>
      <c r="R491" s="372"/>
      <c r="S491" s="374"/>
      <c r="T491" s="374"/>
      <c r="U491" s="374"/>
      <c r="V491" s="374"/>
      <c r="W491" s="374"/>
      <c r="X491" s="374"/>
      <c r="Y491" s="374"/>
      <c r="Z491" s="374"/>
      <c r="AA491" s="374"/>
      <c r="AB491" s="374"/>
      <c r="AC491" s="374"/>
      <c r="AD491" s="374"/>
      <c r="AE491" s="374"/>
      <c r="AF491" s="374"/>
      <c r="AG491" s="374"/>
      <c r="AH491" s="374"/>
      <c r="AI491" s="374"/>
      <c r="AJ491" s="374"/>
      <c r="AK491" s="374"/>
      <c r="AL491" s="374"/>
      <c r="AM491" s="374"/>
      <c r="AN491" s="374"/>
      <c r="AO491" s="374"/>
      <c r="AP491" s="374"/>
      <c r="AQ491" s="374"/>
      <c r="AR491" s="374"/>
      <c r="AS491" s="374"/>
      <c r="AT491" s="374"/>
      <c r="AU491" s="374"/>
      <c r="AV491" s="374"/>
      <c r="AW491" s="374"/>
      <c r="AX491" s="374"/>
      <c r="AY491" s="374"/>
      <c r="AZ491" s="374"/>
      <c r="BA491" s="374"/>
      <c r="BB491" s="374"/>
      <c r="BC491" s="374"/>
      <c r="BD491" s="374"/>
      <c r="BE491" s="374"/>
      <c r="BF491" s="374"/>
      <c r="BG491" s="374"/>
      <c r="BH491" s="374"/>
      <c r="BI491" s="374"/>
      <c r="BJ491" s="374"/>
      <c r="BK491" s="374"/>
    </row>
    <row r="492" spans="1:63" x14ac:dyDescent="0.2">
      <c r="A492" s="542"/>
      <c r="B492" s="500"/>
      <c r="C492" s="500"/>
      <c r="D492" s="540"/>
      <c r="E492" s="495"/>
      <c r="F492" s="426"/>
      <c r="G492" s="426"/>
      <c r="H492" s="426"/>
      <c r="I492" s="448"/>
      <c r="J492" s="435"/>
      <c r="K492" s="372"/>
      <c r="L492" s="424"/>
      <c r="M492" s="372"/>
      <c r="N492" s="372"/>
      <c r="O492" s="372"/>
      <c r="P492" s="372"/>
      <c r="R492" s="372"/>
      <c r="S492" s="374"/>
      <c r="T492" s="374"/>
      <c r="U492" s="374"/>
      <c r="V492" s="374"/>
      <c r="W492" s="374"/>
      <c r="X492" s="374"/>
      <c r="Y492" s="374"/>
      <c r="Z492" s="374"/>
      <c r="AA492" s="374"/>
      <c r="AB492" s="374"/>
      <c r="AC492" s="374"/>
      <c r="AD492" s="374"/>
      <c r="AE492" s="374"/>
      <c r="AF492" s="374"/>
      <c r="AG492" s="374"/>
      <c r="AH492" s="374"/>
      <c r="AI492" s="374"/>
      <c r="AJ492" s="374"/>
      <c r="AK492" s="374"/>
      <c r="AL492" s="374"/>
      <c r="AM492" s="374"/>
      <c r="AN492" s="374"/>
      <c r="AO492" s="374"/>
      <c r="AP492" s="374"/>
      <c r="AQ492" s="374"/>
      <c r="AR492" s="374"/>
      <c r="AS492" s="374"/>
      <c r="AT492" s="374"/>
      <c r="AU492" s="374"/>
      <c r="AV492" s="374"/>
      <c r="AW492" s="374"/>
      <c r="AX492" s="374"/>
      <c r="AY492" s="374"/>
      <c r="AZ492" s="374"/>
      <c r="BA492" s="374"/>
      <c r="BB492" s="374"/>
      <c r="BC492" s="374"/>
      <c r="BD492" s="374"/>
      <c r="BE492" s="374"/>
      <c r="BF492" s="374"/>
      <c r="BG492" s="374"/>
      <c r="BH492" s="374"/>
      <c r="BI492" s="374"/>
      <c r="BJ492" s="374"/>
      <c r="BK492" s="374"/>
    </row>
    <row r="493" spans="1:63" ht="45" x14ac:dyDescent="0.2">
      <c r="A493" s="542" t="s">
        <v>1002</v>
      </c>
      <c r="B493" s="500" t="s">
        <v>45</v>
      </c>
      <c r="C493" s="500">
        <v>93378</v>
      </c>
      <c r="D493" s="540" t="s">
        <v>763</v>
      </c>
      <c r="E493" s="495" t="s">
        <v>16</v>
      </c>
      <c r="F493" s="426">
        <f>F467+F475+F471</f>
        <v>3155.84</v>
      </c>
      <c r="G493" s="426">
        <v>19.82</v>
      </c>
      <c r="H493" s="426">
        <f>ROUND((1+$L$16)*G493,2)</f>
        <v>25.06</v>
      </c>
      <c r="I493" s="448">
        <f>ROUND(F493*H493,2)</f>
        <v>79085.350000000006</v>
      </c>
      <c r="J493" s="435"/>
      <c r="K493" s="372"/>
      <c r="L493" s="424"/>
      <c r="M493" s="372"/>
      <c r="N493" s="372"/>
      <c r="O493" s="372"/>
      <c r="P493" s="372"/>
      <c r="R493" s="372"/>
    </row>
    <row r="494" spans="1:63" x14ac:dyDescent="0.2">
      <c r="A494" s="542"/>
      <c r="B494" s="500"/>
      <c r="C494" s="500"/>
      <c r="D494" s="540"/>
      <c r="E494" s="495"/>
      <c r="F494" s="426"/>
      <c r="G494" s="426"/>
      <c r="H494" s="426"/>
      <c r="I494" s="448"/>
      <c r="J494" s="435"/>
      <c r="K494" s="372"/>
      <c r="L494" s="424"/>
      <c r="M494" s="372"/>
      <c r="N494" s="372"/>
      <c r="O494" s="372"/>
      <c r="P494" s="372"/>
      <c r="R494" s="372"/>
    </row>
    <row r="495" spans="1:63" x14ac:dyDescent="0.2">
      <c r="A495" s="542"/>
      <c r="B495" s="500"/>
      <c r="C495" s="500"/>
      <c r="D495" s="540" t="s">
        <v>2324</v>
      </c>
      <c r="E495" s="495"/>
      <c r="F495" s="426"/>
      <c r="G495" s="426"/>
      <c r="H495" s="426"/>
      <c r="I495" s="448"/>
      <c r="J495" s="435"/>
      <c r="K495" s="372"/>
      <c r="L495" s="424"/>
      <c r="M495" s="372"/>
      <c r="N495" s="372"/>
      <c r="O495" s="372"/>
      <c r="P495" s="372"/>
      <c r="R495" s="372"/>
    </row>
    <row r="496" spans="1:63" x14ac:dyDescent="0.2">
      <c r="A496" s="542"/>
      <c r="B496" s="500"/>
      <c r="C496" s="500"/>
      <c r="D496" s="540"/>
      <c r="E496" s="495"/>
      <c r="F496" s="426"/>
      <c r="G496" s="426"/>
      <c r="H496" s="426"/>
      <c r="I496" s="448"/>
      <c r="J496" s="435"/>
      <c r="K496" s="372"/>
      <c r="L496" s="424"/>
      <c r="M496" s="372"/>
      <c r="N496" s="372"/>
      <c r="O496" s="372"/>
      <c r="P496" s="372"/>
      <c r="R496" s="372"/>
    </row>
    <row r="497" spans="1:18" x14ac:dyDescent="0.2">
      <c r="A497" s="542"/>
      <c r="B497" s="500"/>
      <c r="C497" s="500"/>
      <c r="D497" s="540"/>
      <c r="E497" s="495"/>
      <c r="F497" s="426"/>
      <c r="G497" s="426"/>
      <c r="H497" s="426"/>
      <c r="I497" s="448"/>
      <c r="J497" s="435"/>
      <c r="K497" s="372"/>
      <c r="L497" s="424"/>
      <c r="M497" s="372"/>
      <c r="N497" s="372"/>
      <c r="O497" s="372"/>
      <c r="P497" s="372"/>
      <c r="R497" s="372"/>
    </row>
    <row r="498" spans="1:18" s="468" customFormat="1" ht="15.75" x14ac:dyDescent="0.2">
      <c r="A498" s="558" t="s">
        <v>317</v>
      </c>
      <c r="B498" s="501"/>
      <c r="C498" s="501"/>
      <c r="D498" s="545" t="s">
        <v>341</v>
      </c>
      <c r="E498" s="491"/>
      <c r="F498" s="404"/>
      <c r="G498" s="405"/>
      <c r="H498" s="406"/>
      <c r="I498" s="407">
        <f>SUM(I499:I515)</f>
        <v>43045.69</v>
      </c>
      <c r="J498" s="465"/>
      <c r="K498" s="466"/>
      <c r="L498" s="467" t="s">
        <v>773</v>
      </c>
      <c r="M498" s="466">
        <v>191</v>
      </c>
      <c r="N498" s="466"/>
      <c r="O498" s="466"/>
      <c r="P498" s="466"/>
      <c r="R498" s="466"/>
    </row>
    <row r="499" spans="1:18" s="468" customFormat="1" x14ac:dyDescent="0.2">
      <c r="A499" s="557" t="s">
        <v>1003</v>
      </c>
      <c r="B499" s="506" t="s">
        <v>45</v>
      </c>
      <c r="C499" s="506" t="s">
        <v>59</v>
      </c>
      <c r="D499" s="554" t="s">
        <v>60</v>
      </c>
      <c r="E499" s="494" t="s">
        <v>14</v>
      </c>
      <c r="F499" s="426">
        <f>8*22*3</f>
        <v>528</v>
      </c>
      <c r="G499" s="426">
        <v>6.17</v>
      </c>
      <c r="H499" s="426">
        <f>ROUND((1+$L$16)*G499,2)</f>
        <v>7.8</v>
      </c>
      <c r="I499" s="448">
        <f>ROUND(F499*H499,2)</f>
        <v>4118.3999999999996</v>
      </c>
      <c r="J499" s="465"/>
      <c r="K499" s="466"/>
      <c r="L499" s="467" t="s">
        <v>774</v>
      </c>
      <c r="M499" s="466">
        <v>113</v>
      </c>
      <c r="N499" s="466"/>
      <c r="O499" s="466"/>
      <c r="P499" s="466"/>
      <c r="R499" s="466"/>
    </row>
    <row r="500" spans="1:18" s="468" customFormat="1" x14ac:dyDescent="0.2">
      <c r="A500" s="557"/>
      <c r="B500" s="506"/>
      <c r="C500" s="506"/>
      <c r="D500" s="554"/>
      <c r="E500" s="494"/>
      <c r="F500" s="426"/>
      <c r="G500" s="426"/>
      <c r="H500" s="426"/>
      <c r="I500" s="448"/>
      <c r="J500" s="465"/>
      <c r="K500" s="466"/>
      <c r="L500" s="467"/>
      <c r="M500" s="466"/>
      <c r="N500" s="466"/>
      <c r="O500" s="466"/>
      <c r="P500" s="466"/>
      <c r="R500" s="466"/>
    </row>
    <row r="501" spans="1:18" s="468" customFormat="1" ht="17.25" customHeight="1" x14ac:dyDescent="0.2">
      <c r="A501" s="557"/>
      <c r="B501" s="506"/>
      <c r="C501" s="506"/>
      <c r="D501" s="549" t="s">
        <v>2325</v>
      </c>
      <c r="E501" s="494"/>
      <c r="F501" s="426"/>
      <c r="G501" s="426"/>
      <c r="H501" s="426"/>
      <c r="I501" s="448"/>
      <c r="J501" s="465"/>
      <c r="K501" s="466"/>
      <c r="L501" s="467"/>
      <c r="M501" s="466"/>
      <c r="N501" s="466"/>
      <c r="O501" s="466"/>
      <c r="P501" s="466"/>
      <c r="R501" s="466"/>
    </row>
    <row r="502" spans="1:18" s="468" customFormat="1" x14ac:dyDescent="0.2">
      <c r="A502" s="557"/>
      <c r="B502" s="506"/>
      <c r="C502" s="506"/>
      <c r="D502" s="554"/>
      <c r="E502" s="494"/>
      <c r="F502" s="426"/>
      <c r="G502" s="426"/>
      <c r="H502" s="426"/>
      <c r="I502" s="448"/>
      <c r="J502" s="465"/>
      <c r="K502" s="466"/>
      <c r="L502" s="467"/>
      <c r="M502" s="466"/>
      <c r="N502" s="466"/>
      <c r="O502" s="466"/>
      <c r="P502" s="466"/>
      <c r="R502" s="466"/>
    </row>
    <row r="503" spans="1:18" s="468" customFormat="1" x14ac:dyDescent="0.2">
      <c r="A503" s="557" t="s">
        <v>1004</v>
      </c>
      <c r="B503" s="506" t="s">
        <v>45</v>
      </c>
      <c r="C503" s="506" t="s">
        <v>88</v>
      </c>
      <c r="D503" s="554" t="s">
        <v>766</v>
      </c>
      <c r="E503" s="494" t="s">
        <v>17</v>
      </c>
      <c r="F503" s="426">
        <f>F430*0.1</f>
        <v>389.66900000000004</v>
      </c>
      <c r="G503" s="426">
        <v>26.54</v>
      </c>
      <c r="H503" s="426">
        <f>ROUND((1+$L$16)*G503,2)</f>
        <v>33.56</v>
      </c>
      <c r="I503" s="448">
        <f>ROUND(F503*H503,2)</f>
        <v>13077.29</v>
      </c>
      <c r="J503" s="465"/>
      <c r="K503" s="466" t="s">
        <v>413</v>
      </c>
      <c r="L503" s="467" t="s">
        <v>775</v>
      </c>
      <c r="M503" s="466">
        <v>16</v>
      </c>
      <c r="N503" s="466"/>
      <c r="O503" s="466"/>
      <c r="P503" s="466"/>
      <c r="R503" s="466"/>
    </row>
    <row r="504" spans="1:18" s="468" customFormat="1" x14ac:dyDescent="0.2">
      <c r="A504" s="557"/>
      <c r="B504" s="506"/>
      <c r="C504" s="506"/>
      <c r="D504" s="554"/>
      <c r="E504" s="494"/>
      <c r="F504" s="426"/>
      <c r="G504" s="426"/>
      <c r="H504" s="426"/>
      <c r="I504" s="448"/>
      <c r="J504" s="465"/>
      <c r="K504" s="466"/>
      <c r="L504" s="467"/>
      <c r="M504" s="466"/>
      <c r="N504" s="466"/>
      <c r="O504" s="466"/>
      <c r="P504" s="466"/>
      <c r="R504" s="466"/>
    </row>
    <row r="505" spans="1:18" s="468" customFormat="1" ht="33" customHeight="1" x14ac:dyDescent="0.2">
      <c r="A505" s="557"/>
      <c r="B505" s="506"/>
      <c r="C505" s="506"/>
      <c r="D505" s="540" t="s">
        <v>2326</v>
      </c>
      <c r="E505" s="494"/>
      <c r="F505" s="426"/>
      <c r="G505" s="426"/>
      <c r="H505" s="426"/>
      <c r="I505" s="448"/>
      <c r="J505" s="465"/>
      <c r="K505" s="466"/>
      <c r="L505" s="467"/>
      <c r="M505" s="466"/>
      <c r="N505" s="466"/>
      <c r="O505" s="466"/>
      <c r="P505" s="466"/>
      <c r="R505" s="466"/>
    </row>
    <row r="506" spans="1:18" s="468" customFormat="1" x14ac:dyDescent="0.2">
      <c r="A506" s="557"/>
      <c r="B506" s="506"/>
      <c r="C506" s="506"/>
      <c r="D506" s="554"/>
      <c r="E506" s="494"/>
      <c r="F506" s="426"/>
      <c r="G506" s="426"/>
      <c r="H506" s="426"/>
      <c r="I506" s="448"/>
      <c r="J506" s="465"/>
      <c r="K506" s="466"/>
      <c r="L506" s="467"/>
      <c r="M506" s="466"/>
      <c r="N506" s="466"/>
      <c r="O506" s="466"/>
      <c r="P506" s="466"/>
      <c r="R506" s="466"/>
    </row>
    <row r="507" spans="1:18" s="468" customFormat="1" x14ac:dyDescent="0.2">
      <c r="A507" s="557" t="s">
        <v>1005</v>
      </c>
      <c r="B507" s="506" t="s">
        <v>45</v>
      </c>
      <c r="C507" s="506">
        <v>73698</v>
      </c>
      <c r="D507" s="554" t="s">
        <v>865</v>
      </c>
      <c r="E507" s="494" t="s">
        <v>16</v>
      </c>
      <c r="F507" s="449">
        <f>F503*0.2*0.65</f>
        <v>50.656970000000015</v>
      </c>
      <c r="G507" s="426">
        <v>197.13</v>
      </c>
      <c r="H507" s="426">
        <f>ROUND((1+$L$16)*G507,2)</f>
        <v>249.24</v>
      </c>
      <c r="I507" s="448">
        <f>ROUND(F507*H507,2)</f>
        <v>12625.74</v>
      </c>
      <c r="J507" s="465"/>
      <c r="K507" s="466"/>
      <c r="L507" s="467"/>
      <c r="M507" s="466"/>
      <c r="N507" s="466"/>
      <c r="O507" s="466"/>
      <c r="P507" s="466"/>
      <c r="R507" s="466"/>
    </row>
    <row r="508" spans="1:18" s="468" customFormat="1" x14ac:dyDescent="0.2">
      <c r="A508" s="557"/>
      <c r="B508" s="506"/>
      <c r="C508" s="506"/>
      <c r="D508" s="554"/>
      <c r="E508" s="494"/>
      <c r="F508" s="449"/>
      <c r="G508" s="426"/>
      <c r="H508" s="426"/>
      <c r="I508" s="448"/>
      <c r="J508" s="465"/>
      <c r="K508" s="466"/>
      <c r="L508" s="467"/>
      <c r="M508" s="466"/>
      <c r="N508" s="466"/>
      <c r="O508" s="466"/>
      <c r="P508" s="466"/>
      <c r="R508" s="466"/>
    </row>
    <row r="509" spans="1:18" s="468" customFormat="1" ht="33.75" customHeight="1" x14ac:dyDescent="0.2">
      <c r="A509" s="557"/>
      <c r="B509" s="506"/>
      <c r="C509" s="506"/>
      <c r="D509" s="540" t="s">
        <v>2327</v>
      </c>
      <c r="E509" s="494"/>
      <c r="F509" s="449"/>
      <c r="G509" s="426"/>
      <c r="H509" s="426"/>
      <c r="I509" s="448"/>
      <c r="J509" s="465"/>
      <c r="K509" s="466"/>
      <c r="L509" s="467"/>
      <c r="M509" s="466"/>
      <c r="N509" s="466"/>
      <c r="O509" s="466"/>
      <c r="P509" s="466"/>
      <c r="R509" s="466"/>
    </row>
    <row r="510" spans="1:18" s="468" customFormat="1" x14ac:dyDescent="0.2">
      <c r="A510" s="557"/>
      <c r="B510" s="506"/>
      <c r="C510" s="506"/>
      <c r="D510" s="554"/>
      <c r="E510" s="494"/>
      <c r="F510" s="449"/>
      <c r="G510" s="426"/>
      <c r="H510" s="426"/>
      <c r="I510" s="448"/>
      <c r="J510" s="465"/>
      <c r="K510" s="466"/>
      <c r="L510" s="467"/>
      <c r="M510" s="466"/>
      <c r="N510" s="466"/>
      <c r="O510" s="466"/>
      <c r="P510" s="466"/>
      <c r="R510" s="466"/>
    </row>
    <row r="511" spans="1:18" s="468" customFormat="1" x14ac:dyDescent="0.2">
      <c r="A511" s="557" t="s">
        <v>1372</v>
      </c>
      <c r="B511" s="506" t="s">
        <v>45</v>
      </c>
      <c r="C511" s="506">
        <v>83683</v>
      </c>
      <c r="D511" s="554" t="s">
        <v>853</v>
      </c>
      <c r="E511" s="494" t="s">
        <v>16</v>
      </c>
      <c r="F511" s="449">
        <f>F503*0.3*0.65</f>
        <v>75.985455000000002</v>
      </c>
      <c r="G511" s="426">
        <v>104.94</v>
      </c>
      <c r="H511" s="426">
        <f>ROUND((1+$L$16)*G511,2)</f>
        <v>132.68</v>
      </c>
      <c r="I511" s="448">
        <f>ROUND(F511*H511,2)</f>
        <v>10081.75</v>
      </c>
      <c r="J511" s="465"/>
      <c r="K511" s="466"/>
      <c r="L511" s="467"/>
      <c r="M511" s="466"/>
      <c r="N511" s="466"/>
      <c r="O511" s="466"/>
      <c r="P511" s="466"/>
      <c r="R511" s="466"/>
    </row>
    <row r="512" spans="1:18" s="468" customFormat="1" x14ac:dyDescent="0.2">
      <c r="A512" s="557"/>
      <c r="B512" s="506"/>
      <c r="C512" s="506"/>
      <c r="D512" s="554"/>
      <c r="E512" s="494"/>
      <c r="F512" s="449"/>
      <c r="G512" s="426"/>
      <c r="H512" s="426"/>
      <c r="I512" s="448"/>
      <c r="J512" s="465"/>
      <c r="K512" s="466"/>
      <c r="L512" s="467"/>
      <c r="M512" s="466"/>
      <c r="N512" s="466"/>
      <c r="O512" s="466"/>
      <c r="P512" s="466"/>
      <c r="R512" s="466"/>
    </row>
    <row r="513" spans="1:18" s="468" customFormat="1" ht="30" x14ac:dyDescent="0.2">
      <c r="A513" s="557"/>
      <c r="B513" s="506"/>
      <c r="C513" s="506"/>
      <c r="D513" s="540" t="s">
        <v>2328</v>
      </c>
      <c r="E513" s="494"/>
      <c r="F513" s="449"/>
      <c r="G513" s="426"/>
      <c r="H513" s="426"/>
      <c r="I513" s="448"/>
      <c r="J513" s="465"/>
      <c r="K513" s="466"/>
      <c r="L513" s="467"/>
      <c r="M513" s="466"/>
      <c r="N513" s="466"/>
      <c r="O513" s="466"/>
      <c r="P513" s="466"/>
      <c r="R513" s="466"/>
    </row>
    <row r="514" spans="1:18" s="468" customFormat="1" x14ac:dyDescent="0.2">
      <c r="A514" s="557"/>
      <c r="B514" s="506"/>
      <c r="C514" s="506"/>
      <c r="D514" s="554"/>
      <c r="E514" s="494"/>
      <c r="F514" s="449"/>
      <c r="G514" s="426"/>
      <c r="H514" s="426"/>
      <c r="I514" s="448"/>
      <c r="J514" s="465"/>
      <c r="K514" s="466"/>
      <c r="L514" s="467"/>
      <c r="M514" s="466"/>
      <c r="N514" s="466"/>
      <c r="O514" s="466"/>
      <c r="P514" s="466"/>
      <c r="R514" s="466"/>
    </row>
    <row r="515" spans="1:18" s="468" customFormat="1" x14ac:dyDescent="0.2">
      <c r="A515" s="557" t="s">
        <v>1373</v>
      </c>
      <c r="B515" s="506" t="s">
        <v>45</v>
      </c>
      <c r="C515" s="506" t="s">
        <v>863</v>
      </c>
      <c r="D515" s="554" t="s">
        <v>864</v>
      </c>
      <c r="E515" s="494" t="s">
        <v>16</v>
      </c>
      <c r="F515" s="449">
        <f>F503*0.1*0.65</f>
        <v>25.328485000000008</v>
      </c>
      <c r="G515" s="426">
        <v>98.13</v>
      </c>
      <c r="H515" s="426">
        <f>ROUND((1+$L$16)*G515,2)</f>
        <v>124.07</v>
      </c>
      <c r="I515" s="448">
        <f>ROUND(F515*H515,2)</f>
        <v>3142.51</v>
      </c>
      <c r="J515" s="465"/>
      <c r="K515" s="466"/>
      <c r="L515" s="467"/>
      <c r="M515" s="466"/>
      <c r="N515" s="466"/>
      <c r="O515" s="466"/>
      <c r="P515" s="466"/>
      <c r="R515" s="466"/>
    </row>
    <row r="516" spans="1:18" s="468" customFormat="1" x14ac:dyDescent="0.2">
      <c r="A516" s="557"/>
      <c r="B516" s="506"/>
      <c r="C516" s="506"/>
      <c r="D516" s="554"/>
      <c r="E516" s="494"/>
      <c r="F516" s="449"/>
      <c r="G516" s="426"/>
      <c r="H516" s="426"/>
      <c r="I516" s="448"/>
      <c r="J516" s="465"/>
      <c r="K516" s="466"/>
      <c r="L516" s="467"/>
      <c r="M516" s="466"/>
      <c r="N516" s="466"/>
      <c r="O516" s="466"/>
      <c r="P516" s="466"/>
      <c r="R516" s="466"/>
    </row>
    <row r="517" spans="1:18" s="468" customFormat="1" ht="30" x14ac:dyDescent="0.2">
      <c r="A517" s="557"/>
      <c r="B517" s="506"/>
      <c r="C517" s="506"/>
      <c r="D517" s="540" t="s">
        <v>2329</v>
      </c>
      <c r="E517" s="494"/>
      <c r="F517" s="449"/>
      <c r="G517" s="426"/>
      <c r="H517" s="426"/>
      <c r="I517" s="448"/>
      <c r="J517" s="465"/>
      <c r="K517" s="466"/>
      <c r="L517" s="467"/>
      <c r="M517" s="466"/>
      <c r="N517" s="466"/>
      <c r="O517" s="466"/>
      <c r="P517" s="466"/>
      <c r="R517" s="466"/>
    </row>
    <row r="518" spans="1:18" s="468" customFormat="1" x14ac:dyDescent="0.2">
      <c r="A518" s="557"/>
      <c r="B518" s="506"/>
      <c r="C518" s="506"/>
      <c r="D518" s="554"/>
      <c r="E518" s="494"/>
      <c r="F518" s="449"/>
      <c r="G518" s="426"/>
      <c r="H518" s="426"/>
      <c r="I518" s="448"/>
      <c r="J518" s="465"/>
      <c r="K518" s="466"/>
      <c r="L518" s="467"/>
      <c r="M518" s="466"/>
      <c r="N518" s="466"/>
      <c r="O518" s="466"/>
      <c r="P518" s="466"/>
      <c r="R518" s="466"/>
    </row>
    <row r="519" spans="1:18" ht="15" customHeight="1" x14ac:dyDescent="0.2">
      <c r="A519" s="558" t="s">
        <v>318</v>
      </c>
      <c r="B519" s="501"/>
      <c r="C519" s="501"/>
      <c r="D519" s="545" t="s">
        <v>342</v>
      </c>
      <c r="E519" s="491"/>
      <c r="F519" s="404"/>
      <c r="G519" s="405"/>
      <c r="H519" s="406"/>
      <c r="I519" s="407">
        <f>SUM(I520:I564)</f>
        <v>74931.66</v>
      </c>
      <c r="J519" s="435"/>
      <c r="K519" s="372"/>
      <c r="L519" s="424"/>
      <c r="M519" s="372"/>
      <c r="N519" s="372"/>
      <c r="O519" s="372"/>
      <c r="P519" s="372"/>
      <c r="R519" s="372"/>
    </row>
    <row r="520" spans="1:18" s="373" customFormat="1" ht="30" x14ac:dyDescent="0.2">
      <c r="A520" s="542" t="s">
        <v>1006</v>
      </c>
      <c r="B520" s="500" t="s">
        <v>45</v>
      </c>
      <c r="C520" s="500" t="s">
        <v>941</v>
      </c>
      <c r="D520" s="540" t="s">
        <v>942</v>
      </c>
      <c r="E520" s="495" t="s">
        <v>18</v>
      </c>
      <c r="F520" s="426">
        <v>6</v>
      </c>
      <c r="G520" s="426">
        <v>289.92</v>
      </c>
      <c r="H520" s="426">
        <f t="shared" ref="H520:H560" si="31">ROUND((1+$L$16)*G520,2)</f>
        <v>366.56</v>
      </c>
      <c r="I520" s="448">
        <f>ROUND(F520*H520,2)</f>
        <v>2199.36</v>
      </c>
      <c r="J520" s="444"/>
      <c r="K520" s="372" t="s">
        <v>577</v>
      </c>
      <c r="L520" s="424">
        <v>8</v>
      </c>
      <c r="M520" s="372"/>
      <c r="N520" s="372"/>
      <c r="O520" s="372"/>
      <c r="P520" s="372"/>
      <c r="R520" s="372"/>
    </row>
    <row r="521" spans="1:18" s="373" customFormat="1" x14ac:dyDescent="0.2">
      <c r="A521" s="542"/>
      <c r="B521" s="500"/>
      <c r="C521" s="500"/>
      <c r="D521" s="540"/>
      <c r="E521" s="495"/>
      <c r="F521" s="426"/>
      <c r="G521" s="426"/>
      <c r="H521" s="426"/>
      <c r="I521" s="448"/>
      <c r="J521" s="444"/>
      <c r="K521" s="372"/>
      <c r="L521" s="424"/>
      <c r="M521" s="372"/>
      <c r="N521" s="372"/>
      <c r="O521" s="372"/>
      <c r="P521" s="372"/>
      <c r="R521" s="372"/>
    </row>
    <row r="522" spans="1:18" s="373" customFormat="1" x14ac:dyDescent="0.2">
      <c r="A522" s="542"/>
      <c r="B522" s="500"/>
      <c r="C522" s="500"/>
      <c r="D522" s="540" t="s">
        <v>2330</v>
      </c>
      <c r="E522" s="495"/>
      <c r="F522" s="426"/>
      <c r="G522" s="426"/>
      <c r="H522" s="426"/>
      <c r="I522" s="448"/>
      <c r="J522" s="444"/>
      <c r="K522" s="372"/>
      <c r="L522" s="424"/>
      <c r="M522" s="372"/>
      <c r="N522" s="372"/>
      <c r="O522" s="372"/>
      <c r="P522" s="372"/>
      <c r="R522" s="372"/>
    </row>
    <row r="523" spans="1:18" s="373" customFormat="1" x14ac:dyDescent="0.2">
      <c r="A523" s="542"/>
      <c r="B523" s="500"/>
      <c r="C523" s="500"/>
      <c r="D523" s="540"/>
      <c r="E523" s="495"/>
      <c r="F523" s="426"/>
      <c r="G523" s="426"/>
      <c r="H523" s="426"/>
      <c r="I523" s="448"/>
      <c r="J523" s="444"/>
      <c r="K523" s="372"/>
      <c r="L523" s="424"/>
      <c r="M523" s="372"/>
      <c r="N523" s="372"/>
      <c r="O523" s="372"/>
      <c r="P523" s="372"/>
      <c r="R523" s="372"/>
    </row>
    <row r="524" spans="1:18" s="373" customFormat="1" ht="45" x14ac:dyDescent="0.2">
      <c r="A524" s="542" t="s">
        <v>1007</v>
      </c>
      <c r="B524" s="500" t="s">
        <v>45</v>
      </c>
      <c r="C524" s="500" t="s">
        <v>1460</v>
      </c>
      <c r="D524" s="540" t="s">
        <v>1461</v>
      </c>
      <c r="E524" s="495" t="s">
        <v>18</v>
      </c>
      <c r="F524" s="426">
        <v>2</v>
      </c>
      <c r="G524" s="426">
        <v>627.51</v>
      </c>
      <c r="H524" s="426">
        <f t="shared" si="31"/>
        <v>793.4</v>
      </c>
      <c r="I524" s="448">
        <f t="shared" ref="I524:I560" si="32">ROUND(F524*H524,2)</f>
        <v>1586.8</v>
      </c>
      <c r="J524" s="444"/>
      <c r="K524" s="372">
        <v>0.6</v>
      </c>
      <c r="L524" s="424">
        <v>6</v>
      </c>
      <c r="M524" s="372"/>
      <c r="N524" s="372"/>
      <c r="O524" s="372"/>
      <c r="P524" s="372"/>
      <c r="R524" s="372"/>
    </row>
    <row r="525" spans="1:18" s="373" customFormat="1" x14ac:dyDescent="0.2">
      <c r="A525" s="542"/>
      <c r="B525" s="500"/>
      <c r="C525" s="500"/>
      <c r="D525" s="540"/>
      <c r="E525" s="495"/>
      <c r="F525" s="426"/>
      <c r="G525" s="426"/>
      <c r="H525" s="426"/>
      <c r="I525" s="448"/>
      <c r="J525" s="444"/>
      <c r="K525" s="372"/>
      <c r="L525" s="424"/>
      <c r="M525" s="372"/>
      <c r="N525" s="372"/>
      <c r="O525" s="372"/>
      <c r="P525" s="372"/>
      <c r="R525" s="372"/>
    </row>
    <row r="526" spans="1:18" s="373" customFormat="1" x14ac:dyDescent="0.2">
      <c r="A526" s="542"/>
      <c r="B526" s="500"/>
      <c r="C526" s="500"/>
      <c r="D526" s="540" t="s">
        <v>2279</v>
      </c>
      <c r="E526" s="495"/>
      <c r="F526" s="426"/>
      <c r="G526" s="426"/>
      <c r="H526" s="426"/>
      <c r="I526" s="448"/>
      <c r="J526" s="444"/>
      <c r="K526" s="372"/>
      <c r="L526" s="424"/>
      <c r="M526" s="372"/>
      <c r="N526" s="372"/>
      <c r="O526" s="372"/>
      <c r="P526" s="372"/>
      <c r="R526" s="372"/>
    </row>
    <row r="527" spans="1:18" s="373" customFormat="1" x14ac:dyDescent="0.2">
      <c r="A527" s="550"/>
      <c r="B527" s="551"/>
      <c r="C527" s="551"/>
      <c r="D527" s="552"/>
      <c r="E527" s="495"/>
      <c r="F527" s="426"/>
      <c r="G527" s="426"/>
      <c r="H527" s="426"/>
      <c r="I527" s="448"/>
      <c r="J527" s="444"/>
      <c r="K527" s="372"/>
      <c r="L527" s="424"/>
      <c r="M527" s="372"/>
      <c r="N527" s="372"/>
      <c r="O527" s="372"/>
      <c r="P527" s="372"/>
      <c r="R527" s="372"/>
    </row>
    <row r="528" spans="1:18" s="373" customFormat="1" ht="36" customHeight="1" x14ac:dyDescent="0.2">
      <c r="A528" s="542" t="s">
        <v>1008</v>
      </c>
      <c r="B528" s="500" t="s">
        <v>45</v>
      </c>
      <c r="C528" s="500" t="s">
        <v>90</v>
      </c>
      <c r="D528" s="540" t="s">
        <v>943</v>
      </c>
      <c r="E528" s="495" t="s">
        <v>18</v>
      </c>
      <c r="F528" s="426">
        <v>11</v>
      </c>
      <c r="G528" s="426">
        <v>322.04000000000002</v>
      </c>
      <c r="H528" s="426">
        <f t="shared" si="31"/>
        <v>407.17</v>
      </c>
      <c r="I528" s="448">
        <f t="shared" si="32"/>
        <v>4478.87</v>
      </c>
      <c r="J528" s="444"/>
      <c r="K528" s="372">
        <v>0.8</v>
      </c>
      <c r="L528" s="424">
        <v>2</v>
      </c>
      <c r="M528" s="372"/>
      <c r="N528" s="372"/>
      <c r="O528" s="372"/>
      <c r="P528" s="372"/>
      <c r="R528" s="372"/>
    </row>
    <row r="529" spans="1:18" s="373" customFormat="1" x14ac:dyDescent="0.2">
      <c r="A529" s="542"/>
      <c r="B529" s="500"/>
      <c r="C529" s="500"/>
      <c r="D529" s="540"/>
      <c r="E529" s="495"/>
      <c r="F529" s="426"/>
      <c r="G529" s="426"/>
      <c r="H529" s="426"/>
      <c r="I529" s="448"/>
      <c r="J529" s="444"/>
      <c r="K529" s="372"/>
      <c r="L529" s="424"/>
      <c r="M529" s="372"/>
      <c r="N529" s="372"/>
      <c r="O529" s="372"/>
      <c r="P529" s="372"/>
      <c r="R529" s="372"/>
    </row>
    <row r="530" spans="1:18" s="373" customFormat="1" x14ac:dyDescent="0.2">
      <c r="A530" s="542"/>
      <c r="B530" s="500"/>
      <c r="C530" s="500"/>
      <c r="D530" s="540" t="s">
        <v>2331</v>
      </c>
      <c r="E530" s="495"/>
      <c r="F530" s="426"/>
      <c r="G530" s="426"/>
      <c r="H530" s="426"/>
      <c r="I530" s="448"/>
      <c r="J530" s="444"/>
      <c r="K530" s="372"/>
      <c r="L530" s="424"/>
      <c r="M530" s="372"/>
      <c r="N530" s="372"/>
      <c r="O530" s="372"/>
      <c r="P530" s="372"/>
      <c r="R530" s="372"/>
    </row>
    <row r="531" spans="1:18" s="373" customFormat="1" x14ac:dyDescent="0.2">
      <c r="A531" s="542"/>
      <c r="B531" s="500"/>
      <c r="C531" s="500"/>
      <c r="D531" s="540"/>
      <c r="E531" s="495"/>
      <c r="F531" s="426"/>
      <c r="G531" s="426"/>
      <c r="H531" s="426"/>
      <c r="I531" s="448"/>
      <c r="J531" s="444"/>
      <c r="K531" s="372"/>
      <c r="L531" s="424"/>
      <c r="M531" s="372"/>
      <c r="N531" s="372"/>
      <c r="O531" s="372"/>
      <c r="P531" s="372"/>
      <c r="R531" s="372"/>
    </row>
    <row r="532" spans="1:18" s="373" customFormat="1" ht="45" x14ac:dyDescent="0.2">
      <c r="A532" s="542" t="s">
        <v>1374</v>
      </c>
      <c r="B532" s="500" t="s">
        <v>45</v>
      </c>
      <c r="C532" s="500" t="s">
        <v>343</v>
      </c>
      <c r="D532" s="540" t="s">
        <v>1447</v>
      </c>
      <c r="E532" s="495" t="s">
        <v>18</v>
      </c>
      <c r="F532" s="426">
        <v>8</v>
      </c>
      <c r="G532" s="426">
        <v>1216.3</v>
      </c>
      <c r="H532" s="426">
        <f t="shared" si="31"/>
        <v>1537.84</v>
      </c>
      <c r="I532" s="448">
        <f t="shared" si="32"/>
        <v>12302.72</v>
      </c>
      <c r="J532" s="444"/>
      <c r="K532" s="372">
        <v>1</v>
      </c>
      <c r="L532" s="424">
        <v>11</v>
      </c>
      <c r="M532" s="372"/>
      <c r="N532" s="372"/>
      <c r="O532" s="372"/>
      <c r="P532" s="372"/>
      <c r="R532" s="372"/>
    </row>
    <row r="533" spans="1:18" s="373" customFormat="1" x14ac:dyDescent="0.2">
      <c r="A533" s="542"/>
      <c r="B533" s="500"/>
      <c r="C533" s="500"/>
      <c r="D533" s="540"/>
      <c r="E533" s="495"/>
      <c r="F533" s="426"/>
      <c r="G533" s="426"/>
      <c r="H533" s="426"/>
      <c r="I533" s="448"/>
      <c r="J533" s="444"/>
      <c r="K533" s="372"/>
      <c r="L533" s="424"/>
      <c r="M533" s="372"/>
      <c r="N533" s="372"/>
      <c r="O533" s="372"/>
      <c r="P533" s="372"/>
      <c r="R533" s="372"/>
    </row>
    <row r="534" spans="1:18" s="373" customFormat="1" x14ac:dyDescent="0.2">
      <c r="A534" s="542"/>
      <c r="B534" s="500"/>
      <c r="C534" s="500"/>
      <c r="D534" s="540" t="s">
        <v>2332</v>
      </c>
      <c r="E534" s="495"/>
      <c r="F534" s="426"/>
      <c r="G534" s="426"/>
      <c r="H534" s="426"/>
      <c r="I534" s="448"/>
      <c r="J534" s="444"/>
      <c r="K534" s="372"/>
      <c r="L534" s="424"/>
      <c r="M534" s="372"/>
      <c r="N534" s="372"/>
      <c r="O534" s="372"/>
      <c r="P534" s="372"/>
      <c r="R534" s="372"/>
    </row>
    <row r="535" spans="1:18" s="373" customFormat="1" x14ac:dyDescent="0.2">
      <c r="A535" s="542"/>
      <c r="B535" s="500"/>
      <c r="C535" s="500"/>
      <c r="D535" s="540"/>
      <c r="E535" s="495"/>
      <c r="F535" s="426"/>
      <c r="G535" s="426"/>
      <c r="H535" s="426"/>
      <c r="I535" s="448"/>
      <c r="J535" s="444"/>
      <c r="K535" s="372"/>
      <c r="L535" s="424"/>
      <c r="M535" s="372"/>
      <c r="N535" s="372"/>
      <c r="O535" s="372"/>
      <c r="P535" s="372"/>
      <c r="R535" s="372"/>
    </row>
    <row r="536" spans="1:18" s="373" customFormat="1" ht="45" x14ac:dyDescent="0.2">
      <c r="A536" s="542" t="s">
        <v>1375</v>
      </c>
      <c r="B536" s="500" t="s">
        <v>45</v>
      </c>
      <c r="C536" s="500" t="s">
        <v>344</v>
      </c>
      <c r="D536" s="540" t="s">
        <v>1448</v>
      </c>
      <c r="E536" s="495" t="s">
        <v>18</v>
      </c>
      <c r="F536" s="426">
        <v>5</v>
      </c>
      <c r="G536" s="426">
        <v>1024.5</v>
      </c>
      <c r="H536" s="426">
        <f t="shared" si="31"/>
        <v>1295.33</v>
      </c>
      <c r="I536" s="448">
        <f t="shared" si="32"/>
        <v>6476.65</v>
      </c>
      <c r="J536" s="444"/>
      <c r="K536" s="372">
        <v>1.2</v>
      </c>
      <c r="L536" s="424">
        <v>8</v>
      </c>
      <c r="M536" s="372"/>
      <c r="N536" s="372"/>
      <c r="O536" s="372"/>
      <c r="P536" s="372"/>
      <c r="R536" s="372"/>
    </row>
    <row r="537" spans="1:18" s="373" customFormat="1" x14ac:dyDescent="0.2">
      <c r="A537" s="542"/>
      <c r="B537" s="500"/>
      <c r="C537" s="500"/>
      <c r="D537" s="540"/>
      <c r="E537" s="495"/>
      <c r="F537" s="426"/>
      <c r="G537" s="426"/>
      <c r="H537" s="426"/>
      <c r="I537" s="448"/>
      <c r="J537" s="444"/>
      <c r="K537" s="372"/>
      <c r="L537" s="424"/>
      <c r="M537" s="372"/>
      <c r="N537" s="372"/>
      <c r="O537" s="372"/>
      <c r="P537" s="372"/>
      <c r="R537" s="372"/>
    </row>
    <row r="538" spans="1:18" s="373" customFormat="1" x14ac:dyDescent="0.2">
      <c r="A538" s="542"/>
      <c r="B538" s="500"/>
      <c r="C538" s="500"/>
      <c r="D538" s="540" t="s">
        <v>2333</v>
      </c>
      <c r="E538" s="495"/>
      <c r="F538" s="426"/>
      <c r="G538" s="426"/>
      <c r="H538" s="426"/>
      <c r="I538" s="448"/>
      <c r="J538" s="444"/>
      <c r="K538" s="372"/>
      <c r="L538" s="424"/>
      <c r="M538" s="372"/>
      <c r="N538" s="372"/>
      <c r="O538" s="372"/>
      <c r="P538" s="372"/>
      <c r="R538" s="372"/>
    </row>
    <row r="539" spans="1:18" s="373" customFormat="1" x14ac:dyDescent="0.2">
      <c r="A539" s="542"/>
      <c r="B539" s="500"/>
      <c r="C539" s="500"/>
      <c r="D539" s="540"/>
      <c r="E539" s="495"/>
      <c r="F539" s="426"/>
      <c r="G539" s="426"/>
      <c r="H539" s="426"/>
      <c r="I539" s="448"/>
      <c r="J539" s="444"/>
      <c r="K539" s="372"/>
      <c r="L539" s="424"/>
      <c r="M539" s="372"/>
      <c r="N539" s="372"/>
      <c r="O539" s="372"/>
      <c r="P539" s="372"/>
      <c r="R539" s="372"/>
    </row>
    <row r="540" spans="1:18" s="373" customFormat="1" ht="45" x14ac:dyDescent="0.2">
      <c r="A540" s="542" t="s">
        <v>1376</v>
      </c>
      <c r="B540" s="500" t="s">
        <v>45</v>
      </c>
      <c r="C540" s="500" t="s">
        <v>1449</v>
      </c>
      <c r="D540" s="540" t="s">
        <v>1450</v>
      </c>
      <c r="E540" s="495" t="s">
        <v>18</v>
      </c>
      <c r="F540" s="426">
        <v>3</v>
      </c>
      <c r="G540" s="426">
        <v>1366.79</v>
      </c>
      <c r="H540" s="426">
        <f t="shared" si="31"/>
        <v>1728.11</v>
      </c>
      <c r="I540" s="448">
        <f t="shared" si="32"/>
        <v>5184.33</v>
      </c>
      <c r="J540" s="444"/>
      <c r="K540" s="372">
        <v>1.4</v>
      </c>
      <c r="L540" s="424">
        <v>5</v>
      </c>
      <c r="M540" s="372"/>
      <c r="N540" s="372"/>
      <c r="O540" s="372"/>
      <c r="P540" s="372"/>
      <c r="R540" s="372"/>
    </row>
    <row r="541" spans="1:18" s="373" customFormat="1" x14ac:dyDescent="0.2">
      <c r="A541" s="542"/>
      <c r="B541" s="500"/>
      <c r="C541" s="500"/>
      <c r="D541" s="540"/>
      <c r="E541" s="495"/>
      <c r="F541" s="426"/>
      <c r="G541" s="426"/>
      <c r="H541" s="426"/>
      <c r="I541" s="448"/>
      <c r="J541" s="444"/>
      <c r="K541" s="372"/>
      <c r="L541" s="424"/>
      <c r="M541" s="372"/>
      <c r="N541" s="372"/>
      <c r="O541" s="372"/>
      <c r="P541" s="372"/>
      <c r="R541" s="372"/>
    </row>
    <row r="542" spans="1:18" s="373" customFormat="1" x14ac:dyDescent="0.2">
      <c r="A542" s="542"/>
      <c r="B542" s="500"/>
      <c r="C542" s="500"/>
      <c r="D542" s="540" t="s">
        <v>2334</v>
      </c>
      <c r="E542" s="495"/>
      <c r="F542" s="426"/>
      <c r="G542" s="426"/>
      <c r="H542" s="426"/>
      <c r="I542" s="448"/>
      <c r="J542" s="444"/>
      <c r="K542" s="372"/>
      <c r="L542" s="424"/>
      <c r="M542" s="372"/>
      <c r="N542" s="372"/>
      <c r="O542" s="372"/>
      <c r="P542" s="372"/>
      <c r="R542" s="372"/>
    </row>
    <row r="543" spans="1:18" s="373" customFormat="1" x14ac:dyDescent="0.2">
      <c r="A543" s="542"/>
      <c r="B543" s="500"/>
      <c r="C543" s="500"/>
      <c r="D543" s="540"/>
      <c r="E543" s="495"/>
      <c r="F543" s="426"/>
      <c r="G543" s="426"/>
      <c r="H543" s="426"/>
      <c r="I543" s="448"/>
      <c r="J543" s="444"/>
      <c r="K543" s="372"/>
      <c r="L543" s="424"/>
      <c r="M543" s="372"/>
      <c r="N543" s="372"/>
      <c r="O543" s="372"/>
      <c r="P543" s="372"/>
      <c r="R543" s="372"/>
    </row>
    <row r="544" spans="1:18" s="373" customFormat="1" ht="45" x14ac:dyDescent="0.2">
      <c r="A544" s="542" t="s">
        <v>1377</v>
      </c>
      <c r="B544" s="500" t="s">
        <v>45</v>
      </c>
      <c r="C544" s="500" t="s">
        <v>1451</v>
      </c>
      <c r="D544" s="540" t="s">
        <v>1452</v>
      </c>
      <c r="E544" s="495" t="s">
        <v>18</v>
      </c>
      <c r="F544" s="426">
        <v>3</v>
      </c>
      <c r="G544" s="426">
        <v>1374.97</v>
      </c>
      <c r="H544" s="426">
        <f t="shared" si="31"/>
        <v>1738.45</v>
      </c>
      <c r="I544" s="448">
        <f t="shared" si="32"/>
        <v>5215.3500000000004</v>
      </c>
      <c r="J544" s="444"/>
      <c r="K544" s="372">
        <v>1.5</v>
      </c>
      <c r="L544" s="424">
        <v>3</v>
      </c>
      <c r="M544" s="372"/>
      <c r="N544" s="372"/>
      <c r="O544" s="372"/>
      <c r="P544" s="372"/>
      <c r="R544" s="372"/>
    </row>
    <row r="545" spans="1:18" s="373" customFormat="1" x14ac:dyDescent="0.2">
      <c r="A545" s="542"/>
      <c r="B545" s="500"/>
      <c r="C545" s="500"/>
      <c r="D545" s="540"/>
      <c r="E545" s="495"/>
      <c r="F545" s="426"/>
      <c r="G545" s="426"/>
      <c r="H545" s="426"/>
      <c r="I545" s="448"/>
      <c r="J545" s="444"/>
      <c r="K545" s="372"/>
      <c r="L545" s="424"/>
      <c r="M545" s="372"/>
      <c r="N545" s="372"/>
      <c r="O545" s="372"/>
      <c r="P545" s="372"/>
      <c r="R545" s="372"/>
    </row>
    <row r="546" spans="1:18" s="373" customFormat="1" x14ac:dyDescent="0.2">
      <c r="A546" s="542"/>
      <c r="B546" s="500"/>
      <c r="C546" s="500"/>
      <c r="D546" s="540" t="s">
        <v>2334</v>
      </c>
      <c r="E546" s="495"/>
      <c r="F546" s="426"/>
      <c r="G546" s="426"/>
      <c r="H546" s="426"/>
      <c r="I546" s="448"/>
      <c r="J546" s="444"/>
      <c r="K546" s="372"/>
      <c r="L546" s="424"/>
      <c r="M546" s="372"/>
      <c r="N546" s="372"/>
      <c r="O546" s="372"/>
      <c r="P546" s="372"/>
      <c r="R546" s="372"/>
    </row>
    <row r="547" spans="1:18" s="373" customFormat="1" x14ac:dyDescent="0.2">
      <c r="A547" s="542"/>
      <c r="B547" s="500"/>
      <c r="C547" s="500"/>
      <c r="D547" s="540"/>
      <c r="E547" s="495"/>
      <c r="F547" s="426"/>
      <c r="G547" s="426"/>
      <c r="H547" s="426"/>
      <c r="I547" s="448"/>
      <c r="J547" s="444"/>
      <c r="K547" s="372"/>
      <c r="L547" s="424"/>
      <c r="M547" s="372"/>
      <c r="N547" s="372"/>
      <c r="O547" s="372"/>
      <c r="P547" s="372"/>
      <c r="R547" s="372"/>
    </row>
    <row r="548" spans="1:18" s="373" customFormat="1" ht="45" x14ac:dyDescent="0.2">
      <c r="A548" s="542" t="s">
        <v>1378</v>
      </c>
      <c r="B548" s="500" t="s">
        <v>45</v>
      </c>
      <c r="C548" s="500" t="s">
        <v>1453</v>
      </c>
      <c r="D548" s="540" t="s">
        <v>1454</v>
      </c>
      <c r="E548" s="495" t="s">
        <v>18</v>
      </c>
      <c r="F548" s="426">
        <v>3</v>
      </c>
      <c r="G548" s="426">
        <v>1385.24</v>
      </c>
      <c r="H548" s="426">
        <f t="shared" si="31"/>
        <v>1751.44</v>
      </c>
      <c r="I548" s="448">
        <f t="shared" si="32"/>
        <v>5254.32</v>
      </c>
      <c r="J548" s="444"/>
      <c r="K548" s="372">
        <v>1.6</v>
      </c>
      <c r="L548" s="424">
        <v>3</v>
      </c>
      <c r="M548" s="372"/>
      <c r="N548" s="372"/>
      <c r="O548" s="372"/>
      <c r="P548" s="372"/>
      <c r="R548" s="372"/>
    </row>
    <row r="549" spans="1:18" s="373" customFormat="1" x14ac:dyDescent="0.2">
      <c r="A549" s="542"/>
      <c r="B549" s="500"/>
      <c r="C549" s="500"/>
      <c r="D549" s="540"/>
      <c r="E549" s="495"/>
      <c r="F549" s="426"/>
      <c r="G549" s="426"/>
      <c r="H549" s="426"/>
      <c r="I549" s="448"/>
      <c r="J549" s="444"/>
      <c r="K549" s="372"/>
      <c r="L549" s="424"/>
      <c r="M549" s="372"/>
      <c r="N549" s="372"/>
      <c r="O549" s="372"/>
      <c r="P549" s="372"/>
      <c r="R549" s="372"/>
    </row>
    <row r="550" spans="1:18" s="373" customFormat="1" x14ac:dyDescent="0.2">
      <c r="A550" s="542"/>
      <c r="B550" s="500"/>
      <c r="C550" s="500"/>
      <c r="D550" s="540" t="s">
        <v>2334</v>
      </c>
      <c r="E550" s="495"/>
      <c r="F550" s="426"/>
      <c r="G550" s="426"/>
      <c r="H550" s="426"/>
      <c r="I550" s="448"/>
      <c r="J550" s="444"/>
      <c r="K550" s="372"/>
      <c r="L550" s="424"/>
      <c r="M550" s="372"/>
      <c r="N550" s="372"/>
      <c r="O550" s="372"/>
      <c r="P550" s="372"/>
      <c r="R550" s="372"/>
    </row>
    <row r="551" spans="1:18" s="373" customFormat="1" x14ac:dyDescent="0.2">
      <c r="A551" s="542"/>
      <c r="B551" s="500"/>
      <c r="C551" s="500"/>
      <c r="D551" s="540"/>
      <c r="E551" s="495"/>
      <c r="F551" s="426"/>
      <c r="G551" s="426"/>
      <c r="H551" s="426"/>
      <c r="I551" s="448"/>
      <c r="J551" s="444"/>
      <c r="K551" s="372"/>
      <c r="L551" s="424"/>
      <c r="M551" s="372"/>
      <c r="N551" s="372"/>
      <c r="O551" s="372"/>
      <c r="P551" s="372"/>
      <c r="R551" s="372"/>
    </row>
    <row r="552" spans="1:18" s="373" customFormat="1" ht="45" x14ac:dyDescent="0.2">
      <c r="A552" s="542" t="s">
        <v>1379</v>
      </c>
      <c r="B552" s="500" t="s">
        <v>45</v>
      </c>
      <c r="C552" s="500" t="s">
        <v>1455</v>
      </c>
      <c r="D552" s="540" t="s">
        <v>1456</v>
      </c>
      <c r="E552" s="495" t="s">
        <v>18</v>
      </c>
      <c r="F552" s="426">
        <v>4</v>
      </c>
      <c r="G552" s="426">
        <v>1496.01</v>
      </c>
      <c r="H552" s="426">
        <f t="shared" si="31"/>
        <v>1891.49</v>
      </c>
      <c r="I552" s="448">
        <f t="shared" si="32"/>
        <v>7565.96</v>
      </c>
      <c r="J552" s="444"/>
      <c r="K552" s="372">
        <v>1.7</v>
      </c>
      <c r="L552" s="424">
        <v>3</v>
      </c>
      <c r="M552" s="372"/>
      <c r="N552" s="372"/>
      <c r="O552" s="372"/>
      <c r="P552" s="372"/>
      <c r="R552" s="372"/>
    </row>
    <row r="553" spans="1:18" s="373" customFormat="1" x14ac:dyDescent="0.2">
      <c r="A553" s="542"/>
      <c r="B553" s="500"/>
      <c r="C553" s="500"/>
      <c r="D553" s="540"/>
      <c r="E553" s="495"/>
      <c r="F553" s="426"/>
      <c r="G553" s="426"/>
      <c r="H553" s="426"/>
      <c r="I553" s="448"/>
      <c r="J553" s="444"/>
      <c r="K553" s="372"/>
      <c r="L553" s="424"/>
      <c r="M553" s="372"/>
      <c r="N553" s="372"/>
      <c r="O553" s="372"/>
      <c r="P553" s="372"/>
      <c r="R553" s="372"/>
    </row>
    <row r="554" spans="1:18" s="373" customFormat="1" x14ac:dyDescent="0.2">
      <c r="A554" s="542"/>
      <c r="B554" s="500"/>
      <c r="C554" s="500"/>
      <c r="D554" s="540" t="s">
        <v>2335</v>
      </c>
      <c r="E554" s="495"/>
      <c r="F554" s="426"/>
      <c r="G554" s="426"/>
      <c r="H554" s="426"/>
      <c r="I554" s="448"/>
      <c r="J554" s="444"/>
      <c r="K554" s="372"/>
      <c r="L554" s="424"/>
      <c r="M554" s="372"/>
      <c r="N554" s="372"/>
      <c r="O554" s="372"/>
      <c r="P554" s="372"/>
      <c r="R554" s="372"/>
    </row>
    <row r="555" spans="1:18" s="373" customFormat="1" x14ac:dyDescent="0.2">
      <c r="A555" s="542"/>
      <c r="B555" s="500"/>
      <c r="C555" s="500"/>
      <c r="D555" s="540"/>
      <c r="E555" s="495"/>
      <c r="F555" s="426"/>
      <c r="G555" s="426"/>
      <c r="H555" s="426"/>
      <c r="I555" s="448"/>
      <c r="J555" s="444"/>
      <c r="K555" s="372"/>
      <c r="L555" s="424"/>
      <c r="M555" s="372"/>
      <c r="N555" s="372"/>
      <c r="O555" s="372"/>
      <c r="P555" s="372"/>
      <c r="R555" s="372"/>
    </row>
    <row r="556" spans="1:18" s="373" customFormat="1" ht="45" x14ac:dyDescent="0.2">
      <c r="A556" s="542" t="s">
        <v>1380</v>
      </c>
      <c r="B556" s="500" t="s">
        <v>45</v>
      </c>
      <c r="C556" s="500" t="s">
        <v>345</v>
      </c>
      <c r="D556" s="540" t="s">
        <v>1457</v>
      </c>
      <c r="E556" s="495" t="s">
        <v>18</v>
      </c>
      <c r="F556" s="426">
        <v>2</v>
      </c>
      <c r="G556" s="426">
        <v>1562.92</v>
      </c>
      <c r="H556" s="426">
        <f t="shared" si="31"/>
        <v>1976.09</v>
      </c>
      <c r="I556" s="448">
        <f t="shared" si="32"/>
        <v>3952.18</v>
      </c>
      <c r="J556" s="444"/>
      <c r="K556" s="372">
        <v>2</v>
      </c>
      <c r="L556" s="424">
        <v>4</v>
      </c>
      <c r="M556" s="372"/>
      <c r="N556" s="372"/>
      <c r="O556" s="372"/>
      <c r="P556" s="372"/>
      <c r="R556" s="372"/>
    </row>
    <row r="557" spans="1:18" s="373" customFormat="1" x14ac:dyDescent="0.2">
      <c r="A557" s="542"/>
      <c r="B557" s="500"/>
      <c r="C557" s="500"/>
      <c r="D557" s="540"/>
      <c r="E557" s="495"/>
      <c r="F557" s="426"/>
      <c r="G557" s="426"/>
      <c r="H557" s="426"/>
      <c r="I557" s="448"/>
      <c r="J557" s="444"/>
      <c r="K557" s="372"/>
      <c r="L557" s="424"/>
      <c r="M557" s="372"/>
      <c r="N557" s="372"/>
      <c r="O557" s="372"/>
      <c r="P557" s="372"/>
      <c r="R557" s="372"/>
    </row>
    <row r="558" spans="1:18" s="373" customFormat="1" x14ac:dyDescent="0.2">
      <c r="A558" s="542"/>
      <c r="B558" s="500"/>
      <c r="C558" s="500"/>
      <c r="D558" s="540" t="s">
        <v>2279</v>
      </c>
      <c r="E558" s="495"/>
      <c r="F558" s="426"/>
      <c r="G558" s="426"/>
      <c r="H558" s="426"/>
      <c r="I558" s="448"/>
      <c r="J558" s="444"/>
      <c r="K558" s="372"/>
      <c r="L558" s="424"/>
      <c r="M558" s="372"/>
      <c r="N558" s="372"/>
      <c r="O558" s="372"/>
      <c r="P558" s="372"/>
      <c r="R558" s="372"/>
    </row>
    <row r="559" spans="1:18" s="373" customFormat="1" x14ac:dyDescent="0.2">
      <c r="A559" s="542"/>
      <c r="B559" s="500"/>
      <c r="C559" s="500"/>
      <c r="D559" s="540"/>
      <c r="E559" s="495"/>
      <c r="F559" s="426"/>
      <c r="G559" s="426"/>
      <c r="H559" s="426"/>
      <c r="I559" s="448"/>
      <c r="J559" s="444"/>
      <c r="K559" s="372"/>
      <c r="L559" s="424"/>
      <c r="M559" s="372"/>
      <c r="N559" s="372"/>
      <c r="O559" s="372"/>
      <c r="P559" s="372"/>
      <c r="R559" s="372"/>
    </row>
    <row r="560" spans="1:18" s="373" customFormat="1" ht="30" x14ac:dyDescent="0.2">
      <c r="A560" s="542" t="s">
        <v>1381</v>
      </c>
      <c r="B560" s="500" t="s">
        <v>45</v>
      </c>
      <c r="C560" s="500" t="s">
        <v>446</v>
      </c>
      <c r="D560" s="540" t="s">
        <v>944</v>
      </c>
      <c r="E560" s="495" t="s">
        <v>18</v>
      </c>
      <c r="F560" s="426">
        <v>6</v>
      </c>
      <c r="G560" s="426">
        <v>1673.7</v>
      </c>
      <c r="H560" s="426">
        <f t="shared" si="31"/>
        <v>2116.15</v>
      </c>
      <c r="I560" s="448">
        <f t="shared" si="32"/>
        <v>12696.9</v>
      </c>
      <c r="J560" s="444"/>
      <c r="K560" s="372">
        <v>2.2999999999999998</v>
      </c>
      <c r="L560" s="424">
        <v>2</v>
      </c>
      <c r="M560" s="372"/>
      <c r="N560" s="372"/>
      <c r="O560" s="372"/>
      <c r="P560" s="372"/>
      <c r="R560" s="372"/>
    </row>
    <row r="561" spans="1:18" s="373" customFormat="1" x14ac:dyDescent="0.2">
      <c r="A561" s="542"/>
      <c r="B561" s="500"/>
      <c r="C561" s="500"/>
      <c r="D561" s="540"/>
      <c r="E561" s="495"/>
      <c r="F561" s="426"/>
      <c r="G561" s="426"/>
      <c r="H561" s="426"/>
      <c r="I561" s="448"/>
      <c r="J561" s="444"/>
      <c r="K561" s="372"/>
      <c r="L561" s="424"/>
      <c r="M561" s="372"/>
      <c r="N561" s="372"/>
      <c r="O561" s="372"/>
      <c r="P561" s="372"/>
      <c r="R561" s="372"/>
    </row>
    <row r="562" spans="1:18" s="373" customFormat="1" x14ac:dyDescent="0.2">
      <c r="A562" s="542"/>
      <c r="B562" s="500"/>
      <c r="C562" s="500"/>
      <c r="D562" s="540" t="s">
        <v>2330</v>
      </c>
      <c r="E562" s="495"/>
      <c r="F562" s="426"/>
      <c r="G562" s="426"/>
      <c r="H562" s="426"/>
      <c r="I562" s="448"/>
      <c r="J562" s="444"/>
      <c r="K562" s="372"/>
      <c r="L562" s="424"/>
      <c r="M562" s="372"/>
      <c r="N562" s="372"/>
      <c r="O562" s="372"/>
      <c r="P562" s="372"/>
      <c r="R562" s="372"/>
    </row>
    <row r="563" spans="1:18" s="373" customFormat="1" x14ac:dyDescent="0.2">
      <c r="A563" s="542"/>
      <c r="B563" s="500"/>
      <c r="C563" s="500"/>
      <c r="D563" s="540"/>
      <c r="E563" s="495"/>
      <c r="F563" s="426"/>
      <c r="G563" s="426"/>
      <c r="H563" s="426"/>
      <c r="I563" s="448"/>
      <c r="J563" s="444"/>
      <c r="K563" s="372"/>
      <c r="L563" s="424"/>
      <c r="M563" s="372"/>
      <c r="N563" s="372"/>
      <c r="O563" s="372"/>
      <c r="P563" s="372"/>
      <c r="R563" s="372"/>
    </row>
    <row r="564" spans="1:18" s="373" customFormat="1" ht="30" x14ac:dyDescent="0.2">
      <c r="A564" s="542" t="s">
        <v>1459</v>
      </c>
      <c r="B564" s="500" t="s">
        <v>45</v>
      </c>
      <c r="C564" s="500">
        <v>6240</v>
      </c>
      <c r="D564" s="540" t="s">
        <v>1458</v>
      </c>
      <c r="E564" s="495" t="s">
        <v>18</v>
      </c>
      <c r="F564" s="426">
        <v>17</v>
      </c>
      <c r="G564" s="426">
        <v>403.82</v>
      </c>
      <c r="H564" s="426">
        <f>ROUND((1+$K$16)*G564,2)</f>
        <v>471.66</v>
      </c>
      <c r="I564" s="448">
        <f t="shared" ref="I564" si="33">ROUND(F564*H564,2)</f>
        <v>8018.22</v>
      </c>
      <c r="J564" s="444"/>
      <c r="K564" s="372"/>
      <c r="L564" s="424"/>
      <c r="M564" s="372"/>
      <c r="N564" s="372"/>
      <c r="O564" s="372"/>
      <c r="P564" s="372"/>
      <c r="R564" s="372"/>
    </row>
    <row r="565" spans="1:18" s="373" customFormat="1" x14ac:dyDescent="0.2">
      <c r="A565" s="542"/>
      <c r="B565" s="500"/>
      <c r="C565" s="500"/>
      <c r="D565" s="540"/>
      <c r="E565" s="495"/>
      <c r="F565" s="426"/>
      <c r="G565" s="426"/>
      <c r="H565" s="426"/>
      <c r="I565" s="448"/>
      <c r="J565" s="444"/>
      <c r="K565" s="372"/>
      <c r="L565" s="424"/>
      <c r="M565" s="372"/>
      <c r="N565" s="372"/>
      <c r="O565" s="372"/>
      <c r="P565" s="372"/>
      <c r="R565" s="372"/>
    </row>
    <row r="566" spans="1:18" s="373" customFormat="1" x14ac:dyDescent="0.2">
      <c r="A566" s="542"/>
      <c r="B566" s="500"/>
      <c r="C566" s="500"/>
      <c r="D566" s="540" t="s">
        <v>2336</v>
      </c>
      <c r="E566" s="495"/>
      <c r="F566" s="426"/>
      <c r="G566" s="426"/>
      <c r="H566" s="426"/>
      <c r="I566" s="448"/>
      <c r="J566" s="444"/>
      <c r="K566" s="372"/>
      <c r="L566" s="424"/>
      <c r="M566" s="372"/>
      <c r="N566" s="372"/>
      <c r="O566" s="372"/>
      <c r="P566" s="372"/>
      <c r="R566" s="372"/>
    </row>
    <row r="567" spans="1:18" s="373" customFormat="1" x14ac:dyDescent="0.2">
      <c r="A567" s="542"/>
      <c r="B567" s="500"/>
      <c r="C567" s="500"/>
      <c r="D567" s="540"/>
      <c r="E567" s="495"/>
      <c r="F567" s="426"/>
      <c r="G567" s="426"/>
      <c r="H567" s="426"/>
      <c r="I567" s="448"/>
      <c r="J567" s="444"/>
      <c r="K567" s="372"/>
      <c r="L567" s="424"/>
      <c r="M567" s="372"/>
      <c r="N567" s="372"/>
      <c r="O567" s="372"/>
      <c r="P567" s="372"/>
      <c r="R567" s="372"/>
    </row>
    <row r="568" spans="1:18" ht="15.75" x14ac:dyDescent="0.2">
      <c r="A568" s="558" t="s">
        <v>319</v>
      </c>
      <c r="B568" s="501"/>
      <c r="C568" s="501"/>
      <c r="D568" s="545" t="s">
        <v>346</v>
      </c>
      <c r="E568" s="491"/>
      <c r="F568" s="404"/>
      <c r="G568" s="405"/>
      <c r="H568" s="406"/>
      <c r="I568" s="407">
        <f>SUM(I569:I601)</f>
        <v>709517.69000000006</v>
      </c>
      <c r="J568" s="435"/>
      <c r="K568" s="372"/>
      <c r="L568" s="424"/>
      <c r="M568" s="372"/>
      <c r="N568" s="372"/>
      <c r="O568" s="372"/>
      <c r="P568" s="372"/>
      <c r="R568" s="372"/>
    </row>
    <row r="569" spans="1:18" ht="45" x14ac:dyDescent="0.2">
      <c r="A569" s="557" t="s">
        <v>1009</v>
      </c>
      <c r="B569" s="500" t="s">
        <v>45</v>
      </c>
      <c r="C569" s="506">
        <v>90695</v>
      </c>
      <c r="D569" s="554" t="s">
        <v>768</v>
      </c>
      <c r="E569" s="494" t="s">
        <v>17</v>
      </c>
      <c r="F569" s="426">
        <v>1854</v>
      </c>
      <c r="G569" s="426">
        <v>37.46</v>
      </c>
      <c r="H569" s="426">
        <f>ROUND((1+$L$16)*G569,2)</f>
        <v>47.36</v>
      </c>
      <c r="I569" s="448">
        <f t="shared" ref="I569" si="34">ROUND(F569*H569,2)</f>
        <v>87805.440000000002</v>
      </c>
      <c r="J569" s="435"/>
      <c r="K569" s="372"/>
      <c r="L569" s="424"/>
      <c r="M569" s="372"/>
      <c r="N569" s="372"/>
      <c r="O569" s="372"/>
      <c r="P569" s="372"/>
      <c r="R569" s="372"/>
    </row>
    <row r="570" spans="1:18" x14ac:dyDescent="0.2">
      <c r="A570" s="557"/>
      <c r="B570" s="500"/>
      <c r="C570" s="506"/>
      <c r="D570" s="554"/>
      <c r="E570" s="494"/>
      <c r="F570" s="426"/>
      <c r="G570" s="426"/>
      <c r="H570" s="426"/>
      <c r="I570" s="448"/>
      <c r="J570" s="435"/>
      <c r="K570" s="372"/>
      <c r="L570" s="424"/>
      <c r="M570" s="372"/>
      <c r="N570" s="372"/>
      <c r="O570" s="372"/>
      <c r="P570" s="372"/>
      <c r="R570" s="372"/>
    </row>
    <row r="571" spans="1:18" x14ac:dyDescent="0.2">
      <c r="A571" s="557"/>
      <c r="B571" s="500"/>
      <c r="C571" s="506"/>
      <c r="D571" s="554" t="s">
        <v>2337</v>
      </c>
      <c r="E571" s="494"/>
      <c r="F571" s="426"/>
      <c r="G571" s="426"/>
      <c r="H571" s="426"/>
      <c r="I571" s="448"/>
      <c r="J571" s="435"/>
      <c r="K571" s="372"/>
      <c r="L571" s="424"/>
      <c r="M571" s="372"/>
      <c r="N571" s="372"/>
      <c r="O571" s="372"/>
      <c r="P571" s="372"/>
      <c r="R571" s="372"/>
    </row>
    <row r="572" spans="1:18" x14ac:dyDescent="0.2">
      <c r="A572" s="557"/>
      <c r="B572" s="500"/>
      <c r="C572" s="506"/>
      <c r="D572" s="554"/>
      <c r="E572" s="494"/>
      <c r="F572" s="426"/>
      <c r="G572" s="426"/>
      <c r="H572" s="426"/>
      <c r="I572" s="448"/>
      <c r="J572" s="435"/>
      <c r="K572" s="372"/>
      <c r="L572" s="424"/>
      <c r="M572" s="372"/>
      <c r="N572" s="372"/>
      <c r="O572" s="372"/>
      <c r="P572" s="372"/>
      <c r="R572" s="372"/>
    </row>
    <row r="573" spans="1:18" ht="45" x14ac:dyDescent="0.2">
      <c r="A573" s="557" t="s">
        <v>1010</v>
      </c>
      <c r="B573" s="500" t="s">
        <v>45</v>
      </c>
      <c r="C573" s="500">
        <v>90696</v>
      </c>
      <c r="D573" s="554" t="s">
        <v>831</v>
      </c>
      <c r="E573" s="495" t="s">
        <v>17</v>
      </c>
      <c r="F573" s="426">
        <v>750</v>
      </c>
      <c r="G573" s="426">
        <v>57.28</v>
      </c>
      <c r="H573" s="426">
        <f>ROUND((1+$L$16)*G573,2)</f>
        <v>72.42</v>
      </c>
      <c r="I573" s="448">
        <f t="shared" ref="I573:I601" si="35">ROUND(F573*H573,2)</f>
        <v>54315</v>
      </c>
      <c r="J573" s="435"/>
      <c r="K573" s="372"/>
      <c r="L573" s="424"/>
      <c r="M573" s="372"/>
      <c r="N573" s="372"/>
      <c r="O573" s="372"/>
      <c r="P573" s="372"/>
      <c r="R573" s="372"/>
    </row>
    <row r="574" spans="1:18" x14ac:dyDescent="0.2">
      <c r="A574" s="557"/>
      <c r="B574" s="500"/>
      <c r="C574" s="500"/>
      <c r="D574" s="554"/>
      <c r="E574" s="495"/>
      <c r="F574" s="426"/>
      <c r="G574" s="426"/>
      <c r="H574" s="426"/>
      <c r="I574" s="448"/>
      <c r="J574" s="435"/>
      <c r="K574" s="372"/>
      <c r="L574" s="424"/>
      <c r="M574" s="372"/>
      <c r="N574" s="372"/>
      <c r="O574" s="372"/>
      <c r="P574" s="372"/>
      <c r="R574" s="372"/>
    </row>
    <row r="575" spans="1:18" x14ac:dyDescent="0.2">
      <c r="A575" s="557"/>
      <c r="B575" s="500"/>
      <c r="C575" s="500"/>
      <c r="D575" s="554" t="s">
        <v>2338</v>
      </c>
      <c r="E575" s="495"/>
      <c r="F575" s="426"/>
      <c r="G575" s="426"/>
      <c r="H575" s="426"/>
      <c r="I575" s="448"/>
      <c r="J575" s="435"/>
      <c r="K575" s="372"/>
      <c r="L575" s="424"/>
      <c r="M575" s="372"/>
      <c r="N575" s="372"/>
      <c r="O575" s="372"/>
      <c r="P575" s="372"/>
      <c r="R575" s="372"/>
    </row>
    <row r="576" spans="1:18" x14ac:dyDescent="0.2">
      <c r="A576" s="550"/>
      <c r="B576" s="551"/>
      <c r="C576" s="551"/>
      <c r="D576" s="552"/>
      <c r="E576" s="495"/>
      <c r="F576" s="426"/>
      <c r="G576" s="426"/>
      <c r="H576" s="426"/>
      <c r="I576" s="448"/>
      <c r="J576" s="435"/>
      <c r="K576" s="372"/>
      <c r="L576" s="424"/>
      <c r="M576" s="372"/>
      <c r="N576" s="372"/>
      <c r="O576" s="372"/>
      <c r="P576" s="372"/>
      <c r="R576" s="372"/>
    </row>
    <row r="577" spans="1:18" ht="45" x14ac:dyDescent="0.2">
      <c r="A577" s="557" t="s">
        <v>1011</v>
      </c>
      <c r="B577" s="500" t="s">
        <v>45</v>
      </c>
      <c r="C577" s="500">
        <v>90697</v>
      </c>
      <c r="D577" s="554" t="s">
        <v>1595</v>
      </c>
      <c r="E577" s="495" t="s">
        <v>17</v>
      </c>
      <c r="F577" s="426">
        <v>328</v>
      </c>
      <c r="G577" s="426">
        <v>94.99</v>
      </c>
      <c r="H577" s="426">
        <f>ROUND((1+$L$16)*G577,2)</f>
        <v>120.1</v>
      </c>
      <c r="I577" s="448">
        <f t="shared" si="35"/>
        <v>39392.800000000003</v>
      </c>
      <c r="J577" s="435"/>
      <c r="K577" s="372"/>
      <c r="L577" s="424"/>
      <c r="M577" s="372"/>
      <c r="N577" s="372"/>
      <c r="O577" s="372"/>
      <c r="P577" s="372"/>
      <c r="R577" s="372"/>
    </row>
    <row r="578" spans="1:18" x14ac:dyDescent="0.2">
      <c r="A578" s="557"/>
      <c r="B578" s="500"/>
      <c r="C578" s="500"/>
      <c r="D578" s="554"/>
      <c r="E578" s="495"/>
      <c r="F578" s="426"/>
      <c r="G578" s="426"/>
      <c r="H578" s="426"/>
      <c r="I578" s="448"/>
      <c r="J578" s="435"/>
      <c r="K578" s="372"/>
      <c r="L578" s="424"/>
      <c r="M578" s="372"/>
      <c r="N578" s="372"/>
      <c r="O578" s="372"/>
      <c r="P578" s="372"/>
      <c r="R578" s="372"/>
    </row>
    <row r="579" spans="1:18" x14ac:dyDescent="0.2">
      <c r="A579" s="557"/>
      <c r="B579" s="500"/>
      <c r="C579" s="500"/>
      <c r="D579" s="554" t="s">
        <v>2339</v>
      </c>
      <c r="E579" s="495"/>
      <c r="F579" s="426"/>
      <c r="G579" s="426"/>
      <c r="H579" s="426"/>
      <c r="I579" s="448"/>
      <c r="J579" s="435"/>
      <c r="K579" s="372"/>
      <c r="L579" s="424"/>
      <c r="M579" s="372"/>
      <c r="N579" s="372"/>
      <c r="O579" s="372"/>
      <c r="P579" s="372"/>
      <c r="R579" s="372"/>
    </row>
    <row r="580" spans="1:18" x14ac:dyDescent="0.2">
      <c r="A580" s="557"/>
      <c r="B580" s="500"/>
      <c r="C580" s="500"/>
      <c r="D580" s="554"/>
      <c r="E580" s="495"/>
      <c r="F580" s="426"/>
      <c r="G580" s="426"/>
      <c r="H580" s="426"/>
      <c r="I580" s="448"/>
      <c r="J580" s="435"/>
      <c r="K580" s="372"/>
      <c r="L580" s="424"/>
      <c r="M580" s="372"/>
      <c r="N580" s="372"/>
      <c r="O580" s="372"/>
      <c r="P580" s="372"/>
      <c r="R580" s="372"/>
    </row>
    <row r="581" spans="1:18" s="373" customFormat="1" x14ac:dyDescent="0.2">
      <c r="A581" s="557" t="s">
        <v>1012</v>
      </c>
      <c r="B581" s="500" t="s">
        <v>65</v>
      </c>
      <c r="C581" s="500"/>
      <c r="D581" s="554" t="s">
        <v>1403</v>
      </c>
      <c r="E581" s="495" t="s">
        <v>17</v>
      </c>
      <c r="F581" s="426">
        <f>F593</f>
        <v>11.69</v>
      </c>
      <c r="G581" s="426">
        <v>389</v>
      </c>
      <c r="H581" s="426">
        <f>ROUND((1+$K$16)*G581,2)</f>
        <v>454.35</v>
      </c>
      <c r="I581" s="448">
        <f t="shared" si="35"/>
        <v>5311.35</v>
      </c>
      <c r="J581" s="444"/>
      <c r="K581" s="372"/>
      <c r="L581" s="424"/>
      <c r="M581" s="372"/>
      <c r="N581" s="372"/>
      <c r="O581" s="372"/>
      <c r="P581" s="372"/>
      <c r="R581" s="372"/>
    </row>
    <row r="582" spans="1:18" s="373" customFormat="1" x14ac:dyDescent="0.2">
      <c r="A582" s="557"/>
      <c r="B582" s="500"/>
      <c r="C582" s="500"/>
      <c r="D582" s="554"/>
      <c r="E582" s="495"/>
      <c r="F582" s="426"/>
      <c r="G582" s="426"/>
      <c r="H582" s="426"/>
      <c r="I582" s="448"/>
      <c r="J582" s="444"/>
      <c r="K582" s="372"/>
      <c r="L582" s="424"/>
      <c r="M582" s="372"/>
      <c r="N582" s="372"/>
      <c r="O582" s="372"/>
      <c r="P582" s="372"/>
      <c r="R582" s="372"/>
    </row>
    <row r="583" spans="1:18" s="373" customFormat="1" x14ac:dyDescent="0.2">
      <c r="A583" s="557"/>
      <c r="B583" s="500"/>
      <c r="C583" s="500"/>
      <c r="D583" s="554" t="s">
        <v>2340</v>
      </c>
      <c r="E583" s="495"/>
      <c r="F583" s="426"/>
      <c r="G583" s="426"/>
      <c r="H583" s="426"/>
      <c r="I583" s="448"/>
      <c r="J583" s="444"/>
      <c r="K583" s="372"/>
      <c r="L583" s="424"/>
      <c r="M583" s="372"/>
      <c r="N583" s="372"/>
      <c r="O583" s="372"/>
      <c r="P583" s="372"/>
      <c r="R583" s="372"/>
    </row>
    <row r="584" spans="1:18" s="373" customFormat="1" x14ac:dyDescent="0.2">
      <c r="A584" s="557"/>
      <c r="B584" s="500"/>
      <c r="C584" s="500"/>
      <c r="D584" s="554"/>
      <c r="E584" s="495"/>
      <c r="F584" s="426"/>
      <c r="G584" s="426"/>
      <c r="H584" s="426"/>
      <c r="I584" s="448"/>
      <c r="J584" s="444"/>
      <c r="K584" s="372"/>
      <c r="L584" s="424"/>
      <c r="M584" s="372"/>
      <c r="N584" s="372"/>
      <c r="O584" s="372"/>
      <c r="P584" s="372"/>
      <c r="R584" s="372"/>
    </row>
    <row r="585" spans="1:18" s="373" customFormat="1" x14ac:dyDescent="0.2">
      <c r="A585" s="557" t="s">
        <v>1013</v>
      </c>
      <c r="B585" s="500" t="s">
        <v>65</v>
      </c>
      <c r="C585" s="500"/>
      <c r="D585" s="554" t="s">
        <v>1405</v>
      </c>
      <c r="E585" s="495" t="s">
        <v>17</v>
      </c>
      <c r="F585" s="426">
        <f>F597</f>
        <v>914</v>
      </c>
      <c r="G585" s="426">
        <v>456</v>
      </c>
      <c r="H585" s="426">
        <f>ROUND((1+$K$16)*G585,2)</f>
        <v>532.61</v>
      </c>
      <c r="I585" s="448">
        <f t="shared" si="35"/>
        <v>486805.54</v>
      </c>
      <c r="J585" s="444"/>
      <c r="K585" s="372"/>
      <c r="L585" s="424"/>
      <c r="M585" s="372"/>
      <c r="N585" s="372"/>
      <c r="O585" s="372"/>
      <c r="P585" s="372"/>
      <c r="R585" s="372"/>
    </row>
    <row r="586" spans="1:18" s="373" customFormat="1" x14ac:dyDescent="0.2">
      <c r="A586" s="557"/>
      <c r="B586" s="500"/>
      <c r="C586" s="500"/>
      <c r="D586" s="554"/>
      <c r="E586" s="495"/>
      <c r="F586" s="426"/>
      <c r="G586" s="426"/>
      <c r="H586" s="426"/>
      <c r="I586" s="448"/>
      <c r="J586" s="444"/>
      <c r="K586" s="372"/>
      <c r="L586" s="424"/>
      <c r="M586" s="372"/>
      <c r="N586" s="372"/>
      <c r="O586" s="372"/>
      <c r="P586" s="372"/>
      <c r="R586" s="372"/>
    </row>
    <row r="587" spans="1:18" s="373" customFormat="1" x14ac:dyDescent="0.2">
      <c r="A587" s="557"/>
      <c r="B587" s="500"/>
      <c r="C587" s="500"/>
      <c r="D587" s="554" t="s">
        <v>2341</v>
      </c>
      <c r="E587" s="495"/>
      <c r="F587" s="426"/>
      <c r="G587" s="426"/>
      <c r="H587" s="426"/>
      <c r="I587" s="448"/>
      <c r="J587" s="444"/>
      <c r="K587" s="372"/>
      <c r="L587" s="424"/>
      <c r="M587" s="372"/>
      <c r="N587" s="372"/>
      <c r="O587" s="372"/>
      <c r="P587" s="372"/>
      <c r="R587" s="372"/>
    </row>
    <row r="588" spans="1:18" s="373" customFormat="1" x14ac:dyDescent="0.2">
      <c r="A588" s="557"/>
      <c r="B588" s="500"/>
      <c r="C588" s="500"/>
      <c r="D588" s="554"/>
      <c r="E588" s="495"/>
      <c r="F588" s="426"/>
      <c r="G588" s="426"/>
      <c r="H588" s="426"/>
      <c r="I588" s="448"/>
      <c r="J588" s="444"/>
      <c r="K588" s="372"/>
      <c r="L588" s="424"/>
      <c r="M588" s="372"/>
      <c r="N588" s="372"/>
      <c r="O588" s="372"/>
      <c r="P588" s="372"/>
      <c r="R588" s="372"/>
    </row>
    <row r="589" spans="1:18" s="373" customFormat="1" x14ac:dyDescent="0.2">
      <c r="A589" s="557" t="s">
        <v>1382</v>
      </c>
      <c r="B589" s="500" t="s">
        <v>65</v>
      </c>
      <c r="C589" s="500"/>
      <c r="D589" s="554" t="s">
        <v>1404</v>
      </c>
      <c r="E589" s="495" t="s">
        <v>17</v>
      </c>
      <c r="F589" s="426">
        <f t="shared" ref="F589" si="36">F601</f>
        <v>39</v>
      </c>
      <c r="G589" s="426">
        <v>560</v>
      </c>
      <c r="H589" s="426">
        <f>ROUND((1+$K$16)*G589,2)</f>
        <v>654.08000000000004</v>
      </c>
      <c r="I589" s="448">
        <f t="shared" si="35"/>
        <v>25509.119999999999</v>
      </c>
      <c r="J589" s="444"/>
      <c r="K589" s="372"/>
      <c r="L589" s="424"/>
      <c r="M589" s="372"/>
      <c r="N589" s="372"/>
      <c r="O589" s="372"/>
      <c r="P589" s="372"/>
      <c r="R589" s="372"/>
    </row>
    <row r="590" spans="1:18" s="373" customFormat="1" x14ac:dyDescent="0.2">
      <c r="A590" s="557"/>
      <c r="B590" s="500"/>
      <c r="C590" s="500"/>
      <c r="D590" s="554"/>
      <c r="E590" s="495"/>
      <c r="F590" s="426"/>
      <c r="G590" s="426"/>
      <c r="H590" s="426"/>
      <c r="I590" s="448"/>
      <c r="J590" s="444"/>
      <c r="K590" s="372"/>
      <c r="L590" s="424"/>
      <c r="M590" s="372"/>
      <c r="N590" s="372"/>
      <c r="O590" s="372"/>
      <c r="P590" s="372"/>
      <c r="R590" s="372"/>
    </row>
    <row r="591" spans="1:18" s="373" customFormat="1" x14ac:dyDescent="0.2">
      <c r="A591" s="557"/>
      <c r="B591" s="500"/>
      <c r="C591" s="500"/>
      <c r="D591" s="554" t="s">
        <v>2342</v>
      </c>
      <c r="E591" s="495"/>
      <c r="F591" s="426"/>
      <c r="G591" s="426"/>
      <c r="H591" s="426"/>
      <c r="I591" s="448"/>
      <c r="J591" s="444"/>
      <c r="K591" s="372"/>
      <c r="L591" s="424"/>
      <c r="M591" s="372"/>
      <c r="N591" s="372"/>
      <c r="O591" s="372"/>
      <c r="P591" s="372"/>
      <c r="R591" s="372"/>
    </row>
    <row r="592" spans="1:18" s="373" customFormat="1" x14ac:dyDescent="0.2">
      <c r="A592" s="557"/>
      <c r="B592" s="500"/>
      <c r="C592" s="500"/>
      <c r="D592" s="554"/>
      <c r="E592" s="495"/>
      <c r="F592" s="426"/>
      <c r="G592" s="426"/>
      <c r="H592" s="426"/>
      <c r="I592" s="448"/>
      <c r="J592" s="444"/>
      <c r="K592" s="372"/>
      <c r="L592" s="424"/>
      <c r="M592" s="372"/>
      <c r="N592" s="372"/>
      <c r="O592" s="372"/>
      <c r="P592" s="372"/>
      <c r="R592" s="372"/>
    </row>
    <row r="593" spans="1:18" ht="30" x14ac:dyDescent="0.2">
      <c r="A593" s="557" t="s">
        <v>1383</v>
      </c>
      <c r="B593" s="500" t="s">
        <v>45</v>
      </c>
      <c r="C593" s="500" t="s">
        <v>79</v>
      </c>
      <c r="D593" s="554" t="s">
        <v>347</v>
      </c>
      <c r="E593" s="495" t="s">
        <v>17</v>
      </c>
      <c r="F593" s="426">
        <v>11.69</v>
      </c>
      <c r="G593" s="426">
        <v>6.6</v>
      </c>
      <c r="H593" s="426">
        <f>ROUND((1+$L$16)*G593,2)</f>
        <v>8.34</v>
      </c>
      <c r="I593" s="448">
        <f t="shared" si="35"/>
        <v>97.49</v>
      </c>
      <c r="J593" s="435"/>
      <c r="K593" s="372"/>
      <c r="L593" s="424"/>
      <c r="M593" s="372"/>
      <c r="N593" s="372"/>
      <c r="O593" s="372"/>
      <c r="P593" s="372"/>
      <c r="R593" s="372"/>
    </row>
    <row r="594" spans="1:18" x14ac:dyDescent="0.2">
      <c r="A594" s="557"/>
      <c r="B594" s="500"/>
      <c r="C594" s="500"/>
      <c r="D594" s="554"/>
      <c r="E594" s="495"/>
      <c r="F594" s="426"/>
      <c r="G594" s="426"/>
      <c r="H594" s="426"/>
      <c r="I594" s="448"/>
      <c r="J594" s="435"/>
      <c r="K594" s="372"/>
      <c r="L594" s="424"/>
      <c r="M594" s="372"/>
      <c r="N594" s="372"/>
      <c r="O594" s="372"/>
      <c r="P594" s="372"/>
      <c r="R594" s="372"/>
    </row>
    <row r="595" spans="1:18" x14ac:dyDescent="0.2">
      <c r="A595" s="557"/>
      <c r="B595" s="500"/>
      <c r="C595" s="500"/>
      <c r="D595" s="554" t="s">
        <v>2343</v>
      </c>
      <c r="E595" s="495"/>
      <c r="F595" s="426"/>
      <c r="G595" s="426"/>
      <c r="H595" s="426"/>
      <c r="I595" s="448"/>
      <c r="J595" s="435"/>
      <c r="K595" s="372"/>
      <c r="L595" s="424"/>
      <c r="M595" s="372"/>
      <c r="N595" s="372"/>
      <c r="O595" s="372"/>
      <c r="P595" s="372"/>
      <c r="R595" s="372"/>
    </row>
    <row r="596" spans="1:18" x14ac:dyDescent="0.2">
      <c r="A596" s="557"/>
      <c r="B596" s="500"/>
      <c r="C596" s="500"/>
      <c r="D596" s="554"/>
      <c r="E596" s="495"/>
      <c r="F596" s="426"/>
      <c r="G596" s="426"/>
      <c r="H596" s="426"/>
      <c r="I596" s="448"/>
      <c r="J596" s="435"/>
      <c r="K596" s="372"/>
      <c r="L596" s="424"/>
      <c r="M596" s="372"/>
      <c r="N596" s="372"/>
      <c r="O596" s="372"/>
      <c r="P596" s="372"/>
      <c r="R596" s="372"/>
    </row>
    <row r="597" spans="1:18" ht="30" x14ac:dyDescent="0.2">
      <c r="A597" s="557" t="s">
        <v>1384</v>
      </c>
      <c r="B597" s="500" t="s">
        <v>45</v>
      </c>
      <c r="C597" s="500" t="s">
        <v>485</v>
      </c>
      <c r="D597" s="554" t="s">
        <v>486</v>
      </c>
      <c r="E597" s="495" t="s">
        <v>17</v>
      </c>
      <c r="F597" s="426">
        <v>914</v>
      </c>
      <c r="G597" s="426">
        <v>8.4600000000000009</v>
      </c>
      <c r="H597" s="426">
        <f>ROUND((1+$L$16)*G597,2)</f>
        <v>10.7</v>
      </c>
      <c r="I597" s="448">
        <f t="shared" si="35"/>
        <v>9779.7999999999993</v>
      </c>
      <c r="J597" s="435"/>
      <c r="K597" s="372"/>
      <c r="L597" s="424"/>
      <c r="M597" s="372"/>
      <c r="N597" s="372"/>
      <c r="O597" s="372"/>
      <c r="P597" s="372"/>
      <c r="R597" s="372"/>
    </row>
    <row r="598" spans="1:18" x14ac:dyDescent="0.2">
      <c r="A598" s="557"/>
      <c r="B598" s="500"/>
      <c r="C598" s="500"/>
      <c r="D598" s="554"/>
      <c r="E598" s="495"/>
      <c r="F598" s="426"/>
      <c r="G598" s="426"/>
      <c r="H598" s="426"/>
      <c r="I598" s="448"/>
      <c r="J598" s="435"/>
      <c r="K598" s="372"/>
      <c r="L598" s="424"/>
      <c r="M598" s="372"/>
      <c r="N598" s="372"/>
      <c r="O598" s="372"/>
      <c r="P598" s="372"/>
      <c r="R598" s="372"/>
    </row>
    <row r="599" spans="1:18" x14ac:dyDescent="0.2">
      <c r="A599" s="557"/>
      <c r="B599" s="500"/>
      <c r="C599" s="500"/>
      <c r="D599" s="554" t="s">
        <v>2344</v>
      </c>
      <c r="E599" s="495"/>
      <c r="F599" s="426"/>
      <c r="G599" s="426"/>
      <c r="H599" s="426"/>
      <c r="I599" s="448"/>
      <c r="J599" s="435"/>
      <c r="K599" s="372"/>
      <c r="L599" s="424"/>
      <c r="M599" s="372"/>
      <c r="N599" s="372"/>
      <c r="O599" s="372"/>
      <c r="P599" s="372"/>
      <c r="R599" s="372"/>
    </row>
    <row r="600" spans="1:18" x14ac:dyDescent="0.2">
      <c r="A600" s="557"/>
      <c r="B600" s="500"/>
      <c r="C600" s="500"/>
      <c r="D600" s="554"/>
      <c r="E600" s="495"/>
      <c r="F600" s="426"/>
      <c r="G600" s="426"/>
      <c r="H600" s="426"/>
      <c r="I600" s="448"/>
      <c r="J600" s="435"/>
      <c r="K600" s="372"/>
      <c r="L600" s="424"/>
      <c r="M600" s="372"/>
      <c r="N600" s="372"/>
      <c r="O600" s="372"/>
      <c r="P600" s="372"/>
      <c r="R600" s="372"/>
    </row>
    <row r="601" spans="1:18" ht="30" x14ac:dyDescent="0.2">
      <c r="A601" s="557" t="s">
        <v>1385</v>
      </c>
      <c r="B601" s="500" t="s">
        <v>45</v>
      </c>
      <c r="C601" s="500" t="s">
        <v>833</v>
      </c>
      <c r="D601" s="554" t="s">
        <v>832</v>
      </c>
      <c r="E601" s="495" t="s">
        <v>17</v>
      </c>
      <c r="F601" s="426">
        <v>39</v>
      </c>
      <c r="G601" s="426">
        <v>10.16</v>
      </c>
      <c r="H601" s="426">
        <f>ROUND((1+$L$16)*G601,2)</f>
        <v>12.85</v>
      </c>
      <c r="I601" s="448">
        <f t="shared" si="35"/>
        <v>501.15</v>
      </c>
      <c r="J601" s="435"/>
      <c r="K601" s="372"/>
      <c r="L601" s="424"/>
      <c r="M601" s="372"/>
      <c r="N601" s="372"/>
      <c r="O601" s="372"/>
      <c r="P601" s="372"/>
      <c r="R601" s="372"/>
    </row>
    <row r="602" spans="1:18" x14ac:dyDescent="0.2">
      <c r="A602" s="557"/>
      <c r="B602" s="500"/>
      <c r="C602" s="500"/>
      <c r="D602" s="554"/>
      <c r="E602" s="495"/>
      <c r="F602" s="426"/>
      <c r="G602" s="426"/>
      <c r="H602" s="426"/>
      <c r="I602" s="448"/>
      <c r="J602" s="435"/>
      <c r="K602" s="372"/>
      <c r="L602" s="424"/>
      <c r="M602" s="372"/>
      <c r="N602" s="372"/>
      <c r="O602" s="372"/>
      <c r="P602" s="372"/>
      <c r="R602" s="372"/>
    </row>
    <row r="603" spans="1:18" x14ac:dyDescent="0.2">
      <c r="A603" s="557"/>
      <c r="B603" s="500"/>
      <c r="C603" s="500"/>
      <c r="D603" s="554" t="s">
        <v>2345</v>
      </c>
      <c r="E603" s="495"/>
      <c r="F603" s="426"/>
      <c r="G603" s="426"/>
      <c r="H603" s="426"/>
      <c r="I603" s="448"/>
      <c r="J603" s="435"/>
      <c r="K603" s="372"/>
      <c r="L603" s="424"/>
      <c r="M603" s="372"/>
      <c r="N603" s="372"/>
      <c r="O603" s="372"/>
      <c r="P603" s="372"/>
      <c r="R603" s="372"/>
    </row>
    <row r="604" spans="1:18" s="468" customFormat="1" x14ac:dyDescent="0.2">
      <c r="A604" s="560"/>
      <c r="B604" s="502"/>
      <c r="C604" s="502"/>
      <c r="D604" s="559"/>
      <c r="E604" s="496"/>
      <c r="F604" s="426"/>
      <c r="G604" s="426"/>
      <c r="H604" s="427"/>
      <c r="I604" s="428"/>
      <c r="J604" s="465"/>
      <c r="K604" s="466"/>
      <c r="L604" s="467"/>
      <c r="M604" s="466"/>
      <c r="N604" s="466">
        <v>170</v>
      </c>
      <c r="O604" s="466"/>
      <c r="P604" s="466"/>
      <c r="R604" s="466"/>
    </row>
    <row r="605" spans="1:18" s="468" customFormat="1" ht="15.75" x14ac:dyDescent="0.2">
      <c r="A605" s="558" t="s">
        <v>320</v>
      </c>
      <c r="B605" s="501"/>
      <c r="C605" s="501"/>
      <c r="D605" s="545" t="s">
        <v>767</v>
      </c>
      <c r="E605" s="491"/>
      <c r="F605" s="404"/>
      <c r="G605" s="405"/>
      <c r="H605" s="406"/>
      <c r="I605" s="407">
        <f>SUM(I606:I606)</f>
        <v>74349.509999999995</v>
      </c>
      <c r="J605" s="465"/>
      <c r="K605" s="466"/>
      <c r="L605" s="467"/>
      <c r="M605" s="466"/>
      <c r="N605" s="466">
        <v>54</v>
      </c>
      <c r="O605" s="466"/>
      <c r="P605" s="466"/>
      <c r="R605" s="466"/>
    </row>
    <row r="606" spans="1:18" s="468" customFormat="1" ht="30" x14ac:dyDescent="0.2">
      <c r="A606" s="557" t="s">
        <v>1014</v>
      </c>
      <c r="B606" s="506" t="s">
        <v>335</v>
      </c>
      <c r="C606" s="506" t="str">
        <f>COMPOSIÇÕES!C144</f>
        <v>CE-011</v>
      </c>
      <c r="D606" s="554" t="str">
        <f>COMPOSIÇÕES!D144</f>
        <v>TRECHO COM TUBULAÇÃO APARENTE (APOIADA EM MANILHAS PREENCHIDAS COM CONCRETO)</v>
      </c>
      <c r="E606" s="495" t="s">
        <v>18</v>
      </c>
      <c r="F606" s="426">
        <v>1</v>
      </c>
      <c r="G606" s="426">
        <f>COMPOSIÇÕES!I144</f>
        <v>58804.21</v>
      </c>
      <c r="H606" s="426">
        <f>ROUND((1+$L$16)*G606,2)</f>
        <v>74349.509999999995</v>
      </c>
      <c r="I606" s="448">
        <f>ROUND(F606*H606,2)</f>
        <v>74349.509999999995</v>
      </c>
      <c r="J606" s="465"/>
      <c r="K606" s="466"/>
      <c r="L606" s="467"/>
      <c r="M606" s="466"/>
      <c r="N606" s="466"/>
      <c r="O606" s="466"/>
      <c r="P606" s="466"/>
      <c r="R606" s="466"/>
    </row>
    <row r="607" spans="1:18" s="468" customFormat="1" x14ac:dyDescent="0.2">
      <c r="A607" s="557"/>
      <c r="B607" s="506"/>
      <c r="C607" s="506"/>
      <c r="D607" s="554"/>
      <c r="E607" s="495"/>
      <c r="F607" s="426"/>
      <c r="G607" s="426"/>
      <c r="H607" s="426"/>
      <c r="I607" s="448"/>
      <c r="J607" s="465"/>
      <c r="K607" s="466"/>
      <c r="L607" s="467"/>
      <c r="M607" s="466"/>
      <c r="N607" s="466"/>
      <c r="O607" s="466"/>
      <c r="P607" s="466"/>
      <c r="R607" s="466"/>
    </row>
    <row r="608" spans="1:18" s="468" customFormat="1" x14ac:dyDescent="0.2">
      <c r="A608" s="557"/>
      <c r="B608" s="506"/>
      <c r="C608" s="506"/>
      <c r="D608" s="554" t="s">
        <v>2363</v>
      </c>
      <c r="E608" s="495"/>
      <c r="F608" s="426"/>
      <c r="G608" s="426"/>
      <c r="H608" s="426"/>
      <c r="I608" s="448"/>
      <c r="J608" s="465"/>
      <c r="K608" s="466"/>
      <c r="L608" s="467"/>
      <c r="M608" s="466"/>
      <c r="N608" s="466"/>
      <c r="O608" s="466"/>
      <c r="P608" s="466"/>
      <c r="R608" s="466"/>
    </row>
    <row r="609" spans="1:18" s="468" customFormat="1" x14ac:dyDescent="0.2">
      <c r="A609" s="538"/>
      <c r="B609" s="499"/>
      <c r="C609" s="499"/>
      <c r="D609" s="539"/>
      <c r="E609" s="492"/>
      <c r="F609" s="469"/>
      <c r="G609" s="470"/>
      <c r="H609" s="433"/>
      <c r="I609" s="434"/>
      <c r="J609" s="465"/>
      <c r="K609" s="466"/>
      <c r="L609" s="467"/>
      <c r="M609" s="466"/>
      <c r="N609" s="466"/>
      <c r="O609" s="466"/>
      <c r="P609" s="466"/>
      <c r="R609" s="466"/>
    </row>
    <row r="610" spans="1:18" ht="15.75" x14ac:dyDescent="0.2">
      <c r="A610" s="558" t="s">
        <v>321</v>
      </c>
      <c r="B610" s="501"/>
      <c r="C610" s="501"/>
      <c r="D610" s="545" t="s">
        <v>355</v>
      </c>
      <c r="E610" s="491"/>
      <c r="F610" s="404"/>
      <c r="G610" s="405"/>
      <c r="H610" s="406"/>
      <c r="I610" s="407">
        <f>SUM(I611:I636)</f>
        <v>65705.960000000006</v>
      </c>
      <c r="J610" s="435"/>
      <c r="K610" s="372"/>
      <c r="L610" s="424"/>
      <c r="M610" s="372"/>
      <c r="N610" s="372"/>
      <c r="O610" s="372"/>
      <c r="P610" s="372"/>
      <c r="R610" s="372"/>
    </row>
    <row r="611" spans="1:18" ht="30" x14ac:dyDescent="0.2">
      <c r="A611" s="542" t="s">
        <v>1015</v>
      </c>
      <c r="B611" s="500" t="s">
        <v>45</v>
      </c>
      <c r="C611" s="500">
        <v>92970</v>
      </c>
      <c r="D611" s="540" t="s">
        <v>769</v>
      </c>
      <c r="E611" s="495" t="s">
        <v>15</v>
      </c>
      <c r="F611" s="426">
        <v>1066.1099999999999</v>
      </c>
      <c r="G611" s="426">
        <v>11.43</v>
      </c>
      <c r="H611" s="426">
        <f t="shared" ref="H611:H636" si="37">ROUND((1+$L$16)*G611,2)</f>
        <v>14.45</v>
      </c>
      <c r="I611" s="448">
        <f t="shared" ref="I611" si="38">ROUND(F611*H611,2)</f>
        <v>15405.29</v>
      </c>
      <c r="J611" s="435"/>
      <c r="K611" s="372"/>
      <c r="L611" s="424"/>
      <c r="M611" s="372"/>
      <c r="N611" s="372"/>
      <c r="O611" s="372"/>
      <c r="P611" s="372"/>
      <c r="R611" s="372"/>
    </row>
    <row r="612" spans="1:18" x14ac:dyDescent="0.2">
      <c r="A612" s="542"/>
      <c r="B612" s="500"/>
      <c r="C612" s="500"/>
      <c r="D612" s="540"/>
      <c r="E612" s="495"/>
      <c r="F612" s="426"/>
      <c r="G612" s="426"/>
      <c r="H612" s="426"/>
      <c r="I612" s="448"/>
      <c r="J612" s="435"/>
      <c r="K612" s="372"/>
      <c r="L612" s="424"/>
      <c r="M612" s="372"/>
      <c r="N612" s="372"/>
      <c r="O612" s="372"/>
      <c r="P612" s="372"/>
      <c r="R612" s="372"/>
    </row>
    <row r="613" spans="1:18" x14ac:dyDescent="0.2">
      <c r="A613" s="542"/>
      <c r="B613" s="500"/>
      <c r="C613" s="500"/>
      <c r="D613" s="540" t="s">
        <v>2364</v>
      </c>
      <c r="E613" s="495"/>
      <c r="F613" s="426"/>
      <c r="G613" s="426"/>
      <c r="H613" s="426"/>
      <c r="I613" s="448"/>
      <c r="J613" s="435"/>
      <c r="K613" s="372"/>
      <c r="L613" s="424"/>
      <c r="M613" s="372"/>
      <c r="N613" s="372"/>
      <c r="O613" s="372"/>
      <c r="P613" s="372"/>
      <c r="R613" s="372"/>
    </row>
    <row r="614" spans="1:18" x14ac:dyDescent="0.2">
      <c r="A614" s="542"/>
      <c r="B614" s="500"/>
      <c r="C614" s="500"/>
      <c r="D614" s="540"/>
      <c r="E614" s="495"/>
      <c r="F614" s="426"/>
      <c r="G614" s="426"/>
      <c r="H614" s="426"/>
      <c r="I614" s="448"/>
      <c r="J614" s="435"/>
      <c r="K614" s="372"/>
      <c r="L614" s="424"/>
      <c r="M614" s="372"/>
      <c r="N614" s="372"/>
      <c r="O614" s="372"/>
      <c r="P614" s="372"/>
      <c r="R614" s="372"/>
    </row>
    <row r="615" spans="1:18" x14ac:dyDescent="0.2">
      <c r="A615" s="542" t="s">
        <v>1016</v>
      </c>
      <c r="B615" s="500" t="s">
        <v>45</v>
      </c>
      <c r="C615" s="500">
        <v>73711</v>
      </c>
      <c r="D615" s="540" t="s">
        <v>829</v>
      </c>
      <c r="E615" s="495" t="s">
        <v>16</v>
      </c>
      <c r="F615" s="449">
        <f>F611*0.2</f>
        <v>213.22199999999998</v>
      </c>
      <c r="G615" s="426">
        <v>76.510000000000005</v>
      </c>
      <c r="H615" s="426">
        <f t="shared" si="37"/>
        <v>96.74</v>
      </c>
      <c r="I615" s="448">
        <f>ROUND(F615*H615,2)</f>
        <v>20627.099999999999</v>
      </c>
      <c r="J615" s="435"/>
      <c r="K615" s="372"/>
      <c r="L615" s="424"/>
      <c r="M615" s="372"/>
      <c r="N615" s="372"/>
      <c r="O615" s="372"/>
      <c r="P615" s="372"/>
      <c r="R615" s="372"/>
    </row>
    <row r="616" spans="1:18" x14ac:dyDescent="0.2">
      <c r="A616" s="542"/>
      <c r="B616" s="500"/>
      <c r="C616" s="500"/>
      <c r="D616" s="540"/>
      <c r="E616" s="495"/>
      <c r="F616" s="449"/>
      <c r="G616" s="426"/>
      <c r="H616" s="426"/>
      <c r="I616" s="448"/>
      <c r="J616" s="435"/>
      <c r="K616" s="372"/>
      <c r="L616" s="424"/>
      <c r="M616" s="372"/>
      <c r="N616" s="372"/>
      <c r="O616" s="372"/>
      <c r="P616" s="372"/>
      <c r="R616" s="372"/>
    </row>
    <row r="617" spans="1:18" x14ac:dyDescent="0.2">
      <c r="A617" s="542"/>
      <c r="B617" s="500"/>
      <c r="C617" s="500"/>
      <c r="D617" s="540" t="s">
        <v>2365</v>
      </c>
      <c r="E617" s="495"/>
      <c r="F617" s="449"/>
      <c r="G617" s="426"/>
      <c r="H617" s="426"/>
      <c r="I617" s="448"/>
      <c r="J617" s="435"/>
      <c r="K617" s="372"/>
      <c r="L617" s="424"/>
      <c r="M617" s="372"/>
      <c r="N617" s="372"/>
      <c r="O617" s="372"/>
      <c r="P617" s="372"/>
      <c r="R617" s="372"/>
    </row>
    <row r="618" spans="1:18" x14ac:dyDescent="0.2">
      <c r="A618" s="542"/>
      <c r="B618" s="500"/>
      <c r="C618" s="500"/>
      <c r="D618" s="540"/>
      <c r="E618" s="495"/>
      <c r="F618" s="449"/>
      <c r="G618" s="426"/>
      <c r="H618" s="426"/>
      <c r="I618" s="448"/>
      <c r="J618" s="435"/>
      <c r="K618" s="372"/>
      <c r="L618" s="424"/>
      <c r="M618" s="372"/>
      <c r="N618" s="372"/>
      <c r="O618" s="372"/>
      <c r="P618" s="372"/>
      <c r="R618" s="372"/>
    </row>
    <row r="619" spans="1:18" x14ac:dyDescent="0.2">
      <c r="A619" s="542"/>
      <c r="B619" s="500"/>
      <c r="C619" s="500"/>
      <c r="D619" s="540"/>
      <c r="E619" s="495"/>
      <c r="F619" s="449"/>
      <c r="G619" s="426"/>
      <c r="H619" s="426"/>
      <c r="I619" s="448"/>
      <c r="J619" s="435"/>
      <c r="K619" s="372"/>
      <c r="L619" s="424"/>
      <c r="M619" s="372"/>
      <c r="N619" s="372"/>
      <c r="O619" s="372"/>
      <c r="P619" s="372"/>
      <c r="R619" s="372"/>
    </row>
    <row r="620" spans="1:18" ht="30" x14ac:dyDescent="0.2">
      <c r="A620" s="542" t="s">
        <v>1017</v>
      </c>
      <c r="B620" s="500" t="s">
        <v>45</v>
      </c>
      <c r="C620" s="500" t="s">
        <v>432</v>
      </c>
      <c r="D620" s="540" t="s">
        <v>828</v>
      </c>
      <c r="E620" s="495" t="s">
        <v>16</v>
      </c>
      <c r="F620" s="426">
        <f>F611*0.05</f>
        <v>53.305499999999995</v>
      </c>
      <c r="G620" s="426">
        <v>329.34</v>
      </c>
      <c r="H620" s="426">
        <f t="shared" si="37"/>
        <v>416.4</v>
      </c>
      <c r="I620" s="448">
        <f>ROUND(F620*H620,2)</f>
        <v>22196.41</v>
      </c>
      <c r="J620" s="435"/>
      <c r="K620" s="372"/>
      <c r="L620" s="424"/>
      <c r="M620" s="372"/>
      <c r="N620" s="372"/>
      <c r="O620" s="372"/>
      <c r="P620" s="372"/>
      <c r="R620" s="372"/>
    </row>
    <row r="621" spans="1:18" x14ac:dyDescent="0.2">
      <c r="A621" s="542"/>
      <c r="B621" s="500"/>
      <c r="C621" s="500"/>
      <c r="D621" s="540"/>
      <c r="E621" s="495"/>
      <c r="F621" s="426"/>
      <c r="G621" s="426"/>
      <c r="H621" s="426"/>
      <c r="I621" s="448"/>
      <c r="J621" s="435"/>
      <c r="K621" s="372"/>
      <c r="L621" s="424"/>
      <c r="M621" s="372"/>
      <c r="N621" s="372"/>
      <c r="O621" s="372"/>
      <c r="P621" s="372"/>
      <c r="R621" s="372"/>
    </row>
    <row r="622" spans="1:18" x14ac:dyDescent="0.2">
      <c r="A622" s="542"/>
      <c r="B622" s="500"/>
      <c r="C622" s="500"/>
      <c r="D622" s="540" t="s">
        <v>2366</v>
      </c>
      <c r="E622" s="495"/>
      <c r="F622" s="426"/>
      <c r="G622" s="426"/>
      <c r="H622" s="426"/>
      <c r="I622" s="448"/>
      <c r="J622" s="435"/>
      <c r="K622" s="372"/>
      <c r="L622" s="424"/>
      <c r="M622" s="372"/>
      <c r="N622" s="372"/>
      <c r="O622" s="372"/>
      <c r="P622" s="372"/>
      <c r="R622" s="372"/>
    </row>
    <row r="623" spans="1:18" x14ac:dyDescent="0.2">
      <c r="A623" s="542"/>
      <c r="B623" s="500"/>
      <c r="C623" s="500"/>
      <c r="D623" s="540"/>
      <c r="E623" s="495"/>
      <c r="F623" s="426"/>
      <c r="G623" s="426"/>
      <c r="H623" s="426"/>
      <c r="I623" s="448"/>
      <c r="J623" s="435"/>
      <c r="K623" s="372"/>
      <c r="L623" s="424"/>
      <c r="M623" s="372"/>
      <c r="N623" s="372"/>
      <c r="O623" s="372"/>
      <c r="P623" s="372"/>
      <c r="R623" s="372"/>
    </row>
    <row r="624" spans="1:18" x14ac:dyDescent="0.2">
      <c r="A624" s="542" t="s">
        <v>1018</v>
      </c>
      <c r="B624" s="500" t="s">
        <v>45</v>
      </c>
      <c r="C624" s="500">
        <v>72898</v>
      </c>
      <c r="D624" s="540" t="s">
        <v>770</v>
      </c>
      <c r="E624" s="495" t="s">
        <v>16</v>
      </c>
      <c r="F624" s="426">
        <f>F611*0.25*1.3</f>
        <v>346.48575</v>
      </c>
      <c r="G624" s="426">
        <v>3.57</v>
      </c>
      <c r="H624" s="426">
        <f t="shared" si="37"/>
        <v>4.51</v>
      </c>
      <c r="I624" s="448">
        <f t="shared" ref="I624:I636" si="39">ROUND(F624*H624,2)</f>
        <v>1562.65</v>
      </c>
      <c r="J624" s="435"/>
      <c r="K624" s="372"/>
      <c r="L624" s="424"/>
      <c r="M624" s="372"/>
      <c r="N624" s="372"/>
      <c r="O624" s="372"/>
      <c r="P624" s="372"/>
      <c r="R624" s="372"/>
    </row>
    <row r="625" spans="1:18" x14ac:dyDescent="0.2">
      <c r="A625" s="542"/>
      <c r="B625" s="500"/>
      <c r="C625" s="500"/>
      <c r="D625" s="540"/>
      <c r="E625" s="495"/>
      <c r="F625" s="426"/>
      <c r="G625" s="426"/>
      <c r="H625" s="426"/>
      <c r="I625" s="448"/>
      <c r="J625" s="435"/>
      <c r="K625" s="372"/>
      <c r="L625" s="424"/>
      <c r="M625" s="372"/>
      <c r="N625" s="372"/>
      <c r="O625" s="372"/>
      <c r="P625" s="372"/>
      <c r="R625" s="372"/>
    </row>
    <row r="626" spans="1:18" x14ac:dyDescent="0.2">
      <c r="A626" s="542"/>
      <c r="B626" s="500"/>
      <c r="C626" s="500"/>
      <c r="D626" s="540" t="s">
        <v>2367</v>
      </c>
      <c r="E626" s="495"/>
      <c r="F626" s="426"/>
      <c r="G626" s="426"/>
      <c r="H626" s="426"/>
      <c r="I626" s="448"/>
      <c r="J626" s="435"/>
      <c r="K626" s="372"/>
      <c r="L626" s="424"/>
      <c r="M626" s="372"/>
      <c r="N626" s="372"/>
      <c r="O626" s="372"/>
      <c r="P626" s="372"/>
      <c r="R626" s="372"/>
    </row>
    <row r="627" spans="1:18" x14ac:dyDescent="0.2">
      <c r="A627" s="542"/>
      <c r="B627" s="500"/>
      <c r="C627" s="500"/>
      <c r="D627" s="540"/>
      <c r="E627" s="495"/>
      <c r="F627" s="426"/>
      <c r="G627" s="426"/>
      <c r="H627" s="426"/>
      <c r="I627" s="448"/>
      <c r="J627" s="435"/>
      <c r="K627" s="372"/>
      <c r="L627" s="424"/>
      <c r="M627" s="372"/>
      <c r="N627" s="372"/>
      <c r="O627" s="372"/>
      <c r="P627" s="372"/>
      <c r="R627" s="372"/>
    </row>
    <row r="628" spans="1:18" ht="30" x14ac:dyDescent="0.2">
      <c r="A628" s="542" t="s">
        <v>1019</v>
      </c>
      <c r="B628" s="500" t="s">
        <v>45</v>
      </c>
      <c r="C628" s="500">
        <v>72900</v>
      </c>
      <c r="D628" s="540" t="s">
        <v>771</v>
      </c>
      <c r="E628" s="495" t="s">
        <v>16</v>
      </c>
      <c r="F628" s="426">
        <f>F624</f>
        <v>346.48575</v>
      </c>
      <c r="G628" s="426">
        <v>4.8899999999999997</v>
      </c>
      <c r="H628" s="426">
        <f t="shared" si="37"/>
        <v>6.18</v>
      </c>
      <c r="I628" s="448">
        <f t="shared" si="39"/>
        <v>2141.2800000000002</v>
      </c>
      <c r="J628" s="435"/>
      <c r="K628" s="372" t="e">
        <f>#REF!/#REF!</f>
        <v>#REF!</v>
      </c>
      <c r="L628" s="424"/>
      <c r="M628" s="372"/>
      <c r="N628" s="372"/>
      <c r="O628" s="372"/>
      <c r="P628" s="372"/>
      <c r="R628" s="372"/>
    </row>
    <row r="629" spans="1:18" x14ac:dyDescent="0.2">
      <c r="A629" s="542"/>
      <c r="B629" s="500"/>
      <c r="C629" s="500"/>
      <c r="D629" s="540"/>
      <c r="E629" s="495"/>
      <c r="F629" s="426"/>
      <c r="G629" s="426"/>
      <c r="H629" s="426"/>
      <c r="I629" s="448"/>
      <c r="J629" s="435"/>
      <c r="K629" s="372"/>
      <c r="L629" s="424"/>
      <c r="M629" s="372"/>
      <c r="N629" s="372"/>
      <c r="O629" s="372"/>
      <c r="P629" s="372"/>
      <c r="R629" s="372"/>
    </row>
    <row r="630" spans="1:18" x14ac:dyDescent="0.2">
      <c r="A630" s="542"/>
      <c r="B630" s="500"/>
      <c r="C630" s="500"/>
      <c r="D630" s="540" t="s">
        <v>2367</v>
      </c>
      <c r="E630" s="495"/>
      <c r="F630" s="426"/>
      <c r="G630" s="426"/>
      <c r="H630" s="426"/>
      <c r="I630" s="448"/>
      <c r="J630" s="435"/>
      <c r="K630" s="372"/>
      <c r="L630" s="424"/>
      <c r="M630" s="372"/>
      <c r="N630" s="372"/>
      <c r="O630" s="372"/>
      <c r="P630" s="372"/>
      <c r="R630" s="372"/>
    </row>
    <row r="631" spans="1:18" x14ac:dyDescent="0.2">
      <c r="A631" s="542"/>
      <c r="B631" s="500"/>
      <c r="C631" s="500"/>
      <c r="D631" s="540"/>
      <c r="E631" s="495"/>
      <c r="F631" s="426"/>
      <c r="G631" s="426"/>
      <c r="H631" s="426"/>
      <c r="I631" s="448"/>
      <c r="J631" s="435"/>
      <c r="K631" s="372"/>
      <c r="L631" s="424"/>
      <c r="M631" s="372"/>
      <c r="N631" s="372"/>
      <c r="O631" s="372"/>
      <c r="P631" s="372"/>
      <c r="R631" s="372"/>
    </row>
    <row r="632" spans="1:18" x14ac:dyDescent="0.2">
      <c r="A632" s="542" t="s">
        <v>1020</v>
      </c>
      <c r="B632" s="500" t="s">
        <v>45</v>
      </c>
      <c r="C632" s="500">
        <v>83344</v>
      </c>
      <c r="D632" s="540" t="s">
        <v>772</v>
      </c>
      <c r="E632" s="495" t="s">
        <v>16</v>
      </c>
      <c r="F632" s="426">
        <f>F628</f>
        <v>346.48575</v>
      </c>
      <c r="G632" s="426">
        <v>1.02</v>
      </c>
      <c r="H632" s="426">
        <f t="shared" si="37"/>
        <v>1.29</v>
      </c>
      <c r="I632" s="448">
        <f t="shared" si="39"/>
        <v>446.97</v>
      </c>
      <c r="J632" s="435"/>
      <c r="K632" s="372"/>
      <c r="L632" s="424"/>
      <c r="M632" s="372"/>
      <c r="N632" s="372"/>
      <c r="O632" s="372"/>
      <c r="P632" s="372"/>
      <c r="R632" s="372"/>
    </row>
    <row r="633" spans="1:18" x14ac:dyDescent="0.2">
      <c r="A633" s="542"/>
      <c r="B633" s="500"/>
      <c r="C633" s="500"/>
      <c r="D633" s="540"/>
      <c r="E633" s="495"/>
      <c r="F633" s="426"/>
      <c r="G633" s="426"/>
      <c r="H633" s="426"/>
      <c r="I633" s="448"/>
      <c r="J633" s="435"/>
      <c r="K633" s="372"/>
      <c r="L633" s="424"/>
      <c r="M633" s="372"/>
      <c r="N633" s="372"/>
      <c r="O633" s="372"/>
      <c r="P633" s="372"/>
      <c r="R633" s="372"/>
    </row>
    <row r="634" spans="1:18" x14ac:dyDescent="0.2">
      <c r="A634" s="542"/>
      <c r="B634" s="500"/>
      <c r="C634" s="500"/>
      <c r="D634" s="540" t="s">
        <v>2367</v>
      </c>
      <c r="E634" s="495"/>
      <c r="F634" s="426"/>
      <c r="G634" s="426"/>
      <c r="H634" s="426"/>
      <c r="I634" s="448"/>
      <c r="J634" s="435"/>
      <c r="K634" s="372"/>
      <c r="L634" s="424"/>
      <c r="M634" s="372"/>
      <c r="N634" s="372"/>
      <c r="O634" s="372"/>
      <c r="P634" s="372"/>
      <c r="R634" s="372"/>
    </row>
    <row r="635" spans="1:18" x14ac:dyDescent="0.2">
      <c r="A635" s="542"/>
      <c r="B635" s="500"/>
      <c r="C635" s="500"/>
      <c r="D635" s="540"/>
      <c r="E635" s="495"/>
      <c r="F635" s="426"/>
      <c r="G635" s="426"/>
      <c r="H635" s="426"/>
      <c r="I635" s="448"/>
      <c r="J635" s="435"/>
      <c r="K635" s="372"/>
      <c r="L635" s="424"/>
      <c r="M635" s="372"/>
      <c r="N635" s="372"/>
      <c r="O635" s="372"/>
      <c r="P635" s="372"/>
      <c r="R635" s="372"/>
    </row>
    <row r="636" spans="1:18" x14ac:dyDescent="0.2">
      <c r="A636" s="542" t="s">
        <v>1021</v>
      </c>
      <c r="B636" s="506" t="s">
        <v>45</v>
      </c>
      <c r="C636" s="506">
        <v>9537</v>
      </c>
      <c r="D636" s="554" t="s">
        <v>754</v>
      </c>
      <c r="E636" s="494" t="s">
        <v>15</v>
      </c>
      <c r="F636" s="449">
        <f>F611</f>
        <v>1066.1099999999999</v>
      </c>
      <c r="G636" s="426">
        <v>2.4700000000000002</v>
      </c>
      <c r="H636" s="426">
        <f t="shared" si="37"/>
        <v>3.12</v>
      </c>
      <c r="I636" s="448">
        <f t="shared" si="39"/>
        <v>3326.26</v>
      </c>
      <c r="J636" s="435"/>
      <c r="K636" s="372"/>
      <c r="L636" s="424"/>
      <c r="M636" s="372"/>
      <c r="N636" s="372"/>
      <c r="O636" s="372"/>
      <c r="P636" s="372"/>
      <c r="R636" s="372"/>
    </row>
    <row r="637" spans="1:18" x14ac:dyDescent="0.2">
      <c r="A637" s="542"/>
      <c r="B637" s="506"/>
      <c r="C637" s="506"/>
      <c r="D637" s="554"/>
      <c r="E637" s="494"/>
      <c r="F637" s="449"/>
      <c r="G637" s="426"/>
      <c r="H637" s="426"/>
      <c r="I637" s="448"/>
      <c r="J637" s="435"/>
      <c r="K637" s="372"/>
      <c r="L637" s="424"/>
      <c r="M637" s="372"/>
      <c r="N637" s="372"/>
      <c r="O637" s="372"/>
      <c r="P637" s="372"/>
      <c r="R637" s="372"/>
    </row>
    <row r="638" spans="1:18" s="373" customFormat="1" x14ac:dyDescent="0.2">
      <c r="A638" s="550"/>
      <c r="B638" s="551"/>
      <c r="C638" s="551"/>
      <c r="D638" s="552" t="s">
        <v>2364</v>
      </c>
      <c r="E638" s="492"/>
      <c r="F638" s="469"/>
      <c r="G638" s="470"/>
      <c r="H638" s="433"/>
      <c r="I638" s="434"/>
      <c r="J638" s="444"/>
      <c r="K638" s="372"/>
      <c r="L638" s="424"/>
      <c r="M638" s="372"/>
      <c r="N638" s="372"/>
      <c r="O638" s="372"/>
      <c r="P638" s="372"/>
      <c r="R638" s="372"/>
    </row>
    <row r="639" spans="1:18" s="373" customFormat="1" x14ac:dyDescent="0.2">
      <c r="A639" s="538"/>
      <c r="B639" s="499"/>
      <c r="C639" s="499"/>
      <c r="D639" s="539"/>
      <c r="E639" s="492"/>
      <c r="F639" s="432"/>
      <c r="G639" s="433"/>
      <c r="H639" s="433"/>
      <c r="I639" s="434"/>
      <c r="J639" s="444"/>
      <c r="K639" s="372"/>
      <c r="L639" s="424"/>
      <c r="M639" s="372"/>
      <c r="N639" s="372"/>
      <c r="O639" s="372"/>
      <c r="P639" s="372"/>
      <c r="R639" s="372"/>
    </row>
    <row r="640" spans="1:18" s="373" customFormat="1" ht="15.75" x14ac:dyDescent="0.2">
      <c r="A640" s="544" t="s">
        <v>1090</v>
      </c>
      <c r="B640" s="501"/>
      <c r="C640" s="501"/>
      <c r="D640" s="545" t="s">
        <v>93</v>
      </c>
      <c r="E640" s="491" t="s">
        <v>61</v>
      </c>
      <c r="F640" s="404"/>
      <c r="G640" s="405"/>
      <c r="H640" s="406"/>
      <c r="I640" s="407">
        <f>I641+I707+I752+I813</f>
        <v>323006.32999999996</v>
      </c>
      <c r="J640" s="444"/>
      <c r="K640" s="372"/>
      <c r="L640" s="424"/>
      <c r="M640" s="372"/>
      <c r="N640" s="372"/>
      <c r="O640" s="372"/>
      <c r="P640" s="372"/>
      <c r="R640" s="372"/>
    </row>
    <row r="641" spans="1:18" s="373" customFormat="1" ht="15.75" x14ac:dyDescent="0.2">
      <c r="A641" s="546" t="s">
        <v>256</v>
      </c>
      <c r="B641" s="504"/>
      <c r="C641" s="504"/>
      <c r="D641" s="547" t="s">
        <v>338</v>
      </c>
      <c r="E641" s="493"/>
      <c r="F641" s="440"/>
      <c r="G641" s="441"/>
      <c r="H641" s="442"/>
      <c r="I641" s="443">
        <f>SUM(I642:I654)</f>
        <v>1870.98</v>
      </c>
      <c r="J641" s="444"/>
      <c r="K641" s="372"/>
      <c r="L641" s="424"/>
      <c r="M641" s="372"/>
      <c r="N641" s="372"/>
      <c r="O641" s="372"/>
      <c r="P641" s="372"/>
      <c r="R641" s="372"/>
    </row>
    <row r="642" spans="1:18" s="373" customFormat="1" ht="30" x14ac:dyDescent="0.2">
      <c r="A642" s="548" t="s">
        <v>1022</v>
      </c>
      <c r="B642" s="505" t="s">
        <v>45</v>
      </c>
      <c r="C642" s="500" t="s">
        <v>785</v>
      </c>
      <c r="D642" s="540" t="s">
        <v>786</v>
      </c>
      <c r="E642" s="454" t="s">
        <v>16</v>
      </c>
      <c r="F642" s="426">
        <f>F654*0.2</f>
        <v>107.732</v>
      </c>
      <c r="G642" s="426">
        <v>0.49</v>
      </c>
      <c r="H642" s="426">
        <f>ROUND((1+$L$16)*G642,2)</f>
        <v>0.62</v>
      </c>
      <c r="I642" s="445">
        <f t="shared" ref="I642:I654" si="40">ROUND(F642*H642,2)</f>
        <v>66.790000000000006</v>
      </c>
      <c r="J642" s="444"/>
      <c r="K642" s="372"/>
      <c r="L642" s="424"/>
      <c r="M642" s="372"/>
      <c r="N642" s="372"/>
      <c r="O642" s="372"/>
      <c r="P642" s="372"/>
      <c r="R642" s="372"/>
    </row>
    <row r="643" spans="1:18" s="373" customFormat="1" x14ac:dyDescent="0.2">
      <c r="A643" s="548"/>
      <c r="B643" s="505"/>
      <c r="C643" s="500"/>
      <c r="D643" s="540"/>
      <c r="E643" s="454"/>
      <c r="F643" s="426"/>
      <c r="G643" s="426"/>
      <c r="H643" s="426"/>
      <c r="I643" s="445"/>
      <c r="J643" s="444"/>
      <c r="K643" s="372"/>
      <c r="L643" s="424"/>
      <c r="M643" s="372"/>
      <c r="N643" s="372"/>
      <c r="O643" s="372"/>
      <c r="P643" s="372"/>
      <c r="R643" s="372"/>
    </row>
    <row r="644" spans="1:18" s="373" customFormat="1" x14ac:dyDescent="0.2">
      <c r="A644" s="548"/>
      <c r="B644" s="505"/>
      <c r="C644" s="500"/>
      <c r="D644" s="540" t="s">
        <v>2369</v>
      </c>
      <c r="E644" s="454"/>
      <c r="F644" s="426"/>
      <c r="G644" s="426"/>
      <c r="H644" s="426"/>
      <c r="I644" s="445"/>
      <c r="J644" s="444"/>
      <c r="K644" s="372"/>
      <c r="L644" s="424"/>
      <c r="M644" s="372"/>
      <c r="N644" s="372"/>
      <c r="O644" s="372"/>
      <c r="P644" s="372"/>
      <c r="R644" s="372"/>
    </row>
    <row r="645" spans="1:18" s="373" customFormat="1" x14ac:dyDescent="0.2">
      <c r="A645" s="548"/>
      <c r="B645" s="505"/>
      <c r="C645" s="500"/>
      <c r="D645" s="540"/>
      <c r="E645" s="454"/>
      <c r="F645" s="426"/>
      <c r="G645" s="426"/>
      <c r="H645" s="426"/>
      <c r="I645" s="445"/>
      <c r="J645" s="444"/>
      <c r="K645" s="372"/>
      <c r="L645" s="424"/>
      <c r="M645" s="372"/>
      <c r="N645" s="372"/>
      <c r="O645" s="372"/>
      <c r="P645" s="372"/>
      <c r="R645" s="372"/>
    </row>
    <row r="646" spans="1:18" s="373" customFormat="1" x14ac:dyDescent="0.2">
      <c r="A646" s="548" t="s">
        <v>1023</v>
      </c>
      <c r="B646" s="505" t="s">
        <v>45</v>
      </c>
      <c r="C646" s="506">
        <v>72898</v>
      </c>
      <c r="D646" s="549" t="s">
        <v>770</v>
      </c>
      <c r="E646" s="454" t="s">
        <v>16</v>
      </c>
      <c r="F646" s="426">
        <f>F642*1.3</f>
        <v>140.05160000000001</v>
      </c>
      <c r="G646" s="426">
        <v>3.57</v>
      </c>
      <c r="H646" s="426">
        <f>ROUND((1+$L$16)*G646,2)</f>
        <v>4.51</v>
      </c>
      <c r="I646" s="445">
        <f t="shared" si="40"/>
        <v>631.63</v>
      </c>
      <c r="J646" s="444"/>
      <c r="K646" s="372"/>
      <c r="L646" s="424"/>
      <c r="M646" s="372"/>
      <c r="N646" s="372"/>
      <c r="O646" s="372"/>
      <c r="P646" s="372"/>
      <c r="R646" s="372"/>
    </row>
    <row r="647" spans="1:18" s="373" customFormat="1" x14ac:dyDescent="0.2">
      <c r="A647" s="548"/>
      <c r="B647" s="505"/>
      <c r="C647" s="506"/>
      <c r="D647" s="549"/>
      <c r="E647" s="454"/>
      <c r="F647" s="426"/>
      <c r="G647" s="426"/>
      <c r="H647" s="426"/>
      <c r="I647" s="445"/>
      <c r="J647" s="444"/>
      <c r="K647" s="372"/>
      <c r="L647" s="424"/>
      <c r="M647" s="372"/>
      <c r="N647" s="372"/>
      <c r="O647" s="372"/>
      <c r="P647" s="372"/>
      <c r="R647" s="372"/>
    </row>
    <row r="648" spans="1:18" s="373" customFormat="1" x14ac:dyDescent="0.2">
      <c r="A648" s="548"/>
      <c r="B648" s="505"/>
      <c r="C648" s="506"/>
      <c r="D648" s="540" t="s">
        <v>2370</v>
      </c>
      <c r="E648" s="454"/>
      <c r="F648" s="426"/>
      <c r="G648" s="426"/>
      <c r="H648" s="426"/>
      <c r="I648" s="445"/>
      <c r="J648" s="444"/>
      <c r="K648" s="372"/>
      <c r="L648" s="424"/>
      <c r="M648" s="372"/>
      <c r="N648" s="372"/>
      <c r="O648" s="372"/>
      <c r="P648" s="372"/>
      <c r="R648" s="372"/>
    </row>
    <row r="649" spans="1:18" s="373" customFormat="1" x14ac:dyDescent="0.2">
      <c r="A649" s="548"/>
      <c r="B649" s="505"/>
      <c r="C649" s="506"/>
      <c r="D649" s="549"/>
      <c r="E649" s="454"/>
      <c r="F649" s="426"/>
      <c r="G649" s="426"/>
      <c r="H649" s="426"/>
      <c r="I649" s="445"/>
      <c r="J649" s="444"/>
      <c r="K649" s="372"/>
      <c r="L649" s="424"/>
      <c r="M649" s="372"/>
      <c r="N649" s="372"/>
      <c r="O649" s="372"/>
      <c r="P649" s="372"/>
      <c r="R649" s="372"/>
    </row>
    <row r="650" spans="1:18" s="373" customFormat="1" ht="30" x14ac:dyDescent="0.2">
      <c r="A650" s="548" t="s">
        <v>1024</v>
      </c>
      <c r="B650" s="505" t="s">
        <v>45</v>
      </c>
      <c r="C650" s="506">
        <v>72900</v>
      </c>
      <c r="D650" s="549" t="s">
        <v>771</v>
      </c>
      <c r="E650" s="454" t="s">
        <v>16</v>
      </c>
      <c r="F650" s="426">
        <f>F646</f>
        <v>140.05160000000001</v>
      </c>
      <c r="G650" s="426">
        <v>4.8899999999999997</v>
      </c>
      <c r="H650" s="426">
        <f>ROUND((1+$L$16)*G650,2)</f>
        <v>6.18</v>
      </c>
      <c r="I650" s="445">
        <f t="shared" si="40"/>
        <v>865.52</v>
      </c>
      <c r="J650" s="444"/>
      <c r="K650" s="372"/>
      <c r="L650" s="424"/>
      <c r="M650" s="372"/>
      <c r="N650" s="372"/>
      <c r="O650" s="372"/>
      <c r="P650" s="372"/>
      <c r="R650" s="372"/>
    </row>
    <row r="651" spans="1:18" s="373" customFormat="1" x14ac:dyDescent="0.2">
      <c r="A651" s="548"/>
      <c r="B651" s="505"/>
      <c r="C651" s="506"/>
      <c r="D651" s="549"/>
      <c r="E651" s="454"/>
      <c r="F651" s="426"/>
      <c r="G651" s="426"/>
      <c r="H651" s="426"/>
      <c r="I651" s="445"/>
      <c r="J651" s="444"/>
      <c r="K651" s="372"/>
      <c r="L651" s="424"/>
      <c r="M651" s="372"/>
      <c r="N651" s="372"/>
      <c r="O651" s="372"/>
      <c r="P651" s="372"/>
      <c r="R651" s="372"/>
    </row>
    <row r="652" spans="1:18" s="373" customFormat="1" x14ac:dyDescent="0.2">
      <c r="A652" s="548"/>
      <c r="B652" s="505"/>
      <c r="C652" s="506"/>
      <c r="D652" s="540" t="s">
        <v>2422</v>
      </c>
      <c r="E652" s="454"/>
      <c r="F652" s="426"/>
      <c r="G652" s="426"/>
      <c r="H652" s="426"/>
      <c r="I652" s="445"/>
      <c r="J652" s="444"/>
      <c r="K652" s="372"/>
      <c r="L652" s="424"/>
      <c r="M652" s="372"/>
      <c r="N652" s="372"/>
      <c r="O652" s="372"/>
      <c r="P652" s="372"/>
      <c r="R652" s="372"/>
    </row>
    <row r="653" spans="1:18" s="373" customFormat="1" x14ac:dyDescent="0.2">
      <c r="A653" s="548"/>
      <c r="B653" s="505"/>
      <c r="C653" s="506"/>
      <c r="D653" s="549"/>
      <c r="E653" s="454"/>
      <c r="F653" s="426"/>
      <c r="G653" s="426"/>
      <c r="H653" s="426"/>
      <c r="I653" s="445"/>
      <c r="J653" s="444"/>
      <c r="K653" s="372"/>
      <c r="L653" s="424"/>
      <c r="M653" s="372"/>
      <c r="N653" s="372"/>
      <c r="O653" s="372"/>
      <c r="P653" s="372"/>
      <c r="R653" s="372"/>
    </row>
    <row r="654" spans="1:18" s="373" customFormat="1" x14ac:dyDescent="0.2">
      <c r="A654" s="548" t="s">
        <v>1025</v>
      </c>
      <c r="B654" s="505" t="s">
        <v>45</v>
      </c>
      <c r="C654" s="500">
        <v>79472</v>
      </c>
      <c r="D654" s="540" t="s">
        <v>787</v>
      </c>
      <c r="E654" s="494" t="s">
        <v>15</v>
      </c>
      <c r="F654" s="426">
        <v>538.66</v>
      </c>
      <c r="G654" s="426">
        <v>0.45</v>
      </c>
      <c r="H654" s="426">
        <f>ROUND((1+$L$16)*G654,2)</f>
        <v>0.56999999999999995</v>
      </c>
      <c r="I654" s="445">
        <f t="shared" si="40"/>
        <v>307.04000000000002</v>
      </c>
      <c r="J654" s="444"/>
      <c r="K654" s="372"/>
      <c r="L654" s="424"/>
      <c r="M654" s="372"/>
      <c r="N654" s="372"/>
      <c r="O654" s="372"/>
      <c r="P654" s="372"/>
      <c r="R654" s="372"/>
    </row>
    <row r="655" spans="1:18" s="373" customFormat="1" x14ac:dyDescent="0.2">
      <c r="A655" s="548"/>
      <c r="B655" s="505"/>
      <c r="C655" s="500"/>
      <c r="D655" s="540"/>
      <c r="E655" s="494"/>
      <c r="F655" s="426"/>
      <c r="G655" s="426"/>
      <c r="H655" s="426"/>
      <c r="I655" s="445"/>
      <c r="J655" s="444"/>
      <c r="K655" s="372"/>
      <c r="L655" s="424"/>
      <c r="M655" s="372"/>
      <c r="N655" s="372"/>
      <c r="O655" s="372"/>
      <c r="P655" s="372"/>
      <c r="R655" s="372"/>
    </row>
    <row r="656" spans="1:18" s="373" customFormat="1" x14ac:dyDescent="0.2">
      <c r="A656" s="548"/>
      <c r="B656" s="505"/>
      <c r="C656" s="500"/>
      <c r="D656" s="540" t="s">
        <v>2368</v>
      </c>
      <c r="E656" s="494"/>
      <c r="F656" s="426"/>
      <c r="G656" s="426"/>
      <c r="H656" s="426"/>
      <c r="I656" s="445"/>
      <c r="J656" s="444"/>
      <c r="K656" s="372"/>
      <c r="L656" s="424"/>
      <c r="M656" s="372"/>
      <c r="N656" s="372"/>
      <c r="O656" s="372"/>
      <c r="P656" s="372"/>
      <c r="R656" s="372"/>
    </row>
    <row r="657" spans="1:18" s="447" customFormat="1" x14ac:dyDescent="0.2">
      <c r="A657" s="548"/>
      <c r="B657" s="505"/>
      <c r="C657" s="506"/>
      <c r="D657" s="554"/>
      <c r="E657" s="454"/>
      <c r="F657" s="426"/>
      <c r="G657" s="426"/>
      <c r="H657" s="426"/>
      <c r="I657" s="445"/>
      <c r="J657" s="446"/>
      <c r="K657" s="446"/>
      <c r="L657" s="446"/>
      <c r="M657" s="446"/>
      <c r="N657" s="446"/>
      <c r="O657" s="446"/>
    </row>
    <row r="658" spans="1:18" s="447" customFormat="1" ht="15.75" x14ac:dyDescent="0.2">
      <c r="A658" s="546" t="s">
        <v>257</v>
      </c>
      <c r="B658" s="504"/>
      <c r="C658" s="504"/>
      <c r="D658" s="547" t="s">
        <v>1797</v>
      </c>
      <c r="E658" s="493"/>
      <c r="F658" s="440"/>
      <c r="G658" s="441"/>
      <c r="H658" s="442"/>
      <c r="I658" s="443">
        <f>SUM(I659:I703)</f>
        <v>7085.9699999999993</v>
      </c>
      <c r="J658" s="446"/>
      <c r="K658" s="446"/>
      <c r="L658" s="446"/>
      <c r="M658" s="446"/>
      <c r="N658" s="446"/>
      <c r="O658" s="446"/>
    </row>
    <row r="659" spans="1:18" s="447" customFormat="1" ht="32.25" customHeight="1" x14ac:dyDescent="0.2">
      <c r="A659" s="548" t="s">
        <v>1849</v>
      </c>
      <c r="B659" s="505" t="s">
        <v>45</v>
      </c>
      <c r="C659" s="506" t="s">
        <v>730</v>
      </c>
      <c r="D659" s="554" t="s">
        <v>731</v>
      </c>
      <c r="E659" s="454" t="s">
        <v>15</v>
      </c>
      <c r="F659" s="426">
        <f>11.2*4.9</f>
        <v>54.88</v>
      </c>
      <c r="G659" s="426">
        <v>8.3000000000000007</v>
      </c>
      <c r="H659" s="426">
        <f t="shared" ref="H659:H703" si="41">ROUND((1+$L$16)*G659,2)</f>
        <v>10.49</v>
      </c>
      <c r="I659" s="445">
        <f t="shared" ref="I659:I671" si="42">ROUND(F659*H659,2)</f>
        <v>575.69000000000005</v>
      </c>
      <c r="J659" s="446"/>
      <c r="K659" s="446"/>
      <c r="L659" s="446"/>
      <c r="M659" s="446"/>
      <c r="N659" s="446"/>
      <c r="O659" s="446"/>
    </row>
    <row r="660" spans="1:18" s="447" customFormat="1" x14ac:dyDescent="0.2">
      <c r="A660" s="548"/>
      <c r="B660" s="505"/>
      <c r="C660" s="506"/>
      <c r="D660" s="554"/>
      <c r="E660" s="454"/>
      <c r="F660" s="426"/>
      <c r="G660" s="426"/>
      <c r="H660" s="426"/>
      <c r="I660" s="445"/>
      <c r="J660" s="446"/>
      <c r="K660" s="446"/>
      <c r="L660" s="446"/>
      <c r="M660" s="446"/>
      <c r="N660" s="446"/>
      <c r="O660" s="446"/>
    </row>
    <row r="661" spans="1:18" s="447" customFormat="1" ht="17.25" customHeight="1" x14ac:dyDescent="0.2">
      <c r="A661" s="548"/>
      <c r="B661" s="505"/>
      <c r="C661" s="506"/>
      <c r="D661" s="554" t="s">
        <v>2371</v>
      </c>
      <c r="E661" s="454"/>
      <c r="F661" s="426"/>
      <c r="G661" s="426"/>
      <c r="H661" s="426"/>
      <c r="I661" s="445"/>
      <c r="J661" s="446"/>
      <c r="K661" s="446"/>
      <c r="L661" s="446"/>
      <c r="M661" s="446"/>
      <c r="N661" s="446"/>
      <c r="O661" s="446"/>
    </row>
    <row r="662" spans="1:18" s="447" customFormat="1" x14ac:dyDescent="0.2">
      <c r="A662" s="548"/>
      <c r="B662" s="505"/>
      <c r="C662" s="506"/>
      <c r="D662" s="554"/>
      <c r="E662" s="454"/>
      <c r="F662" s="426"/>
      <c r="G662" s="426"/>
      <c r="H662" s="426"/>
      <c r="I662" s="445"/>
      <c r="J662" s="446"/>
      <c r="K662" s="446"/>
      <c r="L662" s="446"/>
      <c r="M662" s="446"/>
      <c r="N662" s="446"/>
      <c r="O662" s="446"/>
    </row>
    <row r="663" spans="1:18" s="447" customFormat="1" ht="30" x14ac:dyDescent="0.2">
      <c r="A663" s="548" t="s">
        <v>1850</v>
      </c>
      <c r="B663" s="505" t="s">
        <v>45</v>
      </c>
      <c r="C663" s="506">
        <v>83338</v>
      </c>
      <c r="D663" s="554" t="s">
        <v>795</v>
      </c>
      <c r="E663" s="494" t="s">
        <v>16</v>
      </c>
      <c r="F663" s="426">
        <f>(2.6*2.1*4+5.2*3.9*4+1.9*3.7*4)*0.9</f>
        <v>117.97200000000001</v>
      </c>
      <c r="G663" s="426">
        <v>2.41</v>
      </c>
      <c r="H663" s="426">
        <f t="shared" si="41"/>
        <v>3.05</v>
      </c>
      <c r="I663" s="445">
        <f t="shared" si="42"/>
        <v>359.81</v>
      </c>
      <c r="J663" s="446"/>
      <c r="K663" s="446"/>
      <c r="L663" s="446"/>
      <c r="M663" s="446"/>
      <c r="N663" s="446"/>
      <c r="O663" s="446"/>
    </row>
    <row r="664" spans="1:18" s="447" customFormat="1" x14ac:dyDescent="0.2">
      <c r="A664" s="548"/>
      <c r="B664" s="505"/>
      <c r="C664" s="506"/>
      <c r="D664" s="554"/>
      <c r="E664" s="494"/>
      <c r="F664" s="426"/>
      <c r="G664" s="426"/>
      <c r="H664" s="426"/>
      <c r="I664" s="455"/>
      <c r="J664" s="446"/>
      <c r="K664" s="446"/>
      <c r="L664" s="446"/>
      <c r="M664" s="446"/>
      <c r="N664" s="446"/>
      <c r="O664" s="446"/>
    </row>
    <row r="665" spans="1:18" s="447" customFormat="1" ht="33.75" customHeight="1" x14ac:dyDescent="0.2">
      <c r="A665" s="548"/>
      <c r="B665" s="505"/>
      <c r="C665" s="506"/>
      <c r="D665" s="554" t="s">
        <v>2372</v>
      </c>
      <c r="E665" s="494"/>
      <c r="F665" s="426"/>
      <c r="G665" s="426"/>
      <c r="H665" s="426"/>
      <c r="I665" s="455"/>
      <c r="J665" s="446"/>
      <c r="K665" s="446"/>
      <c r="L665" s="446"/>
      <c r="M665" s="446"/>
      <c r="N665" s="446"/>
      <c r="O665" s="446"/>
    </row>
    <row r="666" spans="1:18" s="447" customFormat="1" x14ac:dyDescent="0.2">
      <c r="A666" s="548"/>
      <c r="B666" s="505"/>
      <c r="C666" s="506"/>
      <c r="D666" s="554"/>
      <c r="E666" s="494"/>
      <c r="F666" s="426"/>
      <c r="G666" s="426"/>
      <c r="H666" s="426"/>
      <c r="I666" s="455"/>
      <c r="J666" s="446"/>
      <c r="K666" s="446"/>
      <c r="L666" s="446"/>
      <c r="M666" s="446"/>
      <c r="N666" s="446"/>
      <c r="O666" s="446"/>
    </row>
    <row r="667" spans="1:18" ht="18.75" customHeight="1" x14ac:dyDescent="0.2">
      <c r="A667" s="548" t="s">
        <v>1851</v>
      </c>
      <c r="B667" s="500" t="s">
        <v>335</v>
      </c>
      <c r="C667" s="500" t="str">
        <f>COMPOSIÇÕES!C46</f>
        <v>CE-002</v>
      </c>
      <c r="D667" s="540" t="str">
        <f>COMPOSIÇÕES!D46</f>
        <v>ESCAVACAO MECANICA DE VALAS (SOLO COM AGUA), ENTRE 1,00 E 3,00 M.</v>
      </c>
      <c r="E667" s="495" t="s">
        <v>16</v>
      </c>
      <c r="F667" s="426">
        <f>(2.6*2.1*2+5.2*3.9*3.5+1.9*3.7*3.5)*0.9</f>
        <v>95.854500000000016</v>
      </c>
      <c r="G667" s="426">
        <f>COMPOSIÇÕES!I46</f>
        <v>20.659999999999997</v>
      </c>
      <c r="H667" s="426">
        <f t="shared" si="41"/>
        <v>26.12</v>
      </c>
      <c r="I667" s="448">
        <f t="shared" si="42"/>
        <v>2503.7199999999998</v>
      </c>
      <c r="J667" s="435"/>
      <c r="K667" s="372"/>
      <c r="L667" s="424"/>
      <c r="M667" s="372"/>
      <c r="N667" s="372"/>
      <c r="O667" s="372"/>
      <c r="P667" s="372"/>
      <c r="R667" s="372"/>
    </row>
    <row r="668" spans="1:18" x14ac:dyDescent="0.2">
      <c r="A668" s="548"/>
      <c r="B668" s="500"/>
      <c r="C668" s="500"/>
      <c r="D668" s="540"/>
      <c r="E668" s="495"/>
      <c r="F668" s="426"/>
      <c r="G668" s="426"/>
      <c r="H668" s="426"/>
      <c r="I668" s="510"/>
      <c r="J668" s="435"/>
      <c r="K668" s="372"/>
      <c r="L668" s="424"/>
      <c r="M668" s="372"/>
      <c r="N668" s="372"/>
      <c r="O668" s="372"/>
      <c r="P668" s="372"/>
      <c r="R668" s="372"/>
    </row>
    <row r="669" spans="1:18" ht="34.5" customHeight="1" x14ac:dyDescent="0.2">
      <c r="A669" s="548"/>
      <c r="B669" s="500"/>
      <c r="C669" s="500"/>
      <c r="D669" s="540" t="s">
        <v>2373</v>
      </c>
      <c r="E669" s="495"/>
      <c r="F669" s="426"/>
      <c r="G669" s="426"/>
      <c r="H669" s="426"/>
      <c r="I669" s="510"/>
      <c r="J669" s="435"/>
      <c r="K669" s="372"/>
      <c r="L669" s="424"/>
      <c r="M669" s="372"/>
      <c r="N669" s="372"/>
      <c r="O669" s="372"/>
      <c r="P669" s="372"/>
      <c r="R669" s="372"/>
    </row>
    <row r="670" spans="1:18" x14ac:dyDescent="0.2">
      <c r="A670" s="548"/>
      <c r="B670" s="500"/>
      <c r="C670" s="500"/>
      <c r="D670" s="540"/>
      <c r="E670" s="495"/>
      <c r="F670" s="426"/>
      <c r="G670" s="426"/>
      <c r="H670" s="426"/>
      <c r="I670" s="510"/>
      <c r="J670" s="435"/>
      <c r="K670" s="372"/>
      <c r="L670" s="424"/>
      <c r="M670" s="372"/>
      <c r="N670" s="372"/>
      <c r="O670" s="372"/>
      <c r="P670" s="372"/>
      <c r="R670" s="372"/>
    </row>
    <row r="671" spans="1:18" s="447" customFormat="1" x14ac:dyDescent="0.2">
      <c r="A671" s="548" t="s">
        <v>1852</v>
      </c>
      <c r="B671" s="505" t="s">
        <v>45</v>
      </c>
      <c r="C671" s="506">
        <v>93358</v>
      </c>
      <c r="D671" s="554" t="s">
        <v>794</v>
      </c>
      <c r="E671" s="494" t="s">
        <v>16</v>
      </c>
      <c r="F671" s="426">
        <f>(F663+F667)*0.1</f>
        <v>21.382650000000002</v>
      </c>
      <c r="G671" s="426">
        <v>65.819999999999993</v>
      </c>
      <c r="H671" s="426">
        <f t="shared" si="41"/>
        <v>83.22</v>
      </c>
      <c r="I671" s="445">
        <f t="shared" si="42"/>
        <v>1779.46</v>
      </c>
      <c r="J671" s="446"/>
      <c r="K671" s="446"/>
      <c r="L671" s="446"/>
      <c r="M671" s="446"/>
      <c r="N671" s="446"/>
      <c r="O671" s="446"/>
    </row>
    <row r="672" spans="1:18" s="447" customFormat="1" x14ac:dyDescent="0.2">
      <c r="A672" s="548"/>
      <c r="B672" s="505"/>
      <c r="C672" s="506"/>
      <c r="D672" s="554"/>
      <c r="E672" s="494"/>
      <c r="F672" s="437"/>
      <c r="G672" s="426"/>
      <c r="H672" s="426"/>
      <c r="I672" s="445"/>
      <c r="J672" s="446"/>
      <c r="K672" s="446"/>
      <c r="L672" s="446"/>
      <c r="M672" s="446"/>
      <c r="N672" s="446"/>
      <c r="O672" s="446"/>
    </row>
    <row r="673" spans="1:18" s="447" customFormat="1" x14ac:dyDescent="0.2">
      <c r="A673" s="548"/>
      <c r="B673" s="505"/>
      <c r="C673" s="506"/>
      <c r="D673" s="554" t="s">
        <v>2374</v>
      </c>
      <c r="E673" s="494"/>
      <c r="F673" s="437"/>
      <c r="G673" s="426"/>
      <c r="H673" s="426"/>
      <c r="I673" s="445"/>
      <c r="J673" s="446"/>
      <c r="K673" s="446"/>
      <c r="L673" s="446"/>
      <c r="M673" s="446"/>
      <c r="N673" s="446"/>
      <c r="O673" s="446"/>
    </row>
    <row r="674" spans="1:18" s="447" customFormat="1" x14ac:dyDescent="0.2">
      <c r="A674" s="548"/>
      <c r="B674" s="505"/>
      <c r="C674" s="506"/>
      <c r="D674" s="554"/>
      <c r="E674" s="494"/>
      <c r="F674" s="437"/>
      <c r="G674" s="426"/>
      <c r="H674" s="426"/>
      <c r="I674" s="445"/>
      <c r="J674" s="446"/>
      <c r="K674" s="446"/>
      <c r="L674" s="446"/>
      <c r="M674" s="446"/>
      <c r="N674" s="446"/>
      <c r="O674" s="446"/>
    </row>
    <row r="675" spans="1:18" s="447" customFormat="1" x14ac:dyDescent="0.2">
      <c r="A675" s="548" t="s">
        <v>1853</v>
      </c>
      <c r="B675" s="505" t="s">
        <v>45</v>
      </c>
      <c r="C675" s="500">
        <v>93382</v>
      </c>
      <c r="D675" s="540" t="s">
        <v>732</v>
      </c>
      <c r="E675" s="495" t="s">
        <v>16</v>
      </c>
      <c r="F675" s="471">
        <f>7.23*4+3.88*1.42</f>
        <v>34.429600000000001</v>
      </c>
      <c r="G675" s="426">
        <v>23.98</v>
      </c>
      <c r="H675" s="426">
        <f t="shared" si="41"/>
        <v>30.32</v>
      </c>
      <c r="I675" s="445">
        <f>ROUND(F675*H675,2)</f>
        <v>1043.9100000000001</v>
      </c>
      <c r="J675" s="446"/>
      <c r="K675" s="446">
        <f>(8.2*4.1-6.2*2.1)*2.4</f>
        <v>49.439999999999984</v>
      </c>
      <c r="L675" s="446"/>
      <c r="M675" s="446"/>
      <c r="N675" s="446"/>
      <c r="O675" s="446"/>
    </row>
    <row r="676" spans="1:18" s="447" customFormat="1" x14ac:dyDescent="0.2">
      <c r="A676" s="548"/>
      <c r="B676" s="505"/>
      <c r="C676" s="500"/>
      <c r="D676" s="540"/>
      <c r="E676" s="495"/>
      <c r="F676" s="471"/>
      <c r="G676" s="426"/>
      <c r="H676" s="426"/>
      <c r="I676" s="455"/>
      <c r="J676" s="446"/>
      <c r="K676" s="446"/>
      <c r="L676" s="446"/>
      <c r="M676" s="446"/>
      <c r="N676" s="446"/>
      <c r="O676" s="446"/>
    </row>
    <row r="677" spans="1:18" s="447" customFormat="1" x14ac:dyDescent="0.2">
      <c r="A677" s="548"/>
      <c r="B677" s="505"/>
      <c r="C677" s="500"/>
      <c r="D677" s="540" t="s">
        <v>2375</v>
      </c>
      <c r="E677" s="495"/>
      <c r="F677" s="471"/>
      <c r="G677" s="426"/>
      <c r="H677" s="426"/>
      <c r="I677" s="455"/>
      <c r="J677" s="446"/>
      <c r="K677" s="446"/>
      <c r="L677" s="446"/>
      <c r="M677" s="446"/>
      <c r="N677" s="446"/>
      <c r="O677" s="446"/>
    </row>
    <row r="678" spans="1:18" s="447" customFormat="1" x14ac:dyDescent="0.2">
      <c r="A678" s="548"/>
      <c r="B678" s="505"/>
      <c r="C678" s="500"/>
      <c r="D678" s="540"/>
      <c r="E678" s="495"/>
      <c r="F678" s="471"/>
      <c r="G678" s="426"/>
      <c r="H678" s="426"/>
      <c r="I678" s="455"/>
      <c r="J678" s="446"/>
      <c r="K678" s="446"/>
      <c r="L678" s="446"/>
      <c r="M678" s="446"/>
      <c r="N678" s="446"/>
      <c r="O678" s="446"/>
    </row>
    <row r="679" spans="1:18" s="373" customFormat="1" ht="30" x14ac:dyDescent="0.2">
      <c r="A679" s="548" t="s">
        <v>1854</v>
      </c>
      <c r="B679" s="500" t="s">
        <v>45</v>
      </c>
      <c r="C679" s="500">
        <v>79480</v>
      </c>
      <c r="D679" s="540" t="s">
        <v>1798</v>
      </c>
      <c r="E679" s="495" t="s">
        <v>16</v>
      </c>
      <c r="F679" s="426">
        <f>(2.6*2.1*0.95)</f>
        <v>5.1870000000000003</v>
      </c>
      <c r="G679" s="426">
        <v>2.57</v>
      </c>
      <c r="H679" s="426">
        <f t="shared" si="41"/>
        <v>3.25</v>
      </c>
      <c r="I679" s="448">
        <f>ROUND(F679*H679,2)</f>
        <v>16.86</v>
      </c>
      <c r="J679" s="444"/>
      <c r="K679" s="372"/>
      <c r="L679" s="424"/>
      <c r="M679" s="372"/>
      <c r="N679" s="372"/>
      <c r="O679" s="372"/>
      <c r="P679" s="372"/>
      <c r="R679" s="372"/>
    </row>
    <row r="680" spans="1:18" s="373" customFormat="1" x14ac:dyDescent="0.2">
      <c r="A680" s="548"/>
      <c r="B680" s="500"/>
      <c r="C680" s="500"/>
      <c r="D680" s="540"/>
      <c r="E680" s="495"/>
      <c r="F680" s="426"/>
      <c r="G680" s="426"/>
      <c r="H680" s="426"/>
      <c r="I680" s="448"/>
      <c r="J680" s="444"/>
      <c r="K680" s="372"/>
      <c r="L680" s="424"/>
      <c r="M680" s="372"/>
      <c r="N680" s="372"/>
      <c r="O680" s="372"/>
      <c r="P680" s="372"/>
      <c r="R680" s="372"/>
    </row>
    <row r="681" spans="1:18" s="373" customFormat="1" x14ac:dyDescent="0.2">
      <c r="A681" s="548"/>
      <c r="B681" s="500"/>
      <c r="C681" s="500"/>
      <c r="D681" s="540" t="s">
        <v>2376</v>
      </c>
      <c r="E681" s="495"/>
      <c r="F681" s="426"/>
      <c r="G681" s="426"/>
      <c r="H681" s="426"/>
      <c r="I681" s="448"/>
      <c r="J681" s="444"/>
      <c r="K681" s="372"/>
      <c r="L681" s="424"/>
      <c r="M681" s="372"/>
      <c r="N681" s="372"/>
      <c r="O681" s="372"/>
      <c r="P681" s="372"/>
      <c r="R681" s="372"/>
    </row>
    <row r="682" spans="1:18" s="373" customFormat="1" x14ac:dyDescent="0.2">
      <c r="A682" s="548"/>
      <c r="B682" s="500"/>
      <c r="C682" s="500"/>
      <c r="D682" s="540"/>
      <c r="E682" s="495"/>
      <c r="F682" s="426"/>
      <c r="G682" s="426"/>
      <c r="H682" s="426"/>
      <c r="I682" s="448"/>
      <c r="J682" s="444"/>
      <c r="K682" s="372"/>
      <c r="L682" s="424"/>
      <c r="M682" s="372"/>
      <c r="N682" s="372"/>
      <c r="O682" s="372"/>
      <c r="P682" s="372"/>
      <c r="R682" s="372"/>
    </row>
    <row r="683" spans="1:18" s="373" customFormat="1" x14ac:dyDescent="0.2">
      <c r="A683" s="548" t="s">
        <v>1855</v>
      </c>
      <c r="B683" s="500" t="s">
        <v>45</v>
      </c>
      <c r="C683" s="500">
        <v>72898</v>
      </c>
      <c r="D683" s="540" t="s">
        <v>1799</v>
      </c>
      <c r="E683" s="495" t="s">
        <v>16</v>
      </c>
      <c r="F683" s="426">
        <f>F679*1.3</f>
        <v>6.743100000000001</v>
      </c>
      <c r="G683" s="426">
        <v>3.57</v>
      </c>
      <c r="H683" s="426">
        <f t="shared" si="41"/>
        <v>4.51</v>
      </c>
      <c r="I683" s="448">
        <f>ROUND(F683*H683,2)</f>
        <v>30.41</v>
      </c>
      <c r="J683" s="444"/>
      <c r="K683" s="372"/>
      <c r="L683" s="424"/>
      <c r="M683" s="372"/>
      <c r="N683" s="372">
        <v>170</v>
      </c>
      <c r="O683" s="372"/>
      <c r="P683" s="372"/>
      <c r="R683" s="372"/>
    </row>
    <row r="684" spans="1:18" s="373" customFormat="1" x14ac:dyDescent="0.2">
      <c r="A684" s="548"/>
      <c r="B684" s="500"/>
      <c r="C684" s="500"/>
      <c r="D684" s="540"/>
      <c r="E684" s="495"/>
      <c r="F684" s="426"/>
      <c r="G684" s="426"/>
      <c r="H684" s="426"/>
      <c r="I684" s="448"/>
      <c r="J684" s="444"/>
      <c r="K684" s="372"/>
      <c r="L684" s="424"/>
      <c r="M684" s="372"/>
      <c r="N684" s="372"/>
      <c r="O684" s="372"/>
      <c r="P684" s="372"/>
      <c r="R684" s="372"/>
    </row>
    <row r="685" spans="1:18" s="373" customFormat="1" x14ac:dyDescent="0.2">
      <c r="A685" s="548"/>
      <c r="B685" s="500"/>
      <c r="C685" s="500"/>
      <c r="D685" s="540" t="s">
        <v>2377</v>
      </c>
      <c r="E685" s="495"/>
      <c r="F685" s="426"/>
      <c r="G685" s="426"/>
      <c r="H685" s="426"/>
      <c r="I685" s="448"/>
      <c r="J685" s="444"/>
      <c r="K685" s="372"/>
      <c r="L685" s="424"/>
      <c r="M685" s="372"/>
      <c r="N685" s="372"/>
      <c r="O685" s="372"/>
      <c r="P685" s="372"/>
      <c r="R685" s="372"/>
    </row>
    <row r="686" spans="1:18" s="373" customFormat="1" x14ac:dyDescent="0.2">
      <c r="A686" s="548"/>
      <c r="B686" s="500"/>
      <c r="C686" s="500"/>
      <c r="D686" s="540"/>
      <c r="E686" s="495"/>
      <c r="F686" s="426"/>
      <c r="G686" s="426"/>
      <c r="H686" s="426"/>
      <c r="I686" s="448"/>
      <c r="J686" s="444"/>
      <c r="K686" s="372"/>
      <c r="L686" s="424"/>
      <c r="M686" s="372"/>
      <c r="N686" s="372"/>
      <c r="O686" s="372"/>
      <c r="P686" s="372"/>
      <c r="R686" s="372"/>
    </row>
    <row r="687" spans="1:18" s="373" customFormat="1" ht="30" x14ac:dyDescent="0.2">
      <c r="A687" s="548" t="s">
        <v>1026</v>
      </c>
      <c r="B687" s="500" t="s">
        <v>45</v>
      </c>
      <c r="C687" s="500">
        <v>72885</v>
      </c>
      <c r="D687" s="540" t="s">
        <v>1800</v>
      </c>
      <c r="E687" s="495" t="s">
        <v>725</v>
      </c>
      <c r="F687" s="449">
        <f>F683*5</f>
        <v>33.715500000000006</v>
      </c>
      <c r="G687" s="426">
        <v>1.36</v>
      </c>
      <c r="H687" s="426">
        <f t="shared" si="41"/>
        <v>1.72</v>
      </c>
      <c r="I687" s="448">
        <f t="shared" ref="I687" si="43">ROUND(F687*H687,2)</f>
        <v>57.99</v>
      </c>
      <c r="J687" s="444"/>
      <c r="K687" s="372"/>
      <c r="L687" s="424"/>
      <c r="M687" s="372"/>
      <c r="N687" s="372">
        <v>54</v>
      </c>
      <c r="O687" s="372"/>
      <c r="P687" s="372"/>
      <c r="R687" s="372"/>
    </row>
    <row r="688" spans="1:18" s="373" customFormat="1" x14ac:dyDescent="0.2">
      <c r="A688" s="548"/>
      <c r="B688" s="500"/>
      <c r="C688" s="500"/>
      <c r="D688" s="540"/>
      <c r="E688" s="495"/>
      <c r="F688" s="449"/>
      <c r="G688" s="426"/>
      <c r="H688" s="426"/>
      <c r="I688" s="448"/>
      <c r="J688" s="444"/>
      <c r="K688" s="372"/>
      <c r="L688" s="424"/>
      <c r="M688" s="372"/>
      <c r="N688" s="372"/>
      <c r="O688" s="372"/>
      <c r="P688" s="372"/>
      <c r="R688" s="372"/>
    </row>
    <row r="689" spans="1:18" s="373" customFormat="1" x14ac:dyDescent="0.2">
      <c r="A689" s="548"/>
      <c r="B689" s="500"/>
      <c r="C689" s="500"/>
      <c r="D689" s="540" t="s">
        <v>2423</v>
      </c>
      <c r="E689" s="495"/>
      <c r="F689" s="449"/>
      <c r="G689" s="426"/>
      <c r="H689" s="426"/>
      <c r="I689" s="448"/>
      <c r="J689" s="444"/>
      <c r="K689" s="372"/>
      <c r="L689" s="424"/>
      <c r="M689" s="372"/>
      <c r="N689" s="372"/>
      <c r="O689" s="372"/>
      <c r="P689" s="372"/>
      <c r="R689" s="372"/>
    </row>
    <row r="690" spans="1:18" s="373" customFormat="1" x14ac:dyDescent="0.2">
      <c r="A690" s="548"/>
      <c r="B690" s="500"/>
      <c r="C690" s="500"/>
      <c r="D690" s="540"/>
      <c r="E690" s="495"/>
      <c r="F690" s="449"/>
      <c r="G690" s="426"/>
      <c r="H690" s="426"/>
      <c r="I690" s="448"/>
      <c r="J690" s="444"/>
      <c r="K690" s="372"/>
      <c r="L690" s="424"/>
      <c r="M690" s="372"/>
      <c r="N690" s="372"/>
      <c r="O690" s="372"/>
      <c r="P690" s="372"/>
      <c r="R690" s="372"/>
    </row>
    <row r="691" spans="1:18" s="373" customFormat="1" ht="30" x14ac:dyDescent="0.2">
      <c r="A691" s="548" t="s">
        <v>1027</v>
      </c>
      <c r="B691" s="500" t="s">
        <v>45</v>
      </c>
      <c r="C691" s="500">
        <v>79480</v>
      </c>
      <c r="D691" s="540" t="s">
        <v>1801</v>
      </c>
      <c r="E691" s="495" t="s">
        <v>16</v>
      </c>
      <c r="F691" s="426">
        <f>F679+F712</f>
        <v>30.587</v>
      </c>
      <c r="G691" s="426">
        <v>2.57</v>
      </c>
      <c r="H691" s="426">
        <f t="shared" si="41"/>
        <v>3.25</v>
      </c>
      <c r="I691" s="448">
        <f>ROUND(F691*H691,2)</f>
        <v>99.41</v>
      </c>
      <c r="J691" s="444"/>
      <c r="K691" s="372"/>
      <c r="L691" s="424"/>
      <c r="M691" s="372"/>
      <c r="N691" s="372"/>
      <c r="O691" s="372"/>
      <c r="P691" s="372"/>
      <c r="R691" s="372"/>
    </row>
    <row r="692" spans="1:18" s="373" customFormat="1" x14ac:dyDescent="0.2">
      <c r="A692" s="548"/>
      <c r="B692" s="500"/>
      <c r="C692" s="500"/>
      <c r="D692" s="540"/>
      <c r="E692" s="495"/>
      <c r="F692" s="426"/>
      <c r="G692" s="426"/>
      <c r="H692" s="426"/>
      <c r="I692" s="448"/>
      <c r="J692" s="444"/>
      <c r="K692" s="372"/>
      <c r="L692" s="424"/>
      <c r="M692" s="372"/>
      <c r="N692" s="372"/>
      <c r="O692" s="372"/>
      <c r="P692" s="372"/>
      <c r="R692" s="372"/>
    </row>
    <row r="693" spans="1:18" s="373" customFormat="1" x14ac:dyDescent="0.2">
      <c r="A693" s="548"/>
      <c r="B693" s="500"/>
      <c r="C693" s="500"/>
      <c r="D693" s="540" t="s">
        <v>2378</v>
      </c>
      <c r="E693" s="495"/>
      <c r="F693" s="426"/>
      <c r="G693" s="426"/>
      <c r="H693" s="426"/>
      <c r="I693" s="448"/>
      <c r="J693" s="444"/>
      <c r="K693" s="372"/>
      <c r="L693" s="424"/>
      <c r="M693" s="372"/>
      <c r="N693" s="372"/>
      <c r="O693" s="372"/>
      <c r="P693" s="372"/>
      <c r="R693" s="372"/>
    </row>
    <row r="694" spans="1:18" s="373" customFormat="1" x14ac:dyDescent="0.2">
      <c r="A694" s="548"/>
      <c r="B694" s="500"/>
      <c r="C694" s="500"/>
      <c r="D694" s="540"/>
      <c r="E694" s="495"/>
      <c r="F694" s="426"/>
      <c r="G694" s="426"/>
      <c r="H694" s="426"/>
      <c r="I694" s="448"/>
      <c r="J694" s="444"/>
      <c r="K694" s="372"/>
      <c r="L694" s="424"/>
      <c r="M694" s="372"/>
      <c r="N694" s="372"/>
      <c r="O694" s="372"/>
      <c r="P694" s="372"/>
      <c r="R694" s="372"/>
    </row>
    <row r="695" spans="1:18" s="373" customFormat="1" x14ac:dyDescent="0.2">
      <c r="A695" s="548" t="s">
        <v>1028</v>
      </c>
      <c r="B695" s="500" t="s">
        <v>45</v>
      </c>
      <c r="C695" s="500">
        <v>72898</v>
      </c>
      <c r="D695" s="540" t="s">
        <v>1802</v>
      </c>
      <c r="E695" s="495" t="s">
        <v>16</v>
      </c>
      <c r="F695" s="426">
        <f>F691*1.3</f>
        <v>39.763100000000001</v>
      </c>
      <c r="G695" s="426">
        <v>3.57</v>
      </c>
      <c r="H695" s="426">
        <f t="shared" si="41"/>
        <v>4.51</v>
      </c>
      <c r="I695" s="448">
        <f>ROUND(F695*H695,2)</f>
        <v>179.33</v>
      </c>
      <c r="J695" s="444"/>
      <c r="K695" s="372"/>
      <c r="L695" s="424"/>
      <c r="M695" s="372"/>
      <c r="N695" s="372">
        <v>170</v>
      </c>
      <c r="O695" s="372"/>
      <c r="P695" s="372"/>
      <c r="R695" s="372"/>
    </row>
    <row r="696" spans="1:18" s="373" customFormat="1" x14ac:dyDescent="0.2">
      <c r="A696" s="548"/>
      <c r="B696" s="500"/>
      <c r="C696" s="500"/>
      <c r="D696" s="540"/>
      <c r="E696" s="495"/>
      <c r="F696" s="426"/>
      <c r="G696" s="426"/>
      <c r="H696" s="426"/>
      <c r="I696" s="448"/>
      <c r="J696" s="444"/>
      <c r="K696" s="372"/>
      <c r="L696" s="424"/>
      <c r="M696" s="372"/>
      <c r="N696" s="372"/>
      <c r="O696" s="372"/>
      <c r="P696" s="372"/>
      <c r="R696" s="372"/>
    </row>
    <row r="697" spans="1:18" s="373" customFormat="1" ht="30" x14ac:dyDescent="0.2">
      <c r="A697" s="548"/>
      <c r="B697" s="500"/>
      <c r="C697" s="500"/>
      <c r="D697" s="540" t="s">
        <v>2379</v>
      </c>
      <c r="E697" s="495"/>
      <c r="F697" s="426"/>
      <c r="G697" s="426"/>
      <c r="H697" s="426"/>
      <c r="I697" s="448"/>
      <c r="J697" s="444"/>
      <c r="K697" s="372"/>
      <c r="L697" s="424"/>
      <c r="M697" s="372"/>
      <c r="N697" s="372"/>
      <c r="O697" s="372"/>
      <c r="P697" s="372"/>
      <c r="R697" s="372"/>
    </row>
    <row r="698" spans="1:18" s="373" customFormat="1" x14ac:dyDescent="0.2">
      <c r="A698" s="550"/>
      <c r="B698" s="551"/>
      <c r="C698" s="551"/>
      <c r="D698" s="552"/>
      <c r="E698" s="495"/>
      <c r="F698" s="426"/>
      <c r="G698" s="426"/>
      <c r="H698" s="426"/>
      <c r="I698" s="448"/>
      <c r="J698" s="444"/>
      <c r="K698" s="372"/>
      <c r="L698" s="424"/>
      <c r="M698" s="372"/>
      <c r="N698" s="372"/>
      <c r="O698" s="372"/>
      <c r="P698" s="372"/>
      <c r="R698" s="372"/>
    </row>
    <row r="699" spans="1:18" s="373" customFormat="1" ht="30" x14ac:dyDescent="0.2">
      <c r="A699" s="548" t="s">
        <v>1029</v>
      </c>
      <c r="B699" s="500" t="s">
        <v>45</v>
      </c>
      <c r="C699" s="500">
        <v>72885</v>
      </c>
      <c r="D699" s="540" t="s">
        <v>1803</v>
      </c>
      <c r="E699" s="495" t="s">
        <v>725</v>
      </c>
      <c r="F699" s="449">
        <f>F695*5</f>
        <v>198.81550000000001</v>
      </c>
      <c r="G699" s="426">
        <v>1.36</v>
      </c>
      <c r="H699" s="426">
        <f t="shared" si="41"/>
        <v>1.72</v>
      </c>
      <c r="I699" s="448">
        <f t="shared" ref="I699" si="44">ROUND(F699*H699,2)</f>
        <v>341.96</v>
      </c>
      <c r="J699" s="444"/>
      <c r="K699" s="372"/>
      <c r="L699" s="424"/>
      <c r="M699" s="372"/>
      <c r="N699" s="372">
        <v>54</v>
      </c>
      <c r="O699" s="372"/>
      <c r="P699" s="372"/>
      <c r="R699" s="372"/>
    </row>
    <row r="700" spans="1:18" s="373" customFormat="1" x14ac:dyDescent="0.2">
      <c r="A700" s="548"/>
      <c r="B700" s="500"/>
      <c r="C700" s="500"/>
      <c r="D700" s="540"/>
      <c r="E700" s="495"/>
      <c r="F700" s="449"/>
      <c r="G700" s="426"/>
      <c r="H700" s="426"/>
      <c r="I700" s="448"/>
      <c r="J700" s="444"/>
      <c r="K700" s="372"/>
      <c r="L700" s="424"/>
      <c r="M700" s="372"/>
      <c r="N700" s="372"/>
      <c r="O700" s="372"/>
      <c r="P700" s="372"/>
      <c r="R700" s="372"/>
    </row>
    <row r="701" spans="1:18" s="373" customFormat="1" ht="30" x14ac:dyDescent="0.2">
      <c r="A701" s="548"/>
      <c r="B701" s="500"/>
      <c r="C701" s="500"/>
      <c r="D701" s="540" t="s">
        <v>2424</v>
      </c>
      <c r="E701" s="495"/>
      <c r="F701" s="449"/>
      <c r="G701" s="426"/>
      <c r="H701" s="426"/>
      <c r="I701" s="448"/>
      <c r="J701" s="444"/>
      <c r="K701" s="372"/>
      <c r="L701" s="424"/>
      <c r="M701" s="372"/>
      <c r="N701" s="372"/>
      <c r="O701" s="372"/>
      <c r="P701" s="372"/>
      <c r="R701" s="372"/>
    </row>
    <row r="702" spans="1:18" s="373" customFormat="1" x14ac:dyDescent="0.2">
      <c r="A702" s="548"/>
      <c r="B702" s="500"/>
      <c r="C702" s="500"/>
      <c r="D702" s="540"/>
      <c r="E702" s="495"/>
      <c r="F702" s="449"/>
      <c r="G702" s="426"/>
      <c r="H702" s="426"/>
      <c r="I702" s="448"/>
      <c r="J702" s="444"/>
      <c r="K702" s="372"/>
      <c r="L702" s="424"/>
      <c r="M702" s="372"/>
      <c r="N702" s="372"/>
      <c r="O702" s="372"/>
      <c r="P702" s="372"/>
      <c r="R702" s="372"/>
    </row>
    <row r="703" spans="1:18" s="373" customFormat="1" ht="27.75" customHeight="1" x14ac:dyDescent="0.2">
      <c r="A703" s="548" t="s">
        <v>1030</v>
      </c>
      <c r="B703" s="500" t="s">
        <v>45</v>
      </c>
      <c r="C703" s="500" t="s">
        <v>57</v>
      </c>
      <c r="D703" s="540" t="s">
        <v>1804</v>
      </c>
      <c r="E703" s="495" t="s">
        <v>16</v>
      </c>
      <c r="F703" s="426">
        <f>F695</f>
        <v>39.763100000000001</v>
      </c>
      <c r="G703" s="426">
        <v>1.94</v>
      </c>
      <c r="H703" s="426">
        <f t="shared" si="41"/>
        <v>2.4500000000000002</v>
      </c>
      <c r="I703" s="448">
        <f>ROUND(F703*H703,2)</f>
        <v>97.42</v>
      </c>
      <c r="J703" s="444"/>
      <c r="K703" s="372"/>
      <c r="L703" s="424"/>
      <c r="M703" s="372"/>
      <c r="N703" s="372"/>
      <c r="O703" s="372"/>
      <c r="P703" s="372"/>
      <c r="R703" s="372"/>
    </row>
    <row r="704" spans="1:18" s="373" customFormat="1" x14ac:dyDescent="0.2">
      <c r="A704" s="548"/>
      <c r="B704" s="500"/>
      <c r="C704" s="500"/>
      <c r="D704" s="540"/>
      <c r="E704" s="495"/>
      <c r="F704" s="426"/>
      <c r="G704" s="426"/>
      <c r="H704" s="426"/>
      <c r="I704" s="448"/>
      <c r="J704" s="444"/>
      <c r="K704" s="372"/>
      <c r="L704" s="424"/>
      <c r="M704" s="372"/>
      <c r="N704" s="372"/>
      <c r="O704" s="372"/>
      <c r="P704" s="372"/>
      <c r="R704" s="372"/>
    </row>
    <row r="705" spans="1:18" s="373" customFormat="1" ht="30" x14ac:dyDescent="0.2">
      <c r="A705" s="548"/>
      <c r="B705" s="500"/>
      <c r="C705" s="500"/>
      <c r="D705" s="540" t="s">
        <v>2379</v>
      </c>
      <c r="E705" s="495"/>
      <c r="F705" s="426"/>
      <c r="G705" s="426"/>
      <c r="H705" s="426"/>
      <c r="I705" s="448"/>
      <c r="J705" s="444"/>
      <c r="K705" s="372"/>
      <c r="L705" s="424"/>
      <c r="M705" s="372"/>
      <c r="N705" s="372"/>
      <c r="O705" s="372"/>
      <c r="P705" s="372"/>
      <c r="R705" s="372"/>
    </row>
    <row r="706" spans="1:18" s="373" customFormat="1" x14ac:dyDescent="0.2">
      <c r="A706" s="542"/>
      <c r="B706" s="500"/>
      <c r="C706" s="500"/>
      <c r="D706" s="540"/>
      <c r="E706" s="495"/>
      <c r="F706" s="426"/>
      <c r="G706" s="426"/>
      <c r="H706" s="426"/>
      <c r="I706" s="448"/>
      <c r="J706" s="444"/>
      <c r="K706" s="372"/>
      <c r="L706" s="424"/>
      <c r="M706" s="372"/>
      <c r="N706" s="372"/>
      <c r="O706" s="372"/>
      <c r="P706" s="372"/>
      <c r="R706" s="372"/>
    </row>
    <row r="707" spans="1:18" s="447" customFormat="1" ht="15.75" x14ac:dyDescent="0.2">
      <c r="A707" s="546" t="s">
        <v>258</v>
      </c>
      <c r="B707" s="504"/>
      <c r="C707" s="504"/>
      <c r="D707" s="547" t="s">
        <v>1805</v>
      </c>
      <c r="E707" s="493"/>
      <c r="F707" s="440"/>
      <c r="G707" s="441"/>
      <c r="H707" s="442"/>
      <c r="I707" s="443">
        <f>SUM(I708:I748)</f>
        <v>94048.260000000009</v>
      </c>
      <c r="J707" s="446"/>
      <c r="K707" s="446"/>
      <c r="L707" s="446"/>
      <c r="M707" s="446"/>
      <c r="N707" s="446"/>
      <c r="O707" s="446"/>
    </row>
    <row r="708" spans="1:18" s="447" customFormat="1" x14ac:dyDescent="0.2">
      <c r="A708" s="548" t="s">
        <v>1031</v>
      </c>
      <c r="B708" s="500" t="s">
        <v>45</v>
      </c>
      <c r="C708" s="506" t="s">
        <v>59</v>
      </c>
      <c r="D708" s="549" t="s">
        <v>60</v>
      </c>
      <c r="E708" s="454" t="s">
        <v>14</v>
      </c>
      <c r="F708" s="426">
        <f>8*44</f>
        <v>352</v>
      </c>
      <c r="G708" s="426">
        <v>6.17</v>
      </c>
      <c r="H708" s="426">
        <f>ROUND((1+$L$16)*G708,2)</f>
        <v>7.8</v>
      </c>
      <c r="I708" s="426">
        <f>ROUND(F708*H708,2)</f>
        <v>2745.6</v>
      </c>
      <c r="J708" s="446"/>
      <c r="K708" s="446"/>
      <c r="L708" s="446"/>
      <c r="M708" s="446"/>
      <c r="N708" s="446"/>
      <c r="O708" s="446"/>
    </row>
    <row r="709" spans="1:18" s="447" customFormat="1" x14ac:dyDescent="0.2">
      <c r="A709" s="548"/>
      <c r="B709" s="500"/>
      <c r="C709" s="506"/>
      <c r="D709" s="549"/>
      <c r="E709" s="454"/>
      <c r="F709" s="426"/>
      <c r="G709" s="426"/>
      <c r="H709" s="426"/>
      <c r="I709" s="426"/>
      <c r="J709" s="446"/>
      <c r="K709" s="446"/>
      <c r="L709" s="446"/>
      <c r="M709" s="446"/>
      <c r="N709" s="446"/>
      <c r="O709" s="446"/>
    </row>
    <row r="710" spans="1:18" s="447" customFormat="1" x14ac:dyDescent="0.2">
      <c r="A710" s="548"/>
      <c r="B710" s="500"/>
      <c r="C710" s="506"/>
      <c r="D710" s="549" t="s">
        <v>2267</v>
      </c>
      <c r="E710" s="454"/>
      <c r="F710" s="426"/>
      <c r="G710" s="426"/>
      <c r="H710" s="426"/>
      <c r="I710" s="426"/>
      <c r="J710" s="446"/>
      <c r="K710" s="446"/>
      <c r="L710" s="446"/>
      <c r="M710" s="446"/>
      <c r="N710" s="446"/>
      <c r="O710" s="446"/>
    </row>
    <row r="711" spans="1:18" s="447" customFormat="1" x14ac:dyDescent="0.2">
      <c r="A711" s="548"/>
      <c r="B711" s="500"/>
      <c r="C711" s="506"/>
      <c r="D711" s="549"/>
      <c r="E711" s="454"/>
      <c r="F711" s="426"/>
      <c r="G711" s="426"/>
      <c r="H711" s="426"/>
      <c r="I711" s="426"/>
      <c r="J711" s="446"/>
      <c r="K711" s="446"/>
      <c r="L711" s="446"/>
      <c r="M711" s="446"/>
      <c r="N711" s="446"/>
      <c r="O711" s="446"/>
    </row>
    <row r="712" spans="1:18" s="447" customFormat="1" x14ac:dyDescent="0.2">
      <c r="A712" s="548" t="s">
        <v>1032</v>
      </c>
      <c r="B712" s="500" t="s">
        <v>45</v>
      </c>
      <c r="C712" s="506">
        <v>6454</v>
      </c>
      <c r="D712" s="549" t="s">
        <v>1794</v>
      </c>
      <c r="E712" s="495" t="s">
        <v>16</v>
      </c>
      <c r="F712" s="426">
        <v>25.4</v>
      </c>
      <c r="G712" s="426">
        <v>155.35</v>
      </c>
      <c r="H712" s="426">
        <f>ROUND((1+$L$16)*G712,2)</f>
        <v>196.42</v>
      </c>
      <c r="I712" s="426">
        <f>ROUND(F712*H712,2)</f>
        <v>4989.07</v>
      </c>
      <c r="J712" s="446"/>
      <c r="K712" s="446"/>
      <c r="L712" s="446"/>
      <c r="M712" s="446"/>
      <c r="N712" s="446"/>
      <c r="O712" s="446"/>
    </row>
    <row r="713" spans="1:18" s="447" customFormat="1" x14ac:dyDescent="0.2">
      <c r="A713" s="548"/>
      <c r="B713" s="500"/>
      <c r="C713" s="506"/>
      <c r="D713" s="549"/>
      <c r="E713" s="495"/>
      <c r="F713" s="426"/>
      <c r="G713" s="426"/>
      <c r="H713" s="426"/>
      <c r="I713" s="426"/>
      <c r="J713" s="446"/>
      <c r="K713" s="446"/>
      <c r="L713" s="446"/>
      <c r="M713" s="446"/>
      <c r="N713" s="446"/>
      <c r="O713" s="446"/>
    </row>
    <row r="714" spans="1:18" s="447" customFormat="1" x14ac:dyDescent="0.2">
      <c r="A714" s="548"/>
      <c r="B714" s="500"/>
      <c r="C714" s="506"/>
      <c r="D714" s="549" t="s">
        <v>2380</v>
      </c>
      <c r="E714" s="495"/>
      <c r="F714" s="426"/>
      <c r="G714" s="426"/>
      <c r="H714" s="426"/>
      <c r="I714" s="426"/>
      <c r="J714" s="446"/>
      <c r="K714" s="446"/>
      <c r="L714" s="446"/>
      <c r="M714" s="446"/>
      <c r="N714" s="446"/>
      <c r="O714" s="446"/>
    </row>
    <row r="715" spans="1:18" s="447" customFormat="1" x14ac:dyDescent="0.2">
      <c r="A715" s="548"/>
      <c r="B715" s="500"/>
      <c r="C715" s="506"/>
      <c r="D715" s="549"/>
      <c r="E715" s="495"/>
      <c r="F715" s="426"/>
      <c r="G715" s="426"/>
      <c r="H715" s="426"/>
      <c r="I715" s="426"/>
      <c r="J715" s="446"/>
      <c r="K715" s="446"/>
      <c r="L715" s="446"/>
      <c r="M715" s="446"/>
      <c r="N715" s="446"/>
      <c r="O715" s="446"/>
    </row>
    <row r="716" spans="1:18" s="447" customFormat="1" ht="30" x14ac:dyDescent="0.2">
      <c r="A716" s="548" t="s">
        <v>1033</v>
      </c>
      <c r="B716" s="506" t="s">
        <v>45</v>
      </c>
      <c r="C716" s="506">
        <v>95241</v>
      </c>
      <c r="D716" s="549" t="s">
        <v>733</v>
      </c>
      <c r="E716" s="454" t="s">
        <v>15</v>
      </c>
      <c r="F716" s="426">
        <f>1.9*1.7+3*7.6</f>
        <v>26.029999999999998</v>
      </c>
      <c r="G716" s="426">
        <v>19.88</v>
      </c>
      <c r="H716" s="426">
        <f>ROUND((1+$L$16)*G716,2)</f>
        <v>25.14</v>
      </c>
      <c r="I716" s="445">
        <f t="shared" ref="I716" si="45">ROUND(F716*H716,2)</f>
        <v>654.39</v>
      </c>
      <c r="J716" s="446"/>
      <c r="K716" s="446"/>
      <c r="L716" s="446"/>
      <c r="M716" s="446"/>
      <c r="N716" s="446"/>
      <c r="O716" s="446"/>
    </row>
    <row r="717" spans="1:18" s="447" customFormat="1" x14ac:dyDescent="0.2">
      <c r="A717" s="548"/>
      <c r="B717" s="506"/>
      <c r="C717" s="506"/>
      <c r="D717" s="549"/>
      <c r="E717" s="454"/>
      <c r="F717" s="426"/>
      <c r="G717" s="426"/>
      <c r="H717" s="426"/>
      <c r="I717" s="445"/>
      <c r="J717" s="446"/>
      <c r="K717" s="446"/>
      <c r="L717" s="446"/>
      <c r="M717" s="446"/>
      <c r="N717" s="446"/>
      <c r="O717" s="446"/>
    </row>
    <row r="718" spans="1:18" s="447" customFormat="1" x14ac:dyDescent="0.2">
      <c r="A718" s="548"/>
      <c r="B718" s="506"/>
      <c r="C718" s="506"/>
      <c r="D718" s="549" t="s">
        <v>2381</v>
      </c>
      <c r="E718" s="454"/>
      <c r="F718" s="426"/>
      <c r="G718" s="426"/>
      <c r="H718" s="426"/>
      <c r="I718" s="445"/>
      <c r="J718" s="446"/>
      <c r="K718" s="446"/>
      <c r="L718" s="446"/>
      <c r="M718" s="446"/>
      <c r="N718" s="446"/>
      <c r="O718" s="446"/>
    </row>
    <row r="719" spans="1:18" s="447" customFormat="1" x14ac:dyDescent="0.2">
      <c r="A719" s="548"/>
      <c r="B719" s="506"/>
      <c r="C719" s="506"/>
      <c r="D719" s="549"/>
      <c r="E719" s="454"/>
      <c r="F719" s="426"/>
      <c r="G719" s="426"/>
      <c r="H719" s="426"/>
      <c r="I719" s="445"/>
      <c r="J719" s="446"/>
      <c r="K719" s="446"/>
      <c r="L719" s="446"/>
      <c r="M719" s="446"/>
      <c r="N719" s="446"/>
      <c r="O719" s="446"/>
    </row>
    <row r="720" spans="1:18" s="447" customFormat="1" ht="30" x14ac:dyDescent="0.2">
      <c r="A720" s="548" t="s">
        <v>1034</v>
      </c>
      <c r="B720" s="506" t="s">
        <v>45</v>
      </c>
      <c r="C720" s="506">
        <v>92481</v>
      </c>
      <c r="D720" s="540" t="s">
        <v>796</v>
      </c>
      <c r="E720" s="494" t="s">
        <v>15</v>
      </c>
      <c r="F720" s="426">
        <f>1.8*1.7+2.9*7.5</f>
        <v>24.81</v>
      </c>
      <c r="G720" s="426">
        <v>148.88999999999999</v>
      </c>
      <c r="H720" s="426">
        <f>ROUND((1+$L$16)*G720,2)</f>
        <v>188.25</v>
      </c>
      <c r="I720" s="445">
        <f>ROUND(F720*H720,2)</f>
        <v>4670.4799999999996</v>
      </c>
      <c r="J720" s="446"/>
      <c r="K720" s="450">
        <f>1.8*1.7+2.9*7.5</f>
        <v>24.81</v>
      </c>
      <c r="L720" s="446"/>
      <c r="M720" s="446"/>
      <c r="N720" s="446"/>
      <c r="O720" s="446"/>
    </row>
    <row r="721" spans="1:15" s="447" customFormat="1" x14ac:dyDescent="0.2">
      <c r="A721" s="548"/>
      <c r="B721" s="506"/>
      <c r="C721" s="506"/>
      <c r="D721" s="540"/>
      <c r="E721" s="494"/>
      <c r="F721" s="426"/>
      <c r="G721" s="426"/>
      <c r="H721" s="426"/>
      <c r="I721" s="445"/>
      <c r="J721" s="446"/>
      <c r="K721" s="450"/>
      <c r="L721" s="446"/>
      <c r="M721" s="446"/>
      <c r="N721" s="446"/>
      <c r="O721" s="446"/>
    </row>
    <row r="722" spans="1:15" s="447" customFormat="1" x14ac:dyDescent="0.2">
      <c r="A722" s="548"/>
      <c r="B722" s="506"/>
      <c r="C722" s="506"/>
      <c r="D722" s="540" t="s">
        <v>2382</v>
      </c>
      <c r="E722" s="494"/>
      <c r="F722" s="426"/>
      <c r="G722" s="426"/>
      <c r="H722" s="426"/>
      <c r="I722" s="445"/>
      <c r="J722" s="446"/>
      <c r="K722" s="450"/>
      <c r="L722" s="446"/>
      <c r="M722" s="446"/>
      <c r="N722" s="446"/>
      <c r="O722" s="446"/>
    </row>
    <row r="723" spans="1:15" s="447" customFormat="1" x14ac:dyDescent="0.2">
      <c r="A723" s="548"/>
      <c r="B723" s="506"/>
      <c r="C723" s="506"/>
      <c r="D723" s="540"/>
      <c r="E723" s="494"/>
      <c r="F723" s="426"/>
      <c r="G723" s="426"/>
      <c r="H723" s="426"/>
      <c r="I723" s="445"/>
      <c r="J723" s="446"/>
      <c r="K723" s="450"/>
      <c r="L723" s="446"/>
      <c r="M723" s="446"/>
      <c r="N723" s="446"/>
      <c r="O723" s="446"/>
    </row>
    <row r="724" spans="1:15" s="447" customFormat="1" ht="45" x14ac:dyDescent="0.2">
      <c r="A724" s="548" t="s">
        <v>1035</v>
      </c>
      <c r="B724" s="506" t="s">
        <v>45</v>
      </c>
      <c r="C724" s="506">
        <v>92408</v>
      </c>
      <c r="D724" s="540" t="s">
        <v>797</v>
      </c>
      <c r="E724" s="494" t="s">
        <v>15</v>
      </c>
      <c r="F724" s="426">
        <f>255.7-F720</f>
        <v>230.89</v>
      </c>
      <c r="G724" s="426">
        <v>126.28</v>
      </c>
      <c r="H724" s="426">
        <f>ROUND((1+$L$16)*G724,2)</f>
        <v>159.66</v>
      </c>
      <c r="I724" s="445">
        <f>ROUND(F724*H724,2)</f>
        <v>36863.9</v>
      </c>
      <c r="J724" s="446"/>
      <c r="K724" s="450">
        <f>1.8*1.2+2.9*7.5+47.8*2+2.9*2.02+1.8*5.35+10.2*1.6+13.6*6.85+5.8*4.88</f>
        <v>272.78199999999998</v>
      </c>
      <c r="L724" s="446"/>
      <c r="M724" s="446"/>
      <c r="N724" s="446"/>
      <c r="O724" s="446"/>
    </row>
    <row r="725" spans="1:15" s="447" customFormat="1" x14ac:dyDescent="0.2">
      <c r="A725" s="548"/>
      <c r="B725" s="506"/>
      <c r="C725" s="506"/>
      <c r="D725" s="540"/>
      <c r="E725" s="494"/>
      <c r="F725" s="426"/>
      <c r="G725" s="426"/>
      <c r="H725" s="426"/>
      <c r="I725" s="445"/>
      <c r="J725" s="446"/>
      <c r="K725" s="511"/>
      <c r="L725" s="446"/>
      <c r="M725" s="446"/>
      <c r="N725" s="446"/>
      <c r="O725" s="446"/>
    </row>
    <row r="726" spans="1:15" s="447" customFormat="1" x14ac:dyDescent="0.2">
      <c r="A726" s="548"/>
      <c r="B726" s="506"/>
      <c r="C726" s="506"/>
      <c r="D726" s="540" t="s">
        <v>2383</v>
      </c>
      <c r="E726" s="494"/>
      <c r="F726" s="426"/>
      <c r="G726" s="426"/>
      <c r="H726" s="426"/>
      <c r="I726" s="445"/>
      <c r="J726" s="446"/>
      <c r="K726" s="511"/>
      <c r="L726" s="446"/>
      <c r="M726" s="446"/>
      <c r="N726" s="446"/>
      <c r="O726" s="446"/>
    </row>
    <row r="727" spans="1:15" s="447" customFormat="1" x14ac:dyDescent="0.2">
      <c r="A727" s="548"/>
      <c r="B727" s="506"/>
      <c r="C727" s="506"/>
      <c r="D727" s="540"/>
      <c r="E727" s="494"/>
      <c r="F727" s="426"/>
      <c r="G727" s="426"/>
      <c r="H727" s="426"/>
      <c r="I727" s="445"/>
      <c r="J727" s="446"/>
      <c r="K727" s="511"/>
      <c r="L727" s="446"/>
      <c r="M727" s="446"/>
      <c r="N727" s="446"/>
      <c r="O727" s="446"/>
    </row>
    <row r="728" spans="1:15" s="308" customFormat="1" x14ac:dyDescent="0.2">
      <c r="A728" s="548" t="s">
        <v>1036</v>
      </c>
      <c r="B728" s="506" t="s">
        <v>45</v>
      </c>
      <c r="C728" s="506">
        <v>34441</v>
      </c>
      <c r="D728" s="540" t="s">
        <v>1389</v>
      </c>
      <c r="E728" s="327" t="s">
        <v>169</v>
      </c>
      <c r="F728" s="149">
        <v>1836</v>
      </c>
      <c r="G728" s="149">
        <v>3.8</v>
      </c>
      <c r="H728" s="149">
        <f>ROUND((1+$K$16)*G728,2)</f>
        <v>4.4400000000000004</v>
      </c>
      <c r="I728" s="514">
        <f t="shared" ref="I728:I736" si="46">ROUND(F728*H728,2)</f>
        <v>8151.84</v>
      </c>
      <c r="J728" s="307"/>
      <c r="K728" s="519"/>
      <c r="L728" s="307"/>
      <c r="M728" s="307"/>
      <c r="N728" s="307"/>
      <c r="O728" s="307"/>
    </row>
    <row r="729" spans="1:15" s="308" customFormat="1" x14ac:dyDescent="0.2">
      <c r="A729" s="548"/>
      <c r="B729" s="506"/>
      <c r="C729" s="506"/>
      <c r="D729" s="540"/>
      <c r="E729" s="327"/>
      <c r="F729" s="149"/>
      <c r="G729" s="149"/>
      <c r="H729" s="149"/>
      <c r="I729" s="514"/>
      <c r="J729" s="307"/>
      <c r="K729" s="519"/>
      <c r="L729" s="307"/>
      <c r="M729" s="307"/>
      <c r="N729" s="307"/>
      <c r="O729" s="307"/>
    </row>
    <row r="730" spans="1:15" s="308" customFormat="1" ht="18.75" customHeight="1" x14ac:dyDescent="0.2">
      <c r="A730" s="548"/>
      <c r="B730" s="506"/>
      <c r="C730" s="506"/>
      <c r="D730" s="540" t="s">
        <v>2384</v>
      </c>
      <c r="E730" s="327"/>
      <c r="F730" s="149"/>
      <c r="G730" s="149"/>
      <c r="H730" s="149"/>
      <c r="I730" s="514"/>
      <c r="J730" s="307"/>
      <c r="K730" s="519"/>
      <c r="L730" s="307"/>
      <c r="M730" s="307"/>
      <c r="N730" s="307"/>
      <c r="O730" s="307"/>
    </row>
    <row r="731" spans="1:15" s="308" customFormat="1" x14ac:dyDescent="0.2">
      <c r="A731" s="548"/>
      <c r="B731" s="506"/>
      <c r="C731" s="506"/>
      <c r="D731" s="540"/>
      <c r="E731" s="327"/>
      <c r="F731" s="149"/>
      <c r="G731" s="149"/>
      <c r="H731" s="149"/>
      <c r="I731" s="514"/>
      <c r="J731" s="307"/>
      <c r="K731" s="519"/>
      <c r="L731" s="307"/>
      <c r="M731" s="307"/>
      <c r="N731" s="307"/>
      <c r="O731" s="307"/>
    </row>
    <row r="732" spans="1:15" s="308" customFormat="1" x14ac:dyDescent="0.2">
      <c r="A732" s="548" t="s">
        <v>1037</v>
      </c>
      <c r="B732" s="506" t="s">
        <v>45</v>
      </c>
      <c r="C732" s="506">
        <v>34439</v>
      </c>
      <c r="D732" s="540" t="s">
        <v>798</v>
      </c>
      <c r="E732" s="327" t="s">
        <v>169</v>
      </c>
      <c r="F732" s="149">
        <v>2510</v>
      </c>
      <c r="G732" s="149">
        <v>4</v>
      </c>
      <c r="H732" s="149">
        <f>ROUND((1+$K$16)*G732,2)</f>
        <v>4.67</v>
      </c>
      <c r="I732" s="514">
        <f t="shared" si="46"/>
        <v>11721.7</v>
      </c>
      <c r="J732" s="307"/>
      <c r="K732" s="307"/>
      <c r="L732" s="307"/>
      <c r="M732" s="307"/>
      <c r="N732" s="307"/>
      <c r="O732" s="307"/>
    </row>
    <row r="733" spans="1:15" s="308" customFormat="1" x14ac:dyDescent="0.2">
      <c r="A733" s="548"/>
      <c r="B733" s="506"/>
      <c r="C733" s="506"/>
      <c r="D733" s="540"/>
      <c r="E733" s="327"/>
      <c r="F733" s="149"/>
      <c r="G733" s="149"/>
      <c r="H733" s="149"/>
      <c r="I733" s="514"/>
      <c r="J733" s="307"/>
      <c r="K733" s="307"/>
      <c r="L733" s="307"/>
      <c r="M733" s="307"/>
      <c r="N733" s="307"/>
      <c r="O733" s="307"/>
    </row>
    <row r="734" spans="1:15" s="308" customFormat="1" ht="21" customHeight="1" x14ac:dyDescent="0.2">
      <c r="A734" s="548"/>
      <c r="B734" s="506"/>
      <c r="C734" s="506"/>
      <c r="D734" s="540" t="s">
        <v>2385</v>
      </c>
      <c r="E734" s="327"/>
      <c r="F734" s="149"/>
      <c r="G734" s="149"/>
      <c r="H734" s="149"/>
      <c r="I734" s="514"/>
      <c r="J734" s="307"/>
      <c r="K734" s="307"/>
      <c r="L734" s="307"/>
      <c r="M734" s="307"/>
      <c r="N734" s="307"/>
      <c r="O734" s="307"/>
    </row>
    <row r="735" spans="1:15" s="308" customFormat="1" x14ac:dyDescent="0.2">
      <c r="A735" s="548"/>
      <c r="B735" s="506"/>
      <c r="C735" s="506"/>
      <c r="D735" s="540"/>
      <c r="E735" s="327"/>
      <c r="F735" s="149"/>
      <c r="G735" s="149"/>
      <c r="H735" s="149"/>
      <c r="I735" s="514"/>
      <c r="J735" s="307"/>
      <c r="K735" s="307"/>
      <c r="L735" s="307"/>
      <c r="M735" s="307"/>
      <c r="N735" s="307"/>
      <c r="O735" s="307"/>
    </row>
    <row r="736" spans="1:15" s="308" customFormat="1" x14ac:dyDescent="0.2">
      <c r="A736" s="548" t="s">
        <v>1038</v>
      </c>
      <c r="B736" s="506" t="s">
        <v>45</v>
      </c>
      <c r="C736" s="506">
        <v>33</v>
      </c>
      <c r="D736" s="540" t="s">
        <v>799</v>
      </c>
      <c r="E736" s="327" t="s">
        <v>169</v>
      </c>
      <c r="F736" s="149">
        <v>193</v>
      </c>
      <c r="G736" s="149">
        <v>4.1900000000000004</v>
      </c>
      <c r="H736" s="149">
        <f>ROUND((1+$K$16)*G736,2)</f>
        <v>4.8899999999999997</v>
      </c>
      <c r="I736" s="514">
        <f t="shared" si="46"/>
        <v>943.77</v>
      </c>
      <c r="J736" s="307"/>
      <c r="K736" s="307"/>
      <c r="L736" s="307"/>
      <c r="M736" s="307"/>
      <c r="N736" s="307"/>
      <c r="O736" s="307"/>
    </row>
    <row r="737" spans="1:19" s="308" customFormat="1" x14ac:dyDescent="0.2">
      <c r="A737" s="548"/>
      <c r="B737" s="506"/>
      <c r="C737" s="506"/>
      <c r="D737" s="540"/>
      <c r="E737" s="327"/>
      <c r="F737" s="149"/>
      <c r="G737" s="149"/>
      <c r="H737" s="149"/>
      <c r="I737" s="514"/>
      <c r="J737" s="307"/>
      <c r="K737" s="307"/>
      <c r="L737" s="307"/>
      <c r="M737" s="307"/>
      <c r="N737" s="307"/>
      <c r="O737" s="307"/>
    </row>
    <row r="738" spans="1:19" s="308" customFormat="1" ht="17.25" customHeight="1" x14ac:dyDescent="0.2">
      <c r="A738" s="548"/>
      <c r="B738" s="506"/>
      <c r="C738" s="506"/>
      <c r="D738" s="540" t="s">
        <v>2386</v>
      </c>
      <c r="E738" s="327"/>
      <c r="F738" s="149"/>
      <c r="G738" s="149"/>
      <c r="H738" s="149"/>
      <c r="I738" s="514"/>
      <c r="J738" s="307"/>
      <c r="K738" s="307"/>
      <c r="L738" s="307"/>
      <c r="M738" s="307"/>
      <c r="N738" s="307"/>
      <c r="O738" s="307"/>
    </row>
    <row r="739" spans="1:19" s="308" customFormat="1" x14ac:dyDescent="0.2">
      <c r="A739" s="548"/>
      <c r="B739" s="506"/>
      <c r="C739" s="506"/>
      <c r="D739" s="540"/>
      <c r="E739" s="327"/>
      <c r="F739" s="149"/>
      <c r="G739" s="149"/>
      <c r="H739" s="149"/>
      <c r="I739" s="514"/>
      <c r="J739" s="307"/>
      <c r="K739" s="307"/>
      <c r="L739" s="307"/>
      <c r="M739" s="307"/>
      <c r="N739" s="307"/>
      <c r="O739" s="307"/>
    </row>
    <row r="740" spans="1:19" s="447" customFormat="1" ht="30" x14ac:dyDescent="0.2">
      <c r="A740" s="548" t="s">
        <v>1039</v>
      </c>
      <c r="B740" s="500" t="s">
        <v>45</v>
      </c>
      <c r="C740" s="506">
        <v>94973</v>
      </c>
      <c r="D740" s="549" t="s">
        <v>734</v>
      </c>
      <c r="E740" s="495" t="s">
        <v>16</v>
      </c>
      <c r="F740" s="426">
        <v>37.5</v>
      </c>
      <c r="G740" s="426">
        <v>318.3</v>
      </c>
      <c r="H740" s="426">
        <f>ROUND((1+$L$16)*G740,2)</f>
        <v>402.44</v>
      </c>
      <c r="I740" s="445">
        <f>ROUND(F740*H740,2)</f>
        <v>15091.5</v>
      </c>
      <c r="J740" s="453"/>
      <c r="K740" s="446"/>
      <c r="L740" s="446"/>
      <c r="M740" s="446"/>
      <c r="N740" s="446"/>
      <c r="O740" s="446"/>
    </row>
    <row r="741" spans="1:19" s="447" customFormat="1" x14ac:dyDescent="0.2">
      <c r="A741" s="548"/>
      <c r="B741" s="500"/>
      <c r="C741" s="506"/>
      <c r="D741" s="549"/>
      <c r="E741" s="495"/>
      <c r="F741" s="426"/>
      <c r="G741" s="426"/>
      <c r="H741" s="426"/>
      <c r="I741" s="445"/>
      <c r="J741" s="453"/>
      <c r="K741" s="446"/>
      <c r="L741" s="446"/>
      <c r="M741" s="446"/>
      <c r="N741" s="446"/>
      <c r="O741" s="446"/>
    </row>
    <row r="742" spans="1:19" s="447" customFormat="1" x14ac:dyDescent="0.2">
      <c r="A742" s="548"/>
      <c r="B742" s="500"/>
      <c r="C742" s="506"/>
      <c r="D742" s="540" t="s">
        <v>2387</v>
      </c>
      <c r="E742" s="495"/>
      <c r="F742" s="426"/>
      <c r="G742" s="426"/>
      <c r="H742" s="426"/>
      <c r="I742" s="445"/>
      <c r="J742" s="453"/>
      <c r="K742" s="446"/>
      <c r="L742" s="446"/>
      <c r="M742" s="446"/>
      <c r="N742" s="446"/>
      <c r="O742" s="446"/>
    </row>
    <row r="743" spans="1:19" s="447" customFormat="1" x14ac:dyDescent="0.2">
      <c r="A743" s="548"/>
      <c r="B743" s="500"/>
      <c r="C743" s="506"/>
      <c r="D743" s="549"/>
      <c r="E743" s="495"/>
      <c r="F743" s="426"/>
      <c r="G743" s="426"/>
      <c r="H743" s="426"/>
      <c r="I743" s="445"/>
      <c r="J743" s="453"/>
      <c r="K743" s="446"/>
      <c r="L743" s="446"/>
      <c r="M743" s="446"/>
      <c r="N743" s="446"/>
      <c r="O743" s="446"/>
    </row>
    <row r="744" spans="1:19" s="373" customFormat="1" ht="30" x14ac:dyDescent="0.2">
      <c r="A744" s="548" t="s">
        <v>1040</v>
      </c>
      <c r="B744" s="500" t="s">
        <v>45</v>
      </c>
      <c r="C744" s="500">
        <v>92874</v>
      </c>
      <c r="D744" s="540" t="s">
        <v>800</v>
      </c>
      <c r="E744" s="495" t="s">
        <v>16</v>
      </c>
      <c r="F744" s="426">
        <f>F740</f>
        <v>37.5</v>
      </c>
      <c r="G744" s="426">
        <v>27.56</v>
      </c>
      <c r="H744" s="426">
        <f>ROUND((1+$L$16)*G744,2)</f>
        <v>34.85</v>
      </c>
      <c r="I744" s="426">
        <f t="shared" ref="I744:I748" si="47">ROUND(F744*H744,2)</f>
        <v>1306.8800000000001</v>
      </c>
      <c r="J744" s="444"/>
      <c r="K744" s="372"/>
      <c r="L744" s="424"/>
      <c r="M744" s="372"/>
      <c r="N744" s="372"/>
      <c r="O744" s="372"/>
      <c r="P744" s="372"/>
      <c r="Q744" s="372"/>
      <c r="S744" s="372"/>
    </row>
    <row r="745" spans="1:19" s="373" customFormat="1" x14ac:dyDescent="0.2">
      <c r="A745" s="548"/>
      <c r="B745" s="500"/>
      <c r="C745" s="500"/>
      <c r="D745" s="540"/>
      <c r="E745" s="495"/>
      <c r="F745" s="426"/>
      <c r="G745" s="426"/>
      <c r="H745" s="426"/>
      <c r="I745" s="426"/>
      <c r="J745" s="444"/>
      <c r="K745" s="372"/>
      <c r="L745" s="424"/>
      <c r="M745" s="372"/>
      <c r="N745" s="372"/>
      <c r="O745" s="372"/>
      <c r="P745" s="372"/>
      <c r="Q745" s="372"/>
      <c r="S745" s="372"/>
    </row>
    <row r="746" spans="1:19" s="373" customFormat="1" ht="19.5" customHeight="1" x14ac:dyDescent="0.2">
      <c r="A746" s="548"/>
      <c r="B746" s="500"/>
      <c r="C746" s="500"/>
      <c r="D746" s="540" t="s">
        <v>2387</v>
      </c>
      <c r="E746" s="495"/>
      <c r="F746" s="426"/>
      <c r="G746" s="426"/>
      <c r="H746" s="426"/>
      <c r="I746" s="426"/>
      <c r="J746" s="444"/>
      <c r="K746" s="372"/>
      <c r="L746" s="424"/>
      <c r="M746" s="372"/>
      <c r="N746" s="372"/>
      <c r="O746" s="372"/>
      <c r="P746" s="372"/>
      <c r="Q746" s="372"/>
      <c r="S746" s="372"/>
    </row>
    <row r="747" spans="1:19" s="373" customFormat="1" x14ac:dyDescent="0.2">
      <c r="A747" s="548"/>
      <c r="B747" s="500"/>
      <c r="C747" s="500"/>
      <c r="D747" s="540"/>
      <c r="E747" s="495"/>
      <c r="F747" s="426"/>
      <c r="G747" s="426"/>
      <c r="H747" s="426"/>
      <c r="I747" s="426"/>
      <c r="J747" s="444"/>
      <c r="K747" s="372"/>
      <c r="L747" s="424"/>
      <c r="M747" s="372"/>
      <c r="N747" s="372"/>
      <c r="O747" s="372"/>
      <c r="P747" s="372"/>
      <c r="Q747" s="372"/>
      <c r="S747" s="372"/>
    </row>
    <row r="748" spans="1:19" s="447" customFormat="1" ht="30" x14ac:dyDescent="0.2">
      <c r="A748" s="548" t="s">
        <v>2389</v>
      </c>
      <c r="B748" s="500" t="s">
        <v>45</v>
      </c>
      <c r="C748" s="506" t="s">
        <v>377</v>
      </c>
      <c r="D748" s="549" t="s">
        <v>735</v>
      </c>
      <c r="E748" s="495" t="s">
        <v>15</v>
      </c>
      <c r="F748" s="426">
        <f>1.4*1.5*2+5.8*4.88+2.5*4.3*2+13.6*6.85+2.5*2.5*2+10.2*1.6</f>
        <v>175.98399999999998</v>
      </c>
      <c r="G748" s="426">
        <v>31.05</v>
      </c>
      <c r="H748" s="426">
        <f>ROUND((1+$L$16)*G748,2)</f>
        <v>39.26</v>
      </c>
      <c r="I748" s="445">
        <f t="shared" si="47"/>
        <v>6909.13</v>
      </c>
      <c r="J748" s="446"/>
      <c r="K748" s="446"/>
      <c r="L748" s="446"/>
      <c r="M748" s="446"/>
      <c r="N748" s="446"/>
      <c r="O748" s="446"/>
    </row>
    <row r="749" spans="1:19" s="447" customFormat="1" x14ac:dyDescent="0.2">
      <c r="A749" s="548"/>
      <c r="B749" s="500"/>
      <c r="C749" s="506"/>
      <c r="D749" s="549"/>
      <c r="E749" s="495"/>
      <c r="F749" s="426"/>
      <c r="G749" s="426"/>
      <c r="H749" s="426"/>
      <c r="I749" s="455"/>
      <c r="J749" s="446"/>
      <c r="K749" s="446"/>
      <c r="L749" s="446"/>
      <c r="M749" s="446"/>
      <c r="N749" s="446"/>
      <c r="O749" s="446"/>
    </row>
    <row r="750" spans="1:19" s="447" customFormat="1" x14ac:dyDescent="0.2">
      <c r="A750" s="548"/>
      <c r="B750" s="500"/>
      <c r="C750" s="506"/>
      <c r="D750" s="549" t="s">
        <v>2388</v>
      </c>
      <c r="E750" s="495"/>
      <c r="F750" s="426"/>
      <c r="G750" s="426"/>
      <c r="H750" s="426"/>
      <c r="I750" s="455"/>
      <c r="J750" s="446"/>
      <c r="K750" s="446"/>
      <c r="L750" s="446"/>
      <c r="M750" s="446"/>
      <c r="N750" s="446"/>
      <c r="O750" s="446"/>
    </row>
    <row r="751" spans="1:19" s="447" customFormat="1" x14ac:dyDescent="0.2">
      <c r="A751" s="548"/>
      <c r="B751" s="500"/>
      <c r="C751" s="506"/>
      <c r="D751" s="549"/>
      <c r="E751" s="495"/>
      <c r="F751" s="426"/>
      <c r="G751" s="426"/>
      <c r="H751" s="426"/>
      <c r="I751" s="455"/>
      <c r="J751" s="446"/>
      <c r="K751" s="446"/>
      <c r="L751" s="446"/>
      <c r="M751" s="446"/>
      <c r="N751" s="446"/>
      <c r="O751" s="446"/>
    </row>
    <row r="752" spans="1:19" s="447" customFormat="1" ht="15.75" x14ac:dyDescent="0.2">
      <c r="A752" s="546" t="s">
        <v>259</v>
      </c>
      <c r="B752" s="504"/>
      <c r="C752" s="504"/>
      <c r="D752" s="547" t="s">
        <v>1806</v>
      </c>
      <c r="E752" s="493"/>
      <c r="F752" s="440"/>
      <c r="G752" s="441"/>
      <c r="H752" s="442"/>
      <c r="I752" s="443">
        <f>SUM(I753:I809)</f>
        <v>177427.56</v>
      </c>
      <c r="J752" s="446"/>
      <c r="K752" s="446"/>
      <c r="L752" s="446"/>
      <c r="M752" s="446"/>
      <c r="N752" s="446"/>
      <c r="O752" s="446"/>
    </row>
    <row r="753" spans="1:22" s="457" customFormat="1" ht="30" x14ac:dyDescent="0.2">
      <c r="A753" s="548" t="s">
        <v>1041</v>
      </c>
      <c r="B753" s="506" t="s">
        <v>335</v>
      </c>
      <c r="C753" s="506" t="str">
        <f>COMPOSIÇÕES!C155</f>
        <v>CE-012</v>
      </c>
      <c r="D753" s="554" t="s">
        <v>779</v>
      </c>
      <c r="E753" s="494" t="s">
        <v>18</v>
      </c>
      <c r="F753" s="426">
        <v>1</v>
      </c>
      <c r="G753" s="426">
        <f>COMPOSIÇÕES!I155</f>
        <v>8471.07</v>
      </c>
      <c r="H753" s="426">
        <f t="shared" ref="H753:H789" si="48">ROUND((1+$L$16)*G753,2)</f>
        <v>10710.46</v>
      </c>
      <c r="I753" s="448">
        <f t="shared" ref="I753:I761" si="49">ROUND(F753*H753,2)</f>
        <v>10710.46</v>
      </c>
      <c r="J753" s="437"/>
      <c r="K753" s="456"/>
      <c r="L753" s="456"/>
      <c r="M753" s="456"/>
      <c r="N753" s="372"/>
      <c r="O753" s="372"/>
      <c r="P753" s="372"/>
      <c r="Q753" s="373"/>
      <c r="R753" s="372"/>
      <c r="S753" s="373"/>
      <c r="T753" s="373"/>
      <c r="U753" s="373"/>
      <c r="V753" s="373"/>
    </row>
    <row r="754" spans="1:22" s="457" customFormat="1" x14ac:dyDescent="0.2">
      <c r="A754" s="548"/>
      <c r="B754" s="506"/>
      <c r="C754" s="506"/>
      <c r="D754" s="554"/>
      <c r="E754" s="494"/>
      <c r="F754" s="426"/>
      <c r="G754" s="426"/>
      <c r="H754" s="426"/>
      <c r="I754" s="448"/>
      <c r="J754" s="437"/>
      <c r="K754" s="456"/>
      <c r="L754" s="456"/>
      <c r="M754" s="456"/>
      <c r="N754" s="372"/>
      <c r="O754" s="372"/>
      <c r="P754" s="372"/>
      <c r="Q754" s="373"/>
      <c r="R754" s="372"/>
      <c r="S754" s="373"/>
      <c r="T754" s="373"/>
      <c r="U754" s="373"/>
      <c r="V754" s="373"/>
    </row>
    <row r="755" spans="1:22" s="457" customFormat="1" x14ac:dyDescent="0.2">
      <c r="A755" s="548"/>
      <c r="B755" s="506"/>
      <c r="C755" s="506"/>
      <c r="D755" s="554" t="s">
        <v>2390</v>
      </c>
      <c r="E755" s="494"/>
      <c r="F755" s="426"/>
      <c r="G755" s="426"/>
      <c r="H755" s="426"/>
      <c r="I755" s="448"/>
      <c r="J755" s="437"/>
      <c r="K755" s="456"/>
      <c r="L755" s="456"/>
      <c r="M755" s="456"/>
      <c r="N755" s="372"/>
      <c r="O755" s="372"/>
      <c r="P755" s="372"/>
      <c r="Q755" s="373"/>
      <c r="R755" s="372"/>
      <c r="S755" s="373"/>
      <c r="T755" s="373"/>
      <c r="U755" s="373"/>
      <c r="V755" s="373"/>
    </row>
    <row r="756" spans="1:22" s="457" customFormat="1" x14ac:dyDescent="0.2">
      <c r="A756" s="550"/>
      <c r="B756" s="551"/>
      <c r="C756" s="551"/>
      <c r="D756" s="552"/>
      <c r="E756" s="494"/>
      <c r="F756" s="426"/>
      <c r="G756" s="426"/>
      <c r="H756" s="426"/>
      <c r="I756" s="448"/>
      <c r="J756" s="437"/>
      <c r="K756" s="456"/>
      <c r="L756" s="456"/>
      <c r="M756" s="456"/>
      <c r="N756" s="372"/>
      <c r="O756" s="372"/>
      <c r="P756" s="372"/>
      <c r="Q756" s="373"/>
      <c r="R756" s="372"/>
      <c r="S756" s="373"/>
      <c r="T756" s="373"/>
      <c r="U756" s="373"/>
      <c r="V756" s="373"/>
    </row>
    <row r="757" spans="1:22" s="457" customFormat="1" x14ac:dyDescent="0.2">
      <c r="A757" s="548" t="s">
        <v>1042</v>
      </c>
      <c r="B757" s="506" t="s">
        <v>45</v>
      </c>
      <c r="C757" s="506">
        <v>73661</v>
      </c>
      <c r="D757" s="554" t="s">
        <v>336</v>
      </c>
      <c r="E757" s="494" t="s">
        <v>18</v>
      </c>
      <c r="F757" s="426">
        <v>2</v>
      </c>
      <c r="G757" s="426">
        <v>1752.73</v>
      </c>
      <c r="H757" s="426">
        <f t="shared" si="48"/>
        <v>2216.08</v>
      </c>
      <c r="I757" s="448">
        <f t="shared" si="49"/>
        <v>4432.16</v>
      </c>
      <c r="J757" s="437"/>
      <c r="K757" s="456"/>
      <c r="L757" s="456"/>
      <c r="M757" s="456"/>
      <c r="N757" s="372"/>
      <c r="O757" s="372"/>
      <c r="P757" s="372"/>
      <c r="Q757" s="373"/>
      <c r="R757" s="372"/>
      <c r="S757" s="373"/>
      <c r="T757" s="373"/>
      <c r="U757" s="373"/>
      <c r="V757" s="373"/>
    </row>
    <row r="758" spans="1:22" s="457" customFormat="1" x14ac:dyDescent="0.2">
      <c r="A758" s="548"/>
      <c r="B758" s="506"/>
      <c r="C758" s="506"/>
      <c r="D758" s="554"/>
      <c r="E758" s="494"/>
      <c r="F758" s="426"/>
      <c r="G758" s="426"/>
      <c r="H758" s="426"/>
      <c r="I758" s="510"/>
      <c r="J758" s="437"/>
      <c r="K758" s="456"/>
      <c r="L758" s="456"/>
      <c r="M758" s="456"/>
      <c r="N758" s="372"/>
      <c r="O758" s="372"/>
      <c r="P758" s="372"/>
      <c r="Q758" s="373"/>
      <c r="R758" s="372"/>
      <c r="S758" s="373"/>
      <c r="T758" s="373"/>
      <c r="U758" s="373"/>
      <c r="V758" s="373"/>
    </row>
    <row r="759" spans="1:22" s="457" customFormat="1" x14ac:dyDescent="0.2">
      <c r="A759" s="548"/>
      <c r="B759" s="506"/>
      <c r="C759" s="506"/>
      <c r="D759" s="554" t="s">
        <v>2279</v>
      </c>
      <c r="E759" s="494"/>
      <c r="F759" s="426"/>
      <c r="G759" s="426"/>
      <c r="H759" s="426"/>
      <c r="I759" s="510"/>
      <c r="J759" s="437"/>
      <c r="K759" s="456"/>
      <c r="L759" s="456"/>
      <c r="M759" s="456"/>
      <c r="N759" s="372"/>
      <c r="O759" s="372"/>
      <c r="P759" s="372"/>
      <c r="Q759" s="373"/>
      <c r="R759" s="372"/>
      <c r="S759" s="373"/>
      <c r="T759" s="373"/>
      <c r="U759" s="373"/>
      <c r="V759" s="373"/>
    </row>
    <row r="760" spans="1:22" s="457" customFormat="1" x14ac:dyDescent="0.2">
      <c r="A760" s="548"/>
      <c r="B760" s="506"/>
      <c r="C760" s="506"/>
      <c r="D760" s="554"/>
      <c r="E760" s="494"/>
      <c r="F760" s="426"/>
      <c r="G760" s="426"/>
      <c r="H760" s="426"/>
      <c r="I760" s="510"/>
      <c r="J760" s="437"/>
      <c r="K760" s="456"/>
      <c r="L760" s="456"/>
      <c r="M760" s="456"/>
      <c r="N760" s="372"/>
      <c r="O760" s="372"/>
      <c r="P760" s="372"/>
      <c r="Q760" s="373"/>
      <c r="R760" s="372"/>
      <c r="S760" s="373"/>
      <c r="T760" s="373"/>
      <c r="U760" s="373"/>
      <c r="V760" s="373"/>
    </row>
    <row r="761" spans="1:22" s="447" customFormat="1" x14ac:dyDescent="0.2">
      <c r="A761" s="548" t="s">
        <v>1043</v>
      </c>
      <c r="B761" s="506" t="s">
        <v>65</v>
      </c>
      <c r="C761" s="500"/>
      <c r="D761" s="540" t="s">
        <v>950</v>
      </c>
      <c r="E761" s="495" t="s">
        <v>19</v>
      </c>
      <c r="F761" s="426">
        <v>2</v>
      </c>
      <c r="G761" s="426">
        <v>0</v>
      </c>
      <c r="H761" s="426">
        <f t="shared" si="48"/>
        <v>0</v>
      </c>
      <c r="I761" s="445">
        <f t="shared" si="49"/>
        <v>0</v>
      </c>
      <c r="J761" s="446"/>
      <c r="K761" s="446"/>
      <c r="L761" s="446"/>
      <c r="M761" s="446"/>
      <c r="N761" s="446"/>
      <c r="O761" s="446"/>
    </row>
    <row r="762" spans="1:22" s="447" customFormat="1" x14ac:dyDescent="0.2">
      <c r="A762" s="548"/>
      <c r="B762" s="506"/>
      <c r="C762" s="500"/>
      <c r="D762" s="540"/>
      <c r="E762" s="495"/>
      <c r="F762" s="426"/>
      <c r="G762" s="426"/>
      <c r="H762" s="426"/>
      <c r="I762" s="445"/>
      <c r="J762" s="446"/>
      <c r="K762" s="446"/>
      <c r="L762" s="446"/>
      <c r="M762" s="446"/>
      <c r="N762" s="446"/>
      <c r="O762" s="446"/>
    </row>
    <row r="763" spans="1:22" s="447" customFormat="1" x14ac:dyDescent="0.2">
      <c r="A763" s="548"/>
      <c r="B763" s="506"/>
      <c r="C763" s="500"/>
      <c r="D763" s="554" t="s">
        <v>2279</v>
      </c>
      <c r="E763" s="495"/>
      <c r="F763" s="426"/>
      <c r="G763" s="426"/>
      <c r="H763" s="426"/>
      <c r="I763" s="445"/>
      <c r="J763" s="446"/>
      <c r="K763" s="446"/>
      <c r="L763" s="446"/>
      <c r="M763" s="446"/>
      <c r="N763" s="446"/>
      <c r="O763" s="446"/>
    </row>
    <row r="764" spans="1:22" s="447" customFormat="1" x14ac:dyDescent="0.2">
      <c r="A764" s="548"/>
      <c r="B764" s="506"/>
      <c r="C764" s="500"/>
      <c r="D764" s="540"/>
      <c r="E764" s="495"/>
      <c r="F764" s="426"/>
      <c r="G764" s="426"/>
      <c r="H764" s="426"/>
      <c r="I764" s="445"/>
      <c r="J764" s="446"/>
      <c r="K764" s="446"/>
      <c r="L764" s="446"/>
      <c r="M764" s="446"/>
      <c r="N764" s="446"/>
      <c r="O764" s="446"/>
    </row>
    <row r="765" spans="1:22" s="447" customFormat="1" x14ac:dyDescent="0.2">
      <c r="A765" s="548" t="s">
        <v>1044</v>
      </c>
      <c r="B765" s="506" t="s">
        <v>45</v>
      </c>
      <c r="C765" s="506" t="s">
        <v>951</v>
      </c>
      <c r="D765" s="554" t="s">
        <v>952</v>
      </c>
      <c r="E765" s="494" t="s">
        <v>18</v>
      </c>
      <c r="F765" s="426">
        <v>2</v>
      </c>
      <c r="G765" s="426">
        <v>639.84</v>
      </c>
      <c r="H765" s="426">
        <f t="shared" si="48"/>
        <v>808.99</v>
      </c>
      <c r="I765" s="445">
        <f>ROUND(F765*H765,2)</f>
        <v>1617.98</v>
      </c>
      <c r="J765" s="446"/>
      <c r="K765" s="446"/>
      <c r="L765" s="446"/>
      <c r="M765" s="446"/>
      <c r="N765" s="446"/>
      <c r="O765" s="446"/>
    </row>
    <row r="766" spans="1:22" s="447" customFormat="1" x14ac:dyDescent="0.2">
      <c r="A766" s="548"/>
      <c r="B766" s="506"/>
      <c r="C766" s="506"/>
      <c r="D766" s="554"/>
      <c r="E766" s="494"/>
      <c r="F766" s="426"/>
      <c r="G766" s="426"/>
      <c r="H766" s="426"/>
      <c r="I766" s="455"/>
      <c r="J766" s="446"/>
      <c r="K766" s="446"/>
      <c r="L766" s="446"/>
      <c r="M766" s="446"/>
      <c r="N766" s="446"/>
      <c r="O766" s="446"/>
    </row>
    <row r="767" spans="1:22" s="447" customFormat="1" x14ac:dyDescent="0.2">
      <c r="A767" s="548"/>
      <c r="B767" s="506"/>
      <c r="C767" s="506"/>
      <c r="D767" s="554" t="s">
        <v>2279</v>
      </c>
      <c r="E767" s="494"/>
      <c r="F767" s="426"/>
      <c r="G767" s="426"/>
      <c r="H767" s="426"/>
      <c r="I767" s="455"/>
      <c r="J767" s="446"/>
      <c r="K767" s="446"/>
      <c r="L767" s="446"/>
      <c r="M767" s="446"/>
      <c r="N767" s="446"/>
      <c r="O767" s="446"/>
    </row>
    <row r="768" spans="1:22" s="447" customFormat="1" x14ac:dyDescent="0.2">
      <c r="A768" s="548"/>
      <c r="B768" s="506"/>
      <c r="C768" s="506"/>
      <c r="D768" s="554"/>
      <c r="E768" s="494"/>
      <c r="F768" s="426"/>
      <c r="G768" s="426"/>
      <c r="H768" s="426"/>
      <c r="I768" s="455"/>
      <c r="J768" s="446"/>
      <c r="K768" s="446"/>
      <c r="L768" s="446"/>
      <c r="M768" s="446"/>
      <c r="N768" s="446"/>
      <c r="O768" s="446"/>
    </row>
    <row r="769" spans="1:22" s="457" customFormat="1" ht="45" x14ac:dyDescent="0.2">
      <c r="A769" s="548" t="s">
        <v>1045</v>
      </c>
      <c r="B769" s="506" t="s">
        <v>335</v>
      </c>
      <c r="C769" s="506" t="str">
        <f>COMPOSIÇÕES!C162</f>
        <v>CE-013</v>
      </c>
      <c r="D769" s="554" t="s">
        <v>780</v>
      </c>
      <c r="E769" s="494" t="s">
        <v>18</v>
      </c>
      <c r="F769" s="426">
        <v>1</v>
      </c>
      <c r="G769" s="426">
        <f>COMPOSIÇÕES!I162</f>
        <v>1278.98</v>
      </c>
      <c r="H769" s="426">
        <f t="shared" si="48"/>
        <v>1617.09</v>
      </c>
      <c r="I769" s="448">
        <f t="shared" ref="I769:I809" si="50">ROUND(F769*H769,2)</f>
        <v>1617.09</v>
      </c>
      <c r="J769" s="437"/>
      <c r="K769" s="456"/>
      <c r="L769" s="456"/>
      <c r="M769" s="456"/>
      <c r="N769" s="372"/>
      <c r="O769" s="372"/>
      <c r="P769" s="372"/>
      <c r="Q769" s="373"/>
      <c r="R769" s="372"/>
      <c r="S769" s="373"/>
      <c r="T769" s="373"/>
      <c r="U769" s="373"/>
      <c r="V769" s="373"/>
    </row>
    <row r="770" spans="1:22" s="457" customFormat="1" x14ac:dyDescent="0.2">
      <c r="A770" s="548"/>
      <c r="B770" s="506"/>
      <c r="C770" s="506"/>
      <c r="D770" s="554"/>
      <c r="E770" s="494"/>
      <c r="F770" s="426"/>
      <c r="G770" s="426"/>
      <c r="H770" s="426"/>
      <c r="I770" s="510"/>
      <c r="J770" s="437"/>
      <c r="K770" s="456"/>
      <c r="L770" s="456"/>
      <c r="M770" s="456"/>
      <c r="N770" s="372"/>
      <c r="O770" s="372"/>
      <c r="P770" s="372"/>
      <c r="Q770" s="373"/>
      <c r="R770" s="372"/>
      <c r="S770" s="373"/>
      <c r="T770" s="373"/>
      <c r="U770" s="373"/>
      <c r="V770" s="373"/>
    </row>
    <row r="771" spans="1:22" s="457" customFormat="1" x14ac:dyDescent="0.2">
      <c r="A771" s="548"/>
      <c r="B771" s="506"/>
      <c r="C771" s="506"/>
      <c r="D771" s="554" t="s">
        <v>2391</v>
      </c>
      <c r="E771" s="494"/>
      <c r="F771" s="426"/>
      <c r="G771" s="426"/>
      <c r="H771" s="426"/>
      <c r="I771" s="510"/>
      <c r="J771" s="437"/>
      <c r="K771" s="456"/>
      <c r="L771" s="456"/>
      <c r="M771" s="456"/>
      <c r="N771" s="372"/>
      <c r="O771" s="372"/>
      <c r="P771" s="372"/>
      <c r="Q771" s="373"/>
      <c r="R771" s="372"/>
      <c r="S771" s="373"/>
      <c r="T771" s="373"/>
      <c r="U771" s="373"/>
      <c r="V771" s="373"/>
    </row>
    <row r="772" spans="1:22" s="457" customFormat="1" x14ac:dyDescent="0.2">
      <c r="A772" s="548"/>
      <c r="B772" s="506"/>
      <c r="C772" s="506"/>
      <c r="D772" s="554"/>
      <c r="E772" s="494"/>
      <c r="F772" s="426"/>
      <c r="G772" s="426"/>
      <c r="H772" s="426"/>
      <c r="I772" s="510"/>
      <c r="J772" s="437"/>
      <c r="K772" s="456"/>
      <c r="L772" s="456"/>
      <c r="M772" s="456"/>
      <c r="N772" s="372"/>
      <c r="O772" s="372"/>
      <c r="P772" s="372"/>
      <c r="Q772" s="373"/>
      <c r="R772" s="372"/>
      <c r="S772" s="373"/>
      <c r="T772" s="373"/>
      <c r="U772" s="373"/>
      <c r="V772" s="373"/>
    </row>
    <row r="773" spans="1:22" s="447" customFormat="1" ht="17.25" customHeight="1" x14ac:dyDescent="0.2">
      <c r="A773" s="548" t="s">
        <v>1856</v>
      </c>
      <c r="B773" s="506" t="s">
        <v>335</v>
      </c>
      <c r="C773" s="500" t="str">
        <f>COMPOSIÇÕES!C174</f>
        <v>CE-014</v>
      </c>
      <c r="D773" s="540" t="str">
        <f>COMPOSIÇÕES!D174</f>
        <v>FORNECIMENTO E INSTALAÇÃO DA TAMPA  EM  CHAPA DE ALUMÍNIO, NAS DIMENSÕES (170X90)CM</v>
      </c>
      <c r="E773" s="495" t="s">
        <v>19</v>
      </c>
      <c r="F773" s="426">
        <v>1</v>
      </c>
      <c r="G773" s="426">
        <f>COMPOSIÇÕES!I174</f>
        <v>583.68000000000006</v>
      </c>
      <c r="H773" s="426">
        <f t="shared" si="48"/>
        <v>737.98</v>
      </c>
      <c r="I773" s="445">
        <f t="shared" si="50"/>
        <v>737.98</v>
      </c>
      <c r="J773" s="446"/>
      <c r="K773" s="446"/>
      <c r="L773" s="446"/>
      <c r="M773" s="446"/>
      <c r="N773" s="446"/>
      <c r="O773" s="446"/>
    </row>
    <row r="774" spans="1:22" s="447" customFormat="1" x14ac:dyDescent="0.2">
      <c r="A774" s="548"/>
      <c r="B774" s="506"/>
      <c r="C774" s="500"/>
      <c r="D774" s="540"/>
      <c r="E774" s="495"/>
      <c r="F774" s="426"/>
      <c r="G774" s="426"/>
      <c r="H774" s="426"/>
      <c r="I774" s="445"/>
      <c r="J774" s="446"/>
      <c r="K774" s="446"/>
      <c r="L774" s="446"/>
      <c r="M774" s="446"/>
      <c r="N774" s="446"/>
      <c r="O774" s="446"/>
    </row>
    <row r="775" spans="1:22" s="447" customFormat="1" x14ac:dyDescent="0.2">
      <c r="A775" s="548"/>
      <c r="B775" s="506"/>
      <c r="C775" s="500"/>
      <c r="D775" s="554" t="s">
        <v>2392</v>
      </c>
      <c r="E775" s="495"/>
      <c r="F775" s="426"/>
      <c r="G775" s="426"/>
      <c r="H775" s="426"/>
      <c r="I775" s="445"/>
      <c r="J775" s="446"/>
      <c r="K775" s="446"/>
      <c r="L775" s="446"/>
      <c r="M775" s="446"/>
      <c r="N775" s="446"/>
      <c r="O775" s="446"/>
    </row>
    <row r="776" spans="1:22" s="447" customFormat="1" x14ac:dyDescent="0.2">
      <c r="A776" s="548"/>
      <c r="B776" s="506"/>
      <c r="C776" s="500"/>
      <c r="D776" s="540"/>
      <c r="E776" s="495"/>
      <c r="F776" s="426"/>
      <c r="G776" s="426"/>
      <c r="H776" s="426"/>
      <c r="I776" s="445"/>
      <c r="J776" s="446"/>
      <c r="K776" s="446"/>
      <c r="L776" s="446"/>
      <c r="M776" s="446"/>
      <c r="N776" s="446"/>
      <c r="O776" s="446"/>
    </row>
    <row r="777" spans="1:22" s="447" customFormat="1" ht="15.75" customHeight="1" x14ac:dyDescent="0.2">
      <c r="A777" s="548" t="s">
        <v>1857</v>
      </c>
      <c r="B777" s="506" t="s">
        <v>335</v>
      </c>
      <c r="C777" s="500" t="str">
        <f>COMPOSIÇÕES!C180</f>
        <v>CE-015</v>
      </c>
      <c r="D777" s="540" t="str">
        <f>COMPOSIÇÕES!D180</f>
        <v>FORNECIMENTO E INSTALAÇÃO DA TAMPA  EM  CHAPA DE ALUMÍNIO, NAS DIMENSÕES (115X80)CM</v>
      </c>
      <c r="E777" s="495" t="s">
        <v>19</v>
      </c>
      <c r="F777" s="426">
        <v>2</v>
      </c>
      <c r="G777" s="426">
        <f>COMPOSIÇÕES!I180</f>
        <v>399.49</v>
      </c>
      <c r="H777" s="426">
        <f t="shared" si="48"/>
        <v>505.1</v>
      </c>
      <c r="I777" s="445">
        <f t="shared" si="50"/>
        <v>1010.2</v>
      </c>
      <c r="J777" s="446"/>
      <c r="K777" s="446"/>
      <c r="L777" s="446"/>
      <c r="M777" s="446"/>
      <c r="N777" s="446"/>
      <c r="O777" s="446"/>
    </row>
    <row r="778" spans="1:22" s="447" customFormat="1" x14ac:dyDescent="0.2">
      <c r="A778" s="548"/>
      <c r="B778" s="506"/>
      <c r="C778" s="500"/>
      <c r="D778" s="540"/>
      <c r="E778" s="495"/>
      <c r="F778" s="426"/>
      <c r="G778" s="426"/>
      <c r="H778" s="426"/>
      <c r="I778" s="445"/>
      <c r="J778" s="446"/>
      <c r="K778" s="446"/>
      <c r="L778" s="446"/>
      <c r="M778" s="446"/>
      <c r="N778" s="446"/>
      <c r="O778" s="446"/>
    </row>
    <row r="779" spans="1:22" s="447" customFormat="1" x14ac:dyDescent="0.2">
      <c r="A779" s="548"/>
      <c r="B779" s="506"/>
      <c r="C779" s="500"/>
      <c r="D779" s="540" t="s">
        <v>2393</v>
      </c>
      <c r="E779" s="495"/>
      <c r="F779" s="426"/>
      <c r="G779" s="426"/>
      <c r="H779" s="426"/>
      <c r="I779" s="445"/>
      <c r="J779" s="446"/>
      <c r="K779" s="446"/>
      <c r="L779" s="446"/>
      <c r="M779" s="446"/>
      <c r="N779" s="446"/>
      <c r="O779" s="446"/>
    </row>
    <row r="780" spans="1:22" s="447" customFormat="1" x14ac:dyDescent="0.2">
      <c r="A780" s="548"/>
      <c r="B780" s="506"/>
      <c r="C780" s="500"/>
      <c r="D780" s="540"/>
      <c r="E780" s="495"/>
      <c r="F780" s="426"/>
      <c r="G780" s="426"/>
      <c r="H780" s="426"/>
      <c r="I780" s="445"/>
      <c r="J780" s="446"/>
      <c r="K780" s="446"/>
      <c r="L780" s="446"/>
      <c r="M780" s="446"/>
      <c r="N780" s="446"/>
      <c r="O780" s="446"/>
    </row>
    <row r="781" spans="1:22" s="447" customFormat="1" ht="18" customHeight="1" x14ac:dyDescent="0.2">
      <c r="A781" s="548" t="s">
        <v>1858</v>
      </c>
      <c r="B781" s="506" t="s">
        <v>335</v>
      </c>
      <c r="C781" s="500" t="str">
        <f>COMPOSIÇÕES!C186</f>
        <v>CE-016</v>
      </c>
      <c r="D781" s="540" t="str">
        <f>COMPOSIÇÕES!D186</f>
        <v>FORNECIMENTO E INSTALAÇÃO DA TAMPA  EM  CHAPA DE ALUMÍNIO, NAS DIMENSÕES (90X90)CM</v>
      </c>
      <c r="E781" s="495" t="s">
        <v>19</v>
      </c>
      <c r="F781" s="426">
        <v>1</v>
      </c>
      <c r="G781" s="426">
        <f>COMPOSIÇÕES!I186</f>
        <v>368.56999999999994</v>
      </c>
      <c r="H781" s="426">
        <f t="shared" si="48"/>
        <v>466</v>
      </c>
      <c r="I781" s="445">
        <f t="shared" si="50"/>
        <v>466</v>
      </c>
      <c r="J781" s="446"/>
      <c r="K781" s="446"/>
      <c r="L781" s="446"/>
      <c r="M781" s="446"/>
      <c r="N781" s="446"/>
      <c r="O781" s="446"/>
    </row>
    <row r="782" spans="1:22" s="447" customFormat="1" x14ac:dyDescent="0.2">
      <c r="A782" s="548"/>
      <c r="B782" s="506"/>
      <c r="C782" s="500"/>
      <c r="D782" s="540"/>
      <c r="E782" s="495"/>
      <c r="F782" s="426"/>
      <c r="G782" s="426"/>
      <c r="H782" s="426"/>
      <c r="I782" s="445"/>
      <c r="J782" s="446"/>
      <c r="K782" s="446"/>
      <c r="L782" s="446"/>
      <c r="M782" s="446"/>
      <c r="N782" s="446"/>
      <c r="O782" s="446"/>
    </row>
    <row r="783" spans="1:22" s="447" customFormat="1" x14ac:dyDescent="0.2">
      <c r="A783" s="548"/>
      <c r="B783" s="506"/>
      <c r="C783" s="500"/>
      <c r="D783" s="554" t="s">
        <v>2394</v>
      </c>
      <c r="E783" s="495"/>
      <c r="F783" s="426"/>
      <c r="G783" s="426"/>
      <c r="H783" s="426"/>
      <c r="I783" s="445"/>
      <c r="J783" s="446"/>
      <c r="K783" s="446"/>
      <c r="L783" s="446"/>
      <c r="M783" s="446"/>
      <c r="N783" s="446"/>
      <c r="O783" s="446"/>
    </row>
    <row r="784" spans="1:22" s="447" customFormat="1" x14ac:dyDescent="0.2">
      <c r="A784" s="548"/>
      <c r="B784" s="506"/>
      <c r="C784" s="500"/>
      <c r="D784" s="540"/>
      <c r="E784" s="495"/>
      <c r="F784" s="426"/>
      <c r="G784" s="426"/>
      <c r="H784" s="426"/>
      <c r="I784" s="445"/>
      <c r="J784" s="446"/>
      <c r="K784" s="446"/>
      <c r="L784" s="446"/>
      <c r="M784" s="446"/>
      <c r="N784" s="446"/>
      <c r="O784" s="446"/>
    </row>
    <row r="785" spans="1:15" s="447" customFormat="1" ht="15" customHeight="1" x14ac:dyDescent="0.2">
      <c r="A785" s="548" t="s">
        <v>1859</v>
      </c>
      <c r="B785" s="506" t="s">
        <v>335</v>
      </c>
      <c r="C785" s="500" t="str">
        <f>COMPOSIÇÕES!C192</f>
        <v>CE-017</v>
      </c>
      <c r="D785" s="540" t="str">
        <f>COMPOSIÇÕES!D192</f>
        <v>FORNECIMENTO E INSTALAÇÃO DA TAMPA  EM  CHAPA DE ALUMÍNIO, NAS DIMENSÕES (70X70)CM</v>
      </c>
      <c r="E785" s="495" t="s">
        <v>19</v>
      </c>
      <c r="F785" s="426">
        <v>1</v>
      </c>
      <c r="G785" s="426">
        <f>COMPOSIÇÕES!I192</f>
        <v>306.23</v>
      </c>
      <c r="H785" s="426">
        <f t="shared" si="48"/>
        <v>387.18</v>
      </c>
      <c r="I785" s="445">
        <f t="shared" ref="I785" si="51">ROUND(F785*H785,2)</f>
        <v>387.18</v>
      </c>
      <c r="J785" s="446"/>
      <c r="K785" s="446"/>
      <c r="L785" s="446"/>
      <c r="M785" s="446"/>
      <c r="N785" s="446"/>
      <c r="O785" s="446"/>
    </row>
    <row r="786" spans="1:15" s="447" customFormat="1" ht="15" customHeight="1" x14ac:dyDescent="0.2">
      <c r="A786" s="548"/>
      <c r="B786" s="506"/>
      <c r="C786" s="500"/>
      <c r="D786" s="540"/>
      <c r="E786" s="495"/>
      <c r="F786" s="426"/>
      <c r="G786" s="426"/>
      <c r="H786" s="426"/>
      <c r="I786" s="445"/>
      <c r="J786" s="446"/>
      <c r="K786" s="446"/>
      <c r="L786" s="446"/>
      <c r="M786" s="446"/>
      <c r="N786" s="446"/>
      <c r="O786" s="446"/>
    </row>
    <row r="787" spans="1:15" s="447" customFormat="1" ht="15" customHeight="1" x14ac:dyDescent="0.2">
      <c r="A787" s="548"/>
      <c r="B787" s="506"/>
      <c r="C787" s="500"/>
      <c r="D787" s="554" t="s">
        <v>2395</v>
      </c>
      <c r="E787" s="495"/>
      <c r="F787" s="426"/>
      <c r="G787" s="426"/>
      <c r="H787" s="426"/>
      <c r="I787" s="445"/>
      <c r="J787" s="446"/>
      <c r="K787" s="446"/>
      <c r="L787" s="446"/>
      <c r="M787" s="446"/>
      <c r="N787" s="446"/>
      <c r="O787" s="446"/>
    </row>
    <row r="788" spans="1:15" s="447" customFormat="1" ht="15" customHeight="1" x14ac:dyDescent="0.2">
      <c r="A788" s="548"/>
      <c r="B788" s="506"/>
      <c r="C788" s="500"/>
      <c r="D788" s="540"/>
      <c r="E788" s="495"/>
      <c r="F788" s="426"/>
      <c r="G788" s="426"/>
      <c r="H788" s="426"/>
      <c r="I788" s="445"/>
      <c r="J788" s="446"/>
      <c r="K788" s="446"/>
      <c r="L788" s="446"/>
      <c r="M788" s="446"/>
      <c r="N788" s="446"/>
      <c r="O788" s="446"/>
    </row>
    <row r="789" spans="1:15" s="447" customFormat="1" ht="18.75" customHeight="1" x14ac:dyDescent="0.2">
      <c r="A789" s="548" t="s">
        <v>1860</v>
      </c>
      <c r="B789" s="505" t="s">
        <v>335</v>
      </c>
      <c r="C789" s="505" t="str">
        <f>COMPOSIÇÕES!C87</f>
        <v>CE-008</v>
      </c>
      <c r="D789" s="540" t="str">
        <f>COMPOSIÇÕES!D87</f>
        <v>ABRIGO DOS QUADROS DE COMANDO DOS MOTORES "QCM's"</v>
      </c>
      <c r="E789" s="495" t="s">
        <v>18</v>
      </c>
      <c r="F789" s="426">
        <v>1</v>
      </c>
      <c r="G789" s="426">
        <f>COMPOSIÇÕES!I87</f>
        <v>16381.03</v>
      </c>
      <c r="H789" s="426">
        <f t="shared" si="48"/>
        <v>20711.47</v>
      </c>
      <c r="I789" s="445">
        <f t="shared" si="50"/>
        <v>20711.47</v>
      </c>
      <c r="J789" s="446"/>
      <c r="K789" s="446"/>
      <c r="L789" s="446"/>
      <c r="M789" s="446"/>
      <c r="N789" s="446"/>
      <c r="O789" s="446"/>
    </row>
    <row r="790" spans="1:15" s="447" customFormat="1" x14ac:dyDescent="0.2">
      <c r="A790" s="548"/>
      <c r="B790" s="505"/>
      <c r="C790" s="505"/>
      <c r="D790" s="540"/>
      <c r="E790" s="495"/>
      <c r="F790" s="426"/>
      <c r="G790" s="426"/>
      <c r="H790" s="426"/>
      <c r="I790" s="445"/>
      <c r="J790" s="446"/>
      <c r="K790" s="446"/>
      <c r="L790" s="446"/>
      <c r="M790" s="446"/>
      <c r="N790" s="446"/>
      <c r="O790" s="446"/>
    </row>
    <row r="791" spans="1:15" s="447" customFormat="1" x14ac:dyDescent="0.2">
      <c r="A791" s="548"/>
      <c r="B791" s="505"/>
      <c r="C791" s="505"/>
      <c r="D791" s="554" t="s">
        <v>2286</v>
      </c>
      <c r="E791" s="495"/>
      <c r="F791" s="426"/>
      <c r="G791" s="426"/>
      <c r="H791" s="426"/>
      <c r="I791" s="445"/>
      <c r="J791" s="446"/>
      <c r="K791" s="446"/>
      <c r="L791" s="446"/>
      <c r="M791" s="446"/>
      <c r="N791" s="446"/>
      <c r="O791" s="446"/>
    </row>
    <row r="792" spans="1:15" s="447" customFormat="1" x14ac:dyDescent="0.2">
      <c r="A792" s="548"/>
      <c r="B792" s="506"/>
      <c r="C792" s="500"/>
      <c r="D792" s="540"/>
      <c r="E792" s="495"/>
      <c r="F792" s="426"/>
      <c r="G792" s="426"/>
      <c r="H792" s="426"/>
      <c r="I792" s="445"/>
      <c r="J792" s="446"/>
      <c r="K792" s="446"/>
      <c r="L792" s="446"/>
      <c r="M792" s="446"/>
      <c r="N792" s="446"/>
      <c r="O792" s="446"/>
    </row>
    <row r="793" spans="1:15" s="308" customFormat="1" ht="15.75" customHeight="1" x14ac:dyDescent="0.2">
      <c r="A793" s="548" t="s">
        <v>1861</v>
      </c>
      <c r="B793" s="506" t="s">
        <v>335</v>
      </c>
      <c r="C793" s="500" t="s">
        <v>2356</v>
      </c>
      <c r="D793" s="540" t="s">
        <v>2357</v>
      </c>
      <c r="E793" s="553" t="s">
        <v>18</v>
      </c>
      <c r="F793" s="149">
        <v>1</v>
      </c>
      <c r="G793" s="149">
        <v>16782.329999999998</v>
      </c>
      <c r="H793" s="149">
        <v>21218.85</v>
      </c>
      <c r="I793" s="514">
        <v>21218.85</v>
      </c>
      <c r="J793" s="307"/>
      <c r="K793" s="307"/>
      <c r="L793" s="307"/>
      <c r="M793" s="307"/>
      <c r="N793" s="307"/>
      <c r="O793" s="307"/>
    </row>
    <row r="794" spans="1:15" s="308" customFormat="1" x14ac:dyDescent="0.2">
      <c r="A794" s="548"/>
      <c r="B794" s="506"/>
      <c r="C794" s="500"/>
      <c r="D794" s="540"/>
      <c r="E794" s="553"/>
      <c r="F794" s="149"/>
      <c r="G794" s="149"/>
      <c r="H794" s="149"/>
      <c r="I794" s="514"/>
      <c r="J794" s="307"/>
      <c r="K794" s="307"/>
      <c r="L794" s="307"/>
      <c r="M794" s="307"/>
      <c r="N794" s="307"/>
      <c r="O794" s="307"/>
    </row>
    <row r="795" spans="1:15" s="308" customFormat="1" x14ac:dyDescent="0.2">
      <c r="A795" s="548"/>
      <c r="B795" s="506"/>
      <c r="C795" s="500"/>
      <c r="D795" s="554" t="s">
        <v>2396</v>
      </c>
      <c r="E795" s="553"/>
      <c r="F795" s="149"/>
      <c r="G795" s="149"/>
      <c r="H795" s="149"/>
      <c r="I795" s="514"/>
      <c r="J795" s="307"/>
      <c r="K795" s="307"/>
      <c r="L795" s="307"/>
      <c r="M795" s="307"/>
      <c r="N795" s="307"/>
      <c r="O795" s="307"/>
    </row>
    <row r="796" spans="1:15" s="308" customFormat="1" x14ac:dyDescent="0.2">
      <c r="A796" s="548"/>
      <c r="B796" s="506"/>
      <c r="C796" s="500"/>
      <c r="D796" s="540"/>
      <c r="E796" s="553"/>
      <c r="F796" s="149"/>
      <c r="G796" s="149"/>
      <c r="H796" s="149"/>
      <c r="I796" s="514"/>
      <c r="J796" s="307"/>
      <c r="K796" s="307"/>
      <c r="L796" s="307"/>
      <c r="M796" s="307"/>
      <c r="N796" s="307"/>
      <c r="O796" s="307"/>
    </row>
    <row r="797" spans="1:15" s="308" customFormat="1" ht="16.5" customHeight="1" x14ac:dyDescent="0.2">
      <c r="A797" s="548" t="s">
        <v>1862</v>
      </c>
      <c r="B797" s="506" t="s">
        <v>335</v>
      </c>
      <c r="C797" s="500" t="s">
        <v>2358</v>
      </c>
      <c r="D797" s="540" t="s">
        <v>2359</v>
      </c>
      <c r="E797" s="553" t="s">
        <v>18</v>
      </c>
      <c r="F797" s="149">
        <v>1</v>
      </c>
      <c r="G797" s="149">
        <v>5644.95</v>
      </c>
      <c r="H797" s="149">
        <v>7137.23</v>
      </c>
      <c r="I797" s="514">
        <v>7137.23</v>
      </c>
      <c r="J797" s="307"/>
      <c r="K797" s="307"/>
      <c r="L797" s="307"/>
      <c r="M797" s="307"/>
      <c r="N797" s="307"/>
      <c r="O797" s="307"/>
    </row>
    <row r="798" spans="1:15" s="308" customFormat="1" x14ac:dyDescent="0.2">
      <c r="A798" s="548"/>
      <c r="B798" s="506"/>
      <c r="C798" s="500"/>
      <c r="D798" s="540"/>
      <c r="E798" s="553"/>
      <c r="F798" s="149"/>
      <c r="G798" s="149"/>
      <c r="H798" s="149"/>
      <c r="I798" s="514"/>
      <c r="J798" s="307"/>
      <c r="K798" s="307"/>
      <c r="L798" s="307"/>
      <c r="M798" s="307"/>
      <c r="N798" s="307"/>
      <c r="O798" s="307"/>
    </row>
    <row r="799" spans="1:15" s="308" customFormat="1" x14ac:dyDescent="0.2">
      <c r="A799" s="548"/>
      <c r="B799" s="506"/>
      <c r="C799" s="500"/>
      <c r="D799" s="554" t="s">
        <v>2397</v>
      </c>
      <c r="E799" s="553"/>
      <c r="F799" s="149"/>
      <c r="G799" s="149"/>
      <c r="H799" s="149"/>
      <c r="I799" s="514"/>
      <c r="J799" s="307"/>
      <c r="K799" s="307"/>
      <c r="L799" s="307"/>
      <c r="M799" s="307"/>
      <c r="N799" s="307"/>
      <c r="O799" s="307"/>
    </row>
    <row r="800" spans="1:15" s="308" customFormat="1" x14ac:dyDescent="0.2">
      <c r="A800" s="548"/>
      <c r="B800" s="506"/>
      <c r="C800" s="500"/>
      <c r="D800" s="540"/>
      <c r="E800" s="553"/>
      <c r="F800" s="149"/>
      <c r="G800" s="149"/>
      <c r="H800" s="149"/>
      <c r="I800" s="514"/>
      <c r="J800" s="307"/>
      <c r="K800" s="307"/>
      <c r="L800" s="307"/>
      <c r="M800" s="307"/>
      <c r="N800" s="307"/>
      <c r="O800" s="307"/>
    </row>
    <row r="801" spans="1:22" s="308" customFormat="1" ht="16.5" customHeight="1" x14ac:dyDescent="0.2">
      <c r="A801" s="548" t="s">
        <v>1863</v>
      </c>
      <c r="B801" s="506" t="s">
        <v>335</v>
      </c>
      <c r="C801" s="500" t="s">
        <v>2360</v>
      </c>
      <c r="D801" s="540" t="s">
        <v>2361</v>
      </c>
      <c r="E801" s="553" t="s">
        <v>18</v>
      </c>
      <c r="F801" s="149">
        <v>1</v>
      </c>
      <c r="G801" s="149">
        <v>42464</v>
      </c>
      <c r="H801" s="149">
        <v>53689.65</v>
      </c>
      <c r="I801" s="514">
        <v>53689.65</v>
      </c>
      <c r="J801" s="307"/>
      <c r="K801" s="307"/>
      <c r="L801" s="307"/>
      <c r="M801" s="307"/>
      <c r="N801" s="307"/>
      <c r="O801" s="307"/>
    </row>
    <row r="802" spans="1:22" s="308" customFormat="1" x14ac:dyDescent="0.2">
      <c r="A802" s="548"/>
      <c r="B802" s="506"/>
      <c r="C802" s="500"/>
      <c r="D802" s="540"/>
      <c r="E802" s="553"/>
      <c r="F802" s="149"/>
      <c r="G802" s="149"/>
      <c r="H802" s="149"/>
      <c r="I802" s="514"/>
      <c r="J802" s="307"/>
      <c r="K802" s="307"/>
      <c r="L802" s="307"/>
      <c r="M802" s="307"/>
      <c r="N802" s="307"/>
      <c r="O802" s="307"/>
    </row>
    <row r="803" spans="1:22" s="308" customFormat="1" x14ac:dyDescent="0.2">
      <c r="A803" s="548"/>
      <c r="B803" s="506"/>
      <c r="C803" s="500"/>
      <c r="D803" s="554" t="s">
        <v>2398</v>
      </c>
      <c r="E803" s="553"/>
      <c r="F803" s="149"/>
      <c r="G803" s="149"/>
      <c r="H803" s="149"/>
      <c r="I803" s="514"/>
      <c r="J803" s="307"/>
      <c r="K803" s="307"/>
      <c r="L803" s="307"/>
      <c r="M803" s="307"/>
      <c r="N803" s="307"/>
      <c r="O803" s="307"/>
    </row>
    <row r="804" spans="1:22" s="308" customFormat="1" x14ac:dyDescent="0.2">
      <c r="A804" s="548"/>
      <c r="B804" s="506"/>
      <c r="C804" s="500"/>
      <c r="D804" s="540"/>
      <c r="E804" s="553"/>
      <c r="F804" s="149"/>
      <c r="G804" s="149"/>
      <c r="H804" s="149"/>
      <c r="I804" s="514"/>
      <c r="J804" s="307"/>
      <c r="K804" s="307"/>
      <c r="L804" s="307"/>
      <c r="M804" s="307"/>
      <c r="N804" s="307"/>
      <c r="O804" s="307"/>
    </row>
    <row r="805" spans="1:22" s="518" customFormat="1" x14ac:dyDescent="0.2">
      <c r="A805" s="548" t="s">
        <v>1864</v>
      </c>
      <c r="B805" s="506" t="s">
        <v>65</v>
      </c>
      <c r="C805" s="500"/>
      <c r="D805" s="540" t="s">
        <v>2515</v>
      </c>
      <c r="E805" s="520" t="s">
        <v>18</v>
      </c>
      <c r="F805" s="284">
        <v>1</v>
      </c>
      <c r="G805" s="284"/>
      <c r="H805" s="284"/>
      <c r="I805" s="515"/>
      <c r="J805" s="516"/>
      <c r="K805" s="517"/>
      <c r="L805" s="517"/>
      <c r="M805" s="517"/>
      <c r="N805" s="251"/>
      <c r="O805" s="251"/>
      <c r="P805" s="251"/>
      <c r="Q805" s="142"/>
      <c r="R805" s="251"/>
      <c r="S805" s="142"/>
      <c r="T805" s="142"/>
      <c r="U805" s="142"/>
      <c r="V805" s="142"/>
    </row>
    <row r="806" spans="1:22" s="518" customFormat="1" x14ac:dyDescent="0.2">
      <c r="A806" s="548"/>
      <c r="B806" s="506"/>
      <c r="C806" s="500"/>
      <c r="D806" s="540"/>
      <c r="E806" s="520"/>
      <c r="F806" s="284"/>
      <c r="G806" s="284"/>
      <c r="H806" s="284"/>
      <c r="I806" s="515"/>
      <c r="J806" s="516"/>
      <c r="K806" s="517"/>
      <c r="L806" s="517"/>
      <c r="M806" s="517"/>
      <c r="N806" s="251"/>
      <c r="O806" s="251"/>
      <c r="P806" s="251"/>
      <c r="Q806" s="142"/>
      <c r="R806" s="251"/>
      <c r="S806" s="142"/>
      <c r="T806" s="142"/>
      <c r="U806" s="142"/>
      <c r="V806" s="142"/>
    </row>
    <row r="807" spans="1:22" s="518" customFormat="1" x14ac:dyDescent="0.2">
      <c r="A807" s="548"/>
      <c r="B807" s="506"/>
      <c r="C807" s="500"/>
      <c r="D807" s="554" t="s">
        <v>2399</v>
      </c>
      <c r="E807" s="520"/>
      <c r="F807" s="284"/>
      <c r="G807" s="284"/>
      <c r="H807" s="284"/>
      <c r="I807" s="515"/>
      <c r="J807" s="516"/>
      <c r="K807" s="517"/>
      <c r="L807" s="517"/>
      <c r="M807" s="517"/>
      <c r="N807" s="251"/>
      <c r="O807" s="251"/>
      <c r="P807" s="251"/>
      <c r="Q807" s="142"/>
      <c r="R807" s="251"/>
      <c r="S807" s="142"/>
      <c r="T807" s="142"/>
      <c r="U807" s="142"/>
      <c r="V807" s="142"/>
    </row>
    <row r="808" spans="1:22" s="518" customFormat="1" x14ac:dyDescent="0.2">
      <c r="A808" s="548"/>
      <c r="B808" s="506"/>
      <c r="C808" s="500"/>
      <c r="D808" s="540"/>
      <c r="E808" s="520"/>
      <c r="F808" s="284"/>
      <c r="G808" s="284"/>
      <c r="H808" s="284"/>
      <c r="I808" s="515"/>
      <c r="J808" s="516"/>
      <c r="K808" s="517"/>
      <c r="L808" s="517"/>
      <c r="M808" s="517"/>
      <c r="N808" s="251"/>
      <c r="O808" s="251"/>
      <c r="P808" s="251"/>
      <c r="Q808" s="142"/>
      <c r="R808" s="251"/>
      <c r="S808" s="142"/>
      <c r="T808" s="142"/>
      <c r="U808" s="142"/>
      <c r="V808" s="142"/>
    </row>
    <row r="809" spans="1:22" s="447" customFormat="1" ht="20.25" customHeight="1" x14ac:dyDescent="0.2">
      <c r="A809" s="548" t="s">
        <v>2362</v>
      </c>
      <c r="B809" s="506" t="s">
        <v>335</v>
      </c>
      <c r="C809" s="500" t="str">
        <f>COMPOSIÇÕES!C198</f>
        <v>CE-018</v>
      </c>
      <c r="D809" s="540" t="s">
        <v>1610</v>
      </c>
      <c r="E809" s="495" t="s">
        <v>738</v>
      </c>
      <c r="F809" s="426">
        <v>1</v>
      </c>
      <c r="G809" s="426">
        <f>COMPOSIÇÕES!I198</f>
        <v>42465.310000000005</v>
      </c>
      <c r="H809" s="426">
        <f>ROUND((1+$L$16)*G809,2)</f>
        <v>53691.31</v>
      </c>
      <c r="I809" s="445">
        <f t="shared" si="50"/>
        <v>53691.31</v>
      </c>
      <c r="J809" s="446"/>
      <c r="K809" s="446"/>
      <c r="L809" s="446"/>
      <c r="M809" s="446"/>
      <c r="N809" s="446"/>
      <c r="O809" s="446"/>
    </row>
    <row r="810" spans="1:22" s="447" customFormat="1" x14ac:dyDescent="0.2">
      <c r="A810" s="548"/>
      <c r="B810" s="506"/>
      <c r="C810" s="500"/>
      <c r="D810" s="540"/>
      <c r="E810" s="495"/>
      <c r="F810" s="426"/>
      <c r="G810" s="426"/>
      <c r="H810" s="426"/>
      <c r="I810" s="455"/>
      <c r="J810" s="446"/>
      <c r="K810" s="446"/>
      <c r="L810" s="446"/>
      <c r="M810" s="446"/>
      <c r="N810" s="446"/>
      <c r="O810" s="446"/>
    </row>
    <row r="811" spans="1:22" s="447" customFormat="1" x14ac:dyDescent="0.2">
      <c r="A811" s="548"/>
      <c r="B811" s="506"/>
      <c r="C811" s="500"/>
      <c r="D811" s="554" t="s">
        <v>2400</v>
      </c>
      <c r="E811" s="495"/>
      <c r="F811" s="426"/>
      <c r="G811" s="426"/>
      <c r="H811" s="426"/>
      <c r="I811" s="455"/>
      <c r="J811" s="446"/>
      <c r="K811" s="446"/>
      <c r="L811" s="446"/>
      <c r="M811" s="446"/>
      <c r="N811" s="446"/>
      <c r="O811" s="446"/>
    </row>
    <row r="812" spans="1:22" s="447" customFormat="1" x14ac:dyDescent="0.2">
      <c r="A812" s="548"/>
      <c r="B812" s="506"/>
      <c r="C812" s="500"/>
      <c r="D812" s="540"/>
      <c r="E812" s="495"/>
      <c r="F812" s="426"/>
      <c r="G812" s="426"/>
      <c r="H812" s="426"/>
      <c r="I812" s="455"/>
      <c r="J812" s="446"/>
      <c r="K812" s="446"/>
      <c r="L812" s="446"/>
      <c r="M812" s="446"/>
      <c r="N812" s="446"/>
      <c r="O812" s="446"/>
    </row>
    <row r="813" spans="1:22" s="373" customFormat="1" ht="15" customHeight="1" x14ac:dyDescent="0.2">
      <c r="A813" s="546" t="s">
        <v>1865</v>
      </c>
      <c r="B813" s="504"/>
      <c r="C813" s="504"/>
      <c r="D813" s="547" t="s">
        <v>781</v>
      </c>
      <c r="E813" s="493"/>
      <c r="F813" s="440"/>
      <c r="G813" s="441"/>
      <c r="H813" s="442"/>
      <c r="I813" s="443">
        <f>SUM(I814:I830)</f>
        <v>49659.53</v>
      </c>
      <c r="J813" s="372"/>
      <c r="K813" s="372"/>
      <c r="L813" s="372"/>
      <c r="M813" s="372"/>
      <c r="N813" s="372"/>
      <c r="O813" s="372"/>
      <c r="P813" s="372"/>
      <c r="Q813" s="372"/>
      <c r="R813" s="372"/>
    </row>
    <row r="814" spans="1:22" s="373" customFormat="1" ht="30" x14ac:dyDescent="0.2">
      <c r="A814" s="557" t="s">
        <v>1866</v>
      </c>
      <c r="B814" s="506" t="s">
        <v>45</v>
      </c>
      <c r="C814" s="506" t="s">
        <v>791</v>
      </c>
      <c r="D814" s="549" t="s">
        <v>792</v>
      </c>
      <c r="E814" s="494" t="s">
        <v>15</v>
      </c>
      <c r="F814" s="426">
        <f>4.4*2.1</f>
        <v>9.240000000000002</v>
      </c>
      <c r="G814" s="426">
        <v>954.7</v>
      </c>
      <c r="H814" s="426">
        <f>ROUND((1+$L$16)*G814,2)</f>
        <v>1207.08</v>
      </c>
      <c r="I814" s="448">
        <f t="shared" ref="I814:I830" si="52">ROUND(F814*H814,2)</f>
        <v>11153.42</v>
      </c>
      <c r="J814" s="458"/>
    </row>
    <row r="815" spans="1:22" s="373" customFormat="1" x14ac:dyDescent="0.2">
      <c r="A815" s="557"/>
      <c r="B815" s="506"/>
      <c r="C815" s="506"/>
      <c r="D815" s="549"/>
      <c r="E815" s="494"/>
      <c r="F815" s="426"/>
      <c r="G815" s="426"/>
      <c r="H815" s="426"/>
      <c r="I815" s="448"/>
      <c r="J815" s="458"/>
    </row>
    <row r="816" spans="1:22" s="373" customFormat="1" x14ac:dyDescent="0.2">
      <c r="A816" s="557"/>
      <c r="B816" s="506"/>
      <c r="C816" s="506"/>
      <c r="D816" s="549" t="s">
        <v>2401</v>
      </c>
      <c r="E816" s="494"/>
      <c r="F816" s="426"/>
      <c r="G816" s="426"/>
      <c r="H816" s="426"/>
      <c r="I816" s="448"/>
      <c r="J816" s="458"/>
    </row>
    <row r="817" spans="1:18" s="373" customFormat="1" x14ac:dyDescent="0.2">
      <c r="A817" s="557"/>
      <c r="B817" s="506"/>
      <c r="C817" s="506"/>
      <c r="D817" s="549"/>
      <c r="E817" s="494"/>
      <c r="F817" s="426"/>
      <c r="G817" s="426"/>
      <c r="H817" s="426"/>
      <c r="I817" s="448"/>
      <c r="J817" s="458"/>
    </row>
    <row r="818" spans="1:18" s="373" customFormat="1" ht="30" x14ac:dyDescent="0.2">
      <c r="A818" s="557" t="s">
        <v>1867</v>
      </c>
      <c r="B818" s="506" t="s">
        <v>45</v>
      </c>
      <c r="C818" s="506">
        <v>94992</v>
      </c>
      <c r="D818" s="549" t="s">
        <v>782</v>
      </c>
      <c r="E818" s="494" t="s">
        <v>15</v>
      </c>
      <c r="F818" s="426">
        <v>19</v>
      </c>
      <c r="G818" s="426">
        <v>51.67</v>
      </c>
      <c r="H818" s="426">
        <f>ROUND((1+$L$16)*G818,2)</f>
        <v>65.33</v>
      </c>
      <c r="I818" s="448">
        <f t="shared" si="52"/>
        <v>1241.27</v>
      </c>
      <c r="J818" s="458"/>
    </row>
    <row r="819" spans="1:18" s="373" customFormat="1" x14ac:dyDescent="0.2">
      <c r="A819" s="557"/>
      <c r="B819" s="506"/>
      <c r="C819" s="506"/>
      <c r="D819" s="549"/>
      <c r="E819" s="494"/>
      <c r="F819" s="426"/>
      <c r="G819" s="426"/>
      <c r="H819" s="426"/>
      <c r="I819" s="448"/>
      <c r="J819" s="458"/>
    </row>
    <row r="820" spans="1:18" s="373" customFormat="1" x14ac:dyDescent="0.2">
      <c r="A820" s="557"/>
      <c r="B820" s="506"/>
      <c r="C820" s="506"/>
      <c r="D820" s="549" t="s">
        <v>2402</v>
      </c>
      <c r="E820" s="494"/>
      <c r="F820" s="426"/>
      <c r="G820" s="426"/>
      <c r="H820" s="426"/>
      <c r="I820" s="448"/>
      <c r="J820" s="458"/>
    </row>
    <row r="821" spans="1:18" s="373" customFormat="1" x14ac:dyDescent="0.2">
      <c r="A821" s="557"/>
      <c r="B821" s="506"/>
      <c r="C821" s="506"/>
      <c r="D821" s="549"/>
      <c r="E821" s="494"/>
      <c r="F821" s="426"/>
      <c r="G821" s="426"/>
      <c r="H821" s="426"/>
      <c r="I821" s="448"/>
      <c r="J821" s="458"/>
    </row>
    <row r="822" spans="1:18" s="373" customFormat="1" x14ac:dyDescent="0.2">
      <c r="A822" s="550" t="s">
        <v>1868</v>
      </c>
      <c r="B822" s="551" t="s">
        <v>45</v>
      </c>
      <c r="C822" s="551" t="s">
        <v>36</v>
      </c>
      <c r="D822" s="552" t="s">
        <v>783</v>
      </c>
      <c r="E822" s="494" t="s">
        <v>15</v>
      </c>
      <c r="F822" s="426">
        <v>100</v>
      </c>
      <c r="G822" s="426">
        <v>9.75</v>
      </c>
      <c r="H822" s="426">
        <f>ROUND((1+$L$16)*G822,2)</f>
        <v>12.33</v>
      </c>
      <c r="I822" s="448">
        <f t="shared" si="52"/>
        <v>1233</v>
      </c>
      <c r="J822" s="458"/>
    </row>
    <row r="823" spans="1:18" s="373" customFormat="1" x14ac:dyDescent="0.2">
      <c r="A823" s="557"/>
      <c r="B823" s="506"/>
      <c r="C823" s="506"/>
      <c r="D823" s="549"/>
      <c r="E823" s="494"/>
      <c r="F823" s="426"/>
      <c r="G823" s="426"/>
      <c r="H823" s="426"/>
      <c r="I823" s="448"/>
      <c r="J823" s="458"/>
    </row>
    <row r="824" spans="1:18" s="373" customFormat="1" x14ac:dyDescent="0.2">
      <c r="A824" s="557"/>
      <c r="B824" s="506"/>
      <c r="C824" s="506"/>
      <c r="D824" s="549" t="s">
        <v>2403</v>
      </c>
      <c r="E824" s="494"/>
      <c r="F824" s="426"/>
      <c r="G824" s="426"/>
      <c r="H824" s="426"/>
      <c r="I824" s="448"/>
      <c r="J824" s="458"/>
    </row>
    <row r="825" spans="1:18" s="373" customFormat="1" x14ac:dyDescent="0.2">
      <c r="A825" s="557"/>
      <c r="B825" s="506"/>
      <c r="C825" s="506"/>
      <c r="D825" s="549"/>
      <c r="E825" s="494"/>
      <c r="F825" s="426"/>
      <c r="G825" s="426"/>
      <c r="H825" s="426"/>
      <c r="I825" s="448"/>
      <c r="J825" s="458"/>
    </row>
    <row r="826" spans="1:18" s="373" customFormat="1" ht="30" x14ac:dyDescent="0.2">
      <c r="A826" s="557" t="s">
        <v>1869</v>
      </c>
      <c r="B826" s="506" t="s">
        <v>45</v>
      </c>
      <c r="C826" s="506">
        <v>94281</v>
      </c>
      <c r="D826" s="549" t="s">
        <v>784</v>
      </c>
      <c r="E826" s="494" t="s">
        <v>15</v>
      </c>
      <c r="F826" s="426">
        <v>200</v>
      </c>
      <c r="G826" s="426">
        <v>55</v>
      </c>
      <c r="H826" s="426">
        <f>ROUND((1+$L$16)*G826,2)</f>
        <v>69.540000000000006</v>
      </c>
      <c r="I826" s="448">
        <f t="shared" si="52"/>
        <v>13908</v>
      </c>
      <c r="J826" s="458"/>
    </row>
    <row r="827" spans="1:18" s="373" customFormat="1" x14ac:dyDescent="0.2">
      <c r="A827" s="557"/>
      <c r="B827" s="506"/>
      <c r="C827" s="506"/>
      <c r="D827" s="549"/>
      <c r="E827" s="494"/>
      <c r="F827" s="426"/>
      <c r="G827" s="426"/>
      <c r="H827" s="426"/>
      <c r="I827" s="448"/>
      <c r="J827" s="458"/>
    </row>
    <row r="828" spans="1:18" s="373" customFormat="1" x14ac:dyDescent="0.2">
      <c r="A828" s="557"/>
      <c r="B828" s="506"/>
      <c r="C828" s="506"/>
      <c r="D828" s="549" t="s">
        <v>2404</v>
      </c>
      <c r="E828" s="494"/>
      <c r="F828" s="426"/>
      <c r="G828" s="426"/>
      <c r="H828" s="426"/>
      <c r="I828" s="448"/>
      <c r="J828" s="458"/>
    </row>
    <row r="829" spans="1:18" s="373" customFormat="1" x14ac:dyDescent="0.2">
      <c r="A829" s="557"/>
      <c r="B829" s="506"/>
      <c r="C829" s="506"/>
      <c r="D829" s="549"/>
      <c r="E829" s="494"/>
      <c r="F829" s="426"/>
      <c r="G829" s="426"/>
      <c r="H829" s="426"/>
      <c r="I829" s="448"/>
      <c r="J829" s="458"/>
    </row>
    <row r="830" spans="1:18" ht="30" x14ac:dyDescent="0.2">
      <c r="A830" s="557" t="s">
        <v>1870</v>
      </c>
      <c r="B830" s="506" t="s">
        <v>45</v>
      </c>
      <c r="C830" s="506">
        <v>92393</v>
      </c>
      <c r="D830" s="549" t="s">
        <v>793</v>
      </c>
      <c r="E830" s="494" t="s">
        <v>15</v>
      </c>
      <c r="F830" s="426">
        <v>376</v>
      </c>
      <c r="G830" s="426">
        <v>46.54</v>
      </c>
      <c r="H830" s="426">
        <f>ROUND((1+$L$16)*G830,2)</f>
        <v>58.84</v>
      </c>
      <c r="I830" s="448">
        <f t="shared" si="52"/>
        <v>22123.84</v>
      </c>
      <c r="J830" s="435"/>
      <c r="K830" s="372"/>
      <c r="L830" s="424"/>
      <c r="M830" s="372"/>
      <c r="N830" s="372"/>
      <c r="O830" s="372"/>
      <c r="P830" s="372"/>
      <c r="R830" s="372"/>
    </row>
    <row r="831" spans="1:18" x14ac:dyDescent="0.2">
      <c r="A831" s="557"/>
      <c r="B831" s="506"/>
      <c r="C831" s="506"/>
      <c r="D831" s="549"/>
      <c r="E831" s="494"/>
      <c r="F831" s="426"/>
      <c r="G831" s="426"/>
      <c r="H831" s="426"/>
      <c r="I831" s="448"/>
      <c r="J831" s="435"/>
      <c r="K831" s="372"/>
      <c r="L831" s="424"/>
      <c r="M831" s="372"/>
      <c r="N831" s="372"/>
      <c r="O831" s="372"/>
      <c r="P831" s="372"/>
      <c r="R831" s="372"/>
    </row>
    <row r="832" spans="1:18" x14ac:dyDescent="0.2">
      <c r="A832" s="557"/>
      <c r="B832" s="506"/>
      <c r="C832" s="506"/>
      <c r="D832" s="549" t="s">
        <v>2405</v>
      </c>
      <c r="E832" s="494"/>
      <c r="F832" s="426"/>
      <c r="G832" s="426"/>
      <c r="H832" s="426"/>
      <c r="I832" s="448"/>
      <c r="J832" s="435"/>
      <c r="K832" s="372"/>
      <c r="L832" s="424"/>
      <c r="M832" s="372"/>
      <c r="N832" s="372"/>
      <c r="O832" s="372"/>
      <c r="P832" s="372"/>
      <c r="R832" s="372"/>
    </row>
    <row r="833" spans="1:63" s="468" customFormat="1" x14ac:dyDescent="0.2">
      <c r="A833" s="538"/>
      <c r="B833" s="499"/>
      <c r="C833" s="499"/>
      <c r="D833" s="539"/>
      <c r="E833" s="492"/>
      <c r="F833" s="432"/>
      <c r="G833" s="433"/>
      <c r="H833" s="433"/>
      <c r="I833" s="434"/>
      <c r="J833" s="465"/>
      <c r="K833" s="466"/>
      <c r="L833" s="467"/>
      <c r="M833" s="466"/>
      <c r="N833" s="466"/>
      <c r="O833" s="466"/>
      <c r="P833" s="466"/>
      <c r="R833" s="466"/>
    </row>
    <row r="834" spans="1:63" ht="15.75" x14ac:dyDescent="0.2">
      <c r="A834" s="544" t="s">
        <v>1054</v>
      </c>
      <c r="B834" s="501"/>
      <c r="C834" s="501"/>
      <c r="D834" s="545" t="s">
        <v>778</v>
      </c>
      <c r="E834" s="491" t="s">
        <v>61</v>
      </c>
      <c r="F834" s="404"/>
      <c r="G834" s="405"/>
      <c r="H834" s="406"/>
      <c r="I834" s="407">
        <f>I835+I852+I865+I870+I879+I892+I909+I930</f>
        <v>235682.62999999995</v>
      </c>
      <c r="J834" s="435"/>
      <c r="K834" s="372"/>
      <c r="L834" s="424"/>
      <c r="M834" s="372"/>
      <c r="N834" s="372"/>
      <c r="O834" s="372"/>
      <c r="P834" s="372"/>
      <c r="R834" s="372"/>
      <c r="S834" s="374"/>
      <c r="T834" s="374"/>
      <c r="U834" s="374"/>
      <c r="V834" s="374"/>
      <c r="W834" s="374"/>
      <c r="X834" s="374"/>
      <c r="Y834" s="374"/>
      <c r="Z834" s="374"/>
      <c r="AA834" s="374"/>
      <c r="AB834" s="374"/>
      <c r="AC834" s="374"/>
      <c r="AD834" s="374"/>
      <c r="AE834" s="374"/>
      <c r="AF834" s="374"/>
      <c r="AG834" s="374"/>
      <c r="AH834" s="374"/>
      <c r="AI834" s="374"/>
      <c r="AJ834" s="374"/>
      <c r="AK834" s="374"/>
      <c r="AL834" s="374"/>
      <c r="AM834" s="374"/>
      <c r="AN834" s="374"/>
      <c r="AO834" s="374"/>
      <c r="AP834" s="374"/>
      <c r="AQ834" s="374"/>
      <c r="AR834" s="374"/>
      <c r="AS834" s="374"/>
      <c r="AT834" s="374"/>
      <c r="AU834" s="374"/>
      <c r="AV834" s="374"/>
      <c r="AW834" s="374"/>
      <c r="AX834" s="374"/>
      <c r="AY834" s="374"/>
      <c r="AZ834" s="374"/>
      <c r="BA834" s="374"/>
      <c r="BB834" s="374"/>
      <c r="BC834" s="374"/>
      <c r="BD834" s="374"/>
      <c r="BE834" s="374"/>
      <c r="BF834" s="374"/>
      <c r="BG834" s="374"/>
      <c r="BH834" s="374"/>
      <c r="BI834" s="374"/>
      <c r="BJ834" s="374"/>
      <c r="BK834" s="374"/>
    </row>
    <row r="835" spans="1:63" ht="15.75" x14ac:dyDescent="0.2">
      <c r="A835" s="558" t="s">
        <v>260</v>
      </c>
      <c r="B835" s="501"/>
      <c r="C835" s="501"/>
      <c r="D835" s="545" t="s">
        <v>338</v>
      </c>
      <c r="E835" s="491"/>
      <c r="F835" s="404"/>
      <c r="G835" s="405"/>
      <c r="H835" s="406"/>
      <c r="I835" s="407">
        <f>SUM(I836:I848)</f>
        <v>7258.64</v>
      </c>
      <c r="J835" s="435"/>
      <c r="K835" s="372"/>
      <c r="L835" s="424"/>
      <c r="M835" s="372"/>
      <c r="N835" s="372"/>
      <c r="O835" s="372"/>
      <c r="P835" s="372"/>
      <c r="R835" s="372"/>
    </row>
    <row r="836" spans="1:63" ht="15" customHeight="1" x14ac:dyDescent="0.2">
      <c r="A836" s="542" t="s">
        <v>1055</v>
      </c>
      <c r="B836" s="500" t="s">
        <v>45</v>
      </c>
      <c r="C836" s="500">
        <v>85323</v>
      </c>
      <c r="D836" s="540" t="s">
        <v>945</v>
      </c>
      <c r="E836" s="495" t="s">
        <v>17</v>
      </c>
      <c r="F836" s="426">
        <f>699.02+8.46</f>
        <v>707.48</v>
      </c>
      <c r="G836" s="426">
        <v>1.56</v>
      </c>
      <c r="H836" s="426">
        <f>ROUND((1+$L$16)*G836,2)</f>
        <v>1.97</v>
      </c>
      <c r="I836" s="448">
        <f t="shared" ref="I836:I848" si="53">ROUND(F836*H836,2)</f>
        <v>1393.74</v>
      </c>
      <c r="J836" s="435"/>
      <c r="K836" s="372"/>
      <c r="L836" s="424"/>
      <c r="M836" s="372"/>
      <c r="N836" s="372"/>
      <c r="O836" s="372"/>
      <c r="P836" s="372"/>
      <c r="R836" s="372"/>
    </row>
    <row r="837" spans="1:63" ht="15" customHeight="1" x14ac:dyDescent="0.2">
      <c r="A837" s="542"/>
      <c r="B837" s="500"/>
      <c r="C837" s="500"/>
      <c r="D837" s="540"/>
      <c r="E837" s="495"/>
      <c r="F837" s="426"/>
      <c r="G837" s="426"/>
      <c r="H837" s="426"/>
      <c r="I837" s="448"/>
      <c r="J837" s="435"/>
      <c r="K837" s="372"/>
      <c r="L837" s="424"/>
      <c r="M837" s="372"/>
      <c r="N837" s="372"/>
      <c r="O837" s="372"/>
      <c r="P837" s="372"/>
      <c r="R837" s="372"/>
    </row>
    <row r="838" spans="1:63" ht="15" customHeight="1" x14ac:dyDescent="0.2">
      <c r="A838" s="542"/>
      <c r="B838" s="500"/>
      <c r="C838" s="500"/>
      <c r="D838" s="540" t="s">
        <v>2406</v>
      </c>
      <c r="E838" s="495"/>
      <c r="F838" s="426"/>
      <c r="G838" s="426"/>
      <c r="H838" s="426"/>
      <c r="I838" s="448"/>
      <c r="J838" s="435"/>
      <c r="K838" s="372"/>
      <c r="L838" s="424"/>
      <c r="M838" s="372"/>
      <c r="N838" s="372"/>
      <c r="O838" s="372"/>
      <c r="P838" s="372"/>
      <c r="R838" s="372"/>
    </row>
    <row r="839" spans="1:63" ht="15" customHeight="1" x14ac:dyDescent="0.2">
      <c r="A839" s="542"/>
      <c r="B839" s="500"/>
      <c r="C839" s="500"/>
      <c r="D839" s="540"/>
      <c r="E839" s="495"/>
      <c r="F839" s="426"/>
      <c r="G839" s="426"/>
      <c r="H839" s="426"/>
      <c r="I839" s="448"/>
      <c r="J839" s="435"/>
      <c r="K839" s="372"/>
      <c r="L839" s="424"/>
      <c r="M839" s="372"/>
      <c r="N839" s="372"/>
      <c r="O839" s="372"/>
      <c r="P839" s="372"/>
      <c r="R839" s="372"/>
    </row>
    <row r="840" spans="1:63" ht="30" x14ac:dyDescent="0.2">
      <c r="A840" s="542" t="s">
        <v>1056</v>
      </c>
      <c r="B840" s="500" t="s">
        <v>45</v>
      </c>
      <c r="C840" s="506" t="s">
        <v>161</v>
      </c>
      <c r="D840" s="540" t="s">
        <v>755</v>
      </c>
      <c r="E840" s="495" t="s">
        <v>15</v>
      </c>
      <c r="F840" s="426">
        <f>2*3*2</f>
        <v>12</v>
      </c>
      <c r="G840" s="426">
        <v>52.37</v>
      </c>
      <c r="H840" s="426">
        <f>ROUND((1+$L$16)*G840,2)</f>
        <v>66.209999999999994</v>
      </c>
      <c r="I840" s="448">
        <f t="shared" si="53"/>
        <v>794.52</v>
      </c>
      <c r="J840" s="435"/>
      <c r="K840" s="372"/>
      <c r="L840" s="424"/>
      <c r="M840" s="372"/>
      <c r="N840" s="372"/>
      <c r="O840" s="372"/>
      <c r="P840" s="372"/>
      <c r="R840" s="372"/>
    </row>
    <row r="841" spans="1:63" x14ac:dyDescent="0.2">
      <c r="A841" s="542"/>
      <c r="B841" s="500"/>
      <c r="C841" s="506"/>
      <c r="D841" s="540"/>
      <c r="E841" s="495"/>
      <c r="F841" s="426"/>
      <c r="G841" s="426"/>
      <c r="H841" s="426"/>
      <c r="I841" s="448"/>
      <c r="J841" s="435"/>
      <c r="K841" s="372"/>
      <c r="L841" s="424"/>
      <c r="M841" s="372"/>
      <c r="N841" s="372"/>
      <c r="O841" s="372"/>
      <c r="P841" s="372"/>
      <c r="R841" s="372"/>
    </row>
    <row r="842" spans="1:63" x14ac:dyDescent="0.2">
      <c r="A842" s="542"/>
      <c r="B842" s="500"/>
      <c r="C842" s="506"/>
      <c r="D842" s="540" t="s">
        <v>2407</v>
      </c>
      <c r="E842" s="495"/>
      <c r="F842" s="426"/>
      <c r="G842" s="426"/>
      <c r="H842" s="426"/>
      <c r="I842" s="448"/>
      <c r="J842" s="435"/>
      <c r="K842" s="372"/>
      <c r="L842" s="424"/>
      <c r="M842" s="372"/>
      <c r="N842" s="372"/>
      <c r="O842" s="372"/>
      <c r="P842" s="372"/>
      <c r="R842" s="372"/>
    </row>
    <row r="843" spans="1:63" x14ac:dyDescent="0.2">
      <c r="A843" s="542"/>
      <c r="B843" s="500"/>
      <c r="C843" s="506"/>
      <c r="D843" s="540"/>
      <c r="E843" s="495"/>
      <c r="F843" s="426"/>
      <c r="G843" s="426"/>
      <c r="H843" s="426"/>
      <c r="I843" s="448"/>
      <c r="J843" s="435"/>
      <c r="K843" s="372"/>
      <c r="L843" s="424"/>
      <c r="M843" s="372"/>
      <c r="N843" s="372"/>
      <c r="O843" s="372"/>
      <c r="P843" s="372"/>
      <c r="R843" s="372"/>
    </row>
    <row r="844" spans="1:63" x14ac:dyDescent="0.2">
      <c r="A844" s="542" t="s">
        <v>1057</v>
      </c>
      <c r="B844" s="506" t="s">
        <v>45</v>
      </c>
      <c r="C844" s="506" t="s">
        <v>49</v>
      </c>
      <c r="D844" s="554" t="s">
        <v>757</v>
      </c>
      <c r="E844" s="494" t="s">
        <v>15</v>
      </c>
      <c r="F844" s="426">
        <f>5*2*1</f>
        <v>10</v>
      </c>
      <c r="G844" s="426">
        <v>51.86</v>
      </c>
      <c r="H844" s="426">
        <f>ROUND((1+$L$16)*G844,2)</f>
        <v>65.569999999999993</v>
      </c>
      <c r="I844" s="448">
        <f t="shared" si="53"/>
        <v>655.7</v>
      </c>
      <c r="J844" s="435"/>
      <c r="K844" s="372"/>
      <c r="L844" s="424"/>
      <c r="M844" s="372"/>
      <c r="N844" s="372"/>
      <c r="O844" s="372"/>
      <c r="P844" s="372"/>
      <c r="R844" s="372"/>
    </row>
    <row r="845" spans="1:63" x14ac:dyDescent="0.2">
      <c r="A845" s="542"/>
      <c r="B845" s="506"/>
      <c r="C845" s="506"/>
      <c r="D845" s="554"/>
      <c r="E845" s="494"/>
      <c r="F845" s="426"/>
      <c r="G845" s="426"/>
      <c r="H845" s="426"/>
      <c r="I845" s="448"/>
      <c r="J845" s="435"/>
      <c r="K845" s="372"/>
      <c r="L845" s="424"/>
      <c r="M845" s="372"/>
      <c r="N845" s="372"/>
      <c r="O845" s="372"/>
      <c r="P845" s="372"/>
      <c r="R845" s="372"/>
    </row>
    <row r="846" spans="1:63" x14ac:dyDescent="0.2">
      <c r="A846" s="542"/>
      <c r="B846" s="506"/>
      <c r="C846" s="506"/>
      <c r="D846" s="540" t="s">
        <v>2408</v>
      </c>
      <c r="E846" s="494"/>
      <c r="F846" s="426"/>
      <c r="G846" s="426"/>
      <c r="H846" s="426"/>
      <c r="I846" s="448"/>
      <c r="J846" s="435"/>
      <c r="K846" s="372"/>
      <c r="L846" s="424"/>
      <c r="M846" s="372"/>
      <c r="N846" s="372"/>
      <c r="O846" s="372"/>
      <c r="P846" s="372"/>
      <c r="R846" s="372"/>
    </row>
    <row r="847" spans="1:63" x14ac:dyDescent="0.2">
      <c r="A847" s="542"/>
      <c r="B847" s="506"/>
      <c r="C847" s="506"/>
      <c r="D847" s="554"/>
      <c r="E847" s="494"/>
      <c r="F847" s="426"/>
      <c r="G847" s="426"/>
      <c r="H847" s="426"/>
      <c r="I847" s="448"/>
      <c r="J847" s="435"/>
      <c r="K847" s="372"/>
      <c r="L847" s="424"/>
      <c r="M847" s="372"/>
      <c r="N847" s="372"/>
      <c r="O847" s="372"/>
      <c r="P847" s="372"/>
      <c r="R847" s="372"/>
    </row>
    <row r="848" spans="1:63" x14ac:dyDescent="0.2">
      <c r="A848" s="542" t="s">
        <v>1058</v>
      </c>
      <c r="B848" s="506" t="s">
        <v>45</v>
      </c>
      <c r="C848" s="506">
        <v>9537</v>
      </c>
      <c r="D848" s="554" t="s">
        <v>754</v>
      </c>
      <c r="E848" s="494" t="s">
        <v>15</v>
      </c>
      <c r="F848" s="449">
        <f>F836*2</f>
        <v>1414.96</v>
      </c>
      <c r="G848" s="426">
        <v>2.4700000000000002</v>
      </c>
      <c r="H848" s="426">
        <f>ROUND((1+$L$16)*G848,2)</f>
        <v>3.12</v>
      </c>
      <c r="I848" s="448">
        <f t="shared" si="53"/>
        <v>4414.68</v>
      </c>
      <c r="J848" s="435"/>
      <c r="K848" s="372"/>
      <c r="L848" s="424"/>
      <c r="M848" s="372"/>
      <c r="N848" s="372"/>
      <c r="O848" s="372"/>
      <c r="P848" s="372"/>
      <c r="R848" s="372"/>
    </row>
    <row r="849" spans="1:18" x14ac:dyDescent="0.2">
      <c r="A849" s="542"/>
      <c r="B849" s="506"/>
      <c r="C849" s="506"/>
      <c r="D849" s="554"/>
      <c r="E849" s="494"/>
      <c r="F849" s="449"/>
      <c r="G849" s="426"/>
      <c r="H849" s="426"/>
      <c r="I849" s="448"/>
      <c r="J849" s="435"/>
      <c r="K849" s="372"/>
      <c r="L849" s="424"/>
      <c r="M849" s="372"/>
      <c r="N849" s="372"/>
      <c r="O849" s="372"/>
      <c r="P849" s="372"/>
      <c r="R849" s="372"/>
    </row>
    <row r="850" spans="1:18" x14ac:dyDescent="0.2">
      <c r="A850" s="542"/>
      <c r="B850" s="506"/>
      <c r="C850" s="506"/>
      <c r="D850" s="540" t="s">
        <v>2409</v>
      </c>
      <c r="E850" s="494"/>
      <c r="F850" s="449"/>
      <c r="G850" s="426"/>
      <c r="H850" s="426"/>
      <c r="I850" s="448"/>
      <c r="J850" s="435"/>
      <c r="K850" s="372"/>
      <c r="L850" s="424"/>
      <c r="M850" s="372"/>
      <c r="N850" s="372"/>
      <c r="O850" s="372"/>
      <c r="P850" s="372"/>
      <c r="R850" s="372"/>
    </row>
    <row r="851" spans="1:18" x14ac:dyDescent="0.2">
      <c r="A851" s="542"/>
      <c r="B851" s="506"/>
      <c r="C851" s="506"/>
      <c r="D851" s="554"/>
      <c r="E851" s="494"/>
      <c r="F851" s="432"/>
      <c r="G851" s="426"/>
      <c r="H851" s="426"/>
      <c r="I851" s="448"/>
      <c r="J851" s="435"/>
      <c r="K851" s="372"/>
      <c r="L851" s="424"/>
      <c r="M851" s="372"/>
      <c r="N851" s="372"/>
      <c r="O851" s="372"/>
      <c r="P851" s="372"/>
      <c r="R851" s="372"/>
    </row>
    <row r="852" spans="1:18" ht="15" customHeight="1" x14ac:dyDescent="0.2">
      <c r="A852" s="558" t="s">
        <v>261</v>
      </c>
      <c r="B852" s="501"/>
      <c r="C852" s="501"/>
      <c r="D852" s="545" t="s">
        <v>339</v>
      </c>
      <c r="E852" s="491"/>
      <c r="F852" s="404"/>
      <c r="G852" s="405"/>
      <c r="H852" s="406"/>
      <c r="I852" s="407">
        <f>SUM(I853:I861)</f>
        <v>10650.63</v>
      </c>
      <c r="J852" s="435"/>
      <c r="K852" s="372"/>
      <c r="L852" s="424"/>
      <c r="M852" s="372"/>
      <c r="N852" s="372"/>
      <c r="O852" s="372"/>
      <c r="P852" s="372"/>
      <c r="R852" s="372"/>
    </row>
    <row r="853" spans="1:18" x14ac:dyDescent="0.2">
      <c r="A853" s="542" t="s">
        <v>1059</v>
      </c>
      <c r="B853" s="500" t="s">
        <v>45</v>
      </c>
      <c r="C853" s="500" t="str">
        <f>COMPOSIÇÕES!C140</f>
        <v>CE-010</v>
      </c>
      <c r="D853" s="540" t="str">
        <f>COMPOSIÇÕES!D140</f>
        <v>ESCAVACAO MECANICA DE VALAS (SOLO COM AGUA), PROFUNDIDADE ATE 1,50 M.</v>
      </c>
      <c r="E853" s="495" t="s">
        <v>16</v>
      </c>
      <c r="F853" s="426">
        <f>F836*0.65*1*0.25</f>
        <v>114.96550000000001</v>
      </c>
      <c r="G853" s="426">
        <f>COMPOSIÇÕES!I140</f>
        <v>15.5</v>
      </c>
      <c r="H853" s="426">
        <f>ROUND((1+$L$16)*G853,2)</f>
        <v>19.600000000000001</v>
      </c>
      <c r="I853" s="448">
        <f t="shared" ref="I853" si="54">ROUND(F853*H853,2)</f>
        <v>2253.3200000000002</v>
      </c>
      <c r="J853" s="435"/>
      <c r="K853" s="372"/>
      <c r="L853" s="424"/>
      <c r="M853" s="372"/>
      <c r="N853" s="372"/>
      <c r="O853" s="372"/>
      <c r="P853" s="372"/>
      <c r="R853" s="372"/>
    </row>
    <row r="854" spans="1:18" x14ac:dyDescent="0.2">
      <c r="A854" s="542"/>
      <c r="B854" s="500"/>
      <c r="C854" s="500"/>
      <c r="D854" s="540"/>
      <c r="E854" s="495"/>
      <c r="F854" s="426"/>
      <c r="G854" s="426"/>
      <c r="H854" s="426"/>
      <c r="I854" s="448"/>
      <c r="J854" s="435"/>
      <c r="K854" s="372"/>
      <c r="L854" s="424"/>
      <c r="M854" s="372"/>
      <c r="N854" s="372"/>
      <c r="O854" s="372"/>
      <c r="P854" s="372"/>
      <c r="R854" s="372"/>
    </row>
    <row r="855" spans="1:18" ht="30" x14ac:dyDescent="0.2">
      <c r="A855" s="542"/>
      <c r="B855" s="500"/>
      <c r="C855" s="500"/>
      <c r="D855" s="540" t="s">
        <v>2410</v>
      </c>
      <c r="E855" s="495"/>
      <c r="F855" s="426"/>
      <c r="G855" s="426"/>
      <c r="H855" s="426"/>
      <c r="I855" s="448"/>
      <c r="J855" s="435"/>
      <c r="K855" s="372"/>
      <c r="L855" s="424"/>
      <c r="M855" s="372"/>
      <c r="N855" s="372"/>
      <c r="O855" s="372"/>
      <c r="P855" s="372"/>
      <c r="R855" s="372"/>
    </row>
    <row r="856" spans="1:18" x14ac:dyDescent="0.2">
      <c r="A856" s="542"/>
      <c r="B856" s="500"/>
      <c r="C856" s="500"/>
      <c r="D856" s="540"/>
      <c r="E856" s="495"/>
      <c r="F856" s="426"/>
      <c r="G856" s="426"/>
      <c r="H856" s="426"/>
      <c r="I856" s="448"/>
      <c r="J856" s="435"/>
      <c r="K856" s="372"/>
      <c r="L856" s="424"/>
      <c r="M856" s="372"/>
      <c r="N856" s="372"/>
      <c r="O856" s="372"/>
      <c r="P856" s="372"/>
      <c r="R856" s="372"/>
    </row>
    <row r="857" spans="1:18" ht="62.25" customHeight="1" x14ac:dyDescent="0.2">
      <c r="A857" s="542" t="s">
        <v>1060</v>
      </c>
      <c r="B857" s="500" t="s">
        <v>45</v>
      </c>
      <c r="C857" s="500">
        <v>90105</v>
      </c>
      <c r="D857" s="540" t="s">
        <v>759</v>
      </c>
      <c r="E857" s="495" t="s">
        <v>16</v>
      </c>
      <c r="F857" s="426">
        <f>F836*0.65*1*0.65</f>
        <v>298.91030000000001</v>
      </c>
      <c r="G857" s="426">
        <v>12.09</v>
      </c>
      <c r="H857" s="426">
        <f>ROUND((1+$L$16)*G857,2)</f>
        <v>15.29</v>
      </c>
      <c r="I857" s="448">
        <f t="shared" ref="I857" si="55">ROUND(F857*H857,2)</f>
        <v>4570.34</v>
      </c>
      <c r="J857" s="435"/>
      <c r="K857" s="372"/>
      <c r="L857" s="424"/>
      <c r="M857" s="372"/>
      <c r="N857" s="372"/>
      <c r="O857" s="372"/>
      <c r="P857" s="372"/>
      <c r="R857" s="372"/>
    </row>
    <row r="858" spans="1:18" x14ac:dyDescent="0.2">
      <c r="A858" s="542"/>
      <c r="B858" s="500"/>
      <c r="C858" s="500"/>
      <c r="D858" s="540"/>
      <c r="E858" s="495"/>
      <c r="F858" s="426"/>
      <c r="G858" s="426"/>
      <c r="H858" s="426"/>
      <c r="I858" s="448"/>
      <c r="J858" s="435"/>
      <c r="K858" s="372"/>
      <c r="L858" s="424"/>
      <c r="M858" s="372"/>
      <c r="N858" s="372"/>
      <c r="O858" s="372"/>
      <c r="P858" s="372"/>
      <c r="R858" s="372"/>
    </row>
    <row r="859" spans="1:18" ht="30" x14ac:dyDescent="0.2">
      <c r="A859" s="542"/>
      <c r="B859" s="500"/>
      <c r="C859" s="500"/>
      <c r="D859" s="540" t="s">
        <v>2411</v>
      </c>
      <c r="E859" s="495"/>
      <c r="F859" s="426"/>
      <c r="G859" s="426"/>
      <c r="H859" s="426"/>
      <c r="I859" s="448"/>
      <c r="J859" s="435"/>
      <c r="K859" s="372"/>
      <c r="L859" s="424"/>
      <c r="M859" s="372"/>
      <c r="N859" s="372"/>
      <c r="O859" s="372"/>
      <c r="P859" s="372"/>
      <c r="R859" s="372"/>
    </row>
    <row r="860" spans="1:18" x14ac:dyDescent="0.2">
      <c r="A860" s="542"/>
      <c r="B860" s="500"/>
      <c r="C860" s="500"/>
      <c r="D860" s="540"/>
      <c r="E860" s="495"/>
      <c r="F860" s="426"/>
      <c r="G860" s="426"/>
      <c r="H860" s="426"/>
      <c r="I860" s="448"/>
      <c r="J860" s="435"/>
      <c r="K860" s="372"/>
      <c r="L860" s="424"/>
      <c r="M860" s="372"/>
      <c r="N860" s="372"/>
      <c r="O860" s="372"/>
      <c r="P860" s="372"/>
      <c r="R860" s="372"/>
    </row>
    <row r="861" spans="1:18" x14ac:dyDescent="0.2">
      <c r="A861" s="542" t="s">
        <v>1061</v>
      </c>
      <c r="B861" s="500" t="s">
        <v>45</v>
      </c>
      <c r="C861" s="500">
        <v>93358</v>
      </c>
      <c r="D861" s="540" t="s">
        <v>803</v>
      </c>
      <c r="E861" s="495" t="s">
        <v>16</v>
      </c>
      <c r="F861" s="426">
        <f>F836*0.65*1*0.1</f>
        <v>45.986200000000004</v>
      </c>
      <c r="G861" s="426">
        <v>65.819999999999993</v>
      </c>
      <c r="H861" s="426">
        <f>ROUND((1+$L$16)*G861,2)</f>
        <v>83.22</v>
      </c>
      <c r="I861" s="448">
        <f>ROUND(F861*H861,2)</f>
        <v>3826.97</v>
      </c>
      <c r="J861" s="435"/>
      <c r="K861" s="372"/>
      <c r="L861" s="424"/>
      <c r="M861" s="372"/>
      <c r="N861" s="372"/>
      <c r="O861" s="372"/>
      <c r="P861" s="372"/>
      <c r="R861" s="372"/>
    </row>
    <row r="862" spans="1:18" x14ac:dyDescent="0.2">
      <c r="A862" s="542"/>
      <c r="B862" s="500"/>
      <c r="C862" s="500"/>
      <c r="D862" s="540"/>
      <c r="E862" s="495"/>
      <c r="F862" s="426"/>
      <c r="G862" s="426"/>
      <c r="H862" s="426"/>
      <c r="I862" s="448"/>
      <c r="J862" s="435"/>
      <c r="K862" s="372"/>
      <c r="L862" s="424"/>
      <c r="M862" s="372"/>
      <c r="N862" s="372"/>
      <c r="O862" s="372"/>
      <c r="P862" s="372"/>
      <c r="R862" s="372"/>
    </row>
    <row r="863" spans="1:18" ht="30" x14ac:dyDescent="0.2">
      <c r="A863" s="542"/>
      <c r="B863" s="500"/>
      <c r="C863" s="500"/>
      <c r="D863" s="540" t="s">
        <v>2412</v>
      </c>
      <c r="E863" s="495"/>
      <c r="F863" s="426"/>
      <c r="G863" s="426"/>
      <c r="H863" s="426"/>
      <c r="I863" s="448"/>
      <c r="J863" s="435"/>
      <c r="K863" s="372"/>
      <c r="L863" s="424"/>
      <c r="M863" s="372"/>
      <c r="N863" s="372"/>
      <c r="O863" s="372"/>
      <c r="P863" s="372"/>
      <c r="R863" s="372"/>
    </row>
    <row r="864" spans="1:18" x14ac:dyDescent="0.2">
      <c r="A864" s="542"/>
      <c r="B864" s="502"/>
      <c r="C864" s="502"/>
      <c r="D864" s="559"/>
      <c r="E864" s="496"/>
      <c r="F864" s="469"/>
      <c r="G864" s="426"/>
      <c r="H864" s="427"/>
      <c r="I864" s="428"/>
      <c r="J864" s="435"/>
      <c r="K864" s="372"/>
      <c r="L864" s="424"/>
      <c r="M864" s="372"/>
      <c r="N864" s="372"/>
      <c r="O864" s="372"/>
      <c r="P864" s="372"/>
      <c r="R864" s="372"/>
    </row>
    <row r="865" spans="1:63" ht="15" customHeight="1" x14ac:dyDescent="0.2">
      <c r="A865" s="558" t="s">
        <v>262</v>
      </c>
      <c r="B865" s="501"/>
      <c r="C865" s="501"/>
      <c r="D865" s="545" t="s">
        <v>340</v>
      </c>
      <c r="E865" s="491"/>
      <c r="F865" s="404"/>
      <c r="G865" s="405"/>
      <c r="H865" s="406"/>
      <c r="I865" s="407">
        <f>SUM(I866:I866)</f>
        <v>12310.15</v>
      </c>
      <c r="J865" s="435"/>
      <c r="K865" s="372"/>
      <c r="L865" s="424"/>
      <c r="M865" s="372"/>
      <c r="N865" s="372"/>
      <c r="O865" s="372"/>
      <c r="P865" s="372"/>
      <c r="R865" s="372"/>
    </row>
    <row r="866" spans="1:63" ht="15" customHeight="1" x14ac:dyDescent="0.2">
      <c r="A866" s="542" t="s">
        <v>1062</v>
      </c>
      <c r="B866" s="500" t="s">
        <v>45</v>
      </c>
      <c r="C866" s="506">
        <v>94043</v>
      </c>
      <c r="D866" s="554" t="s">
        <v>760</v>
      </c>
      <c r="E866" s="494" t="s">
        <v>15</v>
      </c>
      <c r="F866" s="426">
        <f>F836*1*1</f>
        <v>707.48</v>
      </c>
      <c r="G866" s="460">
        <v>13.76</v>
      </c>
      <c r="H866" s="426">
        <f>ROUND((1+$L$16)*G866,2)</f>
        <v>17.399999999999999</v>
      </c>
      <c r="I866" s="448">
        <f>ROUND(F866*H866,2)</f>
        <v>12310.15</v>
      </c>
      <c r="J866" s="435"/>
      <c r="K866" s="372"/>
      <c r="L866" s="424"/>
      <c r="M866" s="372"/>
      <c r="N866" s="372"/>
      <c r="O866" s="372"/>
      <c r="P866" s="372"/>
      <c r="R866" s="372"/>
    </row>
    <row r="867" spans="1:63" ht="15" customHeight="1" x14ac:dyDescent="0.2">
      <c r="A867" s="542"/>
      <c r="B867" s="500"/>
      <c r="C867" s="506"/>
      <c r="D867" s="554"/>
      <c r="E867" s="494"/>
      <c r="F867" s="426"/>
      <c r="G867" s="460"/>
      <c r="H867" s="426"/>
      <c r="I867" s="448"/>
      <c r="J867" s="435"/>
      <c r="K867" s="372"/>
      <c r="L867" s="424"/>
      <c r="M867" s="372"/>
      <c r="N867" s="372"/>
      <c r="O867" s="372"/>
      <c r="P867" s="372"/>
      <c r="R867" s="372"/>
    </row>
    <row r="868" spans="1:63" ht="15" customHeight="1" x14ac:dyDescent="0.2">
      <c r="A868" s="542"/>
      <c r="B868" s="500"/>
      <c r="C868" s="506"/>
      <c r="D868" s="540" t="s">
        <v>2413</v>
      </c>
      <c r="E868" s="494"/>
      <c r="F868" s="426"/>
      <c r="G868" s="460"/>
      <c r="H868" s="426"/>
      <c r="I868" s="448"/>
      <c r="J868" s="435"/>
      <c r="K868" s="372"/>
      <c r="L868" s="424"/>
      <c r="M868" s="372"/>
      <c r="N868" s="372"/>
      <c r="O868" s="372"/>
      <c r="P868" s="372"/>
      <c r="R868" s="372"/>
    </row>
    <row r="869" spans="1:63" x14ac:dyDescent="0.2">
      <c r="A869" s="560"/>
      <c r="B869" s="502"/>
      <c r="C869" s="502"/>
      <c r="D869" s="559"/>
      <c r="E869" s="496"/>
      <c r="F869" s="432"/>
      <c r="G869" s="426"/>
      <c r="H869" s="427"/>
      <c r="I869" s="428"/>
      <c r="J869" s="435"/>
      <c r="K869" s="372"/>
      <c r="L869" s="424"/>
      <c r="M869" s="372"/>
      <c r="N869" s="372"/>
      <c r="O869" s="372"/>
      <c r="P869" s="372"/>
      <c r="R869" s="372"/>
    </row>
    <row r="870" spans="1:63" ht="15" customHeight="1" x14ac:dyDescent="0.2">
      <c r="A870" s="558" t="s">
        <v>263</v>
      </c>
      <c r="B870" s="501"/>
      <c r="C870" s="501"/>
      <c r="D870" s="545" t="s">
        <v>761</v>
      </c>
      <c r="E870" s="491"/>
      <c r="F870" s="404"/>
      <c r="G870" s="405"/>
      <c r="H870" s="406"/>
      <c r="I870" s="407">
        <f>SUM(I871:I875)</f>
        <v>11498.85</v>
      </c>
      <c r="J870" s="435"/>
      <c r="K870" s="372"/>
      <c r="L870" s="424"/>
      <c r="M870" s="372"/>
      <c r="N870" s="372"/>
      <c r="O870" s="372"/>
      <c r="P870" s="372"/>
      <c r="R870" s="372"/>
    </row>
    <row r="871" spans="1:63" ht="15" customHeight="1" x14ac:dyDescent="0.2">
      <c r="A871" s="542" t="s">
        <v>1063</v>
      </c>
      <c r="B871" s="500" t="s">
        <v>45</v>
      </c>
      <c r="C871" s="500">
        <v>94097</v>
      </c>
      <c r="D871" s="540" t="s">
        <v>762</v>
      </c>
      <c r="E871" s="495" t="s">
        <v>15</v>
      </c>
      <c r="F871" s="426">
        <f>F836*0.65</f>
        <v>459.86200000000002</v>
      </c>
      <c r="G871" s="426">
        <v>4.91</v>
      </c>
      <c r="H871" s="426">
        <f>ROUND((1+$L$16)*G871,2)</f>
        <v>6.21</v>
      </c>
      <c r="I871" s="448">
        <f>ROUND(F871*H871,2)</f>
        <v>2855.74</v>
      </c>
      <c r="J871" s="435"/>
      <c r="K871" s="372" t="e">
        <f>#REF!/#REF!</f>
        <v>#REF!</v>
      </c>
      <c r="L871" s="424"/>
      <c r="M871" s="372"/>
      <c r="N871" s="372"/>
      <c r="O871" s="372"/>
      <c r="P871" s="372"/>
      <c r="R871" s="372"/>
      <c r="S871" s="374"/>
      <c r="T871" s="374"/>
      <c r="U871" s="374"/>
      <c r="V871" s="374"/>
      <c r="W871" s="374"/>
      <c r="X871" s="374"/>
      <c r="Y871" s="374"/>
      <c r="Z871" s="374"/>
      <c r="AA871" s="374"/>
      <c r="AB871" s="374"/>
      <c r="AC871" s="374"/>
      <c r="AD871" s="374"/>
      <c r="AE871" s="374"/>
      <c r="AF871" s="374"/>
      <c r="AG871" s="374"/>
      <c r="AH871" s="374"/>
      <c r="AI871" s="374"/>
      <c r="AJ871" s="374"/>
      <c r="AK871" s="374"/>
      <c r="AL871" s="374"/>
      <c r="AM871" s="374"/>
      <c r="AN871" s="374"/>
      <c r="AO871" s="374"/>
      <c r="AP871" s="374"/>
      <c r="AQ871" s="374"/>
      <c r="AR871" s="374"/>
      <c r="AS871" s="374"/>
      <c r="AT871" s="374"/>
      <c r="AU871" s="374"/>
      <c r="AV871" s="374"/>
      <c r="AW871" s="374"/>
      <c r="AX871" s="374"/>
      <c r="AY871" s="374"/>
      <c r="AZ871" s="374"/>
      <c r="BA871" s="374"/>
      <c r="BB871" s="374"/>
      <c r="BC871" s="374"/>
      <c r="BD871" s="374"/>
      <c r="BE871" s="374"/>
      <c r="BF871" s="374"/>
      <c r="BG871" s="374"/>
      <c r="BH871" s="374"/>
      <c r="BI871" s="374"/>
      <c r="BJ871" s="374"/>
      <c r="BK871" s="374"/>
    </row>
    <row r="872" spans="1:63" ht="15" customHeight="1" x14ac:dyDescent="0.2">
      <c r="A872" s="542"/>
      <c r="B872" s="500"/>
      <c r="C872" s="500"/>
      <c r="D872" s="540"/>
      <c r="E872" s="495"/>
      <c r="F872" s="426"/>
      <c r="G872" s="426"/>
      <c r="H872" s="426"/>
      <c r="I872" s="448"/>
      <c r="J872" s="435"/>
      <c r="K872" s="372"/>
      <c r="L872" s="424"/>
      <c r="M872" s="372"/>
      <c r="N872" s="372"/>
      <c r="O872" s="372"/>
      <c r="P872" s="372"/>
      <c r="R872" s="372"/>
      <c r="S872" s="374"/>
      <c r="T872" s="374"/>
      <c r="U872" s="374"/>
      <c r="V872" s="374"/>
      <c r="W872" s="374"/>
      <c r="X872" s="374"/>
      <c r="Y872" s="374"/>
      <c r="Z872" s="374"/>
      <c r="AA872" s="374"/>
      <c r="AB872" s="374"/>
      <c r="AC872" s="374"/>
      <c r="AD872" s="374"/>
      <c r="AE872" s="374"/>
      <c r="AF872" s="374"/>
      <c r="AG872" s="374"/>
      <c r="AH872" s="374"/>
      <c r="AI872" s="374"/>
      <c r="AJ872" s="374"/>
      <c r="AK872" s="374"/>
      <c r="AL872" s="374"/>
      <c r="AM872" s="374"/>
      <c r="AN872" s="374"/>
      <c r="AO872" s="374"/>
      <c r="AP872" s="374"/>
      <c r="AQ872" s="374"/>
      <c r="AR872" s="374"/>
      <c r="AS872" s="374"/>
      <c r="AT872" s="374"/>
      <c r="AU872" s="374"/>
      <c r="AV872" s="374"/>
      <c r="AW872" s="374"/>
      <c r="AX872" s="374"/>
      <c r="AY872" s="374"/>
      <c r="AZ872" s="374"/>
      <c r="BA872" s="374"/>
      <c r="BB872" s="374"/>
      <c r="BC872" s="374"/>
      <c r="BD872" s="374"/>
      <c r="BE872" s="374"/>
      <c r="BF872" s="374"/>
      <c r="BG872" s="374"/>
      <c r="BH872" s="374"/>
      <c r="BI872" s="374"/>
      <c r="BJ872" s="374"/>
      <c r="BK872" s="374"/>
    </row>
    <row r="873" spans="1:63" ht="15" customHeight="1" x14ac:dyDescent="0.2">
      <c r="A873" s="542"/>
      <c r="B873" s="500"/>
      <c r="C873" s="500"/>
      <c r="D873" s="540" t="s">
        <v>2414</v>
      </c>
      <c r="E873" s="495"/>
      <c r="F873" s="426"/>
      <c r="G873" s="426"/>
      <c r="H873" s="426"/>
      <c r="I873" s="448"/>
      <c r="J873" s="435"/>
      <c r="K873" s="372"/>
      <c r="L873" s="424"/>
      <c r="M873" s="372"/>
      <c r="N873" s="372"/>
      <c r="O873" s="372"/>
      <c r="P873" s="372"/>
      <c r="R873" s="372"/>
      <c r="S873" s="374"/>
      <c r="T873" s="374"/>
      <c r="U873" s="374"/>
      <c r="V873" s="374"/>
      <c r="W873" s="374"/>
      <c r="X873" s="374"/>
      <c r="Y873" s="374"/>
      <c r="Z873" s="374"/>
      <c r="AA873" s="374"/>
      <c r="AB873" s="374"/>
      <c r="AC873" s="374"/>
      <c r="AD873" s="374"/>
      <c r="AE873" s="374"/>
      <c r="AF873" s="374"/>
      <c r="AG873" s="374"/>
      <c r="AH873" s="374"/>
      <c r="AI873" s="374"/>
      <c r="AJ873" s="374"/>
      <c r="AK873" s="374"/>
      <c r="AL873" s="374"/>
      <c r="AM873" s="374"/>
      <c r="AN873" s="374"/>
      <c r="AO873" s="374"/>
      <c r="AP873" s="374"/>
      <c r="AQ873" s="374"/>
      <c r="AR873" s="374"/>
      <c r="AS873" s="374"/>
      <c r="AT873" s="374"/>
      <c r="AU873" s="374"/>
      <c r="AV873" s="374"/>
      <c r="AW873" s="374"/>
      <c r="AX873" s="374"/>
      <c r="AY873" s="374"/>
      <c r="AZ873" s="374"/>
      <c r="BA873" s="374"/>
      <c r="BB873" s="374"/>
      <c r="BC873" s="374"/>
      <c r="BD873" s="374"/>
      <c r="BE873" s="374"/>
      <c r="BF873" s="374"/>
      <c r="BG873" s="374"/>
      <c r="BH873" s="374"/>
      <c r="BI873" s="374"/>
      <c r="BJ873" s="374"/>
      <c r="BK873" s="374"/>
    </row>
    <row r="874" spans="1:63" ht="15" customHeight="1" x14ac:dyDescent="0.2">
      <c r="A874" s="542"/>
      <c r="B874" s="500"/>
      <c r="C874" s="500"/>
      <c r="D874" s="540"/>
      <c r="E874" s="495"/>
      <c r="F874" s="426"/>
      <c r="G874" s="426"/>
      <c r="H874" s="426"/>
      <c r="I874" s="448"/>
      <c r="J874" s="435"/>
      <c r="K874" s="372"/>
      <c r="L874" s="424"/>
      <c r="M874" s="372"/>
      <c r="N874" s="372"/>
      <c r="O874" s="372"/>
      <c r="P874" s="372"/>
      <c r="R874" s="372"/>
      <c r="S874" s="374"/>
      <c r="T874" s="374"/>
      <c r="U874" s="374"/>
      <c r="V874" s="374"/>
      <c r="W874" s="374"/>
      <c r="X874" s="374"/>
      <c r="Y874" s="374"/>
      <c r="Z874" s="374"/>
      <c r="AA874" s="374"/>
      <c r="AB874" s="374"/>
      <c r="AC874" s="374"/>
      <c r="AD874" s="374"/>
      <c r="AE874" s="374"/>
      <c r="AF874" s="374"/>
      <c r="AG874" s="374"/>
      <c r="AH874" s="374"/>
      <c r="AI874" s="374"/>
      <c r="AJ874" s="374"/>
      <c r="AK874" s="374"/>
      <c r="AL874" s="374"/>
      <c r="AM874" s="374"/>
      <c r="AN874" s="374"/>
      <c r="AO874" s="374"/>
      <c r="AP874" s="374"/>
      <c r="AQ874" s="374"/>
      <c r="AR874" s="374"/>
      <c r="AS874" s="374"/>
      <c r="AT874" s="374"/>
      <c r="AU874" s="374"/>
      <c r="AV874" s="374"/>
      <c r="AW874" s="374"/>
      <c r="AX874" s="374"/>
      <c r="AY874" s="374"/>
      <c r="AZ874" s="374"/>
      <c r="BA874" s="374"/>
      <c r="BB874" s="374"/>
      <c r="BC874" s="374"/>
      <c r="BD874" s="374"/>
      <c r="BE874" s="374"/>
      <c r="BF874" s="374"/>
      <c r="BG874" s="374"/>
      <c r="BH874" s="374"/>
      <c r="BI874" s="374"/>
      <c r="BJ874" s="374"/>
      <c r="BK874" s="374"/>
    </row>
    <row r="875" spans="1:63" ht="45" x14ac:dyDescent="0.2">
      <c r="A875" s="542" t="s">
        <v>1064</v>
      </c>
      <c r="B875" s="500" t="s">
        <v>45</v>
      </c>
      <c r="C875" s="500">
        <v>93378</v>
      </c>
      <c r="D875" s="540" t="s">
        <v>763</v>
      </c>
      <c r="E875" s="495" t="s">
        <v>16</v>
      </c>
      <c r="F875" s="426">
        <f>F857+F861</f>
        <v>344.8965</v>
      </c>
      <c r="G875" s="426">
        <v>19.82</v>
      </c>
      <c r="H875" s="426">
        <f>ROUND((1+$L$16)*G875,2)</f>
        <v>25.06</v>
      </c>
      <c r="I875" s="448">
        <f>ROUND(F875*H875,2)</f>
        <v>8643.11</v>
      </c>
      <c r="J875" s="435"/>
      <c r="K875" s="372"/>
      <c r="L875" s="424"/>
      <c r="M875" s="372"/>
      <c r="N875" s="372"/>
      <c r="O875" s="372"/>
      <c r="P875" s="372"/>
      <c r="R875" s="372"/>
    </row>
    <row r="876" spans="1:63" x14ac:dyDescent="0.2">
      <c r="A876" s="542"/>
      <c r="B876" s="500"/>
      <c r="C876" s="500"/>
      <c r="D876" s="540"/>
      <c r="E876" s="495"/>
      <c r="F876" s="426"/>
      <c r="G876" s="426"/>
      <c r="H876" s="426"/>
      <c r="I876" s="448"/>
      <c r="J876" s="435"/>
      <c r="K876" s="372"/>
      <c r="L876" s="424"/>
      <c r="M876" s="372"/>
      <c r="N876" s="372"/>
      <c r="O876" s="372"/>
      <c r="P876" s="372"/>
      <c r="R876" s="372"/>
    </row>
    <row r="877" spans="1:63" x14ac:dyDescent="0.2">
      <c r="A877" s="542"/>
      <c r="B877" s="500"/>
      <c r="C877" s="500"/>
      <c r="D877" s="540" t="s">
        <v>2415</v>
      </c>
      <c r="E877" s="495"/>
      <c r="F877" s="426"/>
      <c r="G877" s="426"/>
      <c r="H877" s="426"/>
      <c r="I877" s="448"/>
      <c r="J877" s="435"/>
      <c r="K877" s="372"/>
      <c r="L877" s="424"/>
      <c r="M877" s="372"/>
      <c r="N877" s="372"/>
      <c r="O877" s="372"/>
      <c r="P877" s="372"/>
      <c r="R877" s="372"/>
    </row>
    <row r="878" spans="1:63" s="373" customFormat="1" x14ac:dyDescent="0.2">
      <c r="A878" s="538"/>
      <c r="B878" s="499"/>
      <c r="C878" s="499"/>
      <c r="D878" s="539"/>
      <c r="E878" s="492"/>
      <c r="F878" s="426"/>
      <c r="G878" s="426"/>
      <c r="H878" s="427"/>
      <c r="I878" s="428"/>
      <c r="J878" s="444"/>
      <c r="K878" s="372"/>
      <c r="L878" s="424"/>
      <c r="M878" s="372"/>
      <c r="N878" s="372"/>
      <c r="O878" s="372"/>
      <c r="P878" s="372"/>
      <c r="R878" s="372"/>
    </row>
    <row r="879" spans="1:63" s="373" customFormat="1" ht="15.75" x14ac:dyDescent="0.2">
      <c r="A879" s="558" t="s">
        <v>1065</v>
      </c>
      <c r="B879" s="501"/>
      <c r="C879" s="501"/>
      <c r="D879" s="545" t="s">
        <v>765</v>
      </c>
      <c r="E879" s="491"/>
      <c r="F879" s="404"/>
      <c r="G879" s="405"/>
      <c r="H879" s="406"/>
      <c r="I879" s="407">
        <f>SUM(I880:I888)</f>
        <v>2332.9899999999998</v>
      </c>
      <c r="J879" s="444"/>
      <c r="K879" s="372"/>
      <c r="L879" s="424"/>
      <c r="M879" s="372"/>
      <c r="N879" s="372"/>
      <c r="O879" s="372"/>
      <c r="P879" s="372"/>
      <c r="R879" s="372"/>
    </row>
    <row r="880" spans="1:63" s="373" customFormat="1" x14ac:dyDescent="0.2">
      <c r="A880" s="542" t="s">
        <v>1066</v>
      </c>
      <c r="B880" s="500" t="s">
        <v>45</v>
      </c>
      <c r="C880" s="500">
        <v>79480</v>
      </c>
      <c r="D880" s="540" t="s">
        <v>852</v>
      </c>
      <c r="E880" s="495" t="s">
        <v>16</v>
      </c>
      <c r="F880" s="426">
        <f>F853</f>
        <v>114.96550000000001</v>
      </c>
      <c r="G880" s="426">
        <v>2.57</v>
      </c>
      <c r="H880" s="426">
        <f>ROUND((1+$L$16)*G880,2)</f>
        <v>3.25</v>
      </c>
      <c r="I880" s="448">
        <f>ROUND(F880*H880,2)</f>
        <v>373.64</v>
      </c>
      <c r="J880" s="444"/>
      <c r="K880" s="372"/>
      <c r="L880" s="424"/>
      <c r="M880" s="372"/>
      <c r="N880" s="372"/>
      <c r="O880" s="372"/>
      <c r="P880" s="372"/>
      <c r="R880" s="372"/>
    </row>
    <row r="881" spans="1:18" s="373" customFormat="1" x14ac:dyDescent="0.2">
      <c r="A881" s="550"/>
      <c r="B881" s="551"/>
      <c r="C881" s="551"/>
      <c r="D881" s="552"/>
      <c r="E881" s="495"/>
      <c r="F881" s="426"/>
      <c r="G881" s="426"/>
      <c r="H881" s="426"/>
      <c r="I881" s="448"/>
      <c r="J881" s="444"/>
      <c r="K881" s="372"/>
      <c r="L881" s="424"/>
      <c r="M881" s="372"/>
      <c r="N881" s="372"/>
      <c r="O881" s="372"/>
      <c r="P881" s="372"/>
      <c r="R881" s="372"/>
    </row>
    <row r="882" spans="1:18" s="373" customFormat="1" ht="30" x14ac:dyDescent="0.2">
      <c r="A882" s="542"/>
      <c r="B882" s="500"/>
      <c r="C882" s="500"/>
      <c r="D882" s="540" t="s">
        <v>2410</v>
      </c>
      <c r="E882" s="495"/>
      <c r="F882" s="426"/>
      <c r="G882" s="426"/>
      <c r="H882" s="426"/>
      <c r="I882" s="448"/>
      <c r="J882" s="444"/>
      <c r="K882" s="372"/>
      <c r="L882" s="424"/>
      <c r="M882" s="372"/>
      <c r="N882" s="372"/>
      <c r="O882" s="372"/>
      <c r="P882" s="372"/>
      <c r="R882" s="372"/>
    </row>
    <row r="883" spans="1:18" s="373" customFormat="1" x14ac:dyDescent="0.2">
      <c r="A883" s="542"/>
      <c r="B883" s="500"/>
      <c r="C883" s="500"/>
      <c r="D883" s="540"/>
      <c r="E883" s="495"/>
      <c r="F883" s="426"/>
      <c r="G883" s="426"/>
      <c r="H883" s="426"/>
      <c r="I883" s="448"/>
      <c r="J883" s="444"/>
      <c r="K883" s="372"/>
      <c r="L883" s="424"/>
      <c r="M883" s="372"/>
      <c r="N883" s="372"/>
      <c r="O883" s="372"/>
      <c r="P883" s="372"/>
      <c r="R883" s="372"/>
    </row>
    <row r="884" spans="1:18" s="373" customFormat="1" x14ac:dyDescent="0.2">
      <c r="A884" s="542" t="s">
        <v>1067</v>
      </c>
      <c r="B884" s="500" t="s">
        <v>45</v>
      </c>
      <c r="C884" s="500">
        <v>72898</v>
      </c>
      <c r="D884" s="540" t="s">
        <v>770</v>
      </c>
      <c r="E884" s="495" t="s">
        <v>16</v>
      </c>
      <c r="F884" s="426">
        <f>F880*1.3</f>
        <v>149.45515</v>
      </c>
      <c r="G884" s="426">
        <v>3.57</v>
      </c>
      <c r="H884" s="426">
        <f>ROUND((1+$L$16)*G884,2)</f>
        <v>4.51</v>
      </c>
      <c r="I884" s="448">
        <f>ROUND(F884*H884,2)</f>
        <v>674.04</v>
      </c>
      <c r="J884" s="444"/>
      <c r="K884" s="372"/>
      <c r="L884" s="424"/>
      <c r="M884" s="372"/>
      <c r="N884" s="372">
        <v>170</v>
      </c>
      <c r="O884" s="372"/>
      <c r="P884" s="372"/>
      <c r="R884" s="372"/>
    </row>
    <row r="885" spans="1:18" s="373" customFormat="1" x14ac:dyDescent="0.2">
      <c r="A885" s="542"/>
      <c r="B885" s="500"/>
      <c r="C885" s="500"/>
      <c r="D885" s="540"/>
      <c r="E885" s="495"/>
      <c r="F885" s="426"/>
      <c r="G885" s="426"/>
      <c r="H885" s="426"/>
      <c r="I885" s="448"/>
      <c r="J885" s="444"/>
      <c r="K885" s="372"/>
      <c r="L885" s="424"/>
      <c r="M885" s="372"/>
      <c r="N885" s="372"/>
      <c r="O885" s="372"/>
      <c r="P885" s="372"/>
      <c r="R885" s="372"/>
    </row>
    <row r="886" spans="1:18" s="373" customFormat="1" ht="30" x14ac:dyDescent="0.2">
      <c r="A886" s="542"/>
      <c r="B886" s="500"/>
      <c r="C886" s="500"/>
      <c r="D886" s="540" t="s">
        <v>2416</v>
      </c>
      <c r="E886" s="495"/>
      <c r="F886" s="426"/>
      <c r="G886" s="426"/>
      <c r="H886" s="426"/>
      <c r="I886" s="448"/>
      <c r="J886" s="444"/>
      <c r="K886" s="372"/>
      <c r="L886" s="424"/>
      <c r="M886" s="372"/>
      <c r="N886" s="372"/>
      <c r="O886" s="372"/>
      <c r="P886" s="372"/>
      <c r="R886" s="372"/>
    </row>
    <row r="887" spans="1:18" s="373" customFormat="1" x14ac:dyDescent="0.2">
      <c r="A887" s="542"/>
      <c r="B887" s="500"/>
      <c r="C887" s="500"/>
      <c r="D887" s="540"/>
      <c r="E887" s="495"/>
      <c r="F887" s="426"/>
      <c r="G887" s="426"/>
      <c r="H887" s="426"/>
      <c r="I887" s="448"/>
      <c r="J887" s="444"/>
      <c r="K887" s="372"/>
      <c r="L887" s="424"/>
      <c r="M887" s="372"/>
      <c r="N887" s="372"/>
      <c r="O887" s="372"/>
      <c r="P887" s="372"/>
      <c r="R887" s="372"/>
    </row>
    <row r="888" spans="1:18" s="373" customFormat="1" x14ac:dyDescent="0.2">
      <c r="A888" s="542" t="s">
        <v>1068</v>
      </c>
      <c r="B888" s="500" t="s">
        <v>45</v>
      </c>
      <c r="C888" s="500">
        <v>72885</v>
      </c>
      <c r="D888" s="540" t="s">
        <v>333</v>
      </c>
      <c r="E888" s="495" t="s">
        <v>725</v>
      </c>
      <c r="F888" s="449">
        <f>F884*5</f>
        <v>747.27575000000002</v>
      </c>
      <c r="G888" s="426">
        <v>1.36</v>
      </c>
      <c r="H888" s="426">
        <f>ROUND((1+$L$16)*G888,2)</f>
        <v>1.72</v>
      </c>
      <c r="I888" s="448">
        <f t="shared" ref="I888" si="56">ROUND(F888*H888,2)</f>
        <v>1285.31</v>
      </c>
      <c r="J888" s="444"/>
      <c r="K888" s="372"/>
      <c r="L888" s="424"/>
      <c r="M888" s="372"/>
      <c r="N888" s="372">
        <v>54</v>
      </c>
      <c r="O888" s="372"/>
      <c r="P888" s="372"/>
      <c r="R888" s="372"/>
    </row>
    <row r="889" spans="1:18" s="373" customFormat="1" x14ac:dyDescent="0.2">
      <c r="A889" s="542"/>
      <c r="B889" s="500"/>
      <c r="C889" s="500"/>
      <c r="D889" s="540"/>
      <c r="E889" s="495"/>
      <c r="F889" s="449"/>
      <c r="G889" s="426"/>
      <c r="H889" s="426"/>
      <c r="I889" s="448"/>
      <c r="J889" s="444"/>
      <c r="K889" s="372"/>
      <c r="L889" s="424"/>
      <c r="M889" s="372"/>
      <c r="N889" s="372"/>
      <c r="O889" s="372"/>
      <c r="P889" s="372"/>
      <c r="R889" s="372"/>
    </row>
    <row r="890" spans="1:18" s="373" customFormat="1" ht="30" x14ac:dyDescent="0.2">
      <c r="A890" s="542"/>
      <c r="B890" s="500"/>
      <c r="C890" s="500"/>
      <c r="D890" s="540" t="s">
        <v>2417</v>
      </c>
      <c r="E890" s="495"/>
      <c r="F890" s="449"/>
      <c r="G890" s="426"/>
      <c r="H890" s="426"/>
      <c r="I890" s="448"/>
      <c r="J890" s="444"/>
      <c r="K890" s="372"/>
      <c r="L890" s="424"/>
      <c r="M890" s="372"/>
      <c r="N890" s="372"/>
      <c r="O890" s="372"/>
      <c r="P890" s="372"/>
      <c r="R890" s="372"/>
    </row>
    <row r="891" spans="1:18" s="464" customFormat="1" x14ac:dyDescent="0.2">
      <c r="A891" s="542"/>
      <c r="B891" s="500"/>
      <c r="C891" s="500"/>
      <c r="D891" s="540"/>
      <c r="E891" s="495"/>
      <c r="F891" s="426"/>
      <c r="G891" s="426"/>
      <c r="H891" s="426"/>
      <c r="I891" s="448"/>
      <c r="J891" s="461"/>
      <c r="K891" s="462"/>
      <c r="L891" s="463"/>
      <c r="M891" s="462"/>
      <c r="N891" s="462"/>
      <c r="O891" s="462"/>
      <c r="P891" s="462"/>
      <c r="R891" s="462"/>
    </row>
    <row r="892" spans="1:18" s="373" customFormat="1" ht="15.75" x14ac:dyDescent="0.2">
      <c r="A892" s="558" t="s">
        <v>1069</v>
      </c>
      <c r="B892" s="501"/>
      <c r="C892" s="501"/>
      <c r="D892" s="545" t="s">
        <v>586</v>
      </c>
      <c r="E892" s="491"/>
      <c r="F892" s="404"/>
      <c r="G892" s="405"/>
      <c r="H892" s="406"/>
      <c r="I892" s="407">
        <f>SUM(I893:I905)</f>
        <v>2699.16</v>
      </c>
      <c r="J892" s="444"/>
      <c r="K892" s="372"/>
      <c r="L892" s="424"/>
      <c r="M892" s="372"/>
      <c r="N892" s="372"/>
      <c r="O892" s="372"/>
      <c r="P892" s="372"/>
      <c r="R892" s="372"/>
    </row>
    <row r="893" spans="1:18" s="373" customFormat="1" x14ac:dyDescent="0.2">
      <c r="A893" s="542" t="s">
        <v>1070</v>
      </c>
      <c r="B893" s="500" t="s">
        <v>45</v>
      </c>
      <c r="C893" s="500">
        <v>79480</v>
      </c>
      <c r="D893" s="540" t="s">
        <v>852</v>
      </c>
      <c r="E893" s="495" t="s">
        <v>16</v>
      </c>
      <c r="F893" s="426">
        <f>F880</f>
        <v>114.96550000000001</v>
      </c>
      <c r="G893" s="426">
        <v>2.57</v>
      </c>
      <c r="H893" s="426">
        <f>ROUND((1+$L$16)*G893,2)</f>
        <v>3.25</v>
      </c>
      <c r="I893" s="448">
        <f>ROUND(F893*H893,2)</f>
        <v>373.64</v>
      </c>
      <c r="J893" s="444"/>
      <c r="K893" s="372"/>
      <c r="L893" s="424"/>
      <c r="M893" s="372"/>
      <c r="N893" s="372"/>
      <c r="O893" s="372"/>
      <c r="P893" s="372"/>
      <c r="R893" s="372"/>
    </row>
    <row r="894" spans="1:18" s="373" customFormat="1" x14ac:dyDescent="0.2">
      <c r="A894" s="542"/>
      <c r="B894" s="500"/>
      <c r="C894" s="500"/>
      <c r="D894" s="540"/>
      <c r="E894" s="495"/>
      <c r="F894" s="426"/>
      <c r="G894" s="426"/>
      <c r="H894" s="426"/>
      <c r="I894" s="448"/>
      <c r="J894" s="444"/>
      <c r="K894" s="372"/>
      <c r="L894" s="424"/>
      <c r="M894" s="372"/>
      <c r="N894" s="372"/>
      <c r="O894" s="372"/>
      <c r="P894" s="372"/>
      <c r="R894" s="372"/>
    </row>
    <row r="895" spans="1:18" s="373" customFormat="1" ht="30" x14ac:dyDescent="0.2">
      <c r="A895" s="542"/>
      <c r="B895" s="500"/>
      <c r="C895" s="500"/>
      <c r="D895" s="540" t="s">
        <v>2410</v>
      </c>
      <c r="E895" s="495"/>
      <c r="F895" s="426"/>
      <c r="G895" s="426"/>
      <c r="H895" s="426"/>
      <c r="I895" s="448"/>
      <c r="J895" s="444"/>
      <c r="K895" s="372"/>
      <c r="L895" s="424"/>
      <c r="M895" s="372"/>
      <c r="N895" s="372"/>
      <c r="O895" s="372"/>
      <c r="P895" s="372"/>
      <c r="R895" s="372"/>
    </row>
    <row r="896" spans="1:18" s="373" customFormat="1" x14ac:dyDescent="0.2">
      <c r="A896" s="542"/>
      <c r="B896" s="500"/>
      <c r="C896" s="500"/>
      <c r="D896" s="540"/>
      <c r="E896" s="495"/>
      <c r="F896" s="426"/>
      <c r="G896" s="426"/>
      <c r="H896" s="426"/>
      <c r="I896" s="448"/>
      <c r="J896" s="444"/>
      <c r="K896" s="372"/>
      <c r="L896" s="424"/>
      <c r="M896" s="372"/>
      <c r="N896" s="372"/>
      <c r="O896" s="372"/>
      <c r="P896" s="372"/>
      <c r="R896" s="372"/>
    </row>
    <row r="897" spans="1:63" s="373" customFormat="1" x14ac:dyDescent="0.2">
      <c r="A897" s="542" t="s">
        <v>1071</v>
      </c>
      <c r="B897" s="500" t="s">
        <v>45</v>
      </c>
      <c r="C897" s="500">
        <v>72898</v>
      </c>
      <c r="D897" s="540" t="s">
        <v>770</v>
      </c>
      <c r="E897" s="495" t="s">
        <v>16</v>
      </c>
      <c r="F897" s="426">
        <f>F893*1.3</f>
        <v>149.45515</v>
      </c>
      <c r="G897" s="426">
        <v>3.57</v>
      </c>
      <c r="H897" s="426">
        <f>ROUND((1+$L$16)*G897,2)</f>
        <v>4.51</v>
      </c>
      <c r="I897" s="448">
        <f>ROUND(F897*H897,2)</f>
        <v>674.04</v>
      </c>
      <c r="J897" s="444"/>
      <c r="K897" s="372"/>
      <c r="L897" s="424"/>
      <c r="M897" s="372"/>
      <c r="N897" s="372">
        <v>170</v>
      </c>
      <c r="O897" s="372"/>
      <c r="P897" s="372"/>
      <c r="R897" s="372"/>
    </row>
    <row r="898" spans="1:63" s="373" customFormat="1" x14ac:dyDescent="0.2">
      <c r="A898" s="542"/>
      <c r="B898" s="500"/>
      <c r="C898" s="500"/>
      <c r="D898" s="540"/>
      <c r="E898" s="495"/>
      <c r="F898" s="426"/>
      <c r="G898" s="426"/>
      <c r="H898" s="426"/>
      <c r="I898" s="448"/>
      <c r="J898" s="444"/>
      <c r="K898" s="372"/>
      <c r="L898" s="424"/>
      <c r="M898" s="372"/>
      <c r="N898" s="372"/>
      <c r="O898" s="372"/>
      <c r="P898" s="372"/>
      <c r="R898" s="372"/>
    </row>
    <row r="899" spans="1:63" s="373" customFormat="1" ht="30" x14ac:dyDescent="0.2">
      <c r="A899" s="542"/>
      <c r="B899" s="500"/>
      <c r="C899" s="500"/>
      <c r="D899" s="540" t="s">
        <v>2416</v>
      </c>
      <c r="E899" s="495"/>
      <c r="F899" s="426"/>
      <c r="G899" s="426"/>
      <c r="H899" s="426"/>
      <c r="I899" s="448"/>
      <c r="J899" s="444"/>
      <c r="K899" s="372"/>
      <c r="L899" s="424"/>
      <c r="M899" s="372"/>
      <c r="N899" s="372"/>
      <c r="O899" s="372"/>
      <c r="P899" s="372"/>
      <c r="R899" s="372"/>
    </row>
    <row r="900" spans="1:63" s="373" customFormat="1" x14ac:dyDescent="0.2">
      <c r="A900" s="542"/>
      <c r="B900" s="500"/>
      <c r="C900" s="500"/>
      <c r="D900" s="540"/>
      <c r="E900" s="495"/>
      <c r="F900" s="426"/>
      <c r="G900" s="426"/>
      <c r="H900" s="426"/>
      <c r="I900" s="448"/>
      <c r="J900" s="444"/>
      <c r="K900" s="372"/>
      <c r="L900" s="424"/>
      <c r="M900" s="372"/>
      <c r="N900" s="372"/>
      <c r="O900" s="372"/>
      <c r="P900" s="372"/>
      <c r="R900" s="372"/>
    </row>
    <row r="901" spans="1:63" s="373" customFormat="1" x14ac:dyDescent="0.2">
      <c r="A901" s="542" t="s">
        <v>1072</v>
      </c>
      <c r="B901" s="500" t="s">
        <v>45</v>
      </c>
      <c r="C901" s="500">
        <v>72885</v>
      </c>
      <c r="D901" s="540" t="s">
        <v>333</v>
      </c>
      <c r="E901" s="495" t="s">
        <v>725</v>
      </c>
      <c r="F901" s="449">
        <f>F897*5</f>
        <v>747.27575000000002</v>
      </c>
      <c r="G901" s="426">
        <v>1.36</v>
      </c>
      <c r="H901" s="426">
        <f>ROUND((1+$L$16)*G901,2)</f>
        <v>1.72</v>
      </c>
      <c r="I901" s="448">
        <f t="shared" ref="I901" si="57">ROUND(F901*H901,2)</f>
        <v>1285.31</v>
      </c>
      <c r="J901" s="444"/>
      <c r="K901" s="372"/>
      <c r="L901" s="424"/>
      <c r="M901" s="372"/>
      <c r="N901" s="372">
        <v>54</v>
      </c>
      <c r="O901" s="372"/>
      <c r="P901" s="372"/>
      <c r="R901" s="372"/>
    </row>
    <row r="902" spans="1:63" s="373" customFormat="1" x14ac:dyDescent="0.2">
      <c r="A902" s="542"/>
      <c r="B902" s="500"/>
      <c r="C902" s="500"/>
      <c r="D902" s="540"/>
      <c r="E902" s="495"/>
      <c r="F902" s="449"/>
      <c r="G902" s="426"/>
      <c r="H902" s="426"/>
      <c r="I902" s="448"/>
      <c r="J902" s="444"/>
      <c r="K902" s="372"/>
      <c r="L902" s="424"/>
      <c r="M902" s="372"/>
      <c r="N902" s="372"/>
      <c r="O902" s="372"/>
      <c r="P902" s="372"/>
      <c r="R902" s="372"/>
    </row>
    <row r="903" spans="1:63" s="373" customFormat="1" ht="30" x14ac:dyDescent="0.2">
      <c r="A903" s="542"/>
      <c r="B903" s="500"/>
      <c r="C903" s="500"/>
      <c r="D903" s="540" t="s">
        <v>2417</v>
      </c>
      <c r="E903" s="495"/>
      <c r="F903" s="449"/>
      <c r="G903" s="426"/>
      <c r="H903" s="426"/>
      <c r="I903" s="448"/>
      <c r="J903" s="444"/>
      <c r="K903" s="372"/>
      <c r="L903" s="424"/>
      <c r="M903" s="372"/>
      <c r="N903" s="372"/>
      <c r="O903" s="372"/>
      <c r="P903" s="372"/>
      <c r="R903" s="372"/>
    </row>
    <row r="904" spans="1:63" s="373" customFormat="1" x14ac:dyDescent="0.2">
      <c r="A904" s="542"/>
      <c r="B904" s="500"/>
      <c r="C904" s="500"/>
      <c r="D904" s="540"/>
      <c r="E904" s="495"/>
      <c r="F904" s="449"/>
      <c r="G904" s="426"/>
      <c r="H904" s="426"/>
      <c r="I904" s="448"/>
      <c r="J904" s="444"/>
      <c r="K904" s="372"/>
      <c r="L904" s="424"/>
      <c r="M904" s="372"/>
      <c r="N904" s="372"/>
      <c r="O904" s="372"/>
      <c r="P904" s="372"/>
      <c r="R904" s="372"/>
    </row>
    <row r="905" spans="1:63" s="373" customFormat="1" x14ac:dyDescent="0.2">
      <c r="A905" s="542" t="s">
        <v>1073</v>
      </c>
      <c r="B905" s="500" t="s">
        <v>45</v>
      </c>
      <c r="C905" s="500" t="s">
        <v>57</v>
      </c>
      <c r="D905" s="540" t="s">
        <v>58</v>
      </c>
      <c r="E905" s="495" t="s">
        <v>16</v>
      </c>
      <c r="F905" s="426">
        <f>F897</f>
        <v>149.45515</v>
      </c>
      <c r="G905" s="426">
        <v>1.94</v>
      </c>
      <c r="H905" s="426">
        <f>ROUND((1+$L$16)*G905,2)</f>
        <v>2.4500000000000002</v>
      </c>
      <c r="I905" s="448">
        <f>ROUND(F905*H905,2)</f>
        <v>366.17</v>
      </c>
      <c r="J905" s="444"/>
      <c r="K905" s="372"/>
      <c r="L905" s="424"/>
      <c r="M905" s="372"/>
      <c r="N905" s="372"/>
      <c r="O905" s="372"/>
      <c r="P905" s="372"/>
      <c r="R905" s="372"/>
    </row>
    <row r="906" spans="1:63" s="373" customFormat="1" x14ac:dyDescent="0.2">
      <c r="A906" s="542"/>
      <c r="B906" s="500"/>
      <c r="C906" s="500"/>
      <c r="D906" s="540"/>
      <c r="E906" s="495"/>
      <c r="F906" s="426"/>
      <c r="G906" s="426"/>
      <c r="H906" s="426"/>
      <c r="I906" s="448"/>
      <c r="J906" s="444"/>
      <c r="K906" s="372"/>
      <c r="L906" s="424"/>
      <c r="M906" s="372"/>
      <c r="N906" s="372"/>
      <c r="O906" s="372"/>
      <c r="P906" s="372"/>
      <c r="R906" s="372"/>
    </row>
    <row r="907" spans="1:63" s="373" customFormat="1" ht="30" x14ac:dyDescent="0.2">
      <c r="A907" s="542"/>
      <c r="B907" s="500"/>
      <c r="C907" s="500"/>
      <c r="D907" s="540" t="s">
        <v>2416</v>
      </c>
      <c r="E907" s="495"/>
      <c r="F907" s="426"/>
      <c r="G907" s="426"/>
      <c r="H907" s="426"/>
      <c r="I907" s="448"/>
      <c r="J907" s="444"/>
      <c r="K907" s="372"/>
      <c r="L907" s="424"/>
      <c r="M907" s="372"/>
      <c r="N907" s="372"/>
      <c r="O907" s="372"/>
      <c r="P907" s="372"/>
      <c r="R907" s="372"/>
    </row>
    <row r="908" spans="1:63" x14ac:dyDescent="0.2">
      <c r="A908" s="538"/>
      <c r="B908" s="499"/>
      <c r="C908" s="499"/>
      <c r="D908" s="539"/>
      <c r="E908" s="492"/>
      <c r="F908" s="426"/>
      <c r="G908" s="426"/>
      <c r="H908" s="427"/>
      <c r="I908" s="428"/>
      <c r="J908" s="435"/>
      <c r="K908" s="372" t="e">
        <f>#REF!/#REF!</f>
        <v>#REF!</v>
      </c>
      <c r="L908" s="424"/>
      <c r="M908" s="372"/>
      <c r="N908" s="372"/>
      <c r="O908" s="372"/>
      <c r="P908" s="372"/>
      <c r="R908" s="372"/>
      <c r="S908" s="374"/>
      <c r="T908" s="374"/>
      <c r="U908" s="374"/>
      <c r="V908" s="374"/>
      <c r="W908" s="374"/>
      <c r="X908" s="374"/>
      <c r="Y908" s="374"/>
      <c r="Z908" s="374"/>
      <c r="AA908" s="374"/>
      <c r="AB908" s="374"/>
      <c r="AC908" s="374"/>
      <c r="AD908" s="374"/>
      <c r="AE908" s="374"/>
      <c r="AF908" s="374"/>
      <c r="AG908" s="374"/>
      <c r="AH908" s="374"/>
      <c r="AI908" s="374"/>
      <c r="AJ908" s="374"/>
      <c r="AK908" s="374"/>
      <c r="AL908" s="374"/>
      <c r="AM908" s="374"/>
      <c r="AN908" s="374"/>
      <c r="AO908" s="374"/>
      <c r="AP908" s="374"/>
      <c r="AQ908" s="374"/>
      <c r="AR908" s="374"/>
      <c r="AS908" s="374"/>
      <c r="AT908" s="374"/>
      <c r="AU908" s="374"/>
      <c r="AV908" s="374"/>
      <c r="AW908" s="374"/>
      <c r="AX908" s="374"/>
      <c r="AY908" s="374"/>
      <c r="AZ908" s="374"/>
      <c r="BA908" s="374"/>
      <c r="BB908" s="374"/>
      <c r="BC908" s="374"/>
      <c r="BD908" s="374"/>
      <c r="BE908" s="374"/>
      <c r="BF908" s="374"/>
      <c r="BG908" s="374"/>
      <c r="BH908" s="374"/>
      <c r="BI908" s="374"/>
      <c r="BJ908" s="374"/>
      <c r="BK908" s="374"/>
    </row>
    <row r="909" spans="1:63" s="468" customFormat="1" ht="15.75" x14ac:dyDescent="0.2">
      <c r="A909" s="558" t="s">
        <v>1075</v>
      </c>
      <c r="B909" s="501"/>
      <c r="C909" s="501"/>
      <c r="D909" s="545" t="s">
        <v>341</v>
      </c>
      <c r="E909" s="491"/>
      <c r="F909" s="404"/>
      <c r="G909" s="405"/>
      <c r="H909" s="406"/>
      <c r="I909" s="407">
        <f>SUM(I910:I926)</f>
        <v>22575.62</v>
      </c>
      <c r="J909" s="465"/>
      <c r="K909" s="466"/>
      <c r="L909" s="467" t="s">
        <v>773</v>
      </c>
      <c r="M909" s="466">
        <v>191</v>
      </c>
      <c r="N909" s="466"/>
      <c r="O909" s="466"/>
      <c r="P909" s="466"/>
      <c r="R909" s="466"/>
    </row>
    <row r="910" spans="1:63" s="468" customFormat="1" x14ac:dyDescent="0.2">
      <c r="A910" s="557" t="s">
        <v>1076</v>
      </c>
      <c r="B910" s="506" t="s">
        <v>45</v>
      </c>
      <c r="C910" s="506" t="s">
        <v>59</v>
      </c>
      <c r="D910" s="554" t="s">
        <v>60</v>
      </c>
      <c r="E910" s="494" t="s">
        <v>14</v>
      </c>
      <c r="F910" s="426">
        <f>8*22*1</f>
        <v>176</v>
      </c>
      <c r="G910" s="426">
        <v>6.17</v>
      </c>
      <c r="H910" s="426">
        <f>ROUND((1+$L$16)*G910,2)</f>
        <v>7.8</v>
      </c>
      <c r="I910" s="448">
        <f>ROUND(F910*H910,2)</f>
        <v>1372.8</v>
      </c>
      <c r="J910" s="465"/>
      <c r="K910" s="466"/>
      <c r="L910" s="467" t="s">
        <v>774</v>
      </c>
      <c r="M910" s="466">
        <v>113</v>
      </c>
      <c r="N910" s="466"/>
      <c r="O910" s="466"/>
      <c r="P910" s="466"/>
      <c r="R910" s="466"/>
    </row>
    <row r="911" spans="1:63" s="468" customFormat="1" x14ac:dyDescent="0.2">
      <c r="A911" s="557"/>
      <c r="B911" s="506"/>
      <c r="C911" s="506"/>
      <c r="D911" s="554"/>
      <c r="E911" s="494"/>
      <c r="F911" s="426"/>
      <c r="G911" s="426"/>
      <c r="H911" s="426"/>
      <c r="I911" s="448"/>
      <c r="J911" s="465"/>
      <c r="K911" s="466"/>
      <c r="L911" s="467"/>
      <c r="M911" s="466"/>
      <c r="N911" s="466"/>
      <c r="O911" s="466"/>
      <c r="P911" s="466"/>
      <c r="R911" s="466"/>
    </row>
    <row r="912" spans="1:63" s="468" customFormat="1" x14ac:dyDescent="0.2">
      <c r="A912" s="557"/>
      <c r="B912" s="506"/>
      <c r="C912" s="506"/>
      <c r="D912" s="549" t="s">
        <v>2425</v>
      </c>
      <c r="E912" s="494"/>
      <c r="F912" s="426"/>
      <c r="G912" s="426"/>
      <c r="H912" s="426"/>
      <c r="I912" s="448"/>
      <c r="J912" s="465"/>
      <c r="K912" s="466"/>
      <c r="L912" s="467"/>
      <c r="M912" s="466"/>
      <c r="N912" s="466"/>
      <c r="O912" s="466"/>
      <c r="P912" s="466"/>
      <c r="R912" s="466"/>
    </row>
    <row r="913" spans="1:18" s="468" customFormat="1" x14ac:dyDescent="0.2">
      <c r="A913" s="557"/>
      <c r="B913" s="506"/>
      <c r="C913" s="506"/>
      <c r="D913" s="554"/>
      <c r="E913" s="494"/>
      <c r="F913" s="426"/>
      <c r="G913" s="426"/>
      <c r="H913" s="426"/>
      <c r="I913" s="448"/>
      <c r="J913" s="465"/>
      <c r="K913" s="466"/>
      <c r="L913" s="467"/>
      <c r="M913" s="466"/>
      <c r="N913" s="466"/>
      <c r="O913" s="466"/>
      <c r="P913" s="466"/>
      <c r="R913" s="466"/>
    </row>
    <row r="914" spans="1:18" s="468" customFormat="1" x14ac:dyDescent="0.2">
      <c r="A914" s="557" t="s">
        <v>1077</v>
      </c>
      <c r="B914" s="506" t="s">
        <v>45</v>
      </c>
      <c r="C914" s="506" t="s">
        <v>88</v>
      </c>
      <c r="D914" s="554" t="s">
        <v>766</v>
      </c>
      <c r="E914" s="494" t="s">
        <v>17</v>
      </c>
      <c r="F914" s="426">
        <f>F836*0.3</f>
        <v>212.244</v>
      </c>
      <c r="G914" s="426">
        <v>26.54</v>
      </c>
      <c r="H914" s="426">
        <f>ROUND((1+$L$16)*G914,2)</f>
        <v>33.56</v>
      </c>
      <c r="I914" s="448">
        <f>ROUND(F914*H914,2)</f>
        <v>7122.91</v>
      </c>
      <c r="J914" s="465"/>
      <c r="K914" s="466" t="s">
        <v>413</v>
      </c>
      <c r="L914" s="467" t="s">
        <v>775</v>
      </c>
      <c r="M914" s="466">
        <v>16</v>
      </c>
      <c r="N914" s="466"/>
      <c r="O914" s="466"/>
      <c r="P914" s="466"/>
      <c r="R914" s="466"/>
    </row>
    <row r="915" spans="1:18" s="468" customFormat="1" x14ac:dyDescent="0.2">
      <c r="A915" s="557"/>
      <c r="B915" s="506"/>
      <c r="C915" s="506"/>
      <c r="D915" s="554"/>
      <c r="E915" s="494"/>
      <c r="F915" s="426"/>
      <c r="G915" s="426"/>
      <c r="H915" s="426"/>
      <c r="I915" s="448"/>
      <c r="J915" s="465"/>
      <c r="K915" s="466"/>
      <c r="L915" s="467"/>
      <c r="M915" s="466"/>
      <c r="N915" s="466"/>
      <c r="O915" s="466"/>
      <c r="P915" s="466"/>
      <c r="R915" s="466"/>
    </row>
    <row r="916" spans="1:18" s="468" customFormat="1" x14ac:dyDescent="0.2">
      <c r="A916" s="557"/>
      <c r="B916" s="506"/>
      <c r="C916" s="506"/>
      <c r="D916" s="554" t="s">
        <v>2426</v>
      </c>
      <c r="E916" s="494"/>
      <c r="F916" s="426"/>
      <c r="G916" s="426"/>
      <c r="H916" s="426"/>
      <c r="I916" s="448"/>
      <c r="J916" s="465"/>
      <c r="K916" s="466"/>
      <c r="L916" s="467"/>
      <c r="M916" s="466"/>
      <c r="N916" s="466"/>
      <c r="O916" s="466"/>
      <c r="P916" s="466"/>
      <c r="R916" s="466"/>
    </row>
    <row r="917" spans="1:18" s="468" customFormat="1" x14ac:dyDescent="0.2">
      <c r="A917" s="557"/>
      <c r="B917" s="506"/>
      <c r="C917" s="506"/>
      <c r="D917" s="554"/>
      <c r="E917" s="494"/>
      <c r="F917" s="426"/>
      <c r="G917" s="426"/>
      <c r="H917" s="426"/>
      <c r="I917" s="448"/>
      <c r="J917" s="465"/>
      <c r="K917" s="466"/>
      <c r="L917" s="467"/>
      <c r="M917" s="466"/>
      <c r="N917" s="466"/>
      <c r="O917" s="466"/>
      <c r="P917" s="466"/>
      <c r="R917" s="466"/>
    </row>
    <row r="918" spans="1:18" s="468" customFormat="1" x14ac:dyDescent="0.2">
      <c r="A918" s="557" t="s">
        <v>1078</v>
      </c>
      <c r="B918" s="506" t="s">
        <v>45</v>
      </c>
      <c r="C918" s="506">
        <v>73698</v>
      </c>
      <c r="D918" s="554" t="s">
        <v>865</v>
      </c>
      <c r="E918" s="494" t="s">
        <v>16</v>
      </c>
      <c r="F918" s="449">
        <f>F914*0.2*0.65</f>
        <v>27.591720000000006</v>
      </c>
      <c r="G918" s="426">
        <v>197.13</v>
      </c>
      <c r="H918" s="426">
        <f>ROUND((1+$L$16)*G918,2)</f>
        <v>249.24</v>
      </c>
      <c r="I918" s="448">
        <f>ROUND(F918*H918,2)</f>
        <v>6876.96</v>
      </c>
      <c r="J918" s="465"/>
      <c r="K918" s="466"/>
      <c r="L918" s="467"/>
      <c r="M918" s="466"/>
      <c r="N918" s="466"/>
      <c r="O918" s="466"/>
      <c r="P918" s="466"/>
      <c r="R918" s="466"/>
    </row>
    <row r="919" spans="1:18" s="468" customFormat="1" x14ac:dyDescent="0.2">
      <c r="A919" s="557"/>
      <c r="B919" s="506"/>
      <c r="C919" s="506"/>
      <c r="D919" s="554"/>
      <c r="E919" s="494"/>
      <c r="F919" s="449"/>
      <c r="G919" s="426"/>
      <c r="H919" s="426"/>
      <c r="I919" s="448"/>
      <c r="J919" s="465"/>
      <c r="K919" s="466"/>
      <c r="L919" s="467"/>
      <c r="M919" s="466"/>
      <c r="N919" s="466"/>
      <c r="O919" s="466"/>
      <c r="P919" s="466"/>
      <c r="R919" s="466"/>
    </row>
    <row r="920" spans="1:18" s="468" customFormat="1" ht="30" x14ac:dyDescent="0.2">
      <c r="A920" s="557"/>
      <c r="B920" s="506"/>
      <c r="C920" s="506"/>
      <c r="D920" s="554" t="s">
        <v>2427</v>
      </c>
      <c r="E920" s="494"/>
      <c r="F920" s="449"/>
      <c r="G920" s="426"/>
      <c r="H920" s="426"/>
      <c r="I920" s="448"/>
      <c r="J920" s="465"/>
      <c r="K920" s="466"/>
      <c r="L920" s="467"/>
      <c r="M920" s="466"/>
      <c r="N920" s="466"/>
      <c r="O920" s="466"/>
      <c r="P920" s="466"/>
      <c r="R920" s="466"/>
    </row>
    <row r="921" spans="1:18" s="468" customFormat="1" x14ac:dyDescent="0.2">
      <c r="A921" s="557"/>
      <c r="B921" s="506"/>
      <c r="C921" s="506"/>
      <c r="D921" s="554"/>
      <c r="E921" s="494"/>
      <c r="F921" s="449"/>
      <c r="G921" s="426"/>
      <c r="H921" s="426"/>
      <c r="I921" s="448"/>
      <c r="J921" s="465"/>
      <c r="K921" s="466"/>
      <c r="L921" s="467"/>
      <c r="M921" s="466"/>
      <c r="N921" s="466"/>
      <c r="O921" s="466"/>
      <c r="P921" s="466"/>
      <c r="R921" s="466"/>
    </row>
    <row r="922" spans="1:18" s="468" customFormat="1" x14ac:dyDescent="0.2">
      <c r="A922" s="557" t="s">
        <v>1079</v>
      </c>
      <c r="B922" s="506" t="s">
        <v>45</v>
      </c>
      <c r="C922" s="506">
        <v>83683</v>
      </c>
      <c r="D922" s="554" t="s">
        <v>853</v>
      </c>
      <c r="E922" s="494" t="s">
        <v>16</v>
      </c>
      <c r="F922" s="449">
        <f>F914*0.3*0.65</f>
        <v>41.38758</v>
      </c>
      <c r="G922" s="426">
        <v>104.94</v>
      </c>
      <c r="H922" s="426">
        <f>ROUND((1+$L$16)*G922,2)</f>
        <v>132.68</v>
      </c>
      <c r="I922" s="448">
        <f>ROUND(F922*H922,2)</f>
        <v>5491.3</v>
      </c>
      <c r="J922" s="465"/>
      <c r="K922" s="466"/>
      <c r="L922" s="467"/>
      <c r="M922" s="466"/>
      <c r="N922" s="466"/>
      <c r="O922" s="466"/>
      <c r="P922" s="466"/>
      <c r="R922" s="466"/>
    </row>
    <row r="923" spans="1:18" s="468" customFormat="1" x14ac:dyDescent="0.2">
      <c r="A923" s="557"/>
      <c r="B923" s="506"/>
      <c r="C923" s="506"/>
      <c r="D923" s="554"/>
      <c r="E923" s="494"/>
      <c r="F923" s="449"/>
      <c r="G923" s="426"/>
      <c r="H923" s="426"/>
      <c r="I923" s="448"/>
      <c r="J923" s="465"/>
      <c r="K923" s="466"/>
      <c r="L923" s="467"/>
      <c r="M923" s="466"/>
      <c r="N923" s="466"/>
      <c r="O923" s="466"/>
      <c r="P923" s="466"/>
      <c r="R923" s="466"/>
    </row>
    <row r="924" spans="1:18" s="468" customFormat="1" ht="30" x14ac:dyDescent="0.2">
      <c r="A924" s="557"/>
      <c r="B924" s="506"/>
      <c r="C924" s="506"/>
      <c r="D924" s="554" t="s">
        <v>2428</v>
      </c>
      <c r="E924" s="494"/>
      <c r="F924" s="449"/>
      <c r="G924" s="426"/>
      <c r="H924" s="426"/>
      <c r="I924" s="448"/>
      <c r="J924" s="465"/>
      <c r="K924" s="466"/>
      <c r="L924" s="467"/>
      <c r="M924" s="466"/>
      <c r="N924" s="466"/>
      <c r="O924" s="466"/>
      <c r="P924" s="466"/>
      <c r="R924" s="466"/>
    </row>
    <row r="925" spans="1:18" s="468" customFormat="1" x14ac:dyDescent="0.2">
      <c r="A925" s="557"/>
      <c r="B925" s="506"/>
      <c r="C925" s="506"/>
      <c r="D925" s="554"/>
      <c r="E925" s="494"/>
      <c r="F925" s="449"/>
      <c r="G925" s="426"/>
      <c r="H925" s="426"/>
      <c r="I925" s="448"/>
      <c r="J925" s="465"/>
      <c r="K925" s="466"/>
      <c r="L925" s="467"/>
      <c r="M925" s="466"/>
      <c r="N925" s="466"/>
      <c r="O925" s="466"/>
      <c r="P925" s="466"/>
      <c r="R925" s="466"/>
    </row>
    <row r="926" spans="1:18" s="468" customFormat="1" x14ac:dyDescent="0.2">
      <c r="A926" s="557" t="s">
        <v>1080</v>
      </c>
      <c r="B926" s="506" t="s">
        <v>45</v>
      </c>
      <c r="C926" s="506" t="s">
        <v>863</v>
      </c>
      <c r="D926" s="554" t="s">
        <v>864</v>
      </c>
      <c r="E926" s="494" t="s">
        <v>16</v>
      </c>
      <c r="F926" s="449">
        <f>F914*0.1*0.65</f>
        <v>13.795860000000003</v>
      </c>
      <c r="G926" s="426">
        <v>98.13</v>
      </c>
      <c r="H926" s="426">
        <f>ROUND((1+$L$16)*G926,2)</f>
        <v>124.07</v>
      </c>
      <c r="I926" s="448">
        <f>ROUND(F926*H926,2)</f>
        <v>1711.65</v>
      </c>
      <c r="J926" s="465"/>
      <c r="K926" s="466"/>
      <c r="L926" s="467"/>
      <c r="M926" s="466"/>
      <c r="N926" s="466"/>
      <c r="O926" s="466"/>
      <c r="P926" s="466"/>
      <c r="R926" s="466"/>
    </row>
    <row r="927" spans="1:18" s="468" customFormat="1" x14ac:dyDescent="0.2">
      <c r="A927" s="557"/>
      <c r="B927" s="506"/>
      <c r="C927" s="506"/>
      <c r="D927" s="554"/>
      <c r="E927" s="494"/>
      <c r="F927" s="449"/>
      <c r="G927" s="426"/>
      <c r="H927" s="426"/>
      <c r="I927" s="448"/>
      <c r="J927" s="465"/>
      <c r="K927" s="466"/>
      <c r="L927" s="467"/>
      <c r="M927" s="466"/>
      <c r="N927" s="466"/>
      <c r="O927" s="466"/>
      <c r="P927" s="466"/>
      <c r="R927" s="466"/>
    </row>
    <row r="928" spans="1:18" s="468" customFormat="1" ht="30" x14ac:dyDescent="0.2">
      <c r="A928" s="557"/>
      <c r="B928" s="506"/>
      <c r="C928" s="506"/>
      <c r="D928" s="554" t="s">
        <v>2429</v>
      </c>
      <c r="E928" s="494"/>
      <c r="F928" s="449"/>
      <c r="G928" s="426"/>
      <c r="H928" s="426"/>
      <c r="I928" s="448"/>
      <c r="J928" s="465"/>
      <c r="K928" s="466"/>
      <c r="L928" s="467"/>
      <c r="M928" s="466"/>
      <c r="N928" s="466"/>
      <c r="O928" s="466"/>
      <c r="P928" s="466"/>
      <c r="R928" s="466"/>
    </row>
    <row r="929" spans="1:63" x14ac:dyDescent="0.2">
      <c r="A929" s="538"/>
      <c r="B929" s="499"/>
      <c r="C929" s="499"/>
      <c r="D929" s="539"/>
      <c r="E929" s="492"/>
      <c r="F929" s="432"/>
      <c r="G929" s="426"/>
      <c r="H929" s="427"/>
      <c r="I929" s="428"/>
      <c r="J929" s="435"/>
      <c r="K929" s="372" t="e">
        <f>#REF!/#REF!</f>
        <v>#REF!</v>
      </c>
      <c r="L929" s="424"/>
      <c r="M929" s="372"/>
      <c r="N929" s="372"/>
      <c r="O929" s="372"/>
      <c r="P929" s="372"/>
      <c r="R929" s="372"/>
      <c r="S929" s="374"/>
      <c r="T929" s="374"/>
      <c r="U929" s="374"/>
      <c r="V929" s="374"/>
      <c r="W929" s="374"/>
      <c r="X929" s="374"/>
      <c r="Y929" s="374"/>
      <c r="Z929" s="374"/>
      <c r="AA929" s="374"/>
      <c r="AB929" s="374"/>
      <c r="AC929" s="374"/>
      <c r="AD929" s="374"/>
      <c r="AE929" s="374"/>
      <c r="AF929" s="374"/>
      <c r="AG929" s="374"/>
      <c r="AH929" s="374"/>
      <c r="AI929" s="374"/>
      <c r="AJ929" s="374"/>
      <c r="AK929" s="374"/>
      <c r="AL929" s="374"/>
      <c r="AM929" s="374"/>
      <c r="AN929" s="374"/>
      <c r="AO929" s="374"/>
      <c r="AP929" s="374"/>
      <c r="AQ929" s="374"/>
      <c r="AR929" s="374"/>
      <c r="AS929" s="374"/>
      <c r="AT929" s="374"/>
      <c r="AU929" s="374"/>
      <c r="AV929" s="374"/>
      <c r="AW929" s="374"/>
      <c r="AX929" s="374"/>
      <c r="AY929" s="374"/>
      <c r="AZ929" s="374"/>
      <c r="BA929" s="374"/>
      <c r="BB929" s="374"/>
      <c r="BC929" s="374"/>
      <c r="BD929" s="374"/>
      <c r="BE929" s="374"/>
      <c r="BF929" s="374"/>
      <c r="BG929" s="374"/>
      <c r="BH929" s="374"/>
      <c r="BI929" s="374"/>
      <c r="BJ929" s="374"/>
      <c r="BK929" s="374"/>
    </row>
    <row r="930" spans="1:63" ht="15.75" x14ac:dyDescent="0.2">
      <c r="A930" s="558" t="s">
        <v>1074</v>
      </c>
      <c r="B930" s="501"/>
      <c r="C930" s="501"/>
      <c r="D930" s="545" t="s">
        <v>1091</v>
      </c>
      <c r="E930" s="491"/>
      <c r="F930" s="404"/>
      <c r="G930" s="405"/>
      <c r="H930" s="406"/>
      <c r="I930" s="407">
        <f>SUM(I931:I951)</f>
        <v>166356.58999999994</v>
      </c>
      <c r="J930" s="435"/>
      <c r="K930" s="372"/>
      <c r="L930" s="424"/>
      <c r="M930" s="372"/>
      <c r="N930" s="372"/>
      <c r="O930" s="372"/>
      <c r="P930" s="372"/>
      <c r="R930" s="372"/>
    </row>
    <row r="931" spans="1:63" x14ac:dyDescent="0.2">
      <c r="A931" s="557" t="s">
        <v>1081</v>
      </c>
      <c r="B931" s="500" t="s">
        <v>45</v>
      </c>
      <c r="C931" s="506">
        <v>9826</v>
      </c>
      <c r="D931" s="554" t="s">
        <v>1048</v>
      </c>
      <c r="E931" s="494" t="s">
        <v>17</v>
      </c>
      <c r="F931" s="426">
        <v>699.02</v>
      </c>
      <c r="G931" s="426">
        <v>175.07</v>
      </c>
      <c r="H931" s="426">
        <f>ROUND((1+$K$16)*G931,2)</f>
        <v>204.48</v>
      </c>
      <c r="I931" s="445">
        <f t="shared" ref="I931:I943" si="58">ROUND(F931*H931,2)</f>
        <v>142935.60999999999</v>
      </c>
      <c r="J931" s="435"/>
      <c r="K931" s="372"/>
      <c r="L931" s="424"/>
      <c r="M931" s="372"/>
      <c r="N931" s="372"/>
      <c r="O931" s="372"/>
      <c r="P931" s="372"/>
      <c r="R931" s="372"/>
    </row>
    <row r="932" spans="1:63" x14ac:dyDescent="0.2">
      <c r="A932" s="557"/>
      <c r="B932" s="500"/>
      <c r="C932" s="506"/>
      <c r="D932" s="554"/>
      <c r="E932" s="494"/>
      <c r="F932" s="426"/>
      <c r="G932" s="426"/>
      <c r="H932" s="426"/>
      <c r="I932" s="445"/>
      <c r="J932" s="435"/>
      <c r="K932" s="372"/>
      <c r="L932" s="424"/>
      <c r="M932" s="372"/>
      <c r="N932" s="372"/>
      <c r="O932" s="372"/>
      <c r="P932" s="372"/>
      <c r="R932" s="372"/>
    </row>
    <row r="933" spans="1:63" x14ac:dyDescent="0.2">
      <c r="A933" s="557"/>
      <c r="B933" s="500"/>
      <c r="C933" s="506"/>
      <c r="D933" s="554" t="s">
        <v>2430</v>
      </c>
      <c r="E933" s="494"/>
      <c r="F933" s="426"/>
      <c r="G933" s="426"/>
      <c r="H933" s="426"/>
      <c r="I933" s="445"/>
      <c r="J933" s="435"/>
      <c r="K933" s="372"/>
      <c r="L933" s="424"/>
      <c r="M933" s="372"/>
      <c r="N933" s="372"/>
      <c r="O933" s="372"/>
      <c r="P933" s="372"/>
      <c r="R933" s="372"/>
    </row>
    <row r="934" spans="1:63" x14ac:dyDescent="0.2">
      <c r="A934" s="557"/>
      <c r="B934" s="500"/>
      <c r="C934" s="506"/>
      <c r="D934" s="554"/>
      <c r="E934" s="494"/>
      <c r="F934" s="426"/>
      <c r="G934" s="426"/>
      <c r="H934" s="426"/>
      <c r="I934" s="445"/>
      <c r="J934" s="435"/>
      <c r="K934" s="372"/>
      <c r="L934" s="424"/>
      <c r="M934" s="372"/>
      <c r="N934" s="372"/>
      <c r="O934" s="372"/>
      <c r="P934" s="372"/>
      <c r="R934" s="372"/>
    </row>
    <row r="935" spans="1:63" s="373" customFormat="1" x14ac:dyDescent="0.2">
      <c r="A935" s="557" t="s">
        <v>1082</v>
      </c>
      <c r="B935" s="500" t="s">
        <v>65</v>
      </c>
      <c r="C935" s="500"/>
      <c r="D935" s="554" t="s">
        <v>1049</v>
      </c>
      <c r="E935" s="495" t="s">
        <v>17</v>
      </c>
      <c r="F935" s="426">
        <v>8.4600000000000009</v>
      </c>
      <c r="G935" s="426">
        <v>389</v>
      </c>
      <c r="H935" s="426">
        <f>ROUND((1+$K$16)*G935,2)</f>
        <v>454.35</v>
      </c>
      <c r="I935" s="445">
        <f t="shared" ref="I935" si="59">ROUND(F935*H935,2)</f>
        <v>3843.8</v>
      </c>
      <c r="J935" s="444"/>
      <c r="K935" s="372"/>
      <c r="L935" s="424"/>
      <c r="M935" s="372"/>
      <c r="N935" s="372"/>
      <c r="O935" s="372"/>
      <c r="P935" s="372"/>
      <c r="R935" s="372"/>
    </row>
    <row r="936" spans="1:63" s="373" customFormat="1" x14ac:dyDescent="0.2">
      <c r="A936" s="557"/>
      <c r="B936" s="500"/>
      <c r="C936" s="500"/>
      <c r="D936" s="554"/>
      <c r="E936" s="495"/>
      <c r="F936" s="426"/>
      <c r="G936" s="426"/>
      <c r="H936" s="426"/>
      <c r="I936" s="455"/>
      <c r="J936" s="444"/>
      <c r="K936" s="372"/>
      <c r="L936" s="424"/>
      <c r="M936" s="372"/>
      <c r="N936" s="372"/>
      <c r="O936" s="372"/>
      <c r="P936" s="372"/>
      <c r="R936" s="372"/>
    </row>
    <row r="937" spans="1:63" s="373" customFormat="1" x14ac:dyDescent="0.2">
      <c r="A937" s="557"/>
      <c r="B937" s="500"/>
      <c r="C937" s="500"/>
      <c r="D937" s="554" t="s">
        <v>2431</v>
      </c>
      <c r="E937" s="495"/>
      <c r="F937" s="426"/>
      <c r="G937" s="426"/>
      <c r="H937" s="426"/>
      <c r="I937" s="455"/>
      <c r="J937" s="444"/>
      <c r="K937" s="372"/>
      <c r="L937" s="424"/>
      <c r="M937" s="372"/>
      <c r="N937" s="372"/>
      <c r="O937" s="372"/>
      <c r="P937" s="372"/>
      <c r="R937" s="372"/>
    </row>
    <row r="938" spans="1:63" s="373" customFormat="1" x14ac:dyDescent="0.2">
      <c r="A938" s="557"/>
      <c r="B938" s="500"/>
      <c r="C938" s="500"/>
      <c r="D938" s="554"/>
      <c r="E938" s="495"/>
      <c r="F938" s="426"/>
      <c r="G938" s="426"/>
      <c r="H938" s="426"/>
      <c r="I938" s="455"/>
      <c r="J938" s="444"/>
      <c r="K938" s="372"/>
      <c r="L938" s="424"/>
      <c r="M938" s="372"/>
      <c r="N938" s="372"/>
      <c r="O938" s="372"/>
      <c r="P938" s="372"/>
      <c r="R938" s="372"/>
    </row>
    <row r="939" spans="1:63" x14ac:dyDescent="0.2">
      <c r="A939" s="557" t="s">
        <v>1083</v>
      </c>
      <c r="B939" s="500" t="s">
        <v>335</v>
      </c>
      <c r="C939" s="500" t="str">
        <f>COMPOSIÇÕES!C233</f>
        <v>CE-019</v>
      </c>
      <c r="D939" s="540" t="str">
        <f>COMPOSIÇÕES!D233</f>
        <v xml:space="preserve">ASSENTAMENTO TUBO PVC COM JUNTA ELASTICA, DN 250 MM - (OU RPVC, OU PDEFOFO, OU PRFV) </v>
      </c>
      <c r="E939" s="495" t="s">
        <v>17</v>
      </c>
      <c r="F939" s="426">
        <f>F931</f>
        <v>699.02</v>
      </c>
      <c r="G939" s="426">
        <f>COMPOSIÇÕES!I233</f>
        <v>7.17</v>
      </c>
      <c r="H939" s="426">
        <f>ROUND((1+$L$16)*G939,2)</f>
        <v>9.07</v>
      </c>
      <c r="I939" s="448">
        <f t="shared" si="58"/>
        <v>6340.11</v>
      </c>
      <c r="J939" s="435"/>
      <c r="K939" s="372"/>
      <c r="L939" s="424"/>
      <c r="M939" s="372"/>
      <c r="N939" s="372"/>
      <c r="O939" s="372"/>
      <c r="P939" s="372"/>
      <c r="R939" s="372"/>
    </row>
    <row r="940" spans="1:63" x14ac:dyDescent="0.2">
      <c r="A940" s="557"/>
      <c r="B940" s="500"/>
      <c r="C940" s="500"/>
      <c r="D940" s="540"/>
      <c r="E940" s="495"/>
      <c r="F940" s="426"/>
      <c r="G940" s="426"/>
      <c r="H940" s="426"/>
      <c r="I940" s="448"/>
      <c r="J940" s="435"/>
      <c r="K940" s="372"/>
      <c r="L940" s="424"/>
      <c r="M940" s="372"/>
      <c r="N940" s="372"/>
      <c r="O940" s="372"/>
      <c r="P940" s="372"/>
      <c r="R940" s="372"/>
    </row>
    <row r="941" spans="1:63" x14ac:dyDescent="0.2">
      <c r="A941" s="557"/>
      <c r="B941" s="500"/>
      <c r="C941" s="500"/>
      <c r="D941" s="554" t="s">
        <v>2432</v>
      </c>
      <c r="E941" s="495"/>
      <c r="F941" s="426"/>
      <c r="G941" s="426"/>
      <c r="H941" s="426"/>
      <c r="I941" s="448"/>
      <c r="J941" s="435"/>
      <c r="K941" s="372"/>
      <c r="L941" s="424"/>
      <c r="M941" s="372"/>
      <c r="N941" s="372"/>
      <c r="O941" s="372"/>
      <c r="P941" s="372"/>
      <c r="R941" s="372"/>
    </row>
    <row r="942" spans="1:63" x14ac:dyDescent="0.2">
      <c r="A942" s="550"/>
      <c r="B942" s="551"/>
      <c r="C942" s="551"/>
      <c r="D942" s="552"/>
      <c r="E942" s="495"/>
      <c r="F942" s="426"/>
      <c r="G942" s="426"/>
      <c r="H942" s="426"/>
      <c r="I942" s="448"/>
      <c r="J942" s="435"/>
      <c r="K942" s="372"/>
      <c r="L942" s="424"/>
      <c r="M942" s="372"/>
      <c r="N942" s="372"/>
      <c r="O942" s="372"/>
      <c r="P942" s="372"/>
      <c r="R942" s="372"/>
    </row>
    <row r="943" spans="1:63" ht="30" x14ac:dyDescent="0.2">
      <c r="A943" s="557" t="s">
        <v>1084</v>
      </c>
      <c r="B943" s="500" t="s">
        <v>45</v>
      </c>
      <c r="C943" s="500" t="s">
        <v>833</v>
      </c>
      <c r="D943" s="554" t="s">
        <v>832</v>
      </c>
      <c r="E943" s="495" t="s">
        <v>17</v>
      </c>
      <c r="F943" s="426">
        <f>F935</f>
        <v>8.4600000000000009</v>
      </c>
      <c r="G943" s="426">
        <v>10.16</v>
      </c>
      <c r="H943" s="426">
        <f>ROUND((1+$L$16)*G943,2)</f>
        <v>12.85</v>
      </c>
      <c r="I943" s="448">
        <f t="shared" si="58"/>
        <v>108.71</v>
      </c>
      <c r="J943" s="435"/>
      <c r="K943" s="372"/>
      <c r="L943" s="424"/>
      <c r="M943" s="372"/>
      <c r="N943" s="372"/>
      <c r="O943" s="372"/>
      <c r="P943" s="372"/>
      <c r="R943" s="372"/>
    </row>
    <row r="944" spans="1:63" x14ac:dyDescent="0.2">
      <c r="A944" s="557"/>
      <c r="B944" s="500"/>
      <c r="C944" s="500"/>
      <c r="D944" s="554"/>
      <c r="E944" s="495"/>
      <c r="F944" s="426"/>
      <c r="G944" s="426"/>
      <c r="H944" s="426"/>
      <c r="I944" s="510"/>
      <c r="J944" s="435"/>
      <c r="K944" s="372"/>
      <c r="L944" s="424"/>
      <c r="M944" s="372"/>
      <c r="N944" s="372"/>
      <c r="O944" s="372"/>
      <c r="P944" s="372"/>
      <c r="R944" s="372"/>
    </row>
    <row r="945" spans="1:18" x14ac:dyDescent="0.2">
      <c r="A945" s="557"/>
      <c r="B945" s="500"/>
      <c r="C945" s="500"/>
      <c r="D945" s="554" t="s">
        <v>2433</v>
      </c>
      <c r="E945" s="495"/>
      <c r="F945" s="426"/>
      <c r="G945" s="426"/>
      <c r="H945" s="426"/>
      <c r="I945" s="510"/>
      <c r="J945" s="435"/>
      <c r="K945" s="372"/>
      <c r="L945" s="424"/>
      <c r="M945" s="372"/>
      <c r="N945" s="372"/>
      <c r="O945" s="372"/>
      <c r="P945" s="372"/>
      <c r="R945" s="372"/>
    </row>
    <row r="946" spans="1:18" x14ac:dyDescent="0.2">
      <c r="A946" s="557"/>
      <c r="B946" s="500"/>
      <c r="C946" s="500"/>
      <c r="D946" s="554"/>
      <c r="E946" s="495"/>
      <c r="F946" s="426"/>
      <c r="G946" s="426"/>
      <c r="H946" s="426"/>
      <c r="I946" s="510"/>
      <c r="J946" s="435"/>
      <c r="K946" s="372"/>
      <c r="L946" s="424"/>
      <c r="M946" s="372"/>
      <c r="N946" s="372"/>
      <c r="O946" s="372"/>
      <c r="P946" s="372"/>
      <c r="R946" s="372"/>
    </row>
    <row r="947" spans="1:18" s="373" customFormat="1" x14ac:dyDescent="0.2">
      <c r="A947" s="557" t="s">
        <v>1596</v>
      </c>
      <c r="B947" s="500" t="s">
        <v>65</v>
      </c>
      <c r="C947" s="500"/>
      <c r="D947" s="554" t="s">
        <v>1092</v>
      </c>
      <c r="E947" s="497" t="s">
        <v>18</v>
      </c>
      <c r="F947" s="426">
        <v>5</v>
      </c>
      <c r="G947" s="426">
        <v>1200</v>
      </c>
      <c r="H947" s="426">
        <f>ROUND((1+$K$16)*G947,2)</f>
        <v>1401.6</v>
      </c>
      <c r="I947" s="445">
        <f t="shared" ref="I947:I951" si="60">ROUND(F947*H947,2)</f>
        <v>7008</v>
      </c>
      <c r="J947" s="444"/>
      <c r="K947" s="372"/>
      <c r="L947" s="424"/>
      <c r="M947" s="372"/>
      <c r="N947" s="372"/>
      <c r="O947" s="372"/>
      <c r="P947" s="372"/>
      <c r="R947" s="372"/>
    </row>
    <row r="948" spans="1:18" s="373" customFormat="1" x14ac:dyDescent="0.2">
      <c r="A948" s="557"/>
      <c r="B948" s="500"/>
      <c r="C948" s="500"/>
      <c r="D948" s="554"/>
      <c r="E948" s="497"/>
      <c r="F948" s="426"/>
      <c r="G948" s="426"/>
      <c r="H948" s="426"/>
      <c r="I948" s="445"/>
      <c r="J948" s="444"/>
      <c r="K948" s="372"/>
      <c r="L948" s="424"/>
      <c r="M948" s="372"/>
      <c r="N948" s="372"/>
      <c r="O948" s="372"/>
      <c r="P948" s="372"/>
      <c r="R948" s="372"/>
    </row>
    <row r="949" spans="1:18" s="373" customFormat="1" x14ac:dyDescent="0.2">
      <c r="A949" s="557"/>
      <c r="B949" s="500"/>
      <c r="C949" s="500"/>
      <c r="D949" s="554" t="s">
        <v>2434</v>
      </c>
      <c r="E949" s="497"/>
      <c r="F949" s="426"/>
      <c r="G949" s="426"/>
      <c r="H949" s="426"/>
      <c r="I949" s="445"/>
      <c r="J949" s="444"/>
      <c r="K949" s="372"/>
      <c r="L949" s="424"/>
      <c r="M949" s="372"/>
      <c r="N949" s="372"/>
      <c r="O949" s="372"/>
      <c r="P949" s="372"/>
      <c r="R949" s="372"/>
    </row>
    <row r="950" spans="1:18" s="373" customFormat="1" x14ac:dyDescent="0.2">
      <c r="A950" s="557"/>
      <c r="B950" s="500"/>
      <c r="C950" s="500"/>
      <c r="D950" s="554"/>
      <c r="E950" s="497"/>
      <c r="F950" s="426"/>
      <c r="G950" s="426"/>
      <c r="H950" s="426"/>
      <c r="I950" s="445"/>
      <c r="J950" s="444"/>
      <c r="K950" s="372"/>
      <c r="L950" s="424"/>
      <c r="M950" s="372"/>
      <c r="N950" s="372"/>
      <c r="O950" s="372"/>
      <c r="P950" s="372"/>
      <c r="R950" s="372"/>
    </row>
    <row r="951" spans="1:18" s="373" customFormat="1" x14ac:dyDescent="0.2">
      <c r="A951" s="557" t="s">
        <v>1597</v>
      </c>
      <c r="B951" s="500" t="s">
        <v>65</v>
      </c>
      <c r="C951" s="500"/>
      <c r="D951" s="554" t="s">
        <v>1093</v>
      </c>
      <c r="E951" s="497" t="s">
        <v>18</v>
      </c>
      <c r="F951" s="426">
        <v>4</v>
      </c>
      <c r="G951" s="426">
        <v>1310</v>
      </c>
      <c r="H951" s="426">
        <f>ROUND((1+$K$16)*G951,2)</f>
        <v>1530.09</v>
      </c>
      <c r="I951" s="445">
        <f t="shared" si="60"/>
        <v>6120.36</v>
      </c>
      <c r="J951" s="444"/>
      <c r="K951" s="372"/>
      <c r="L951" s="424"/>
      <c r="M951" s="372"/>
      <c r="N951" s="372"/>
      <c r="O951" s="372"/>
      <c r="P951" s="372"/>
      <c r="R951" s="372"/>
    </row>
    <row r="952" spans="1:18" s="373" customFormat="1" x14ac:dyDescent="0.2">
      <c r="A952" s="557"/>
      <c r="B952" s="500"/>
      <c r="C952" s="500"/>
      <c r="D952" s="554"/>
      <c r="E952" s="497"/>
      <c r="F952" s="426"/>
      <c r="G952" s="426"/>
      <c r="H952" s="426"/>
      <c r="I952" s="455"/>
      <c r="J952" s="444"/>
      <c r="K952" s="372"/>
      <c r="L952" s="424"/>
      <c r="M952" s="372"/>
      <c r="N952" s="372"/>
      <c r="O952" s="372"/>
      <c r="P952" s="372"/>
      <c r="R952" s="372"/>
    </row>
    <row r="953" spans="1:18" s="373" customFormat="1" x14ac:dyDescent="0.2">
      <c r="A953" s="557"/>
      <c r="B953" s="500"/>
      <c r="C953" s="500"/>
      <c r="D953" s="554" t="s">
        <v>2434</v>
      </c>
      <c r="E953" s="497"/>
      <c r="F953" s="426"/>
      <c r="G953" s="426"/>
      <c r="H953" s="426"/>
      <c r="I953" s="455"/>
      <c r="J953" s="444"/>
      <c r="K953" s="372"/>
      <c r="L953" s="424"/>
      <c r="M953" s="372"/>
      <c r="N953" s="372"/>
      <c r="O953" s="372"/>
      <c r="P953" s="372"/>
      <c r="R953" s="372"/>
    </row>
    <row r="954" spans="1:18" s="373" customFormat="1" x14ac:dyDescent="0.2">
      <c r="A954" s="557"/>
      <c r="B954" s="500"/>
      <c r="C954" s="500"/>
      <c r="D954" s="554"/>
      <c r="E954" s="497"/>
      <c r="F954" s="426"/>
      <c r="G954" s="426"/>
      <c r="H954" s="426"/>
      <c r="I954" s="455"/>
      <c r="J954" s="444"/>
      <c r="K954" s="372"/>
      <c r="L954" s="424"/>
      <c r="M954" s="372"/>
      <c r="N954" s="372"/>
      <c r="O954" s="372"/>
      <c r="P954" s="372"/>
      <c r="R954" s="372"/>
    </row>
    <row r="955" spans="1:18" s="373" customFormat="1" x14ac:dyDescent="0.2">
      <c r="A955" s="557" t="s">
        <v>2435</v>
      </c>
      <c r="B955" s="500" t="s">
        <v>335</v>
      </c>
      <c r="C955" s="500" t="s">
        <v>2436</v>
      </c>
      <c r="D955" s="554" t="s">
        <v>2437</v>
      </c>
      <c r="E955" s="497" t="s">
        <v>18</v>
      </c>
      <c r="F955" s="426">
        <v>1</v>
      </c>
      <c r="G955" s="426">
        <v>832.24999999999989</v>
      </c>
      <c r="H955" s="426">
        <v>1052.26</v>
      </c>
      <c r="I955" s="455">
        <v>1052.26</v>
      </c>
      <c r="J955" s="444"/>
      <c r="K955" s="372"/>
      <c r="L955" s="424"/>
      <c r="M955" s="372"/>
      <c r="N955" s="372"/>
      <c r="O955" s="372"/>
      <c r="P955" s="372"/>
      <c r="R955" s="372"/>
    </row>
    <row r="956" spans="1:18" s="373" customFormat="1" x14ac:dyDescent="0.2">
      <c r="A956" s="557"/>
      <c r="B956" s="500"/>
      <c r="C956" s="500"/>
      <c r="D956" s="554"/>
      <c r="E956" s="497"/>
      <c r="F956" s="426"/>
      <c r="G956" s="426"/>
      <c r="H956" s="426"/>
      <c r="I956" s="455"/>
      <c r="J956" s="444"/>
      <c r="K956" s="372"/>
      <c r="L956" s="424"/>
      <c r="M956" s="372"/>
      <c r="N956" s="372"/>
      <c r="O956" s="372"/>
      <c r="P956" s="372"/>
      <c r="R956" s="372"/>
    </row>
    <row r="957" spans="1:18" s="373" customFormat="1" x14ac:dyDescent="0.2">
      <c r="A957" s="557"/>
      <c r="B957" s="500"/>
      <c r="C957" s="500"/>
      <c r="D957" s="554" t="s">
        <v>2441</v>
      </c>
      <c r="E957" s="497"/>
      <c r="F957" s="426"/>
      <c r="G957" s="426"/>
      <c r="H957" s="426"/>
      <c r="I957" s="455"/>
      <c r="J957" s="444"/>
      <c r="K957" s="372"/>
      <c r="L957" s="424"/>
      <c r="M957" s="372"/>
      <c r="N957" s="372"/>
      <c r="O957" s="372"/>
      <c r="P957" s="372"/>
      <c r="R957" s="372"/>
    </row>
    <row r="958" spans="1:18" s="373" customFormat="1" x14ac:dyDescent="0.2">
      <c r="A958" s="557"/>
      <c r="B958" s="500"/>
      <c r="C958" s="500"/>
      <c r="D958" s="554"/>
      <c r="E958" s="497"/>
      <c r="F958" s="426"/>
      <c r="G958" s="426"/>
      <c r="H958" s="426"/>
      <c r="I958" s="455"/>
      <c r="J958" s="444"/>
      <c r="K958" s="372"/>
      <c r="L958" s="424"/>
      <c r="M958" s="372"/>
      <c r="N958" s="372"/>
      <c r="O958" s="372"/>
      <c r="P958" s="372"/>
      <c r="R958" s="372"/>
    </row>
    <row r="959" spans="1:18" s="373" customFormat="1" x14ac:dyDescent="0.2">
      <c r="A959" s="542" t="s">
        <v>2438</v>
      </c>
      <c r="B959" s="500" t="s">
        <v>335</v>
      </c>
      <c r="C959" s="500" t="s">
        <v>2439</v>
      </c>
      <c r="D959" s="540" t="s">
        <v>2440</v>
      </c>
      <c r="E959" s="495" t="s">
        <v>18</v>
      </c>
      <c r="F959" s="426">
        <v>1</v>
      </c>
      <c r="G959" s="426">
        <v>3291.7599999999998</v>
      </c>
      <c r="H959" s="426">
        <v>4161.96</v>
      </c>
      <c r="I959" s="448">
        <v>4161.96</v>
      </c>
      <c r="J959" s="437"/>
      <c r="K959" s="372"/>
      <c r="L959" s="430"/>
      <c r="M959" s="372"/>
      <c r="N959" s="372"/>
      <c r="O959" s="372"/>
      <c r="P959" s="372"/>
      <c r="R959" s="372"/>
    </row>
    <row r="960" spans="1:18" x14ac:dyDescent="0.2">
      <c r="A960" s="538"/>
      <c r="B960" s="499"/>
      <c r="C960" s="499"/>
      <c r="D960" s="539"/>
      <c r="E960" s="492"/>
      <c r="F960" s="427"/>
      <c r="G960" s="427"/>
      <c r="H960" s="427"/>
      <c r="I960" s="428"/>
      <c r="J960" s="429"/>
      <c r="K960" s="372"/>
      <c r="L960" s="430"/>
      <c r="M960" s="372"/>
      <c r="N960" s="372"/>
      <c r="O960" s="372"/>
      <c r="P960" s="372"/>
      <c r="R960" s="372"/>
    </row>
    <row r="961" spans="1:22" x14ac:dyDescent="0.2">
      <c r="A961" s="538"/>
      <c r="B961" s="499"/>
      <c r="C961" s="499"/>
      <c r="D961" s="554" t="s">
        <v>2442</v>
      </c>
      <c r="E961" s="492"/>
      <c r="F961" s="427"/>
      <c r="G961" s="427"/>
      <c r="H961" s="427"/>
      <c r="I961" s="428"/>
      <c r="J961" s="429"/>
      <c r="K961" s="372"/>
      <c r="L961" s="430"/>
      <c r="M961" s="372"/>
      <c r="N961" s="372"/>
      <c r="O961" s="372"/>
      <c r="P961" s="372"/>
      <c r="R961" s="372"/>
    </row>
    <row r="962" spans="1:22" x14ac:dyDescent="0.2">
      <c r="A962" s="538"/>
      <c r="B962" s="499"/>
      <c r="C962" s="499"/>
      <c r="D962" s="539"/>
      <c r="E962" s="492"/>
      <c r="F962" s="427"/>
      <c r="G962" s="427"/>
      <c r="H962" s="427"/>
      <c r="I962" s="428"/>
      <c r="J962" s="429"/>
      <c r="K962" s="372"/>
      <c r="L962" s="430"/>
      <c r="M962" s="372"/>
      <c r="N962" s="372"/>
      <c r="O962" s="372"/>
      <c r="P962" s="372"/>
      <c r="R962" s="372"/>
    </row>
    <row r="963" spans="1:22" ht="15.75" x14ac:dyDescent="0.2">
      <c r="A963" s="544" t="s">
        <v>1094</v>
      </c>
      <c r="B963" s="501"/>
      <c r="C963" s="501"/>
      <c r="D963" s="545" t="s">
        <v>35</v>
      </c>
      <c r="E963" s="491"/>
      <c r="F963" s="404"/>
      <c r="G963" s="405"/>
      <c r="H963" s="406"/>
      <c r="I963" s="407" t="e">
        <f>I964+I999+I1073+I1200+I1302+I1606+I1399+I1711+I1833+I1577+I1927+I1492</f>
        <v>#REF!</v>
      </c>
      <c r="J963" s="429"/>
      <c r="K963" s="372"/>
      <c r="L963" s="430"/>
      <c r="M963" s="372"/>
      <c r="N963" s="372"/>
      <c r="O963" s="372"/>
      <c r="P963" s="372"/>
      <c r="R963" s="372"/>
    </row>
    <row r="964" spans="1:22" s="457" customFormat="1" ht="15.75" x14ac:dyDescent="0.2">
      <c r="A964" s="544" t="s">
        <v>265</v>
      </c>
      <c r="B964" s="501"/>
      <c r="C964" s="501"/>
      <c r="D964" s="545" t="s">
        <v>81</v>
      </c>
      <c r="E964" s="491"/>
      <c r="F964" s="404"/>
      <c r="G964" s="405"/>
      <c r="H964" s="406"/>
      <c r="I964" s="407">
        <f>I965+I982</f>
        <v>728678.55</v>
      </c>
      <c r="J964" s="429"/>
      <c r="K964" s="456"/>
      <c r="L964" s="456"/>
      <c r="M964" s="456"/>
      <c r="N964" s="372"/>
      <c r="O964" s="372"/>
      <c r="P964" s="372"/>
      <c r="Q964" s="373"/>
      <c r="R964" s="372"/>
      <c r="S964" s="373"/>
      <c r="T964" s="373"/>
      <c r="U964" s="373"/>
      <c r="V964" s="373"/>
    </row>
    <row r="965" spans="1:22" ht="15.75" x14ac:dyDescent="0.2">
      <c r="A965" s="546" t="s">
        <v>1095</v>
      </c>
      <c r="B965" s="504"/>
      <c r="C965" s="504"/>
      <c r="D965" s="547" t="s">
        <v>338</v>
      </c>
      <c r="E965" s="493"/>
      <c r="F965" s="440"/>
      <c r="G965" s="441"/>
      <c r="H965" s="442"/>
      <c r="I965" s="443">
        <f>SUM(I966:I978)</f>
        <v>62298.400000000001</v>
      </c>
      <c r="J965" s="429"/>
      <c r="K965" s="372"/>
      <c r="L965" s="430"/>
      <c r="M965" s="372"/>
      <c r="N965" s="372"/>
      <c r="O965" s="372"/>
      <c r="P965" s="372"/>
      <c r="R965" s="372"/>
    </row>
    <row r="966" spans="1:22" ht="30" x14ac:dyDescent="0.2">
      <c r="A966" s="561" t="s">
        <v>1096</v>
      </c>
      <c r="B966" s="507" t="s">
        <v>45</v>
      </c>
      <c r="C966" s="507">
        <v>73672</v>
      </c>
      <c r="D966" s="549" t="s">
        <v>724</v>
      </c>
      <c r="E966" s="494" t="s">
        <v>15</v>
      </c>
      <c r="F966" s="426">
        <v>17200</v>
      </c>
      <c r="G966" s="426">
        <v>0.4</v>
      </c>
      <c r="H966" s="426">
        <f>ROUND((1+$L$16)*G966,2)</f>
        <v>0.51</v>
      </c>
      <c r="I966" s="472">
        <f t="shared" ref="I966:I978" si="61">ROUND(F966*H966,2)</f>
        <v>8772</v>
      </c>
      <c r="J966" s="429"/>
      <c r="K966" s="372" t="s">
        <v>1212</v>
      </c>
      <c r="L966" s="473">
        <v>193.3</v>
      </c>
      <c r="M966" s="372"/>
      <c r="N966" s="372"/>
      <c r="O966" s="372"/>
      <c r="P966" s="372"/>
      <c r="R966" s="372"/>
    </row>
    <row r="967" spans="1:22" x14ac:dyDescent="0.2">
      <c r="A967" s="561"/>
      <c r="B967" s="507"/>
      <c r="C967" s="507"/>
      <c r="D967" s="549"/>
      <c r="E967" s="494"/>
      <c r="F967" s="426"/>
      <c r="G967" s="426"/>
      <c r="H967" s="426"/>
      <c r="I967" s="472"/>
      <c r="J967" s="429"/>
      <c r="K967" s="372"/>
      <c r="L967" s="473"/>
      <c r="M967" s="372"/>
      <c r="N967" s="372"/>
      <c r="O967" s="372"/>
      <c r="P967" s="372"/>
      <c r="R967" s="372"/>
    </row>
    <row r="968" spans="1:22" x14ac:dyDescent="0.2">
      <c r="A968" s="561"/>
      <c r="B968" s="507"/>
      <c r="C968" s="507"/>
      <c r="D968" s="549" t="s">
        <v>2443</v>
      </c>
      <c r="E968" s="494"/>
      <c r="F968" s="426"/>
      <c r="G968" s="426"/>
      <c r="H968" s="426"/>
      <c r="I968" s="472"/>
      <c r="J968" s="429"/>
      <c r="K968" s="372"/>
      <c r="L968" s="473"/>
      <c r="M968" s="372"/>
      <c r="N968" s="372"/>
      <c r="O968" s="372"/>
      <c r="P968" s="372"/>
      <c r="R968" s="372"/>
    </row>
    <row r="969" spans="1:22" x14ac:dyDescent="0.2">
      <c r="A969" s="561"/>
      <c r="B969" s="507"/>
      <c r="C969" s="507"/>
      <c r="D969" s="549"/>
      <c r="E969" s="494"/>
      <c r="F969" s="426"/>
      <c r="G969" s="426"/>
      <c r="H969" s="426"/>
      <c r="I969" s="472"/>
      <c r="J969" s="429"/>
      <c r="K969" s="372"/>
      <c r="L969" s="473"/>
      <c r="M969" s="372"/>
      <c r="N969" s="372"/>
      <c r="O969" s="372"/>
      <c r="P969" s="372"/>
      <c r="R969" s="372"/>
    </row>
    <row r="970" spans="1:22" s="373" customFormat="1" x14ac:dyDescent="0.2">
      <c r="A970" s="561" t="s">
        <v>1097</v>
      </c>
      <c r="B970" s="500" t="s">
        <v>45</v>
      </c>
      <c r="C970" s="500">
        <v>72898</v>
      </c>
      <c r="D970" s="540" t="s">
        <v>770</v>
      </c>
      <c r="E970" s="495" t="s">
        <v>16</v>
      </c>
      <c r="F970" s="426">
        <f>F966*0.2</f>
        <v>3440</v>
      </c>
      <c r="G970" s="426">
        <v>3.57</v>
      </c>
      <c r="H970" s="426">
        <f>ROUND((1+$L$16)*G970,2)</f>
        <v>4.51</v>
      </c>
      <c r="I970" s="448">
        <f>ROUND(F970*H970,2)</f>
        <v>15514.4</v>
      </c>
      <c r="J970" s="444"/>
      <c r="K970" s="372" t="s">
        <v>1213</v>
      </c>
      <c r="L970" s="424">
        <v>21583.700000000004</v>
      </c>
      <c r="M970" s="372"/>
      <c r="N970" s="372">
        <v>170</v>
      </c>
      <c r="O970" s="372"/>
      <c r="P970" s="372"/>
      <c r="R970" s="372"/>
    </row>
    <row r="971" spans="1:22" s="373" customFormat="1" x14ac:dyDescent="0.2">
      <c r="A971" s="561"/>
      <c r="B971" s="500"/>
      <c r="C971" s="500"/>
      <c r="D971" s="540"/>
      <c r="E971" s="495"/>
      <c r="F971" s="426"/>
      <c r="G971" s="426"/>
      <c r="H971" s="426"/>
      <c r="I971" s="448"/>
      <c r="J971" s="444"/>
      <c r="K971" s="372"/>
      <c r="L971" s="424"/>
      <c r="M971" s="372"/>
      <c r="N971" s="372"/>
      <c r="O971" s="372"/>
      <c r="P971" s="372"/>
      <c r="R971" s="372"/>
    </row>
    <row r="972" spans="1:22" s="373" customFormat="1" x14ac:dyDescent="0.2">
      <c r="A972" s="561"/>
      <c r="B972" s="500"/>
      <c r="C972" s="500"/>
      <c r="D972" s="549" t="s">
        <v>2444</v>
      </c>
      <c r="E972" s="495"/>
      <c r="F972" s="426"/>
      <c r="G972" s="426"/>
      <c r="H972" s="426"/>
      <c r="I972" s="448"/>
      <c r="J972" s="444"/>
      <c r="K972" s="372"/>
      <c r="L972" s="424"/>
      <c r="M972" s="372"/>
      <c r="N972" s="372"/>
      <c r="O972" s="372"/>
      <c r="P972" s="372"/>
      <c r="R972" s="372"/>
    </row>
    <row r="973" spans="1:22" s="373" customFormat="1" x14ac:dyDescent="0.2">
      <c r="A973" s="561"/>
      <c r="B973" s="500"/>
      <c r="C973" s="500"/>
      <c r="D973" s="540"/>
      <c r="E973" s="495"/>
      <c r="F973" s="426"/>
      <c r="G973" s="426"/>
      <c r="H973" s="426"/>
      <c r="I973" s="448"/>
      <c r="J973" s="444"/>
      <c r="K973" s="372"/>
      <c r="L973" s="424"/>
      <c r="M973" s="372"/>
      <c r="N973" s="372"/>
      <c r="O973" s="372"/>
      <c r="P973" s="372"/>
      <c r="R973" s="372"/>
    </row>
    <row r="974" spans="1:22" s="457" customFormat="1" ht="30" customHeight="1" x14ac:dyDescent="0.2">
      <c r="A974" s="561" t="s">
        <v>1098</v>
      </c>
      <c r="B974" s="500" t="s">
        <v>45</v>
      </c>
      <c r="C974" s="500">
        <v>72885</v>
      </c>
      <c r="D974" s="540" t="s">
        <v>333</v>
      </c>
      <c r="E974" s="495" t="s">
        <v>725</v>
      </c>
      <c r="F974" s="426">
        <f>F970*5</f>
        <v>17200</v>
      </c>
      <c r="G974" s="426">
        <v>1.36</v>
      </c>
      <c r="H974" s="426">
        <f>ROUND((1+$L$16)*G974,2)</f>
        <v>1.72</v>
      </c>
      <c r="I974" s="472">
        <f t="shared" si="61"/>
        <v>29584</v>
      </c>
      <c r="J974" s="429"/>
      <c r="K974" s="456"/>
      <c r="L974" s="456"/>
      <c r="M974" s="456"/>
      <c r="N974" s="372"/>
      <c r="O974" s="372"/>
      <c r="P974" s="372"/>
      <c r="Q974" s="373"/>
      <c r="R974" s="372"/>
      <c r="S974" s="373"/>
      <c r="T974" s="373"/>
      <c r="U974" s="373"/>
      <c r="V974" s="373"/>
    </row>
    <row r="975" spans="1:22" s="457" customFormat="1" x14ac:dyDescent="0.2">
      <c r="A975" s="561"/>
      <c r="B975" s="500"/>
      <c r="C975" s="500"/>
      <c r="D975" s="540"/>
      <c r="E975" s="495"/>
      <c r="F975" s="426"/>
      <c r="G975" s="426"/>
      <c r="H975" s="426"/>
      <c r="I975" s="472"/>
      <c r="J975" s="429"/>
      <c r="K975" s="456"/>
      <c r="L975" s="456"/>
      <c r="M975" s="456"/>
      <c r="N975" s="372"/>
      <c r="O975" s="372"/>
      <c r="P975" s="372"/>
      <c r="Q975" s="373"/>
      <c r="R975" s="372"/>
      <c r="S975" s="373"/>
      <c r="T975" s="373"/>
      <c r="U975" s="373"/>
      <c r="V975" s="373"/>
    </row>
    <row r="976" spans="1:22" s="457" customFormat="1" x14ac:dyDescent="0.2">
      <c r="A976" s="561"/>
      <c r="B976" s="500"/>
      <c r="C976" s="500"/>
      <c r="D976" s="549" t="s">
        <v>2445</v>
      </c>
      <c r="E976" s="495"/>
      <c r="F976" s="426"/>
      <c r="G976" s="426"/>
      <c r="H976" s="426"/>
      <c r="I976" s="472"/>
      <c r="J976" s="429"/>
      <c r="K976" s="456"/>
      <c r="L976" s="456"/>
      <c r="M976" s="456"/>
      <c r="N976" s="372"/>
      <c r="O976" s="372"/>
      <c r="P976" s="372"/>
      <c r="Q976" s="373"/>
      <c r="R976" s="372"/>
      <c r="S976" s="373"/>
      <c r="T976" s="373"/>
      <c r="U976" s="373"/>
      <c r="V976" s="373"/>
    </row>
    <row r="977" spans="1:63" s="457" customFormat="1" x14ac:dyDescent="0.2">
      <c r="A977" s="561"/>
      <c r="B977" s="500"/>
      <c r="C977" s="500"/>
      <c r="D977" s="540"/>
      <c r="E977" s="495"/>
      <c r="F977" s="426"/>
      <c r="G977" s="426"/>
      <c r="H977" s="426"/>
      <c r="I977" s="472"/>
      <c r="J977" s="429"/>
      <c r="K977" s="456"/>
      <c r="L977" s="456"/>
      <c r="M977" s="456"/>
      <c r="N977" s="372"/>
      <c r="O977" s="372"/>
      <c r="P977" s="372"/>
      <c r="Q977" s="373"/>
      <c r="R977" s="372"/>
      <c r="S977" s="373"/>
      <c r="T977" s="373"/>
      <c r="U977" s="373"/>
      <c r="V977" s="373"/>
    </row>
    <row r="978" spans="1:63" x14ac:dyDescent="0.2">
      <c r="A978" s="561" t="s">
        <v>1099</v>
      </c>
      <c r="B978" s="500" t="s">
        <v>45</v>
      </c>
      <c r="C978" s="500" t="s">
        <v>57</v>
      </c>
      <c r="D978" s="540" t="s">
        <v>726</v>
      </c>
      <c r="E978" s="495" t="s">
        <v>16</v>
      </c>
      <c r="F978" s="426">
        <f>F970</f>
        <v>3440</v>
      </c>
      <c r="G978" s="426">
        <v>1.94</v>
      </c>
      <c r="H978" s="426">
        <f>ROUND((1+$L$16)*G978,2)</f>
        <v>2.4500000000000002</v>
      </c>
      <c r="I978" s="472">
        <f t="shared" si="61"/>
        <v>8428</v>
      </c>
      <c r="J978" s="429"/>
      <c r="K978" s="372"/>
      <c r="L978" s="430"/>
      <c r="M978" s="372"/>
      <c r="N978" s="372"/>
      <c r="O978" s="372"/>
      <c r="P978" s="372"/>
      <c r="R978" s="372"/>
      <c r="W978" s="374"/>
      <c r="X978" s="374"/>
      <c r="Y978" s="374"/>
      <c r="Z978" s="374"/>
      <c r="AA978" s="374"/>
      <c r="AB978" s="374"/>
      <c r="AC978" s="374"/>
      <c r="AD978" s="374"/>
      <c r="AE978" s="374"/>
      <c r="AF978" s="374"/>
      <c r="AG978" s="374"/>
      <c r="AH978" s="374"/>
      <c r="AI978" s="374"/>
      <c r="AJ978" s="374"/>
      <c r="AK978" s="374"/>
      <c r="AL978" s="374"/>
      <c r="AM978" s="374"/>
      <c r="AN978" s="374"/>
      <c r="AO978" s="374"/>
      <c r="AP978" s="374"/>
      <c r="AQ978" s="374"/>
      <c r="AR978" s="374"/>
      <c r="AS978" s="374"/>
      <c r="AT978" s="374"/>
      <c r="AU978" s="374"/>
      <c r="AV978" s="374"/>
      <c r="AW978" s="374"/>
      <c r="AX978" s="374"/>
      <c r="AY978" s="374"/>
      <c r="AZ978" s="374"/>
      <c r="BA978" s="374"/>
      <c r="BB978" s="374"/>
      <c r="BC978" s="374"/>
      <c r="BD978" s="374"/>
      <c r="BE978" s="374"/>
      <c r="BF978" s="374"/>
      <c r="BG978" s="374"/>
      <c r="BH978" s="374"/>
      <c r="BI978" s="374"/>
      <c r="BJ978" s="374"/>
      <c r="BK978" s="374"/>
    </row>
    <row r="979" spans="1:63" x14ac:dyDescent="0.2">
      <c r="A979" s="561"/>
      <c r="B979" s="500"/>
      <c r="C979" s="500"/>
      <c r="D979" s="540"/>
      <c r="E979" s="495"/>
      <c r="F979" s="426"/>
      <c r="G979" s="426"/>
      <c r="H979" s="426"/>
      <c r="I979" s="472"/>
      <c r="J979" s="429"/>
      <c r="K979" s="372"/>
      <c r="L979" s="430"/>
      <c r="M979" s="372"/>
      <c r="N979" s="372"/>
      <c r="O979" s="372"/>
      <c r="P979" s="372"/>
      <c r="R979" s="372"/>
      <c r="W979" s="374"/>
      <c r="X979" s="374"/>
      <c r="Y979" s="374"/>
      <c r="Z979" s="374"/>
      <c r="AA979" s="374"/>
      <c r="AB979" s="374"/>
      <c r="AC979" s="374"/>
      <c r="AD979" s="374"/>
      <c r="AE979" s="374"/>
      <c r="AF979" s="374"/>
      <c r="AG979" s="374"/>
      <c r="AH979" s="374"/>
      <c r="AI979" s="374"/>
      <c r="AJ979" s="374"/>
      <c r="AK979" s="374"/>
      <c r="AL979" s="374"/>
      <c r="AM979" s="374"/>
      <c r="AN979" s="374"/>
      <c r="AO979" s="374"/>
      <c r="AP979" s="374"/>
      <c r="AQ979" s="374"/>
      <c r="AR979" s="374"/>
      <c r="AS979" s="374"/>
      <c r="AT979" s="374"/>
      <c r="AU979" s="374"/>
      <c r="AV979" s="374"/>
      <c r="AW979" s="374"/>
      <c r="AX979" s="374"/>
      <c r="AY979" s="374"/>
      <c r="AZ979" s="374"/>
      <c r="BA979" s="374"/>
      <c r="BB979" s="374"/>
      <c r="BC979" s="374"/>
      <c r="BD979" s="374"/>
      <c r="BE979" s="374"/>
      <c r="BF979" s="374"/>
      <c r="BG979" s="374"/>
      <c r="BH979" s="374"/>
      <c r="BI979" s="374"/>
      <c r="BJ979" s="374"/>
      <c r="BK979" s="374"/>
    </row>
    <row r="980" spans="1:63" x14ac:dyDescent="0.2">
      <c r="A980" s="561"/>
      <c r="B980" s="500"/>
      <c r="C980" s="500"/>
      <c r="D980" s="549" t="s">
        <v>2444</v>
      </c>
      <c r="E980" s="495"/>
      <c r="F980" s="426"/>
      <c r="G980" s="426"/>
      <c r="H980" s="426"/>
      <c r="I980" s="472"/>
      <c r="J980" s="429"/>
      <c r="K980" s="372"/>
      <c r="L980" s="430"/>
      <c r="M980" s="372"/>
      <c r="N980" s="372"/>
      <c r="O980" s="372"/>
      <c r="P980" s="372"/>
      <c r="R980" s="372"/>
      <c r="W980" s="374"/>
      <c r="X980" s="374"/>
      <c r="Y980" s="374"/>
      <c r="Z980" s="374"/>
      <c r="AA980" s="374"/>
      <c r="AB980" s="374"/>
      <c r="AC980" s="374"/>
      <c r="AD980" s="374"/>
      <c r="AE980" s="374"/>
      <c r="AF980" s="374"/>
      <c r="AG980" s="374"/>
      <c r="AH980" s="374"/>
      <c r="AI980" s="374"/>
      <c r="AJ980" s="374"/>
      <c r="AK980" s="374"/>
      <c r="AL980" s="374"/>
      <c r="AM980" s="374"/>
      <c r="AN980" s="374"/>
      <c r="AO980" s="374"/>
      <c r="AP980" s="374"/>
      <c r="AQ980" s="374"/>
      <c r="AR980" s="374"/>
      <c r="AS980" s="374"/>
      <c r="AT980" s="374"/>
      <c r="AU980" s="374"/>
      <c r="AV980" s="374"/>
      <c r="AW980" s="374"/>
      <c r="AX980" s="374"/>
      <c r="AY980" s="374"/>
      <c r="AZ980" s="374"/>
      <c r="BA980" s="374"/>
      <c r="BB980" s="374"/>
      <c r="BC980" s="374"/>
      <c r="BD980" s="374"/>
      <c r="BE980" s="374"/>
      <c r="BF980" s="374"/>
      <c r="BG980" s="374"/>
      <c r="BH980" s="374"/>
      <c r="BI980" s="374"/>
      <c r="BJ980" s="374"/>
      <c r="BK980" s="374"/>
    </row>
    <row r="981" spans="1:63" x14ac:dyDescent="0.2">
      <c r="A981" s="561"/>
      <c r="B981" s="500"/>
      <c r="C981" s="500"/>
      <c r="D981" s="540"/>
      <c r="E981" s="495"/>
      <c r="F981" s="426"/>
      <c r="G981" s="426"/>
      <c r="H981" s="426"/>
      <c r="I981" s="448"/>
      <c r="J981" s="429"/>
      <c r="K981" s="372"/>
      <c r="L981" s="474"/>
      <c r="M981" s="372"/>
      <c r="N981" s="372"/>
      <c r="O981" s="372"/>
      <c r="P981" s="372"/>
      <c r="R981" s="372"/>
    </row>
    <row r="982" spans="1:63" s="457" customFormat="1" ht="30" customHeight="1" x14ac:dyDescent="0.2">
      <c r="A982" s="546" t="s">
        <v>1100</v>
      </c>
      <c r="B982" s="504"/>
      <c r="C982" s="504"/>
      <c r="D982" s="547" t="s">
        <v>727</v>
      </c>
      <c r="E982" s="493"/>
      <c r="F982" s="440"/>
      <c r="G982" s="441"/>
      <c r="H982" s="442"/>
      <c r="I982" s="443">
        <f>SUM(I983:I995)</f>
        <v>666380.15</v>
      </c>
      <c r="J982" s="429"/>
      <c r="K982" s="456"/>
      <c r="L982" s="456"/>
      <c r="M982" s="456"/>
      <c r="N982" s="372"/>
      <c r="O982" s="372"/>
      <c r="P982" s="372"/>
      <c r="Q982" s="373"/>
      <c r="R982" s="372"/>
      <c r="S982" s="373"/>
      <c r="T982" s="373"/>
      <c r="U982" s="373"/>
      <c r="V982" s="373"/>
    </row>
    <row r="983" spans="1:63" s="457" customFormat="1" ht="45" x14ac:dyDescent="0.2">
      <c r="A983" s="542" t="s">
        <v>1101</v>
      </c>
      <c r="B983" s="500" t="s">
        <v>45</v>
      </c>
      <c r="C983" s="500">
        <v>89929</v>
      </c>
      <c r="D983" s="540" t="s">
        <v>1214</v>
      </c>
      <c r="E983" s="495" t="s">
        <v>16</v>
      </c>
      <c r="F983" s="426">
        <f>21583.7*1.3</f>
        <v>28058.81</v>
      </c>
      <c r="G983" s="426">
        <v>11.77</v>
      </c>
      <c r="H983" s="426">
        <f>ROUND((1+$L$16)*G983,2)</f>
        <v>14.88</v>
      </c>
      <c r="I983" s="448">
        <f>ROUND(F983*H983,2)</f>
        <v>417515.09</v>
      </c>
      <c r="J983" s="437"/>
      <c r="K983" s="456"/>
      <c r="L983" s="456"/>
      <c r="M983" s="456"/>
      <c r="N983" s="372"/>
      <c r="O983" s="372"/>
      <c r="P983" s="372"/>
      <c r="Q983" s="373"/>
      <c r="R983" s="372"/>
      <c r="S983" s="373"/>
      <c r="T983" s="373"/>
      <c r="U983" s="373"/>
      <c r="V983" s="373"/>
    </row>
    <row r="984" spans="1:63" s="457" customFormat="1" x14ac:dyDescent="0.2">
      <c r="A984" s="542"/>
      <c r="B984" s="500"/>
      <c r="C984" s="500"/>
      <c r="D984" s="540"/>
      <c r="E984" s="495"/>
      <c r="F984" s="426"/>
      <c r="G984" s="426"/>
      <c r="H984" s="426"/>
      <c r="I984" s="448"/>
      <c r="J984" s="437"/>
      <c r="K984" s="456"/>
      <c r="L984" s="456"/>
      <c r="M984" s="456"/>
      <c r="N984" s="372"/>
      <c r="O984" s="372"/>
      <c r="P984" s="372"/>
      <c r="Q984" s="373"/>
      <c r="R984" s="372"/>
      <c r="S984" s="373"/>
      <c r="T984" s="373"/>
      <c r="U984" s="373"/>
      <c r="V984" s="373"/>
    </row>
    <row r="985" spans="1:63" s="457" customFormat="1" ht="30" x14ac:dyDescent="0.2">
      <c r="A985" s="542"/>
      <c r="B985" s="500"/>
      <c r="C985" s="500"/>
      <c r="D985" s="540" t="s">
        <v>2446</v>
      </c>
      <c r="E985" s="495"/>
      <c r="F985" s="426"/>
      <c r="G985" s="426"/>
      <c r="H985" s="426"/>
      <c r="I985" s="448"/>
      <c r="J985" s="437"/>
      <c r="K985" s="456"/>
      <c r="L985" s="456"/>
      <c r="M985" s="456"/>
      <c r="N985" s="372"/>
      <c r="O985" s="372"/>
      <c r="P985" s="372"/>
      <c r="Q985" s="373"/>
      <c r="R985" s="372"/>
      <c r="S985" s="373"/>
      <c r="T985" s="373"/>
      <c r="U985" s="373"/>
      <c r="V985" s="373"/>
    </row>
    <row r="986" spans="1:63" s="457" customFormat="1" x14ac:dyDescent="0.2">
      <c r="A986" s="542"/>
      <c r="B986" s="500"/>
      <c r="C986" s="500"/>
      <c r="D986" s="540"/>
      <c r="E986" s="495"/>
      <c r="F986" s="426"/>
      <c r="G986" s="426"/>
      <c r="H986" s="426"/>
      <c r="I986" s="448"/>
      <c r="J986" s="437"/>
      <c r="K986" s="456"/>
      <c r="L986" s="456"/>
      <c r="M986" s="456"/>
      <c r="N986" s="372"/>
      <c r="O986" s="372"/>
      <c r="P986" s="372"/>
      <c r="Q986" s="373"/>
      <c r="R986" s="372"/>
      <c r="S986" s="373"/>
      <c r="T986" s="373"/>
      <c r="U986" s="373"/>
      <c r="V986" s="373"/>
    </row>
    <row r="987" spans="1:63" s="457" customFormat="1" x14ac:dyDescent="0.2">
      <c r="A987" s="542" t="s">
        <v>1102</v>
      </c>
      <c r="B987" s="500" t="s">
        <v>45</v>
      </c>
      <c r="C987" s="500" t="s">
        <v>57</v>
      </c>
      <c r="D987" s="540" t="s">
        <v>726</v>
      </c>
      <c r="E987" s="495" t="s">
        <v>16</v>
      </c>
      <c r="F987" s="449">
        <f>F983</f>
        <v>28058.81</v>
      </c>
      <c r="G987" s="426">
        <v>1.94</v>
      </c>
      <c r="H987" s="426">
        <f>ROUND((1+$L$16)*G987,2)</f>
        <v>2.4500000000000002</v>
      </c>
      <c r="I987" s="448">
        <f>ROUND(F987*H987,2)</f>
        <v>68744.08</v>
      </c>
      <c r="J987" s="437"/>
      <c r="K987" s="456"/>
      <c r="L987" s="456"/>
      <c r="M987" s="456"/>
      <c r="N987" s="372"/>
      <c r="O987" s="372"/>
      <c r="P987" s="372"/>
      <c r="Q987" s="373"/>
      <c r="R987" s="372"/>
      <c r="S987" s="373"/>
      <c r="T987" s="373"/>
      <c r="U987" s="373"/>
      <c r="V987" s="373"/>
    </row>
    <row r="988" spans="1:63" s="457" customFormat="1" x14ac:dyDescent="0.2">
      <c r="A988" s="542"/>
      <c r="B988" s="500"/>
      <c r="C988" s="500"/>
      <c r="D988" s="540"/>
      <c r="E988" s="495"/>
      <c r="F988" s="449"/>
      <c r="G988" s="426"/>
      <c r="H988" s="426"/>
      <c r="I988" s="448"/>
      <c r="J988" s="437"/>
      <c r="K988" s="456"/>
      <c r="L988" s="456"/>
      <c r="M988" s="456"/>
      <c r="N988" s="372"/>
      <c r="O988" s="372"/>
      <c r="P988" s="372"/>
      <c r="Q988" s="373"/>
      <c r="R988" s="372"/>
      <c r="S988" s="373"/>
      <c r="T988" s="373"/>
      <c r="U988" s="373"/>
      <c r="V988" s="373"/>
    </row>
    <row r="989" spans="1:63" s="457" customFormat="1" ht="30" x14ac:dyDescent="0.2">
      <c r="A989" s="542"/>
      <c r="B989" s="500"/>
      <c r="C989" s="500"/>
      <c r="D989" s="540" t="s">
        <v>2446</v>
      </c>
      <c r="E989" s="495"/>
      <c r="F989" s="449"/>
      <c r="G989" s="426"/>
      <c r="H989" s="426"/>
      <c r="I989" s="448"/>
      <c r="J989" s="437"/>
      <c r="K989" s="456"/>
      <c r="L989" s="456"/>
      <c r="M989" s="456"/>
      <c r="N989" s="372"/>
      <c r="O989" s="372"/>
      <c r="P989" s="372"/>
      <c r="Q989" s="373"/>
      <c r="R989" s="372"/>
      <c r="S989" s="373"/>
      <c r="T989" s="373"/>
      <c r="U989" s="373"/>
      <c r="V989" s="373"/>
    </row>
    <row r="990" spans="1:63" s="457" customFormat="1" x14ac:dyDescent="0.2">
      <c r="A990" s="542"/>
      <c r="B990" s="500"/>
      <c r="C990" s="500"/>
      <c r="D990" s="540"/>
      <c r="E990" s="495"/>
      <c r="F990" s="449"/>
      <c r="G990" s="426"/>
      <c r="H990" s="426"/>
      <c r="I990" s="448"/>
      <c r="J990" s="437"/>
      <c r="K990" s="456"/>
      <c r="L990" s="456"/>
      <c r="M990" s="456"/>
      <c r="N990" s="372"/>
      <c r="O990" s="372"/>
      <c r="P990" s="372"/>
      <c r="Q990" s="373"/>
      <c r="R990" s="372"/>
      <c r="S990" s="373"/>
      <c r="T990" s="373"/>
      <c r="U990" s="373"/>
      <c r="V990" s="373"/>
    </row>
    <row r="991" spans="1:63" s="457" customFormat="1" x14ac:dyDescent="0.2">
      <c r="A991" s="542" t="s">
        <v>1103</v>
      </c>
      <c r="B991" s="500" t="s">
        <v>45</v>
      </c>
      <c r="C991" s="502">
        <v>79472</v>
      </c>
      <c r="D991" s="559" t="s">
        <v>787</v>
      </c>
      <c r="E991" s="496" t="s">
        <v>15</v>
      </c>
      <c r="F991" s="426">
        <f>F966</f>
        <v>17200</v>
      </c>
      <c r="G991" s="426">
        <v>0.45</v>
      </c>
      <c r="H991" s="426">
        <f>ROUND((1+$L$16)*G991,2)</f>
        <v>0.56999999999999995</v>
      </c>
      <c r="I991" s="448">
        <f t="shared" ref="I991" si="62">ROUND(F991*H991,2)</f>
        <v>9804</v>
      </c>
      <c r="J991" s="437"/>
      <c r="K991" s="456"/>
      <c r="L991" s="456"/>
      <c r="M991" s="456"/>
      <c r="N991" s="372"/>
      <c r="O991" s="372"/>
      <c r="P991" s="372"/>
      <c r="Q991" s="373"/>
      <c r="R991" s="372"/>
      <c r="S991" s="373"/>
      <c r="T991" s="373"/>
      <c r="U991" s="373"/>
      <c r="V991" s="373"/>
    </row>
    <row r="992" spans="1:63" s="457" customFormat="1" x14ac:dyDescent="0.2">
      <c r="A992" s="542"/>
      <c r="B992" s="500"/>
      <c r="C992" s="502"/>
      <c r="D992" s="559"/>
      <c r="E992" s="496"/>
      <c r="F992" s="426"/>
      <c r="G992" s="426"/>
      <c r="H992" s="426"/>
      <c r="I992" s="448"/>
      <c r="J992" s="437"/>
      <c r="K992" s="456"/>
      <c r="L992" s="456"/>
      <c r="M992" s="456"/>
      <c r="N992" s="372"/>
      <c r="O992" s="372"/>
      <c r="P992" s="372"/>
      <c r="Q992" s="373"/>
      <c r="R992" s="372"/>
      <c r="S992" s="373"/>
      <c r="T992" s="373"/>
      <c r="U992" s="373"/>
      <c r="V992" s="373"/>
    </row>
    <row r="993" spans="1:22" s="457" customFormat="1" x14ac:dyDescent="0.2">
      <c r="A993" s="542"/>
      <c r="B993" s="500"/>
      <c r="C993" s="502"/>
      <c r="D993" s="549" t="s">
        <v>2443</v>
      </c>
      <c r="E993" s="496"/>
      <c r="F993" s="426"/>
      <c r="G993" s="426"/>
      <c r="H993" s="426"/>
      <c r="I993" s="448"/>
      <c r="J993" s="437"/>
      <c r="K993" s="456"/>
      <c r="L993" s="456"/>
      <c r="M993" s="456"/>
      <c r="N993" s="372"/>
      <c r="O993" s="372"/>
      <c r="P993" s="372"/>
      <c r="Q993" s="373"/>
      <c r="R993" s="372"/>
      <c r="S993" s="373"/>
      <c r="T993" s="373"/>
      <c r="U993" s="373"/>
      <c r="V993" s="373"/>
    </row>
    <row r="994" spans="1:22" s="457" customFormat="1" x14ac:dyDescent="0.2">
      <c r="A994" s="542"/>
      <c r="B994" s="500"/>
      <c r="C994" s="502"/>
      <c r="D994" s="559"/>
      <c r="E994" s="496"/>
      <c r="F994" s="426"/>
      <c r="G994" s="426"/>
      <c r="H994" s="426"/>
      <c r="I994" s="448"/>
      <c r="J994" s="437"/>
      <c r="K994" s="456"/>
      <c r="L994" s="456"/>
      <c r="M994" s="456"/>
      <c r="N994" s="372"/>
      <c r="O994" s="372"/>
      <c r="P994" s="372"/>
      <c r="Q994" s="373"/>
      <c r="R994" s="372"/>
      <c r="S994" s="373"/>
      <c r="T994" s="373"/>
      <c r="U994" s="373"/>
      <c r="V994" s="373"/>
    </row>
    <row r="995" spans="1:22" s="457" customFormat="1" x14ac:dyDescent="0.2">
      <c r="A995" s="542" t="s">
        <v>1104</v>
      </c>
      <c r="B995" s="500" t="s">
        <v>45</v>
      </c>
      <c r="C995" s="500" t="s">
        <v>728</v>
      </c>
      <c r="D995" s="540" t="s">
        <v>729</v>
      </c>
      <c r="E995" s="495" t="s">
        <v>16</v>
      </c>
      <c r="F995" s="449">
        <f>F983</f>
        <v>28058.81</v>
      </c>
      <c r="G995" s="426">
        <v>4.8</v>
      </c>
      <c r="H995" s="426">
        <f>ROUND((1+$L$16)*G995,2)</f>
        <v>6.07</v>
      </c>
      <c r="I995" s="448">
        <f t="shared" ref="I995" si="63">ROUND(F995*H995,2)</f>
        <v>170316.98</v>
      </c>
      <c r="J995" s="437"/>
      <c r="K995" s="456"/>
      <c r="L995" s="456"/>
      <c r="M995" s="456"/>
      <c r="N995" s="372"/>
      <c r="O995" s="372"/>
      <c r="P995" s="372"/>
      <c r="Q995" s="373"/>
      <c r="R995" s="372"/>
      <c r="S995" s="373"/>
      <c r="T995" s="373"/>
      <c r="U995" s="373"/>
      <c r="V995" s="373"/>
    </row>
    <row r="996" spans="1:22" s="457" customFormat="1" x14ac:dyDescent="0.2">
      <c r="A996" s="542"/>
      <c r="B996" s="500"/>
      <c r="C996" s="500"/>
      <c r="D996" s="540"/>
      <c r="E996" s="495"/>
      <c r="F996" s="449"/>
      <c r="G996" s="426"/>
      <c r="H996" s="426"/>
      <c r="I996" s="448"/>
      <c r="J996" s="437"/>
      <c r="K996" s="456"/>
      <c r="L996" s="456"/>
      <c r="M996" s="456"/>
      <c r="N996" s="372"/>
      <c r="O996" s="372"/>
      <c r="P996" s="372"/>
      <c r="Q996" s="373"/>
      <c r="R996" s="372"/>
      <c r="S996" s="373"/>
      <c r="T996" s="373"/>
      <c r="U996" s="373"/>
      <c r="V996" s="373"/>
    </row>
    <row r="997" spans="1:22" s="457" customFormat="1" ht="30" x14ac:dyDescent="0.2">
      <c r="A997" s="542"/>
      <c r="B997" s="500"/>
      <c r="C997" s="500"/>
      <c r="D997" s="540" t="s">
        <v>2446</v>
      </c>
      <c r="E997" s="495"/>
      <c r="F997" s="449"/>
      <c r="G997" s="426"/>
      <c r="H997" s="426"/>
      <c r="I997" s="448"/>
      <c r="J997" s="437"/>
      <c r="K997" s="456"/>
      <c r="L997" s="456"/>
      <c r="M997" s="456"/>
      <c r="N997" s="372"/>
      <c r="O997" s="372"/>
      <c r="P997" s="372"/>
      <c r="Q997" s="373"/>
      <c r="R997" s="372"/>
      <c r="S997" s="373"/>
      <c r="T997" s="373"/>
      <c r="U997" s="373"/>
      <c r="V997" s="373"/>
    </row>
    <row r="998" spans="1:22" s="457" customFormat="1" x14ac:dyDescent="0.2">
      <c r="A998" s="538"/>
      <c r="B998" s="502"/>
      <c r="C998" s="502"/>
      <c r="D998" s="559"/>
      <c r="E998" s="496"/>
      <c r="F998" s="427"/>
      <c r="G998" s="427"/>
      <c r="H998" s="427"/>
      <c r="I998" s="428"/>
      <c r="J998" s="437"/>
      <c r="K998" s="456"/>
      <c r="L998" s="456"/>
      <c r="M998" s="456"/>
      <c r="N998" s="372"/>
      <c r="O998" s="372"/>
      <c r="P998" s="372"/>
      <c r="Q998" s="373"/>
      <c r="R998" s="372"/>
      <c r="S998" s="373"/>
      <c r="T998" s="373"/>
      <c r="U998" s="373"/>
      <c r="V998" s="373"/>
    </row>
    <row r="999" spans="1:22" s="457" customFormat="1" ht="15.75" x14ac:dyDescent="0.2">
      <c r="A999" s="558" t="s">
        <v>266</v>
      </c>
      <c r="B999" s="501"/>
      <c r="C999" s="501"/>
      <c r="D999" s="545" t="s">
        <v>722</v>
      </c>
      <c r="E999" s="491"/>
      <c r="F999" s="404"/>
      <c r="G999" s="405"/>
      <c r="H999" s="406"/>
      <c r="I999" s="407">
        <f>SUM(I1000:I1069)</f>
        <v>690912.19</v>
      </c>
      <c r="J999" s="437"/>
      <c r="K999" s="456"/>
      <c r="L999" s="456"/>
      <c r="M999" s="456"/>
      <c r="N999" s="372"/>
      <c r="O999" s="372"/>
      <c r="P999" s="372"/>
      <c r="Q999" s="373"/>
      <c r="R999" s="372"/>
      <c r="S999" s="373"/>
      <c r="T999" s="373"/>
      <c r="U999" s="373"/>
      <c r="V999" s="373"/>
    </row>
    <row r="1000" spans="1:22" s="457" customFormat="1" ht="30" x14ac:dyDescent="0.2">
      <c r="A1000" s="538" t="s">
        <v>1105</v>
      </c>
      <c r="B1000" s="499" t="s">
        <v>45</v>
      </c>
      <c r="C1000" s="502" t="s">
        <v>730</v>
      </c>
      <c r="D1000" s="554" t="s">
        <v>731</v>
      </c>
      <c r="E1000" s="492" t="s">
        <v>15</v>
      </c>
      <c r="F1000" s="426">
        <f>5.2*14</f>
        <v>72.8</v>
      </c>
      <c r="G1000" s="426">
        <v>8.3000000000000007</v>
      </c>
      <c r="H1000" s="427">
        <f>G1000*(1+$L$16)</f>
        <v>10.494161995291234</v>
      </c>
      <c r="I1000" s="428">
        <f t="shared" ref="I1000:I1057" si="64">ROUND(F1000*H1000,2)</f>
        <v>763.97</v>
      </c>
      <c r="J1000" s="437"/>
      <c r="K1000" s="456"/>
      <c r="L1000" s="456"/>
      <c r="M1000" s="456"/>
      <c r="N1000" s="372"/>
      <c r="O1000" s="372"/>
      <c r="P1000" s="372"/>
      <c r="Q1000" s="373"/>
      <c r="R1000" s="372"/>
      <c r="S1000" s="373"/>
      <c r="T1000" s="373"/>
      <c r="U1000" s="373"/>
      <c r="V1000" s="373"/>
    </row>
    <row r="1001" spans="1:22" s="457" customFormat="1" x14ac:dyDescent="0.2">
      <c r="A1001" s="538"/>
      <c r="B1001" s="499"/>
      <c r="C1001" s="502"/>
      <c r="D1001" s="554"/>
      <c r="E1001" s="492"/>
      <c r="F1001" s="426"/>
      <c r="G1001" s="426"/>
      <c r="H1001" s="427"/>
      <c r="I1001" s="428"/>
      <c r="J1001" s="437"/>
      <c r="K1001" s="456"/>
      <c r="L1001" s="456"/>
      <c r="M1001" s="456"/>
      <c r="N1001" s="372"/>
      <c r="O1001" s="372"/>
      <c r="P1001" s="372"/>
      <c r="Q1001" s="373"/>
      <c r="R1001" s="372"/>
      <c r="S1001" s="373"/>
      <c r="T1001" s="373"/>
      <c r="U1001" s="373"/>
      <c r="V1001" s="373"/>
    </row>
    <row r="1002" spans="1:22" s="457" customFormat="1" x14ac:dyDescent="0.2">
      <c r="A1002" s="538"/>
      <c r="B1002" s="499"/>
      <c r="C1002" s="502"/>
      <c r="D1002" s="554" t="s">
        <v>2447</v>
      </c>
      <c r="E1002" s="492"/>
      <c r="F1002" s="426"/>
      <c r="G1002" s="426"/>
      <c r="H1002" s="427"/>
      <c r="I1002" s="428"/>
      <c r="J1002" s="437"/>
      <c r="K1002" s="456"/>
      <c r="L1002" s="456"/>
      <c r="M1002" s="456"/>
      <c r="N1002" s="372"/>
      <c r="O1002" s="372"/>
      <c r="P1002" s="372"/>
      <c r="Q1002" s="373"/>
      <c r="R1002" s="372"/>
      <c r="S1002" s="373"/>
      <c r="T1002" s="373"/>
      <c r="U1002" s="373"/>
      <c r="V1002" s="373"/>
    </row>
    <row r="1003" spans="1:22" s="457" customFormat="1" x14ac:dyDescent="0.2">
      <c r="A1003" s="550"/>
      <c r="B1003" s="551"/>
      <c r="C1003" s="551"/>
      <c r="D1003" s="552"/>
      <c r="E1003" s="492"/>
      <c r="F1003" s="426"/>
      <c r="G1003" s="426"/>
      <c r="H1003" s="427"/>
      <c r="I1003" s="428"/>
      <c r="J1003" s="437"/>
      <c r="K1003" s="456"/>
      <c r="L1003" s="456"/>
      <c r="M1003" s="456"/>
      <c r="N1003" s="372"/>
      <c r="O1003" s="372"/>
      <c r="P1003" s="372"/>
      <c r="Q1003" s="373"/>
      <c r="R1003" s="372"/>
      <c r="S1003" s="373"/>
      <c r="T1003" s="373"/>
      <c r="U1003" s="373"/>
      <c r="V1003" s="373"/>
    </row>
    <row r="1004" spans="1:22" s="457" customFormat="1" ht="30" x14ac:dyDescent="0.2">
      <c r="A1004" s="538" t="s">
        <v>1106</v>
      </c>
      <c r="B1004" s="499" t="s">
        <v>45</v>
      </c>
      <c r="C1004" s="499">
        <v>79475</v>
      </c>
      <c r="D1004" s="539" t="s">
        <v>1349</v>
      </c>
      <c r="E1004" s="492" t="s">
        <v>16</v>
      </c>
      <c r="F1004" s="426">
        <f>0.5*0.5*0.75*6</f>
        <v>1.125</v>
      </c>
      <c r="G1004" s="426">
        <v>368.9</v>
      </c>
      <c r="H1004" s="427">
        <f>G1004*(1+$L$16)</f>
        <v>466.42124820035372</v>
      </c>
      <c r="I1004" s="428">
        <f t="shared" si="64"/>
        <v>524.72</v>
      </c>
      <c r="J1004" s="437"/>
      <c r="K1004" s="456"/>
      <c r="L1004" s="456"/>
      <c r="M1004" s="456"/>
      <c r="N1004" s="372"/>
      <c r="O1004" s="372"/>
      <c r="P1004" s="372"/>
      <c r="Q1004" s="373"/>
      <c r="R1004" s="372"/>
      <c r="S1004" s="373"/>
      <c r="T1004" s="373"/>
      <c r="U1004" s="373"/>
      <c r="V1004" s="373"/>
    </row>
    <row r="1005" spans="1:22" s="457" customFormat="1" x14ac:dyDescent="0.2">
      <c r="A1005" s="538"/>
      <c r="B1005" s="499"/>
      <c r="C1005" s="499"/>
      <c r="D1005" s="539"/>
      <c r="E1005" s="492"/>
      <c r="F1005" s="426"/>
      <c r="G1005" s="426"/>
      <c r="H1005" s="427"/>
      <c r="I1005" s="428"/>
      <c r="J1005" s="437"/>
      <c r="K1005" s="456"/>
      <c r="L1005" s="456"/>
      <c r="M1005" s="456"/>
      <c r="N1005" s="372"/>
      <c r="O1005" s="372"/>
      <c r="P1005" s="372"/>
      <c r="Q1005" s="373"/>
      <c r="R1005" s="372"/>
      <c r="S1005" s="373"/>
      <c r="T1005" s="373"/>
      <c r="U1005" s="373"/>
      <c r="V1005" s="373"/>
    </row>
    <row r="1006" spans="1:22" s="457" customFormat="1" x14ac:dyDescent="0.2">
      <c r="A1006" s="538"/>
      <c r="B1006" s="499"/>
      <c r="C1006" s="499"/>
      <c r="D1006" s="539" t="s">
        <v>2448</v>
      </c>
      <c r="E1006" s="492"/>
      <c r="F1006" s="426"/>
      <c r="G1006" s="426"/>
      <c r="H1006" s="427"/>
      <c r="I1006" s="428"/>
      <c r="J1006" s="437"/>
      <c r="K1006" s="456"/>
      <c r="L1006" s="456"/>
      <c r="M1006" s="456"/>
      <c r="N1006" s="372"/>
      <c r="O1006" s="372"/>
      <c r="P1006" s="372"/>
      <c r="Q1006" s="373"/>
      <c r="R1006" s="372"/>
      <c r="S1006" s="373"/>
      <c r="T1006" s="373"/>
      <c r="U1006" s="373"/>
      <c r="V1006" s="373"/>
    </row>
    <row r="1007" spans="1:22" s="457" customFormat="1" x14ac:dyDescent="0.2">
      <c r="A1007" s="538"/>
      <c r="B1007" s="499"/>
      <c r="C1007" s="499"/>
      <c r="D1007" s="539"/>
      <c r="E1007" s="492"/>
      <c r="F1007" s="426"/>
      <c r="G1007" s="426"/>
      <c r="H1007" s="427"/>
      <c r="I1007" s="428"/>
      <c r="J1007" s="437"/>
      <c r="K1007" s="456"/>
      <c r="L1007" s="456"/>
      <c r="M1007" s="456"/>
      <c r="N1007" s="372"/>
      <c r="O1007" s="372"/>
      <c r="P1007" s="372"/>
      <c r="Q1007" s="373"/>
      <c r="R1007" s="372"/>
      <c r="S1007" s="373"/>
      <c r="T1007" s="373"/>
      <c r="U1007" s="373"/>
      <c r="V1007" s="373"/>
    </row>
    <row r="1008" spans="1:22" ht="28.5" customHeight="1" x14ac:dyDescent="0.2">
      <c r="A1008" s="538" t="s">
        <v>1107</v>
      </c>
      <c r="B1008" s="499" t="s">
        <v>45</v>
      </c>
      <c r="C1008" s="499">
        <v>88039</v>
      </c>
      <c r="D1008" s="539" t="s">
        <v>744</v>
      </c>
      <c r="E1008" s="492" t="s">
        <v>16</v>
      </c>
      <c r="F1008" s="426">
        <f>F1004</f>
        <v>1.125</v>
      </c>
      <c r="G1008" s="426">
        <v>69.37</v>
      </c>
      <c r="H1008" s="427">
        <f>G1008*(1+$L$16)</f>
        <v>87.708435857030466</v>
      </c>
      <c r="I1008" s="428">
        <f t="shared" si="64"/>
        <v>98.67</v>
      </c>
      <c r="J1008" s="429"/>
      <c r="K1008" s="372"/>
      <c r="L1008" s="430"/>
      <c r="M1008" s="372"/>
      <c r="N1008" s="372"/>
      <c r="O1008" s="372"/>
      <c r="P1008" s="372"/>
      <c r="R1008" s="372"/>
    </row>
    <row r="1009" spans="1:18" x14ac:dyDescent="0.2">
      <c r="A1009" s="538"/>
      <c r="B1009" s="499"/>
      <c r="C1009" s="499"/>
      <c r="D1009" s="539"/>
      <c r="E1009" s="492"/>
      <c r="F1009" s="426"/>
      <c r="G1009" s="426"/>
      <c r="H1009" s="427"/>
      <c r="I1009" s="428"/>
      <c r="J1009" s="429"/>
      <c r="K1009" s="372"/>
      <c r="L1009" s="430"/>
      <c r="M1009" s="372"/>
      <c r="N1009" s="372"/>
      <c r="O1009" s="372"/>
      <c r="P1009" s="372"/>
      <c r="R1009" s="372"/>
    </row>
    <row r="1010" spans="1:18" x14ac:dyDescent="0.2">
      <c r="A1010" s="538"/>
      <c r="B1010" s="499"/>
      <c r="C1010" s="499"/>
      <c r="D1010" s="539" t="s">
        <v>2448</v>
      </c>
      <c r="E1010" s="492"/>
      <c r="F1010" s="426"/>
      <c r="G1010" s="426"/>
      <c r="H1010" s="427"/>
      <c r="I1010" s="428"/>
      <c r="J1010" s="429"/>
      <c r="K1010" s="372"/>
      <c r="L1010" s="430"/>
      <c r="M1010" s="372"/>
      <c r="N1010" s="372"/>
      <c r="O1010" s="372"/>
      <c r="P1010" s="372"/>
      <c r="R1010" s="372"/>
    </row>
    <row r="1011" spans="1:18" x14ac:dyDescent="0.2">
      <c r="A1011" s="538"/>
      <c r="B1011" s="499"/>
      <c r="C1011" s="499"/>
      <c r="D1011" s="539"/>
      <c r="E1011" s="492"/>
      <c r="F1011" s="426"/>
      <c r="G1011" s="426"/>
      <c r="H1011" s="427"/>
      <c r="I1011" s="428"/>
      <c r="J1011" s="429"/>
      <c r="K1011" s="372"/>
      <c r="L1011" s="430"/>
      <c r="M1011" s="372"/>
      <c r="N1011" s="372"/>
      <c r="O1011" s="372"/>
      <c r="P1011" s="372"/>
      <c r="R1011" s="372"/>
    </row>
    <row r="1012" spans="1:18" s="373" customFormat="1" ht="45" x14ac:dyDescent="0.2">
      <c r="A1012" s="538" t="s">
        <v>1108</v>
      </c>
      <c r="B1012" s="500" t="s">
        <v>335</v>
      </c>
      <c r="C1012" s="506" t="str">
        <f>COMPOSIÇÕES!C237</f>
        <v>CE-020</v>
      </c>
      <c r="D1012" s="554" t="str">
        <f>COMPOSIÇÕES!D237</f>
        <v xml:space="preserve">CRAVAMENTO DE ESTACAS PRÉ-MOLDADA DE CONCRETO, SEÇÃO QUADRADA, CAPACIDADE DE 25 TONELADAS, COMPRIMENTO TOTAL CRAVADO ATÉ 8,40M, BATE-ESTACAS POR GRAVIDADE SOBRE ROLOS </v>
      </c>
      <c r="E1012" s="495" t="s">
        <v>18</v>
      </c>
      <c r="F1012" s="426">
        <v>1</v>
      </c>
      <c r="G1012" s="426">
        <f>COMPOSIÇÕES!I237</f>
        <v>5627.94</v>
      </c>
      <c r="H1012" s="426">
        <f t="shared" ref="H1012" si="65">ROUND((1+K$3)*G1012,2)</f>
        <v>5627.94</v>
      </c>
      <c r="I1012" s="428">
        <f t="shared" si="64"/>
        <v>5627.94</v>
      </c>
      <c r="J1012" s="444"/>
      <c r="K1012" s="372"/>
      <c r="L1012" s="424"/>
      <c r="M1012" s="372"/>
      <c r="N1012" s="372"/>
      <c r="O1012" s="372"/>
      <c r="P1012" s="372"/>
      <c r="R1012" s="372"/>
    </row>
    <row r="1013" spans="1:18" s="373" customFormat="1" x14ac:dyDescent="0.2">
      <c r="A1013" s="538"/>
      <c r="B1013" s="500"/>
      <c r="C1013" s="506"/>
      <c r="D1013" s="554"/>
      <c r="E1013" s="495"/>
      <c r="F1013" s="426"/>
      <c r="G1013" s="426"/>
      <c r="H1013" s="426"/>
      <c r="I1013" s="521"/>
      <c r="J1013" s="444"/>
      <c r="K1013" s="372"/>
      <c r="L1013" s="424"/>
      <c r="M1013" s="372"/>
      <c r="N1013" s="372"/>
      <c r="O1013" s="372"/>
      <c r="P1013" s="372"/>
      <c r="R1013" s="372"/>
    </row>
    <row r="1014" spans="1:18" s="373" customFormat="1" x14ac:dyDescent="0.2">
      <c r="A1014" s="538"/>
      <c r="B1014" s="500"/>
      <c r="C1014" s="506"/>
      <c r="D1014" s="554" t="s">
        <v>2449</v>
      </c>
      <c r="E1014" s="495"/>
      <c r="F1014" s="426"/>
      <c r="G1014" s="426"/>
      <c r="H1014" s="426"/>
      <c r="I1014" s="521"/>
      <c r="J1014" s="444"/>
      <c r="K1014" s="372"/>
      <c r="L1014" s="424"/>
      <c r="M1014" s="372"/>
      <c r="N1014" s="372"/>
      <c r="O1014" s="372"/>
      <c r="P1014" s="372"/>
      <c r="R1014" s="372"/>
    </row>
    <row r="1015" spans="1:18" s="373" customFormat="1" x14ac:dyDescent="0.2">
      <c r="A1015" s="538"/>
      <c r="B1015" s="500"/>
      <c r="C1015" s="506"/>
      <c r="D1015" s="554"/>
      <c r="E1015" s="495"/>
      <c r="F1015" s="426"/>
      <c r="G1015" s="426"/>
      <c r="H1015" s="426"/>
      <c r="I1015" s="521"/>
      <c r="J1015" s="444"/>
      <c r="K1015" s="372"/>
      <c r="L1015" s="424"/>
      <c r="M1015" s="372"/>
      <c r="N1015" s="372"/>
      <c r="O1015" s="372"/>
      <c r="P1015" s="372"/>
      <c r="R1015" s="372"/>
    </row>
    <row r="1016" spans="1:18" s="447" customFormat="1" ht="30" customHeight="1" x14ac:dyDescent="0.2">
      <c r="A1016" s="538" t="s">
        <v>1109</v>
      </c>
      <c r="B1016" s="506" t="s">
        <v>45</v>
      </c>
      <c r="C1016" s="506">
        <v>92408</v>
      </c>
      <c r="D1016" s="540" t="s">
        <v>797</v>
      </c>
      <c r="E1016" s="494" t="s">
        <v>15</v>
      </c>
      <c r="F1016" s="426">
        <f>4.9*(0.25*2+0.4*2)*6+11.21</f>
        <v>49.430000000000007</v>
      </c>
      <c r="G1016" s="426">
        <v>126.28</v>
      </c>
      <c r="H1016" s="426">
        <f>ROUND((1+$L$16)*G1016,2)</f>
        <v>159.66</v>
      </c>
      <c r="I1016" s="445">
        <f>ROUND(F1016*H1016,2)</f>
        <v>7891.99</v>
      </c>
      <c r="J1016" s="446"/>
      <c r="K1016" s="453"/>
      <c r="L1016" s="453"/>
      <c r="M1016" s="446"/>
      <c r="N1016" s="446"/>
      <c r="O1016" s="446"/>
    </row>
    <row r="1017" spans="1:18" s="447" customFormat="1" x14ac:dyDescent="0.2">
      <c r="A1017" s="538"/>
      <c r="B1017" s="506"/>
      <c r="C1017" s="506"/>
      <c r="D1017" s="540"/>
      <c r="E1017" s="494"/>
      <c r="F1017" s="437"/>
      <c r="G1017" s="426"/>
      <c r="H1017" s="426"/>
      <c r="I1017" s="445"/>
      <c r="J1017" s="446"/>
      <c r="K1017" s="453"/>
      <c r="L1017" s="453"/>
      <c r="M1017" s="446"/>
      <c r="N1017" s="446"/>
      <c r="O1017" s="446"/>
    </row>
    <row r="1018" spans="1:18" s="447" customFormat="1" ht="21.75" customHeight="1" x14ac:dyDescent="0.2">
      <c r="A1018" s="538"/>
      <c r="B1018" s="506"/>
      <c r="C1018" s="506"/>
      <c r="D1018" s="540" t="s">
        <v>2450</v>
      </c>
      <c r="E1018" s="494"/>
      <c r="F1018" s="437"/>
      <c r="G1018" s="426"/>
      <c r="H1018" s="426"/>
      <c r="I1018" s="445"/>
      <c r="J1018" s="446"/>
      <c r="K1018" s="453"/>
      <c r="L1018" s="453"/>
      <c r="M1018" s="446"/>
      <c r="N1018" s="446"/>
      <c r="O1018" s="446"/>
    </row>
    <row r="1019" spans="1:18" s="447" customFormat="1" x14ac:dyDescent="0.2">
      <c r="A1019" s="538"/>
      <c r="B1019" s="506"/>
      <c r="C1019" s="506"/>
      <c r="D1019" s="540"/>
      <c r="E1019" s="494"/>
      <c r="F1019" s="437"/>
      <c r="G1019" s="426"/>
      <c r="H1019" s="426"/>
      <c r="I1019" s="445"/>
      <c r="J1019" s="446"/>
      <c r="K1019" s="453"/>
      <c r="L1019" s="453"/>
      <c r="M1019" s="446"/>
      <c r="N1019" s="446"/>
      <c r="O1019" s="446"/>
    </row>
    <row r="1020" spans="1:18" s="447" customFormat="1" ht="30" x14ac:dyDescent="0.2">
      <c r="A1020" s="538" t="s">
        <v>1353</v>
      </c>
      <c r="B1020" s="506" t="s">
        <v>45</v>
      </c>
      <c r="C1020" s="506">
        <v>92449</v>
      </c>
      <c r="D1020" s="540" t="s">
        <v>1352</v>
      </c>
      <c r="E1020" s="494" t="s">
        <v>15</v>
      </c>
      <c r="F1020" s="446">
        <f>4.72*2+(0.5*2+0.25*2)*2+2.95*3*(0.4*2+0.25*2)*2</f>
        <v>35.450000000000003</v>
      </c>
      <c r="G1020" s="426">
        <v>158.85</v>
      </c>
      <c r="H1020" s="426">
        <f>ROUND((1+$L$16)*G1020,2)</f>
        <v>200.84</v>
      </c>
      <c r="I1020" s="445">
        <f>ROUND(F1020*H1020,2)</f>
        <v>7119.78</v>
      </c>
      <c r="J1020" s="446"/>
      <c r="K1020" s="446"/>
      <c r="L1020" s="446"/>
      <c r="M1020" s="446"/>
      <c r="N1020" s="446"/>
      <c r="O1020" s="446"/>
    </row>
    <row r="1021" spans="1:18" s="447" customFormat="1" x14ac:dyDescent="0.2">
      <c r="A1021" s="538"/>
      <c r="B1021" s="506"/>
      <c r="C1021" s="506"/>
      <c r="D1021" s="540"/>
      <c r="E1021" s="494"/>
      <c r="F1021" s="446"/>
      <c r="G1021" s="426"/>
      <c r="H1021" s="426"/>
      <c r="I1021" s="445"/>
      <c r="J1021" s="446"/>
      <c r="K1021" s="446"/>
      <c r="L1021" s="446"/>
      <c r="M1021" s="446"/>
      <c r="N1021" s="446"/>
      <c r="O1021" s="446"/>
    </row>
    <row r="1022" spans="1:18" s="447" customFormat="1" ht="18.75" customHeight="1" x14ac:dyDescent="0.2">
      <c r="A1022" s="538"/>
      <c r="B1022" s="506"/>
      <c r="C1022" s="506"/>
      <c r="D1022" s="540" t="s">
        <v>2451</v>
      </c>
      <c r="E1022" s="494"/>
      <c r="F1022" s="446"/>
      <c r="G1022" s="426"/>
      <c r="H1022" s="426"/>
      <c r="I1022" s="445"/>
      <c r="J1022" s="446"/>
      <c r="K1022" s="446"/>
      <c r="L1022" s="446"/>
      <c r="M1022" s="446"/>
      <c r="N1022" s="446"/>
      <c r="O1022" s="446"/>
    </row>
    <row r="1023" spans="1:18" s="447" customFormat="1" x14ac:dyDescent="0.2">
      <c r="A1023" s="538"/>
      <c r="B1023" s="506"/>
      <c r="C1023" s="506"/>
      <c r="D1023" s="540"/>
      <c r="E1023" s="494"/>
      <c r="F1023" s="446"/>
      <c r="G1023" s="426"/>
      <c r="H1023" s="426"/>
      <c r="I1023" s="445"/>
      <c r="J1023" s="446"/>
      <c r="K1023" s="446"/>
      <c r="L1023" s="446"/>
      <c r="M1023" s="446"/>
      <c r="N1023" s="446"/>
      <c r="O1023" s="446"/>
    </row>
    <row r="1024" spans="1:18" s="447" customFormat="1" ht="30" x14ac:dyDescent="0.2">
      <c r="A1024" s="538" t="s">
        <v>1110</v>
      </c>
      <c r="B1024" s="506" t="s">
        <v>45</v>
      </c>
      <c r="C1024" s="506">
        <v>92481</v>
      </c>
      <c r="D1024" s="540" t="s">
        <v>796</v>
      </c>
      <c r="E1024" s="494" t="s">
        <v>15</v>
      </c>
      <c r="F1024" s="426">
        <f>3.2*12.15+3.2*0.2*2+12.15*0.2*2</f>
        <v>45.02</v>
      </c>
      <c r="G1024" s="426">
        <v>148.88999999999999</v>
      </c>
      <c r="H1024" s="426">
        <f>ROUND((1+$L$16)*G1024,2)</f>
        <v>188.25</v>
      </c>
      <c r="I1024" s="445">
        <f>ROUND(F1024*H1024,2)</f>
        <v>8475.02</v>
      </c>
      <c r="J1024" s="446"/>
      <c r="K1024" s="446"/>
      <c r="L1024" s="446"/>
      <c r="M1024" s="446"/>
      <c r="N1024" s="446"/>
      <c r="O1024" s="446"/>
    </row>
    <row r="1025" spans="1:15" s="447" customFormat="1" x14ac:dyDescent="0.2">
      <c r="A1025" s="538"/>
      <c r="B1025" s="506"/>
      <c r="C1025" s="506"/>
      <c r="D1025" s="540"/>
      <c r="E1025" s="494"/>
      <c r="F1025" s="426"/>
      <c r="G1025" s="426"/>
      <c r="H1025" s="426"/>
      <c r="I1025" s="445"/>
      <c r="J1025" s="446"/>
      <c r="K1025" s="446"/>
      <c r="L1025" s="446"/>
      <c r="M1025" s="446"/>
      <c r="N1025" s="446"/>
      <c r="O1025" s="446"/>
    </row>
    <row r="1026" spans="1:15" s="447" customFormat="1" ht="19.5" customHeight="1" x14ac:dyDescent="0.2">
      <c r="A1026" s="538"/>
      <c r="B1026" s="506"/>
      <c r="C1026" s="506"/>
      <c r="D1026" s="540" t="s">
        <v>2467</v>
      </c>
      <c r="E1026" s="494"/>
      <c r="F1026" s="426"/>
      <c r="G1026" s="426"/>
      <c r="H1026" s="426"/>
      <c r="I1026" s="445"/>
      <c r="J1026" s="446"/>
      <c r="K1026" s="446"/>
      <c r="L1026" s="446"/>
      <c r="M1026" s="446"/>
      <c r="N1026" s="446"/>
      <c r="O1026" s="446"/>
    </row>
    <row r="1027" spans="1:15" s="447" customFormat="1" ht="21.75" customHeight="1" x14ac:dyDescent="0.2">
      <c r="A1027" s="538"/>
      <c r="B1027" s="506"/>
      <c r="C1027" s="506"/>
      <c r="D1027" s="556" t="s">
        <v>2468</v>
      </c>
      <c r="E1027" s="494"/>
      <c r="F1027" s="426"/>
      <c r="G1027" s="426"/>
      <c r="H1027" s="426"/>
      <c r="I1027" s="445"/>
      <c r="J1027" s="446"/>
      <c r="K1027" s="446"/>
      <c r="L1027" s="446"/>
      <c r="M1027" s="446"/>
      <c r="N1027" s="446"/>
      <c r="O1027" s="446"/>
    </row>
    <row r="1028" spans="1:15" s="447" customFormat="1" x14ac:dyDescent="0.2">
      <c r="A1028" s="538"/>
      <c r="B1028" s="506"/>
      <c r="C1028" s="506"/>
      <c r="D1028" s="540"/>
      <c r="E1028" s="494"/>
      <c r="F1028" s="426"/>
      <c r="G1028" s="426"/>
      <c r="H1028" s="426"/>
      <c r="I1028" s="445"/>
      <c r="J1028" s="446"/>
      <c r="K1028" s="446"/>
      <c r="L1028" s="446"/>
      <c r="M1028" s="446"/>
      <c r="N1028" s="446"/>
      <c r="O1028" s="446"/>
    </row>
    <row r="1029" spans="1:15" s="452" customFormat="1" x14ac:dyDescent="0.2">
      <c r="A1029" s="542" t="s">
        <v>1111</v>
      </c>
      <c r="B1029" s="506" t="s">
        <v>45</v>
      </c>
      <c r="C1029" s="506">
        <v>34443</v>
      </c>
      <c r="D1029" s="540" t="s">
        <v>1390</v>
      </c>
      <c r="E1029" s="494" t="s">
        <v>169</v>
      </c>
      <c r="F1029" s="426">
        <v>50</v>
      </c>
      <c r="G1029" s="426">
        <v>3.8</v>
      </c>
      <c r="H1029" s="426">
        <v>4.4400000000000004</v>
      </c>
      <c r="I1029" s="445">
        <v>222</v>
      </c>
      <c r="J1029" s="451"/>
      <c r="K1029" s="451"/>
      <c r="L1029" s="451"/>
      <c r="M1029" s="451"/>
      <c r="N1029" s="451"/>
      <c r="O1029" s="451"/>
    </row>
    <row r="1030" spans="1:15" s="452" customFormat="1" x14ac:dyDescent="0.2">
      <c r="A1030" s="542"/>
      <c r="B1030" s="506"/>
      <c r="C1030" s="506"/>
      <c r="D1030" s="540"/>
      <c r="E1030" s="494"/>
      <c r="F1030" s="426"/>
      <c r="G1030" s="426"/>
      <c r="H1030" s="426"/>
      <c r="I1030" s="445"/>
      <c r="J1030" s="451"/>
      <c r="K1030" s="451"/>
      <c r="L1030" s="451"/>
      <c r="M1030" s="451"/>
      <c r="N1030" s="451"/>
      <c r="O1030" s="451"/>
    </row>
    <row r="1031" spans="1:15" s="452" customFormat="1" ht="17.25" customHeight="1" x14ac:dyDescent="0.2">
      <c r="A1031" s="542"/>
      <c r="B1031" s="506"/>
      <c r="C1031" s="506"/>
      <c r="D1031" s="540" t="s">
        <v>2452</v>
      </c>
      <c r="E1031" s="494"/>
      <c r="F1031" s="426"/>
      <c r="G1031" s="426"/>
      <c r="H1031" s="426"/>
      <c r="I1031" s="445"/>
      <c r="J1031" s="451"/>
      <c r="K1031" s="451"/>
      <c r="L1031" s="451"/>
      <c r="M1031" s="451"/>
      <c r="N1031" s="451"/>
      <c r="O1031" s="451"/>
    </row>
    <row r="1032" spans="1:15" s="452" customFormat="1" x14ac:dyDescent="0.2">
      <c r="A1032" s="542"/>
      <c r="B1032" s="506"/>
      <c r="C1032" s="506"/>
      <c r="D1032" s="540"/>
      <c r="E1032" s="494"/>
      <c r="F1032" s="426"/>
      <c r="G1032" s="426"/>
      <c r="H1032" s="426"/>
      <c r="I1032" s="445"/>
      <c r="J1032" s="451"/>
      <c r="K1032" s="451"/>
      <c r="L1032" s="451"/>
      <c r="M1032" s="451"/>
      <c r="N1032" s="451"/>
      <c r="O1032" s="451"/>
    </row>
    <row r="1033" spans="1:15" s="452" customFormat="1" x14ac:dyDescent="0.2">
      <c r="A1033" s="542" t="s">
        <v>1112</v>
      </c>
      <c r="B1033" s="506" t="s">
        <v>45</v>
      </c>
      <c r="C1033" s="506">
        <v>34441</v>
      </c>
      <c r="D1033" s="540" t="s">
        <v>1389</v>
      </c>
      <c r="E1033" s="494" t="s">
        <v>169</v>
      </c>
      <c r="F1033" s="426">
        <v>663</v>
      </c>
      <c r="G1033" s="426">
        <v>3.8</v>
      </c>
      <c r="H1033" s="426">
        <v>4.4400000000000004</v>
      </c>
      <c r="I1033" s="445">
        <v>2943.72</v>
      </c>
      <c r="J1033" s="451"/>
      <c r="K1033" s="451"/>
      <c r="L1033" s="451"/>
      <c r="M1033" s="451"/>
      <c r="N1033" s="451"/>
      <c r="O1033" s="451"/>
    </row>
    <row r="1034" spans="1:15" s="452" customFormat="1" x14ac:dyDescent="0.2">
      <c r="A1034" s="542"/>
      <c r="B1034" s="506"/>
      <c r="C1034" s="506"/>
      <c r="D1034" s="540"/>
      <c r="E1034" s="494"/>
      <c r="F1034" s="426"/>
      <c r="G1034" s="426"/>
      <c r="H1034" s="426"/>
      <c r="I1034" s="445"/>
      <c r="J1034" s="451"/>
      <c r="K1034" s="451"/>
      <c r="L1034" s="451"/>
      <c r="M1034" s="451"/>
      <c r="N1034" s="451"/>
      <c r="O1034" s="451"/>
    </row>
    <row r="1035" spans="1:15" s="452" customFormat="1" ht="18.75" customHeight="1" x14ac:dyDescent="0.2">
      <c r="A1035" s="542"/>
      <c r="B1035" s="506"/>
      <c r="C1035" s="506"/>
      <c r="D1035" s="540" t="s">
        <v>2453</v>
      </c>
      <c r="E1035" s="494"/>
      <c r="F1035" s="426"/>
      <c r="G1035" s="426"/>
      <c r="H1035" s="426"/>
      <c r="I1035" s="445"/>
      <c r="J1035" s="451"/>
      <c r="K1035" s="451"/>
      <c r="L1035" s="451"/>
      <c r="M1035" s="451"/>
      <c r="N1035" s="451"/>
      <c r="O1035" s="451"/>
    </row>
    <row r="1036" spans="1:15" s="452" customFormat="1" x14ac:dyDescent="0.2">
      <c r="A1036" s="542"/>
      <c r="B1036" s="506"/>
      <c r="C1036" s="506"/>
      <c r="D1036" s="540"/>
      <c r="E1036" s="494"/>
      <c r="F1036" s="426"/>
      <c r="G1036" s="426"/>
      <c r="H1036" s="426"/>
      <c r="I1036" s="445"/>
      <c r="J1036" s="451"/>
      <c r="K1036" s="451"/>
      <c r="L1036" s="451"/>
      <c r="M1036" s="451"/>
      <c r="N1036" s="451"/>
      <c r="O1036" s="451"/>
    </row>
    <row r="1037" spans="1:15" s="452" customFormat="1" x14ac:dyDescent="0.2">
      <c r="A1037" s="542" t="s">
        <v>1113</v>
      </c>
      <c r="B1037" s="506" t="s">
        <v>45</v>
      </c>
      <c r="C1037" s="506">
        <v>34439</v>
      </c>
      <c r="D1037" s="540" t="s">
        <v>798</v>
      </c>
      <c r="E1037" s="494" t="s">
        <v>169</v>
      </c>
      <c r="F1037" s="426">
        <v>246</v>
      </c>
      <c r="G1037" s="426">
        <v>4</v>
      </c>
      <c r="H1037" s="426">
        <v>4.67</v>
      </c>
      <c r="I1037" s="455">
        <v>1148.82</v>
      </c>
      <c r="J1037" s="451"/>
      <c r="K1037" s="451"/>
      <c r="L1037" s="451"/>
      <c r="M1037" s="451"/>
      <c r="N1037" s="451"/>
      <c r="O1037" s="451"/>
    </row>
    <row r="1038" spans="1:15" s="452" customFormat="1" x14ac:dyDescent="0.2">
      <c r="A1038" s="542"/>
      <c r="B1038" s="506"/>
      <c r="C1038" s="506"/>
      <c r="D1038" s="540"/>
      <c r="E1038" s="494"/>
      <c r="F1038" s="426"/>
      <c r="G1038" s="426"/>
      <c r="H1038" s="426"/>
      <c r="I1038" s="445"/>
      <c r="J1038" s="451"/>
      <c r="K1038" s="451"/>
      <c r="L1038" s="451"/>
      <c r="M1038" s="451"/>
      <c r="N1038" s="451"/>
      <c r="O1038" s="451"/>
    </row>
    <row r="1039" spans="1:15" s="452" customFormat="1" ht="17.25" customHeight="1" x14ac:dyDescent="0.2">
      <c r="A1039" s="542"/>
      <c r="B1039" s="506"/>
      <c r="C1039" s="506"/>
      <c r="D1039" s="540" t="s">
        <v>2454</v>
      </c>
      <c r="E1039" s="494"/>
      <c r="F1039" s="426"/>
      <c r="G1039" s="426"/>
      <c r="H1039" s="426"/>
      <c r="I1039" s="445"/>
      <c r="J1039" s="451"/>
      <c r="K1039" s="451"/>
      <c r="L1039" s="451"/>
      <c r="M1039" s="451"/>
      <c r="N1039" s="451"/>
      <c r="O1039" s="451"/>
    </row>
    <row r="1040" spans="1:15" s="452" customFormat="1" x14ac:dyDescent="0.2">
      <c r="A1040" s="542"/>
      <c r="B1040" s="506"/>
      <c r="C1040" s="506"/>
      <c r="D1040" s="540"/>
      <c r="E1040" s="494"/>
      <c r="F1040" s="426"/>
      <c r="G1040" s="426"/>
      <c r="H1040" s="426"/>
      <c r="I1040" s="445"/>
      <c r="J1040" s="451"/>
      <c r="K1040" s="451"/>
      <c r="L1040" s="451"/>
      <c r="M1040" s="451"/>
      <c r="N1040" s="451"/>
      <c r="O1040" s="451"/>
    </row>
    <row r="1041" spans="1:22" s="452" customFormat="1" x14ac:dyDescent="0.2">
      <c r="A1041" s="542" t="s">
        <v>1114</v>
      </c>
      <c r="B1041" s="506" t="s">
        <v>45</v>
      </c>
      <c r="C1041" s="506">
        <v>33</v>
      </c>
      <c r="D1041" s="540" t="s">
        <v>799</v>
      </c>
      <c r="E1041" s="494" t="s">
        <v>169</v>
      </c>
      <c r="F1041" s="426">
        <v>150</v>
      </c>
      <c r="G1041" s="426">
        <v>4.1900000000000004</v>
      </c>
      <c r="H1041" s="426">
        <v>4.8899999999999997</v>
      </c>
      <c r="I1041" s="455">
        <v>733.5</v>
      </c>
      <c r="J1041" s="451"/>
      <c r="K1041" s="451"/>
      <c r="L1041" s="451"/>
      <c r="M1041" s="451"/>
      <c r="N1041" s="451"/>
      <c r="O1041" s="451"/>
    </row>
    <row r="1042" spans="1:22" s="452" customFormat="1" x14ac:dyDescent="0.2">
      <c r="A1042" s="542"/>
      <c r="B1042" s="506"/>
      <c r="C1042" s="506"/>
      <c r="D1042" s="540"/>
      <c r="E1042" s="494"/>
      <c r="F1042" s="426"/>
      <c r="G1042" s="426"/>
      <c r="H1042" s="426"/>
      <c r="I1042" s="445"/>
      <c r="J1042" s="451"/>
      <c r="K1042" s="451"/>
      <c r="L1042" s="451"/>
      <c r="M1042" s="451"/>
      <c r="N1042" s="451"/>
      <c r="O1042" s="451"/>
    </row>
    <row r="1043" spans="1:22" s="452" customFormat="1" ht="19.5" customHeight="1" x14ac:dyDescent="0.2">
      <c r="A1043" s="542"/>
      <c r="B1043" s="506"/>
      <c r="C1043" s="506"/>
      <c r="D1043" s="540" t="s">
        <v>2455</v>
      </c>
      <c r="E1043" s="494"/>
      <c r="F1043" s="426"/>
      <c r="G1043" s="426"/>
      <c r="H1043" s="426"/>
      <c r="I1043" s="445"/>
      <c r="J1043" s="451"/>
      <c r="K1043" s="451"/>
      <c r="L1043" s="451"/>
      <c r="M1043" s="451"/>
      <c r="N1043" s="451"/>
      <c r="O1043" s="451"/>
    </row>
    <row r="1044" spans="1:22" s="452" customFormat="1" ht="19.5" customHeight="1" x14ac:dyDescent="0.2">
      <c r="A1044" s="542"/>
      <c r="B1044" s="506"/>
      <c r="C1044" s="506"/>
      <c r="D1044" s="540"/>
      <c r="E1044" s="494"/>
      <c r="F1044" s="426"/>
      <c r="G1044" s="426"/>
      <c r="H1044" s="426"/>
      <c r="I1044" s="445"/>
      <c r="J1044" s="451"/>
      <c r="K1044" s="451"/>
      <c r="L1044" s="451"/>
      <c r="M1044" s="451"/>
      <c r="N1044" s="451"/>
      <c r="O1044" s="451"/>
    </row>
    <row r="1045" spans="1:22" s="452" customFormat="1" x14ac:dyDescent="0.2">
      <c r="A1045" s="542" t="s">
        <v>1115</v>
      </c>
      <c r="B1045" s="506" t="s">
        <v>45</v>
      </c>
      <c r="C1045" s="506">
        <v>34449</v>
      </c>
      <c r="D1045" s="540" t="s">
        <v>871</v>
      </c>
      <c r="E1045" s="494" t="s">
        <v>169</v>
      </c>
      <c r="F1045" s="426">
        <v>247</v>
      </c>
      <c r="G1045" s="426">
        <v>4.18</v>
      </c>
      <c r="H1045" s="426">
        <v>4.88</v>
      </c>
      <c r="I1045" s="455">
        <v>1205.3599999999999</v>
      </c>
      <c r="J1045" s="451"/>
      <c r="K1045" s="451"/>
      <c r="L1045" s="451"/>
      <c r="M1045" s="451"/>
      <c r="N1045" s="451"/>
      <c r="O1045" s="451"/>
    </row>
    <row r="1046" spans="1:22" s="452" customFormat="1" x14ac:dyDescent="0.2">
      <c r="A1046" s="542"/>
      <c r="B1046" s="506"/>
      <c r="C1046" s="506"/>
      <c r="D1046" s="540"/>
      <c r="E1046" s="494"/>
      <c r="F1046" s="426"/>
      <c r="G1046" s="426"/>
      <c r="H1046" s="426"/>
      <c r="I1046" s="445"/>
      <c r="J1046" s="451"/>
      <c r="K1046" s="451"/>
      <c r="L1046" s="451"/>
      <c r="M1046" s="451"/>
      <c r="N1046" s="451"/>
      <c r="O1046" s="451"/>
    </row>
    <row r="1047" spans="1:22" s="452" customFormat="1" ht="19.5" customHeight="1" x14ac:dyDescent="0.2">
      <c r="A1047" s="542"/>
      <c r="B1047" s="506"/>
      <c r="C1047" s="506"/>
      <c r="D1047" s="540" t="s">
        <v>2456</v>
      </c>
      <c r="E1047" s="494"/>
      <c r="F1047" s="426"/>
      <c r="G1047" s="426"/>
      <c r="H1047" s="426"/>
      <c r="I1047" s="445"/>
      <c r="J1047" s="451"/>
      <c r="K1047" s="451"/>
      <c r="L1047" s="451"/>
      <c r="M1047" s="451"/>
      <c r="N1047" s="451"/>
      <c r="O1047" s="451"/>
    </row>
    <row r="1048" spans="1:22" s="452" customFormat="1" x14ac:dyDescent="0.2">
      <c r="A1048" s="542"/>
      <c r="B1048" s="506"/>
      <c r="C1048" s="506"/>
      <c r="D1048" s="540"/>
      <c r="E1048" s="494"/>
      <c r="F1048" s="426"/>
      <c r="G1048" s="426"/>
      <c r="H1048" s="426"/>
      <c r="I1048" s="445"/>
      <c r="J1048" s="451"/>
      <c r="K1048" s="451"/>
      <c r="L1048" s="451"/>
      <c r="M1048" s="451"/>
      <c r="N1048" s="451"/>
      <c r="O1048" s="451"/>
    </row>
    <row r="1049" spans="1:22" s="457" customFormat="1" ht="30" x14ac:dyDescent="0.2">
      <c r="A1049" s="542" t="s">
        <v>1116</v>
      </c>
      <c r="B1049" s="506" t="s">
        <v>45</v>
      </c>
      <c r="C1049" s="506">
        <v>95241</v>
      </c>
      <c r="D1049" s="554" t="s">
        <v>733</v>
      </c>
      <c r="E1049" s="495" t="s">
        <v>15</v>
      </c>
      <c r="F1049" s="426">
        <f>16.2*17.2</f>
        <v>278.64</v>
      </c>
      <c r="G1049" s="426">
        <v>19.88</v>
      </c>
      <c r="H1049" s="426">
        <f>G1049*(1+$L$16)</f>
        <v>25.135414514022855</v>
      </c>
      <c r="I1049" s="448">
        <f t="shared" ref="I1049" si="66">ROUND(F1049*H1049,2)</f>
        <v>7003.73</v>
      </c>
      <c r="J1049" s="437"/>
      <c r="K1049" s="456"/>
      <c r="L1049" s="456"/>
      <c r="M1049" s="456"/>
      <c r="N1049" s="372"/>
      <c r="O1049" s="372"/>
      <c r="P1049" s="372"/>
      <c r="Q1049" s="373"/>
      <c r="R1049" s="372"/>
      <c r="S1049" s="373"/>
      <c r="T1049" s="373"/>
      <c r="U1049" s="373"/>
      <c r="V1049" s="373"/>
    </row>
    <row r="1050" spans="1:22" s="457" customFormat="1" x14ac:dyDescent="0.2">
      <c r="A1050" s="542"/>
      <c r="B1050" s="506"/>
      <c r="C1050" s="506"/>
      <c r="D1050" s="554"/>
      <c r="E1050" s="495"/>
      <c r="F1050" s="426"/>
      <c r="G1050" s="426"/>
      <c r="H1050" s="426"/>
      <c r="I1050" s="510"/>
      <c r="J1050" s="437"/>
      <c r="K1050" s="456"/>
      <c r="L1050" s="456"/>
      <c r="M1050" s="456"/>
      <c r="N1050" s="372"/>
      <c r="O1050" s="372"/>
      <c r="P1050" s="372"/>
      <c r="Q1050" s="373"/>
      <c r="R1050" s="372"/>
      <c r="S1050" s="373"/>
      <c r="T1050" s="373"/>
      <c r="U1050" s="373"/>
      <c r="V1050" s="373"/>
    </row>
    <row r="1051" spans="1:22" s="457" customFormat="1" x14ac:dyDescent="0.2">
      <c r="A1051" s="542"/>
      <c r="B1051" s="506"/>
      <c r="C1051" s="506"/>
      <c r="D1051" s="554" t="s">
        <v>2457</v>
      </c>
      <c r="E1051" s="495"/>
      <c r="F1051" s="426"/>
      <c r="G1051" s="426"/>
      <c r="H1051" s="426"/>
      <c r="I1051" s="510"/>
      <c r="J1051" s="437"/>
      <c r="K1051" s="456"/>
      <c r="L1051" s="456"/>
      <c r="M1051" s="456"/>
      <c r="N1051" s="372"/>
      <c r="O1051" s="372"/>
      <c r="P1051" s="372"/>
      <c r="Q1051" s="373"/>
      <c r="R1051" s="372"/>
      <c r="S1051" s="373"/>
      <c r="T1051" s="373"/>
      <c r="U1051" s="373"/>
      <c r="V1051" s="373"/>
    </row>
    <row r="1052" spans="1:22" s="457" customFormat="1" x14ac:dyDescent="0.2">
      <c r="A1052" s="542"/>
      <c r="B1052" s="506"/>
      <c r="C1052" s="506"/>
      <c r="D1052" s="554"/>
      <c r="E1052" s="495"/>
      <c r="F1052" s="426"/>
      <c r="G1052" s="426"/>
      <c r="H1052" s="426"/>
      <c r="I1052" s="510"/>
      <c r="J1052" s="437"/>
      <c r="K1052" s="456"/>
      <c r="L1052" s="456"/>
      <c r="M1052" s="456"/>
      <c r="N1052" s="372"/>
      <c r="O1052" s="372"/>
      <c r="P1052" s="372"/>
      <c r="Q1052" s="373"/>
      <c r="R1052" s="372"/>
      <c r="S1052" s="373"/>
      <c r="T1052" s="373"/>
      <c r="U1052" s="373"/>
      <c r="V1052" s="373"/>
    </row>
    <row r="1053" spans="1:22" s="373" customFormat="1" ht="30" x14ac:dyDescent="0.2">
      <c r="A1053" s="542" t="s">
        <v>1673</v>
      </c>
      <c r="B1053" s="506" t="s">
        <v>45</v>
      </c>
      <c r="C1053" s="506">
        <v>94967</v>
      </c>
      <c r="D1053" s="554" t="s">
        <v>1351</v>
      </c>
      <c r="E1053" s="495" t="s">
        <v>16</v>
      </c>
      <c r="F1053" s="426">
        <v>50.3</v>
      </c>
      <c r="G1053" s="426">
        <v>331.4</v>
      </c>
      <c r="H1053" s="426">
        <f>ROUND((1+$L$16)*G1053,2)</f>
        <v>419.01</v>
      </c>
      <c r="I1053" s="445">
        <f>ROUND(F1053*H1053,2)</f>
        <v>21076.2</v>
      </c>
      <c r="J1053" s="444"/>
      <c r="K1053" s="372"/>
      <c r="L1053" s="424"/>
      <c r="M1053" s="372"/>
      <c r="N1053" s="372"/>
      <c r="O1053" s="372"/>
      <c r="P1053" s="372"/>
      <c r="R1053" s="372"/>
    </row>
    <row r="1054" spans="1:22" s="373" customFormat="1" x14ac:dyDescent="0.2">
      <c r="A1054" s="542"/>
      <c r="B1054" s="506"/>
      <c r="C1054" s="506"/>
      <c r="D1054" s="554"/>
      <c r="E1054" s="495"/>
      <c r="F1054" s="426"/>
      <c r="G1054" s="426"/>
      <c r="H1054" s="426"/>
      <c r="I1054" s="455"/>
      <c r="J1054" s="444"/>
      <c r="K1054" s="372"/>
      <c r="L1054" s="424"/>
      <c r="M1054" s="372"/>
      <c r="N1054" s="372"/>
      <c r="O1054" s="372"/>
      <c r="P1054" s="372"/>
      <c r="R1054" s="372"/>
    </row>
    <row r="1055" spans="1:22" s="373" customFormat="1" x14ac:dyDescent="0.2">
      <c r="A1055" s="542"/>
      <c r="B1055" s="506"/>
      <c r="C1055" s="506"/>
      <c r="D1055" s="554" t="s">
        <v>2458</v>
      </c>
      <c r="E1055" s="495"/>
      <c r="F1055" s="426"/>
      <c r="G1055" s="426"/>
      <c r="H1055" s="426"/>
      <c r="I1055" s="455"/>
      <c r="J1055" s="444"/>
      <c r="K1055" s="372"/>
      <c r="L1055" s="424"/>
      <c r="M1055" s="372"/>
      <c r="N1055" s="372"/>
      <c r="O1055" s="372"/>
      <c r="P1055" s="372"/>
      <c r="R1055" s="372"/>
    </row>
    <row r="1056" spans="1:22" s="373" customFormat="1" x14ac:dyDescent="0.2">
      <c r="A1056" s="542"/>
      <c r="B1056" s="506"/>
      <c r="C1056" s="506"/>
      <c r="D1056" s="554"/>
      <c r="E1056" s="495"/>
      <c r="F1056" s="426"/>
      <c r="G1056" s="426"/>
      <c r="H1056" s="426"/>
      <c r="I1056" s="455"/>
      <c r="J1056" s="444"/>
      <c r="K1056" s="372"/>
      <c r="L1056" s="424"/>
      <c r="M1056" s="372"/>
      <c r="N1056" s="372"/>
      <c r="O1056" s="372"/>
      <c r="P1056" s="372"/>
      <c r="R1056" s="372"/>
    </row>
    <row r="1057" spans="1:22" s="373" customFormat="1" ht="30" x14ac:dyDescent="0.2">
      <c r="A1057" s="542" t="s">
        <v>1807</v>
      </c>
      <c r="B1057" s="500" t="s">
        <v>45</v>
      </c>
      <c r="C1057" s="500">
        <v>92874</v>
      </c>
      <c r="D1057" s="540" t="s">
        <v>800</v>
      </c>
      <c r="E1057" s="495" t="s">
        <v>16</v>
      </c>
      <c r="F1057" s="426">
        <f>F1053</f>
        <v>50.3</v>
      </c>
      <c r="G1057" s="426">
        <v>27.56</v>
      </c>
      <c r="H1057" s="426">
        <f>G1057*(1+$L$16)</f>
        <v>34.8456752518345</v>
      </c>
      <c r="I1057" s="448">
        <f t="shared" si="64"/>
        <v>1752.74</v>
      </c>
      <c r="J1057" s="437"/>
      <c r="K1057" s="372"/>
      <c r="L1057" s="430"/>
      <c r="M1057" s="372"/>
      <c r="N1057" s="372"/>
      <c r="O1057" s="372"/>
      <c r="P1057" s="372"/>
      <c r="R1057" s="372"/>
    </row>
    <row r="1058" spans="1:22" s="373" customFormat="1" x14ac:dyDescent="0.2">
      <c r="A1058" s="542"/>
      <c r="B1058" s="500"/>
      <c r="C1058" s="500"/>
      <c r="D1058" s="540"/>
      <c r="E1058" s="495"/>
      <c r="F1058" s="426"/>
      <c r="G1058" s="426"/>
      <c r="H1058" s="426"/>
      <c r="I1058" s="448"/>
      <c r="J1058" s="437"/>
      <c r="K1058" s="372"/>
      <c r="L1058" s="430"/>
      <c r="M1058" s="372"/>
      <c r="N1058" s="372"/>
      <c r="O1058" s="372"/>
      <c r="P1058" s="372"/>
      <c r="R1058" s="372"/>
    </row>
    <row r="1059" spans="1:22" s="373" customFormat="1" x14ac:dyDescent="0.2">
      <c r="A1059" s="542"/>
      <c r="B1059" s="500"/>
      <c r="C1059" s="500"/>
      <c r="D1059" s="554" t="s">
        <v>2458</v>
      </c>
      <c r="E1059" s="495"/>
      <c r="F1059" s="426"/>
      <c r="G1059" s="426"/>
      <c r="H1059" s="426"/>
      <c r="I1059" s="448"/>
      <c r="J1059" s="437"/>
      <c r="K1059" s="372"/>
      <c r="L1059" s="430"/>
      <c r="M1059" s="372"/>
      <c r="N1059" s="372"/>
      <c r="O1059" s="372"/>
      <c r="P1059" s="372"/>
      <c r="R1059" s="372"/>
    </row>
    <row r="1060" spans="1:22" s="373" customFormat="1" x14ac:dyDescent="0.2">
      <c r="A1060" s="542"/>
      <c r="B1060" s="500"/>
      <c r="C1060" s="500"/>
      <c r="D1060" s="540"/>
      <c r="E1060" s="495"/>
      <c r="F1060" s="426"/>
      <c r="G1060" s="426"/>
      <c r="H1060" s="426"/>
      <c r="I1060" s="448"/>
      <c r="J1060" s="437"/>
      <c r="K1060" s="372"/>
      <c r="L1060" s="430"/>
      <c r="M1060" s="372"/>
      <c r="N1060" s="372"/>
      <c r="O1060" s="372"/>
      <c r="P1060" s="372"/>
      <c r="R1060" s="372"/>
    </row>
    <row r="1061" spans="1:22" s="457" customFormat="1" x14ac:dyDescent="0.2">
      <c r="A1061" s="550" t="s">
        <v>2459</v>
      </c>
      <c r="B1061" s="551" t="s">
        <v>65</v>
      </c>
      <c r="C1061" s="551"/>
      <c r="D1061" s="552" t="s">
        <v>1215</v>
      </c>
      <c r="E1061" s="494" t="s">
        <v>18</v>
      </c>
      <c r="F1061" s="426">
        <v>1</v>
      </c>
      <c r="G1061" s="426">
        <v>478200</v>
      </c>
      <c r="H1061" s="426">
        <f>G1061*(1+$L$16)</f>
        <v>604615.45375280338</v>
      </c>
      <c r="I1061" s="448">
        <f t="shared" ref="I1061" si="67">ROUND(F1061*H1061,2)</f>
        <v>604615.44999999995</v>
      </c>
      <c r="J1061" s="437"/>
      <c r="K1061" s="456"/>
      <c r="L1061" s="456"/>
      <c r="M1061" s="456"/>
      <c r="N1061" s="372"/>
      <c r="O1061" s="372"/>
      <c r="P1061" s="372"/>
      <c r="Q1061" s="373"/>
      <c r="R1061" s="372"/>
      <c r="S1061" s="373"/>
      <c r="T1061" s="373"/>
      <c r="U1061" s="373"/>
      <c r="V1061" s="373"/>
    </row>
    <row r="1062" spans="1:22" s="457" customFormat="1" x14ac:dyDescent="0.2">
      <c r="A1062" s="542"/>
      <c r="B1062" s="506"/>
      <c r="C1062" s="506"/>
      <c r="D1062" s="554"/>
      <c r="E1062" s="494"/>
      <c r="F1062" s="426"/>
      <c r="G1062" s="426"/>
      <c r="H1062" s="426"/>
      <c r="I1062" s="448"/>
      <c r="J1062" s="437"/>
      <c r="K1062" s="456"/>
      <c r="L1062" s="456"/>
      <c r="M1062" s="456"/>
      <c r="N1062" s="372"/>
      <c r="O1062" s="372"/>
      <c r="P1062" s="372"/>
      <c r="Q1062" s="373"/>
      <c r="R1062" s="372"/>
      <c r="S1062" s="373"/>
      <c r="T1062" s="373"/>
      <c r="U1062" s="373"/>
      <c r="V1062" s="373"/>
    </row>
    <row r="1063" spans="1:22" s="457" customFormat="1" x14ac:dyDescent="0.2">
      <c r="A1063" s="542"/>
      <c r="B1063" s="506"/>
      <c r="C1063" s="506"/>
      <c r="D1063" s="554" t="s">
        <v>2462</v>
      </c>
      <c r="E1063" s="494"/>
      <c r="F1063" s="426"/>
      <c r="G1063" s="426"/>
      <c r="H1063" s="426"/>
      <c r="I1063" s="448"/>
      <c r="J1063" s="437"/>
      <c r="K1063" s="456"/>
      <c r="L1063" s="456"/>
      <c r="M1063" s="456"/>
      <c r="N1063" s="372"/>
      <c r="O1063" s="372"/>
      <c r="P1063" s="372"/>
      <c r="Q1063" s="373"/>
      <c r="R1063" s="372"/>
      <c r="S1063" s="373"/>
      <c r="T1063" s="373"/>
      <c r="U1063" s="373"/>
      <c r="V1063" s="373"/>
    </row>
    <row r="1064" spans="1:22" s="457" customFormat="1" x14ac:dyDescent="0.2">
      <c r="A1064" s="542"/>
      <c r="B1064" s="506"/>
      <c r="C1064" s="506"/>
      <c r="D1064" s="554"/>
      <c r="E1064" s="494"/>
      <c r="F1064" s="426"/>
      <c r="G1064" s="426"/>
      <c r="H1064" s="426"/>
      <c r="I1064" s="448"/>
      <c r="J1064" s="437"/>
      <c r="K1064" s="456"/>
      <c r="L1064" s="456"/>
      <c r="M1064" s="456"/>
      <c r="N1064" s="372"/>
      <c r="O1064" s="372"/>
      <c r="P1064" s="372"/>
      <c r="Q1064" s="373"/>
      <c r="R1064" s="372"/>
      <c r="S1064" s="373"/>
      <c r="T1064" s="373"/>
      <c r="U1064" s="373"/>
      <c r="V1064" s="373"/>
    </row>
    <row r="1065" spans="1:22" s="457" customFormat="1" x14ac:dyDescent="0.2">
      <c r="A1065" s="542" t="s">
        <v>2460</v>
      </c>
      <c r="B1065" s="506" t="s">
        <v>65</v>
      </c>
      <c r="C1065" s="506"/>
      <c r="D1065" s="554" t="s">
        <v>1216</v>
      </c>
      <c r="E1065" s="494" t="s">
        <v>18</v>
      </c>
      <c r="F1065" s="426">
        <v>2</v>
      </c>
      <c r="G1065" s="426">
        <v>1480</v>
      </c>
      <c r="H1065" s="426">
        <f>G1065*(1+$L$16)</f>
        <v>1871.2481630157861</v>
      </c>
      <c r="I1065" s="448">
        <f t="shared" ref="I1065" si="68">ROUND(F1065*H1065,2)</f>
        <v>3742.5</v>
      </c>
      <c r="J1065" s="437"/>
      <c r="K1065" s="456"/>
      <c r="L1065" s="456"/>
      <c r="M1065" s="456"/>
      <c r="N1065" s="372"/>
      <c r="O1065" s="372"/>
      <c r="P1065" s="372"/>
      <c r="Q1065" s="373"/>
      <c r="R1065" s="372"/>
      <c r="S1065" s="373"/>
      <c r="T1065" s="373"/>
      <c r="U1065" s="373"/>
      <c r="V1065" s="373"/>
    </row>
    <row r="1066" spans="1:22" s="457" customFormat="1" x14ac:dyDescent="0.2">
      <c r="A1066" s="542"/>
      <c r="B1066" s="506"/>
      <c r="C1066" s="506"/>
      <c r="D1066" s="554"/>
      <c r="E1066" s="494"/>
      <c r="F1066" s="426"/>
      <c r="G1066" s="426"/>
      <c r="H1066" s="426"/>
      <c r="I1066" s="510"/>
      <c r="J1066" s="437"/>
      <c r="K1066" s="456"/>
      <c r="L1066" s="456"/>
      <c r="M1066" s="456"/>
      <c r="N1066" s="372"/>
      <c r="O1066" s="372"/>
      <c r="P1066" s="372"/>
      <c r="Q1066" s="373"/>
      <c r="R1066" s="372"/>
      <c r="S1066" s="373"/>
      <c r="T1066" s="373"/>
      <c r="U1066" s="373"/>
      <c r="V1066" s="373"/>
    </row>
    <row r="1067" spans="1:22" s="457" customFormat="1" x14ac:dyDescent="0.2">
      <c r="A1067" s="542"/>
      <c r="B1067" s="506"/>
      <c r="C1067" s="506"/>
      <c r="D1067" s="554" t="s">
        <v>2463</v>
      </c>
      <c r="E1067" s="494"/>
      <c r="F1067" s="426"/>
      <c r="G1067" s="426"/>
      <c r="H1067" s="426"/>
      <c r="I1067" s="510"/>
      <c r="J1067" s="437"/>
      <c r="K1067" s="456"/>
      <c r="L1067" s="456"/>
      <c r="M1067" s="456"/>
      <c r="N1067" s="372"/>
      <c r="O1067" s="372"/>
      <c r="P1067" s="372"/>
      <c r="Q1067" s="373"/>
      <c r="R1067" s="372"/>
      <c r="S1067" s="373"/>
      <c r="T1067" s="373"/>
      <c r="U1067" s="373"/>
      <c r="V1067" s="373"/>
    </row>
    <row r="1068" spans="1:22" s="457" customFormat="1" x14ac:dyDescent="0.2">
      <c r="A1068" s="542"/>
      <c r="B1068" s="506"/>
      <c r="C1068" s="506"/>
      <c r="D1068" s="554"/>
      <c r="E1068" s="494"/>
      <c r="F1068" s="426"/>
      <c r="G1068" s="426"/>
      <c r="H1068" s="426"/>
      <c r="I1068" s="510"/>
      <c r="J1068" s="437"/>
      <c r="K1068" s="456"/>
      <c r="L1068" s="456"/>
      <c r="M1068" s="456"/>
      <c r="N1068" s="372"/>
      <c r="O1068" s="372"/>
      <c r="P1068" s="372"/>
      <c r="Q1068" s="373"/>
      <c r="R1068" s="372"/>
      <c r="S1068" s="373"/>
      <c r="T1068" s="373"/>
      <c r="U1068" s="373"/>
      <c r="V1068" s="373"/>
    </row>
    <row r="1069" spans="1:22" s="457" customFormat="1" x14ac:dyDescent="0.2">
      <c r="A1069" s="542" t="s">
        <v>2461</v>
      </c>
      <c r="B1069" s="500" t="s">
        <v>335</v>
      </c>
      <c r="C1069" s="506" t="str">
        <f>COMPOSIÇÕES!C245</f>
        <v>CE-021</v>
      </c>
      <c r="D1069" s="554" t="str">
        <f>COMPOSIÇÕES!D245</f>
        <v>ESCADA DE ACESSO AO TRATAMENTO PRELIMINAR</v>
      </c>
      <c r="E1069" s="494" t="s">
        <v>18</v>
      </c>
      <c r="F1069" s="426">
        <v>1</v>
      </c>
      <c r="G1069" s="426">
        <f>COMPOSIÇÕES!I245</f>
        <v>12627.829999999998</v>
      </c>
      <c r="H1069" s="426">
        <f>ROUND((1+$L$16)*G1069,2)</f>
        <v>15966.08</v>
      </c>
      <c r="I1069" s="445">
        <f>ROUND(F1069*H1069,2)</f>
        <v>15966.08</v>
      </c>
      <c r="J1069" s="437"/>
      <c r="K1069" s="456"/>
      <c r="L1069" s="456"/>
      <c r="M1069" s="456"/>
      <c r="N1069" s="372"/>
      <c r="O1069" s="372"/>
      <c r="P1069" s="372"/>
      <c r="Q1069" s="373"/>
      <c r="R1069" s="372"/>
      <c r="S1069" s="373"/>
      <c r="T1069" s="373"/>
      <c r="U1069" s="373"/>
      <c r="V1069" s="373"/>
    </row>
    <row r="1070" spans="1:22" s="457" customFormat="1" x14ac:dyDescent="0.2">
      <c r="A1070" s="542"/>
      <c r="B1070" s="500"/>
      <c r="C1070" s="506"/>
      <c r="D1070" s="554"/>
      <c r="E1070" s="494"/>
      <c r="F1070" s="426"/>
      <c r="G1070" s="426"/>
      <c r="H1070" s="426"/>
      <c r="I1070" s="455"/>
      <c r="J1070" s="437"/>
      <c r="K1070" s="456"/>
      <c r="L1070" s="456"/>
      <c r="M1070" s="456"/>
      <c r="N1070" s="372"/>
      <c r="O1070" s="372"/>
      <c r="P1070" s="372"/>
      <c r="Q1070" s="373"/>
      <c r="R1070" s="372"/>
      <c r="S1070" s="373"/>
      <c r="T1070" s="373"/>
      <c r="U1070" s="373"/>
      <c r="V1070" s="373"/>
    </row>
    <row r="1071" spans="1:22" s="457" customFormat="1" x14ac:dyDescent="0.2">
      <c r="A1071" s="542"/>
      <c r="B1071" s="500"/>
      <c r="C1071" s="506"/>
      <c r="D1071" s="554" t="s">
        <v>2464</v>
      </c>
      <c r="E1071" s="494"/>
      <c r="F1071" s="426"/>
      <c r="G1071" s="426"/>
      <c r="H1071" s="426"/>
      <c r="I1071" s="455"/>
      <c r="J1071" s="437"/>
      <c r="K1071" s="456"/>
      <c r="L1071" s="456"/>
      <c r="M1071" s="456"/>
      <c r="N1071" s="372"/>
      <c r="O1071" s="372"/>
      <c r="P1071" s="372"/>
      <c r="Q1071" s="373"/>
      <c r="R1071" s="372"/>
      <c r="S1071" s="373"/>
      <c r="T1071" s="373"/>
      <c r="U1071" s="373"/>
      <c r="V1071" s="373"/>
    </row>
    <row r="1072" spans="1:22" s="373" customFormat="1" x14ac:dyDescent="0.2">
      <c r="A1072" s="538"/>
      <c r="B1072" s="502"/>
      <c r="C1072" s="502"/>
      <c r="D1072" s="559"/>
      <c r="E1072" s="496"/>
      <c r="F1072" s="427"/>
      <c r="G1072" s="427"/>
      <c r="H1072" s="427"/>
      <c r="I1072" s="428"/>
      <c r="J1072" s="437"/>
      <c r="K1072" s="372"/>
      <c r="L1072" s="430"/>
      <c r="M1072" s="372"/>
      <c r="N1072" s="372"/>
      <c r="O1072" s="372"/>
      <c r="P1072" s="372"/>
      <c r="R1072" s="372"/>
    </row>
    <row r="1073" spans="1:22" s="457" customFormat="1" ht="15.75" x14ac:dyDescent="0.2">
      <c r="A1073" s="558" t="s">
        <v>267</v>
      </c>
      <c r="B1073" s="501"/>
      <c r="C1073" s="501"/>
      <c r="D1073" s="545" t="s">
        <v>82</v>
      </c>
      <c r="E1073" s="491"/>
      <c r="F1073" s="404"/>
      <c r="G1073" s="405"/>
      <c r="H1073" s="406"/>
      <c r="I1073" s="407">
        <f>SUM(I1074:I1195)</f>
        <v>1155126.08</v>
      </c>
      <c r="J1073" s="429"/>
      <c r="K1073" s="456"/>
      <c r="L1073" s="456"/>
      <c r="M1073" s="456"/>
      <c r="N1073" s="372"/>
      <c r="O1073" s="372"/>
      <c r="P1073" s="372"/>
      <c r="Q1073" s="373"/>
      <c r="R1073" s="372"/>
      <c r="S1073" s="373"/>
      <c r="T1073" s="373"/>
      <c r="U1073" s="373"/>
      <c r="V1073" s="373"/>
    </row>
    <row r="1074" spans="1:22" s="457" customFormat="1" ht="30" x14ac:dyDescent="0.2">
      <c r="A1074" s="538" t="s">
        <v>1117</v>
      </c>
      <c r="B1074" s="499" t="s">
        <v>45</v>
      </c>
      <c r="C1074" s="502" t="s">
        <v>730</v>
      </c>
      <c r="D1074" s="554" t="s">
        <v>731</v>
      </c>
      <c r="E1074" s="492" t="s">
        <v>15</v>
      </c>
      <c r="F1074" s="426">
        <f>19.2*18.2</f>
        <v>349.44</v>
      </c>
      <c r="G1074" s="426">
        <v>8.3000000000000007</v>
      </c>
      <c r="H1074" s="427">
        <f>G1074*(1+$L$16)</f>
        <v>10.494161995291234</v>
      </c>
      <c r="I1074" s="428">
        <f t="shared" ref="I1074:I1195" si="69">ROUND(F1074*H1074,2)</f>
        <v>3667.08</v>
      </c>
      <c r="J1074" s="437"/>
      <c r="K1074" s="456"/>
      <c r="L1074" s="456"/>
      <c r="M1074" s="456"/>
      <c r="N1074" s="372"/>
      <c r="O1074" s="372"/>
      <c r="P1074" s="372"/>
      <c r="Q1074" s="373"/>
      <c r="R1074" s="372"/>
      <c r="S1074" s="373"/>
      <c r="T1074" s="373"/>
      <c r="U1074" s="373"/>
      <c r="V1074" s="373"/>
    </row>
    <row r="1075" spans="1:22" s="457" customFormat="1" x14ac:dyDescent="0.2">
      <c r="A1075" s="538"/>
      <c r="B1075" s="499"/>
      <c r="C1075" s="502"/>
      <c r="D1075" s="554"/>
      <c r="E1075" s="492"/>
      <c r="F1075" s="426"/>
      <c r="G1075" s="426"/>
      <c r="H1075" s="427"/>
      <c r="I1075" s="428"/>
      <c r="J1075" s="437"/>
      <c r="K1075" s="456"/>
      <c r="L1075" s="456"/>
      <c r="M1075" s="456"/>
      <c r="N1075" s="372"/>
      <c r="O1075" s="372"/>
      <c r="P1075" s="372"/>
      <c r="Q1075" s="373"/>
      <c r="R1075" s="372"/>
      <c r="S1075" s="373"/>
      <c r="T1075" s="373"/>
      <c r="U1075" s="373"/>
      <c r="V1075" s="373"/>
    </row>
    <row r="1076" spans="1:22" s="457" customFormat="1" x14ac:dyDescent="0.2">
      <c r="A1076" s="538"/>
      <c r="B1076" s="499"/>
      <c r="C1076" s="502"/>
      <c r="D1076" s="554" t="s">
        <v>2465</v>
      </c>
      <c r="E1076" s="492"/>
      <c r="F1076" s="426"/>
      <c r="G1076" s="426"/>
      <c r="H1076" s="427"/>
      <c r="I1076" s="428"/>
      <c r="J1076" s="437"/>
      <c r="K1076" s="456"/>
      <c r="L1076" s="456"/>
      <c r="M1076" s="456"/>
      <c r="N1076" s="372"/>
      <c r="O1076" s="372"/>
      <c r="P1076" s="372"/>
      <c r="Q1076" s="373"/>
      <c r="R1076" s="372"/>
      <c r="S1076" s="373"/>
      <c r="T1076" s="373"/>
      <c r="U1076" s="373"/>
      <c r="V1076" s="373"/>
    </row>
    <row r="1077" spans="1:22" s="457" customFormat="1" x14ac:dyDescent="0.2">
      <c r="A1077" s="538"/>
      <c r="B1077" s="499"/>
      <c r="C1077" s="502"/>
      <c r="D1077" s="554"/>
      <c r="E1077" s="492"/>
      <c r="F1077" s="426"/>
      <c r="G1077" s="426"/>
      <c r="H1077" s="427"/>
      <c r="I1077" s="428"/>
      <c r="J1077" s="437"/>
      <c r="K1077" s="456"/>
      <c r="L1077" s="456"/>
      <c r="M1077" s="456"/>
      <c r="N1077" s="372"/>
      <c r="O1077" s="372"/>
      <c r="P1077" s="372"/>
      <c r="Q1077" s="373"/>
      <c r="R1077" s="372"/>
      <c r="S1077" s="373"/>
      <c r="T1077" s="373"/>
      <c r="U1077" s="373"/>
      <c r="V1077" s="373"/>
    </row>
    <row r="1078" spans="1:22" s="457" customFormat="1" x14ac:dyDescent="0.2">
      <c r="A1078" s="538" t="s">
        <v>1118</v>
      </c>
      <c r="B1078" s="499" t="s">
        <v>45</v>
      </c>
      <c r="C1078" s="499">
        <v>93358</v>
      </c>
      <c r="D1078" s="539" t="s">
        <v>803</v>
      </c>
      <c r="E1078" s="492" t="s">
        <v>16</v>
      </c>
      <c r="F1078" s="426">
        <f>16.2*17.2*0.25</f>
        <v>69.66</v>
      </c>
      <c r="G1078" s="426">
        <v>65.819999999999993</v>
      </c>
      <c r="H1078" s="427">
        <f>G1078*(1+$L$16)</f>
        <v>83.219968979526371</v>
      </c>
      <c r="I1078" s="428">
        <f t="shared" si="69"/>
        <v>5797.1</v>
      </c>
      <c r="J1078" s="437"/>
      <c r="K1078" s="456"/>
      <c r="L1078" s="456"/>
      <c r="M1078" s="456"/>
      <c r="N1078" s="372"/>
      <c r="O1078" s="372"/>
      <c r="P1078" s="372"/>
      <c r="Q1078" s="373"/>
      <c r="R1078" s="372"/>
      <c r="S1078" s="373"/>
      <c r="T1078" s="373"/>
      <c r="U1078" s="373"/>
      <c r="V1078" s="373"/>
    </row>
    <row r="1079" spans="1:22" s="457" customFormat="1" x14ac:dyDescent="0.2">
      <c r="A1079" s="538"/>
      <c r="B1079" s="499"/>
      <c r="C1079" s="502"/>
      <c r="D1079" s="554"/>
      <c r="E1079" s="492"/>
      <c r="F1079" s="426"/>
      <c r="G1079" s="426"/>
      <c r="H1079" s="427"/>
      <c r="I1079" s="428"/>
      <c r="J1079" s="437"/>
      <c r="K1079" s="456"/>
      <c r="L1079" s="456"/>
      <c r="M1079" s="456"/>
      <c r="N1079" s="372"/>
      <c r="O1079" s="372"/>
      <c r="P1079" s="372"/>
      <c r="Q1079" s="373"/>
      <c r="R1079" s="372"/>
      <c r="S1079" s="373"/>
      <c r="T1079" s="373"/>
      <c r="U1079" s="373"/>
      <c r="V1079" s="373"/>
    </row>
    <row r="1080" spans="1:22" s="457" customFormat="1" x14ac:dyDescent="0.2">
      <c r="A1080" s="538"/>
      <c r="B1080" s="499"/>
      <c r="C1080" s="502"/>
      <c r="D1080" s="554" t="s">
        <v>2466</v>
      </c>
      <c r="E1080" s="492"/>
      <c r="F1080" s="426"/>
      <c r="G1080" s="426"/>
      <c r="H1080" s="427"/>
      <c r="I1080" s="428"/>
      <c r="J1080" s="437"/>
      <c r="K1080" s="456"/>
      <c r="L1080" s="456"/>
      <c r="M1080" s="456"/>
      <c r="N1080" s="372"/>
      <c r="O1080" s="372"/>
      <c r="P1080" s="372"/>
      <c r="Q1080" s="373"/>
      <c r="R1080" s="372"/>
      <c r="S1080" s="373"/>
      <c r="T1080" s="373"/>
      <c r="U1080" s="373"/>
      <c r="V1080" s="373"/>
    </row>
    <row r="1081" spans="1:22" s="457" customFormat="1" x14ac:dyDescent="0.2">
      <c r="A1081" s="538"/>
      <c r="B1081" s="499"/>
      <c r="C1081" s="502"/>
      <c r="D1081" s="554"/>
      <c r="E1081" s="492"/>
      <c r="F1081" s="426"/>
      <c r="G1081" s="426"/>
      <c r="H1081" s="427"/>
      <c r="I1081" s="428"/>
      <c r="J1081" s="437"/>
      <c r="K1081" s="456"/>
      <c r="L1081" s="456"/>
      <c r="M1081" s="456"/>
      <c r="N1081" s="372"/>
      <c r="O1081" s="372"/>
      <c r="P1081" s="372"/>
      <c r="Q1081" s="373"/>
      <c r="R1081" s="372"/>
      <c r="S1081" s="373"/>
      <c r="T1081" s="373"/>
      <c r="U1081" s="373"/>
      <c r="V1081" s="373"/>
    </row>
    <row r="1082" spans="1:22" s="373" customFormat="1" x14ac:dyDescent="0.2">
      <c r="A1082" s="538" t="s">
        <v>1477</v>
      </c>
      <c r="B1082" s="500" t="s">
        <v>45</v>
      </c>
      <c r="C1082" s="500">
        <v>72898</v>
      </c>
      <c r="D1082" s="540" t="s">
        <v>770</v>
      </c>
      <c r="E1082" s="495" t="s">
        <v>16</v>
      </c>
      <c r="F1082" s="426">
        <f>F1078</f>
        <v>69.66</v>
      </c>
      <c r="G1082" s="426">
        <v>3.57</v>
      </c>
      <c r="H1082" s="426">
        <f>ROUND((1+$L$16)*G1082,2)</f>
        <v>4.51</v>
      </c>
      <c r="I1082" s="448">
        <f>ROUND(F1082*H1082,2)</f>
        <v>314.17</v>
      </c>
      <c r="J1082" s="444"/>
      <c r="K1082" s="372" t="s">
        <v>1213</v>
      </c>
      <c r="L1082" s="424">
        <v>21583.700000000004</v>
      </c>
      <c r="M1082" s="372"/>
      <c r="N1082" s="372">
        <v>170</v>
      </c>
      <c r="O1082" s="372"/>
      <c r="P1082" s="372"/>
      <c r="R1082" s="372"/>
    </row>
    <row r="1083" spans="1:22" s="373" customFormat="1" x14ac:dyDescent="0.2">
      <c r="A1083" s="538"/>
      <c r="B1083" s="500"/>
      <c r="C1083" s="500"/>
      <c r="D1083" s="540"/>
      <c r="E1083" s="495"/>
      <c r="F1083" s="426"/>
      <c r="G1083" s="426"/>
      <c r="H1083" s="426"/>
      <c r="I1083" s="448"/>
      <c r="J1083" s="444"/>
      <c r="K1083" s="372"/>
      <c r="L1083" s="424"/>
      <c r="M1083" s="372"/>
      <c r="N1083" s="372"/>
      <c r="O1083" s="372"/>
      <c r="P1083" s="372"/>
      <c r="R1083" s="372"/>
    </row>
    <row r="1084" spans="1:22" s="373" customFormat="1" x14ac:dyDescent="0.2">
      <c r="A1084" s="538"/>
      <c r="B1084" s="500"/>
      <c r="C1084" s="500"/>
      <c r="D1084" s="554" t="s">
        <v>2466</v>
      </c>
      <c r="E1084" s="495"/>
      <c r="F1084" s="426"/>
      <c r="G1084" s="426"/>
      <c r="H1084" s="426"/>
      <c r="I1084" s="448"/>
      <c r="J1084" s="444"/>
      <c r="K1084" s="372"/>
      <c r="L1084" s="424"/>
      <c r="M1084" s="372"/>
      <c r="N1084" s="372"/>
      <c r="O1084" s="372"/>
      <c r="P1084" s="372"/>
      <c r="R1084" s="372"/>
    </row>
    <row r="1085" spans="1:22" s="373" customFormat="1" x14ac:dyDescent="0.2">
      <c r="A1085" s="538"/>
      <c r="B1085" s="500"/>
      <c r="C1085" s="500"/>
      <c r="D1085" s="540"/>
      <c r="E1085" s="495"/>
      <c r="F1085" s="426"/>
      <c r="G1085" s="426"/>
      <c r="H1085" s="426"/>
      <c r="I1085" s="448"/>
      <c r="J1085" s="444"/>
      <c r="K1085" s="372"/>
      <c r="L1085" s="424"/>
      <c r="M1085" s="372"/>
      <c r="N1085" s="372"/>
      <c r="O1085" s="372"/>
      <c r="P1085" s="372"/>
      <c r="R1085" s="372"/>
    </row>
    <row r="1086" spans="1:22" s="457" customFormat="1" x14ac:dyDescent="0.2">
      <c r="A1086" s="538" t="s">
        <v>1478</v>
      </c>
      <c r="B1086" s="500" t="s">
        <v>45</v>
      </c>
      <c r="C1086" s="500">
        <v>72885</v>
      </c>
      <c r="D1086" s="540" t="s">
        <v>333</v>
      </c>
      <c r="E1086" s="495" t="s">
        <v>725</v>
      </c>
      <c r="F1086" s="426">
        <f>F1082*5</f>
        <v>348.29999999999995</v>
      </c>
      <c r="G1086" s="426">
        <v>1.36</v>
      </c>
      <c r="H1086" s="426">
        <f>ROUND((1+$L$16)*G1086,2)</f>
        <v>1.72</v>
      </c>
      <c r="I1086" s="472">
        <f t="shared" ref="I1086:I1090" si="70">ROUND(F1086*H1086,2)</f>
        <v>599.08000000000004</v>
      </c>
      <c r="J1086" s="429"/>
      <c r="K1086" s="456"/>
      <c r="L1086" s="456"/>
      <c r="M1086" s="456"/>
      <c r="N1086" s="372"/>
      <c r="O1086" s="372"/>
      <c r="P1086" s="372"/>
      <c r="Q1086" s="373"/>
      <c r="R1086" s="372"/>
      <c r="S1086" s="373"/>
      <c r="T1086" s="373"/>
      <c r="U1086" s="373"/>
      <c r="V1086" s="373"/>
    </row>
    <row r="1087" spans="1:22" s="373" customFormat="1" x14ac:dyDescent="0.2">
      <c r="A1087" s="538"/>
      <c r="B1087" s="500"/>
      <c r="C1087" s="500"/>
      <c r="D1087" s="540"/>
      <c r="E1087" s="495"/>
      <c r="F1087" s="426"/>
      <c r="G1087" s="426"/>
      <c r="H1087" s="426"/>
      <c r="I1087" s="448"/>
      <c r="J1087" s="444"/>
      <c r="K1087" s="372"/>
      <c r="L1087" s="424"/>
      <c r="M1087" s="372"/>
      <c r="N1087" s="372"/>
      <c r="O1087" s="372"/>
      <c r="P1087" s="372"/>
      <c r="R1087" s="372"/>
    </row>
    <row r="1088" spans="1:22" s="373" customFormat="1" x14ac:dyDescent="0.2">
      <c r="A1088" s="538"/>
      <c r="B1088" s="500"/>
      <c r="C1088" s="500"/>
      <c r="D1088" s="554" t="s">
        <v>2469</v>
      </c>
      <c r="E1088" s="495"/>
      <c r="F1088" s="426"/>
      <c r="G1088" s="426"/>
      <c r="H1088" s="426"/>
      <c r="I1088" s="448"/>
      <c r="J1088" s="444"/>
      <c r="K1088" s="372"/>
      <c r="L1088" s="424"/>
      <c r="M1088" s="372"/>
      <c r="N1088" s="372"/>
      <c r="O1088" s="372"/>
      <c r="P1088" s="372"/>
      <c r="R1088" s="372"/>
    </row>
    <row r="1089" spans="1:63" s="373" customFormat="1" x14ac:dyDescent="0.2">
      <c r="A1089" s="538"/>
      <c r="B1089" s="500"/>
      <c r="C1089" s="500"/>
      <c r="D1089" s="540"/>
      <c r="E1089" s="495"/>
      <c r="F1089" s="426"/>
      <c r="G1089" s="426"/>
      <c r="H1089" s="426"/>
      <c r="I1089" s="448"/>
      <c r="J1089" s="444"/>
      <c r="K1089" s="372"/>
      <c r="L1089" s="424"/>
      <c r="M1089" s="372"/>
      <c r="N1089" s="372"/>
      <c r="O1089" s="372"/>
      <c r="P1089" s="372"/>
      <c r="R1089" s="372"/>
    </row>
    <row r="1090" spans="1:63" x14ac:dyDescent="0.2">
      <c r="A1090" s="538" t="s">
        <v>1479</v>
      </c>
      <c r="B1090" s="500" t="s">
        <v>45</v>
      </c>
      <c r="C1090" s="500" t="s">
        <v>57</v>
      </c>
      <c r="D1090" s="540" t="s">
        <v>726</v>
      </c>
      <c r="E1090" s="495" t="s">
        <v>16</v>
      </c>
      <c r="F1090" s="426">
        <f>F1082</f>
        <v>69.66</v>
      </c>
      <c r="G1090" s="426">
        <v>1.94</v>
      </c>
      <c r="H1090" s="426">
        <f>ROUND((1+$L$16)*G1090,2)</f>
        <v>2.4500000000000002</v>
      </c>
      <c r="I1090" s="472">
        <f t="shared" si="70"/>
        <v>170.67</v>
      </c>
      <c r="J1090" s="429"/>
      <c r="K1090" s="372"/>
      <c r="L1090" s="430"/>
      <c r="M1090" s="372"/>
      <c r="N1090" s="372"/>
      <c r="O1090" s="372"/>
      <c r="P1090" s="372"/>
      <c r="R1090" s="372"/>
    </row>
    <row r="1091" spans="1:63" s="373" customFormat="1" x14ac:dyDescent="0.2">
      <c r="A1091" s="538"/>
      <c r="B1091" s="500"/>
      <c r="C1091" s="500"/>
      <c r="D1091" s="540"/>
      <c r="E1091" s="495"/>
      <c r="F1091" s="426"/>
      <c r="G1091" s="426"/>
      <c r="H1091" s="426"/>
      <c r="I1091" s="448"/>
      <c r="J1091" s="444"/>
      <c r="K1091" s="372"/>
      <c r="L1091" s="424"/>
      <c r="M1091" s="372"/>
      <c r="N1091" s="372"/>
      <c r="O1091" s="372"/>
      <c r="P1091" s="372"/>
      <c r="R1091" s="372"/>
    </row>
    <row r="1092" spans="1:63" s="373" customFormat="1" x14ac:dyDescent="0.2">
      <c r="A1092" s="538"/>
      <c r="B1092" s="500"/>
      <c r="C1092" s="500"/>
      <c r="D1092" s="554" t="s">
        <v>2466</v>
      </c>
      <c r="E1092" s="495"/>
      <c r="F1092" s="426"/>
      <c r="G1092" s="426"/>
      <c r="H1092" s="426"/>
      <c r="I1092" s="448"/>
      <c r="J1092" s="444"/>
      <c r="K1092" s="372"/>
      <c r="L1092" s="424"/>
      <c r="M1092" s="372"/>
      <c r="N1092" s="372"/>
      <c r="O1092" s="372"/>
      <c r="P1092" s="372"/>
      <c r="R1092" s="372"/>
    </row>
    <row r="1093" spans="1:63" s="373" customFormat="1" x14ac:dyDescent="0.2">
      <c r="A1093" s="538"/>
      <c r="B1093" s="500"/>
      <c r="C1093" s="500"/>
      <c r="D1093" s="540"/>
      <c r="E1093" s="495"/>
      <c r="F1093" s="426"/>
      <c r="G1093" s="426"/>
      <c r="H1093" s="426"/>
      <c r="I1093" s="448"/>
      <c r="J1093" s="444"/>
      <c r="K1093" s="372"/>
      <c r="L1093" s="424"/>
      <c r="M1093" s="372"/>
      <c r="N1093" s="372"/>
      <c r="O1093" s="372"/>
      <c r="P1093" s="372"/>
      <c r="R1093" s="372"/>
    </row>
    <row r="1094" spans="1:63" ht="28.5" customHeight="1" x14ac:dyDescent="0.2">
      <c r="A1094" s="538" t="s">
        <v>1480</v>
      </c>
      <c r="B1094" s="507" t="s">
        <v>45</v>
      </c>
      <c r="C1094" s="502" t="str">
        <f>COMPOSIÇÕES!C267</f>
        <v>CE-022</v>
      </c>
      <c r="D1094" s="554" t="str">
        <f>COMPOSIÇÕES!D267</f>
        <v>CRAVAMENTO DE ESTACAS PRÉ-MOLDADA DE CONCRETO,  SEÇÃO QUADRADA, CAPACIDADE DE 50 TONELADAS, COMPRIMENTO TOTAL CRAVADO ATÉ 7,70M, BATE-ESTACAS POR GRAVIDADE SOBRE ROLOS</v>
      </c>
      <c r="E1094" s="498" t="s">
        <v>1809</v>
      </c>
      <c r="F1094" s="426">
        <v>1</v>
      </c>
      <c r="G1094" s="426">
        <f>COMPOSIÇÕES!I267</f>
        <v>14087.789999999999</v>
      </c>
      <c r="H1094" s="426">
        <f t="shared" ref="H1094" si="71">ROUND((1+$K$3)*G1094,2)</f>
        <v>14087.79</v>
      </c>
      <c r="I1094" s="472">
        <f t="shared" ref="I1094" si="72">ROUND(F1094*H1094,2)</f>
        <v>14087.79</v>
      </c>
      <c r="J1094" s="475"/>
      <c r="K1094" s="475"/>
      <c r="L1094" s="475"/>
      <c r="M1094" s="475"/>
      <c r="N1094" s="475"/>
      <c r="O1094" s="475"/>
      <c r="P1094" s="475"/>
      <c r="Q1094" s="475"/>
      <c r="R1094" s="374"/>
      <c r="S1094" s="374"/>
      <c r="T1094" s="374"/>
      <c r="U1094" s="374"/>
      <c r="V1094" s="374"/>
      <c r="W1094" s="374"/>
      <c r="X1094" s="374"/>
      <c r="Y1094" s="374"/>
      <c r="Z1094" s="374"/>
      <c r="AA1094" s="374"/>
      <c r="AB1094" s="374"/>
      <c r="AC1094" s="374"/>
      <c r="AD1094" s="374"/>
      <c r="AE1094" s="374"/>
      <c r="AF1094" s="374"/>
      <c r="AG1094" s="374"/>
      <c r="AH1094" s="374"/>
      <c r="AI1094" s="374"/>
      <c r="AJ1094" s="374"/>
      <c r="AK1094" s="374"/>
      <c r="AL1094" s="374"/>
      <c r="AM1094" s="374"/>
      <c r="AN1094" s="374"/>
      <c r="AO1094" s="374"/>
      <c r="AP1094" s="374"/>
      <c r="AQ1094" s="374"/>
      <c r="AR1094" s="374"/>
      <c r="AS1094" s="374"/>
      <c r="AT1094" s="374"/>
      <c r="AU1094" s="374"/>
      <c r="AV1094" s="374"/>
      <c r="AW1094" s="374"/>
      <c r="AX1094" s="374"/>
      <c r="AY1094" s="374"/>
      <c r="AZ1094" s="374"/>
      <c r="BA1094" s="374"/>
      <c r="BB1094" s="374"/>
      <c r="BC1094" s="374"/>
      <c r="BD1094" s="374"/>
      <c r="BE1094" s="374"/>
      <c r="BF1094" s="374"/>
      <c r="BG1094" s="374"/>
      <c r="BH1094" s="374"/>
      <c r="BI1094" s="374"/>
      <c r="BJ1094" s="374"/>
      <c r="BK1094" s="374"/>
    </row>
    <row r="1095" spans="1:63" s="373" customFormat="1" x14ac:dyDescent="0.2">
      <c r="A1095" s="538"/>
      <c r="B1095" s="500"/>
      <c r="C1095" s="500"/>
      <c r="D1095" s="540"/>
      <c r="E1095" s="495"/>
      <c r="F1095" s="426"/>
      <c r="G1095" s="426"/>
      <c r="H1095" s="426"/>
      <c r="I1095" s="448"/>
      <c r="J1095" s="444"/>
      <c r="K1095" s="372"/>
      <c r="L1095" s="424"/>
      <c r="M1095" s="372"/>
      <c r="N1095" s="372"/>
      <c r="O1095" s="372"/>
      <c r="P1095" s="372"/>
      <c r="R1095" s="372"/>
    </row>
    <row r="1096" spans="1:63" s="373" customFormat="1" x14ac:dyDescent="0.2">
      <c r="A1096" s="538"/>
      <c r="B1096" s="500"/>
      <c r="C1096" s="500"/>
      <c r="D1096" s="554" t="s">
        <v>2470</v>
      </c>
      <c r="E1096" s="495"/>
      <c r="F1096" s="426"/>
      <c r="G1096" s="426"/>
      <c r="H1096" s="426"/>
      <c r="I1096" s="448"/>
      <c r="J1096" s="444"/>
      <c r="K1096" s="372"/>
      <c r="L1096" s="424"/>
      <c r="M1096" s="372"/>
      <c r="N1096" s="372"/>
      <c r="O1096" s="372"/>
      <c r="P1096" s="372"/>
      <c r="R1096" s="372"/>
    </row>
    <row r="1097" spans="1:63" s="373" customFormat="1" x14ac:dyDescent="0.2">
      <c r="A1097" s="538"/>
      <c r="B1097" s="500"/>
      <c r="C1097" s="500"/>
      <c r="D1097" s="540"/>
      <c r="E1097" s="495"/>
      <c r="F1097" s="426"/>
      <c r="G1097" s="426"/>
      <c r="H1097" s="426"/>
      <c r="I1097" s="448"/>
      <c r="J1097" s="444"/>
      <c r="K1097" s="372"/>
      <c r="L1097" s="424"/>
      <c r="M1097" s="372"/>
      <c r="N1097" s="372"/>
      <c r="O1097" s="372"/>
      <c r="P1097" s="372"/>
      <c r="R1097" s="372"/>
    </row>
    <row r="1098" spans="1:63" s="457" customFormat="1" ht="30" x14ac:dyDescent="0.2">
      <c r="A1098" s="538" t="s">
        <v>1119</v>
      </c>
      <c r="B1098" s="502" t="s">
        <v>45</v>
      </c>
      <c r="C1098" s="502">
        <v>95241</v>
      </c>
      <c r="D1098" s="559" t="s">
        <v>733</v>
      </c>
      <c r="E1098" s="492" t="s">
        <v>15</v>
      </c>
      <c r="F1098" s="426">
        <f>16.2*17.2</f>
        <v>278.64</v>
      </c>
      <c r="G1098" s="426">
        <v>19.88</v>
      </c>
      <c r="H1098" s="427">
        <f>G1098*(1+$L$16)</f>
        <v>25.135414514022855</v>
      </c>
      <c r="I1098" s="428">
        <f t="shared" si="69"/>
        <v>7003.73</v>
      </c>
      <c r="J1098" s="429"/>
      <c r="K1098" s="456"/>
      <c r="L1098" s="456"/>
      <c r="M1098" s="456"/>
      <c r="N1098" s="372"/>
      <c r="O1098" s="372"/>
      <c r="P1098" s="372"/>
      <c r="Q1098" s="373"/>
      <c r="R1098" s="372"/>
      <c r="S1098" s="373"/>
      <c r="T1098" s="373"/>
      <c r="U1098" s="373"/>
      <c r="V1098" s="373"/>
    </row>
    <row r="1099" spans="1:63" s="373" customFormat="1" x14ac:dyDescent="0.2">
      <c r="A1099" s="538"/>
      <c r="B1099" s="500"/>
      <c r="C1099" s="500"/>
      <c r="D1099" s="540"/>
      <c r="E1099" s="495"/>
      <c r="F1099" s="426"/>
      <c r="G1099" s="426"/>
      <c r="H1099" s="426"/>
      <c r="I1099" s="448"/>
      <c r="J1099" s="444"/>
      <c r="K1099" s="372"/>
      <c r="L1099" s="424"/>
      <c r="M1099" s="372"/>
      <c r="N1099" s="372"/>
      <c r="O1099" s="372"/>
      <c r="P1099" s="372"/>
      <c r="R1099" s="372"/>
    </row>
    <row r="1100" spans="1:63" s="373" customFormat="1" x14ac:dyDescent="0.2">
      <c r="A1100" s="538"/>
      <c r="B1100" s="500"/>
      <c r="C1100" s="500"/>
      <c r="D1100" s="540" t="s">
        <v>2471</v>
      </c>
      <c r="E1100" s="495"/>
      <c r="F1100" s="426"/>
      <c r="G1100" s="426"/>
      <c r="H1100" s="426"/>
      <c r="I1100" s="448"/>
      <c r="J1100" s="444"/>
      <c r="K1100" s="372"/>
      <c r="L1100" s="424"/>
      <c r="M1100" s="372"/>
      <c r="N1100" s="372"/>
      <c r="O1100" s="372"/>
      <c r="P1100" s="372"/>
      <c r="R1100" s="372"/>
    </row>
    <row r="1101" spans="1:63" s="373" customFormat="1" x14ac:dyDescent="0.2">
      <c r="A1101" s="538"/>
      <c r="B1101" s="500"/>
      <c r="C1101" s="500"/>
      <c r="D1101" s="540"/>
      <c r="E1101" s="495"/>
      <c r="F1101" s="426"/>
      <c r="G1101" s="426"/>
      <c r="H1101" s="426"/>
      <c r="I1101" s="448"/>
      <c r="J1101" s="444"/>
      <c r="K1101" s="372"/>
      <c r="L1101" s="424"/>
      <c r="M1101" s="372"/>
      <c r="N1101" s="372"/>
      <c r="O1101" s="372"/>
      <c r="P1101" s="372"/>
      <c r="R1101" s="372"/>
    </row>
    <row r="1102" spans="1:63" s="447" customFormat="1" ht="45" x14ac:dyDescent="0.2">
      <c r="A1102" s="538" t="s">
        <v>1481</v>
      </c>
      <c r="B1102" s="506" t="s">
        <v>45</v>
      </c>
      <c r="C1102" s="506">
        <v>92417</v>
      </c>
      <c r="D1102" s="540" t="s">
        <v>1388</v>
      </c>
      <c r="E1102" s="494" t="s">
        <v>15</v>
      </c>
      <c r="F1102" s="426">
        <f>(7.8*2+16.8*2)*5*2+(16.5*2+17.4*2)*5.2+(1.2+1)*17.4+0.8*1.2*2+(2.05*2+1.5*2)*0.65*2+(1.75*2+1.2*2)*0.65*2+(2.05*2+1.5*2)*0.1*2+1.2*2*0.6*2-77.48</f>
        <v>828.47999999999979</v>
      </c>
      <c r="G1102" s="426">
        <v>96.25</v>
      </c>
      <c r="H1102" s="426">
        <f t="shared" ref="H1102:H1135" si="73">ROUND((1+$L$16)*G1102,2)</f>
        <v>121.69</v>
      </c>
      <c r="I1102" s="445">
        <f>ROUND(F1102*H1102,2)</f>
        <v>100817.73</v>
      </c>
      <c r="J1102" s="446"/>
      <c r="K1102" s="453">
        <f>F1102+F1106+F1110</f>
        <v>1680.0019999999997</v>
      </c>
      <c r="L1102" s="446"/>
      <c r="M1102" s="450">
        <f>(7.8*2+16.8*2)*5*2+(16.5*2+17.4*2)*5.2+(1.2+1)*17.4+0.8*1.2*2+(2.05*2+1.5*2)*0.65*2+(1.75*2+1.2*2)*0.65*2+(2.05*2+1.5*2)*0.1*2+1.2*2*0.6*2</f>
        <v>905.95999999999981</v>
      </c>
      <c r="N1102" s="446"/>
      <c r="O1102" s="446"/>
    </row>
    <row r="1103" spans="1:63" s="373" customFormat="1" x14ac:dyDescent="0.2">
      <c r="A1103" s="538"/>
      <c r="B1103" s="500"/>
      <c r="C1103" s="500"/>
      <c r="D1103" s="540"/>
      <c r="E1103" s="495"/>
      <c r="F1103" s="426"/>
      <c r="G1103" s="426"/>
      <c r="H1103" s="426"/>
      <c r="I1103" s="448"/>
      <c r="J1103" s="444"/>
      <c r="K1103" s="372"/>
      <c r="L1103" s="424"/>
      <c r="M1103" s="372"/>
      <c r="N1103" s="372"/>
      <c r="O1103" s="372"/>
      <c r="P1103" s="372"/>
      <c r="R1103" s="372"/>
    </row>
    <row r="1104" spans="1:63" s="373" customFormat="1" ht="15.75" customHeight="1" x14ac:dyDescent="0.2">
      <c r="A1104" s="538"/>
      <c r="B1104" s="500"/>
      <c r="C1104" s="500"/>
      <c r="D1104" s="540" t="s">
        <v>2450</v>
      </c>
      <c r="E1104" s="495"/>
      <c r="F1104" s="426"/>
      <c r="G1104" s="426"/>
      <c r="H1104" s="426"/>
      <c r="I1104" s="448"/>
      <c r="J1104" s="444"/>
      <c r="K1104" s="372"/>
      <c r="L1104" s="424"/>
      <c r="M1104" s="372"/>
      <c r="N1104" s="372"/>
      <c r="O1104" s="372"/>
      <c r="P1104" s="372"/>
      <c r="R1104" s="372"/>
    </row>
    <row r="1105" spans="1:18" s="373" customFormat="1" x14ac:dyDescent="0.2">
      <c r="A1105" s="538"/>
      <c r="B1105" s="500"/>
      <c r="C1105" s="500"/>
      <c r="D1105" s="540"/>
      <c r="E1105" s="495"/>
      <c r="F1105" s="426"/>
      <c r="G1105" s="426"/>
      <c r="H1105" s="426"/>
      <c r="I1105" s="448"/>
      <c r="J1105" s="444"/>
      <c r="K1105" s="372"/>
      <c r="L1105" s="424"/>
      <c r="M1105" s="372"/>
      <c r="N1105" s="372"/>
      <c r="O1105" s="372"/>
      <c r="P1105" s="372"/>
      <c r="R1105" s="372"/>
    </row>
    <row r="1106" spans="1:18" s="447" customFormat="1" ht="30" x14ac:dyDescent="0.2">
      <c r="A1106" s="538" t="s">
        <v>1120</v>
      </c>
      <c r="B1106" s="506" t="s">
        <v>45</v>
      </c>
      <c r="C1106" s="506">
        <v>92449</v>
      </c>
      <c r="D1106" s="540" t="s">
        <v>1352</v>
      </c>
      <c r="E1106" s="494" t="s">
        <v>15</v>
      </c>
      <c r="F1106" s="426">
        <f>(1*2+0.2)*12*7.8*2+(2.6*5+0.66*2)*7.8*2-77.47</f>
        <v>557.76199999999994</v>
      </c>
      <c r="G1106" s="426">
        <v>158.85</v>
      </c>
      <c r="H1106" s="426">
        <f t="shared" si="73"/>
        <v>200.84</v>
      </c>
      <c r="I1106" s="445">
        <f>ROUND(F1106*H1106,2)</f>
        <v>112020.92</v>
      </c>
      <c r="J1106" s="446"/>
      <c r="K1106" s="446">
        <v>1680</v>
      </c>
      <c r="L1106" s="446"/>
      <c r="M1106" s="450">
        <f>(1*2+0.2)*12*7.8*2+(2.6*5+0.66*2)*7.8*2</f>
        <v>635.23199999999997</v>
      </c>
      <c r="N1106" s="446"/>
      <c r="O1106" s="446"/>
    </row>
    <row r="1107" spans="1:18" s="373" customFormat="1" x14ac:dyDescent="0.2">
      <c r="A1107" s="538"/>
      <c r="B1107" s="500"/>
      <c r="C1107" s="500"/>
      <c r="D1107" s="540"/>
      <c r="E1107" s="495"/>
      <c r="F1107" s="426"/>
      <c r="G1107" s="426"/>
      <c r="H1107" s="426"/>
      <c r="I1107" s="448"/>
      <c r="J1107" s="444"/>
      <c r="K1107" s="372"/>
      <c r="L1107" s="424"/>
      <c r="M1107" s="372"/>
      <c r="N1107" s="372"/>
      <c r="O1107" s="372"/>
      <c r="P1107" s="372"/>
      <c r="R1107" s="372"/>
    </row>
    <row r="1108" spans="1:18" s="373" customFormat="1" ht="18.75" customHeight="1" x14ac:dyDescent="0.2">
      <c r="A1108" s="538"/>
      <c r="B1108" s="500"/>
      <c r="C1108" s="500"/>
      <c r="D1108" s="540" t="s">
        <v>2451</v>
      </c>
      <c r="E1108" s="495"/>
      <c r="F1108" s="426"/>
      <c r="G1108" s="426"/>
      <c r="H1108" s="426"/>
      <c r="I1108" s="448"/>
      <c r="J1108" s="444"/>
      <c r="K1108" s="372"/>
      <c r="L1108" s="424"/>
      <c r="M1108" s="372"/>
      <c r="N1108" s="372"/>
      <c r="O1108" s="372"/>
      <c r="P1108" s="372"/>
      <c r="R1108" s="372"/>
    </row>
    <row r="1109" spans="1:18" s="373" customFormat="1" x14ac:dyDescent="0.2">
      <c r="A1109" s="538"/>
      <c r="B1109" s="500"/>
      <c r="C1109" s="500"/>
      <c r="D1109" s="540"/>
      <c r="E1109" s="495"/>
      <c r="F1109" s="426"/>
      <c r="G1109" s="426"/>
      <c r="H1109" s="426"/>
      <c r="I1109" s="448"/>
      <c r="J1109" s="444"/>
      <c r="K1109" s="372"/>
      <c r="L1109" s="424"/>
      <c r="M1109" s="372"/>
      <c r="N1109" s="372"/>
      <c r="O1109" s="372"/>
      <c r="P1109" s="372"/>
      <c r="R1109" s="372"/>
    </row>
    <row r="1110" spans="1:18" s="447" customFormat="1" ht="30" x14ac:dyDescent="0.2">
      <c r="A1110" s="538" t="s">
        <v>1482</v>
      </c>
      <c r="B1110" s="506" t="s">
        <v>45</v>
      </c>
      <c r="C1110" s="506">
        <v>92508</v>
      </c>
      <c r="D1110" s="540" t="s">
        <v>1392</v>
      </c>
      <c r="E1110" s="494" t="s">
        <v>15</v>
      </c>
      <c r="F1110" s="446">
        <f>17.2*8.15*2+(17.2*2+8.15*2*2)*0.2</f>
        <v>293.76</v>
      </c>
      <c r="G1110" s="426">
        <v>44.92</v>
      </c>
      <c r="H1110" s="426">
        <f t="shared" si="73"/>
        <v>56.79</v>
      </c>
      <c r="I1110" s="445">
        <f>ROUND(F1110*H1110,2)</f>
        <v>16682.63</v>
      </c>
      <c r="J1110" s="446"/>
      <c r="K1110" s="453">
        <f>K1102-K1106</f>
        <v>1.9999999997253326E-3</v>
      </c>
      <c r="L1110" s="446">
        <f>(17.2*2+8.15*2*2)*0.2</f>
        <v>13.4</v>
      </c>
      <c r="M1110" s="476">
        <f>17.2*8.15*2+(17.2*2+8.15*2*2)*0.2</f>
        <v>293.76</v>
      </c>
      <c r="N1110" s="446"/>
      <c r="O1110" s="446"/>
    </row>
    <row r="1111" spans="1:18" s="373" customFormat="1" x14ac:dyDescent="0.2">
      <c r="A1111" s="538"/>
      <c r="B1111" s="500"/>
      <c r="C1111" s="500"/>
      <c r="D1111" s="540"/>
      <c r="E1111" s="495"/>
      <c r="F1111" s="426"/>
      <c r="G1111" s="426"/>
      <c r="H1111" s="426"/>
      <c r="I1111" s="448"/>
      <c r="J1111" s="444"/>
      <c r="K1111" s="372"/>
      <c r="L1111" s="424"/>
      <c r="M1111" s="372"/>
      <c r="N1111" s="372"/>
      <c r="O1111" s="372"/>
      <c r="P1111" s="372"/>
      <c r="R1111" s="372"/>
    </row>
    <row r="1112" spans="1:18" s="373" customFormat="1" ht="17.25" x14ac:dyDescent="0.2">
      <c r="A1112" s="538"/>
      <c r="B1112" s="500"/>
      <c r="C1112" s="500"/>
      <c r="D1112" s="540" t="s">
        <v>2467</v>
      </c>
      <c r="E1112" s="495"/>
      <c r="F1112" s="426"/>
      <c r="G1112" s="426"/>
      <c r="H1112" s="426"/>
      <c r="I1112" s="448"/>
      <c r="J1112" s="444"/>
      <c r="K1112" s="372"/>
      <c r="L1112" s="424"/>
      <c r="M1112" s="372"/>
      <c r="N1112" s="372"/>
      <c r="O1112" s="372"/>
      <c r="P1112" s="372"/>
      <c r="R1112" s="372"/>
    </row>
    <row r="1113" spans="1:18" s="373" customFormat="1" ht="15.75" x14ac:dyDescent="0.2">
      <c r="A1113" s="538"/>
      <c r="B1113" s="500"/>
      <c r="C1113" s="500"/>
      <c r="D1113" s="556" t="s">
        <v>2472</v>
      </c>
      <c r="E1113" s="495"/>
      <c r="F1113" s="426"/>
      <c r="G1113" s="426"/>
      <c r="H1113" s="426"/>
      <c r="I1113" s="448"/>
      <c r="J1113" s="444"/>
      <c r="K1113" s="372"/>
      <c r="L1113" s="424"/>
      <c r="M1113" s="372"/>
      <c r="N1113" s="372"/>
      <c r="O1113" s="372"/>
      <c r="P1113" s="372"/>
      <c r="R1113" s="372"/>
    </row>
    <row r="1114" spans="1:18" s="373" customFormat="1" x14ac:dyDescent="0.2">
      <c r="A1114" s="538"/>
      <c r="B1114" s="500"/>
      <c r="C1114" s="500"/>
      <c r="D1114" s="540"/>
      <c r="E1114" s="495"/>
      <c r="F1114" s="426"/>
      <c r="G1114" s="426"/>
      <c r="H1114" s="426"/>
      <c r="I1114" s="448"/>
      <c r="J1114" s="444"/>
      <c r="K1114" s="372"/>
      <c r="L1114" s="424"/>
      <c r="M1114" s="372"/>
      <c r="N1114" s="372"/>
      <c r="O1114" s="372"/>
      <c r="P1114" s="372"/>
      <c r="R1114" s="372"/>
    </row>
    <row r="1115" spans="1:18" s="447" customFormat="1" x14ac:dyDescent="0.2">
      <c r="A1115" s="542" t="s">
        <v>1483</v>
      </c>
      <c r="B1115" s="506" t="s">
        <v>45</v>
      </c>
      <c r="C1115" s="506">
        <v>34449</v>
      </c>
      <c r="D1115" s="540" t="s">
        <v>871</v>
      </c>
      <c r="E1115" s="494" t="s">
        <v>169</v>
      </c>
      <c r="F1115" s="426">
        <v>2214</v>
      </c>
      <c r="G1115" s="426">
        <v>4.18</v>
      </c>
      <c r="H1115" s="426">
        <v>5.29</v>
      </c>
      <c r="I1115" s="445">
        <v>11712.06</v>
      </c>
      <c r="J1115" s="446"/>
      <c r="K1115" s="453">
        <v>9.999999998626663E-4</v>
      </c>
      <c r="L1115" s="446"/>
      <c r="M1115" s="446"/>
      <c r="N1115" s="446"/>
      <c r="O1115" s="446"/>
    </row>
    <row r="1116" spans="1:18" s="447" customFormat="1" x14ac:dyDescent="0.2">
      <c r="A1116" s="542"/>
      <c r="B1116" s="506"/>
      <c r="C1116" s="506"/>
      <c r="D1116" s="540"/>
      <c r="E1116" s="494"/>
      <c r="F1116" s="426"/>
      <c r="G1116" s="426"/>
      <c r="H1116" s="426"/>
      <c r="I1116" s="445"/>
      <c r="J1116" s="446"/>
      <c r="K1116" s="453"/>
      <c r="L1116" s="446"/>
      <c r="M1116" s="446"/>
      <c r="N1116" s="446"/>
      <c r="O1116" s="446"/>
    </row>
    <row r="1117" spans="1:18" s="447" customFormat="1" x14ac:dyDescent="0.2">
      <c r="A1117" s="542"/>
      <c r="B1117" s="506"/>
      <c r="C1117" s="506"/>
      <c r="D1117" s="540" t="s">
        <v>2725</v>
      </c>
      <c r="E1117" s="494"/>
      <c r="F1117" s="426"/>
      <c r="G1117" s="426"/>
      <c r="H1117" s="426"/>
      <c r="I1117" s="445"/>
      <c r="J1117" s="446"/>
      <c r="K1117" s="453"/>
      <c r="L1117" s="446"/>
      <c r="M1117" s="446"/>
      <c r="N1117" s="446"/>
      <c r="O1117" s="446"/>
    </row>
    <row r="1118" spans="1:18" s="447" customFormat="1" x14ac:dyDescent="0.2">
      <c r="A1118" s="542"/>
      <c r="B1118" s="506"/>
      <c r="C1118" s="506"/>
      <c r="D1118" s="540"/>
      <c r="E1118" s="494"/>
      <c r="F1118" s="426"/>
      <c r="G1118" s="426"/>
      <c r="H1118" s="426"/>
      <c r="I1118" s="445"/>
      <c r="J1118" s="446"/>
      <c r="K1118" s="453"/>
      <c r="L1118" s="446"/>
      <c r="M1118" s="446"/>
      <c r="N1118" s="446"/>
      <c r="O1118" s="446"/>
    </row>
    <row r="1119" spans="1:18" s="447" customFormat="1" x14ac:dyDescent="0.2">
      <c r="A1119" s="542" t="s">
        <v>1484</v>
      </c>
      <c r="B1119" s="506" t="s">
        <v>45</v>
      </c>
      <c r="C1119" s="506">
        <v>33</v>
      </c>
      <c r="D1119" s="540" t="s">
        <v>799</v>
      </c>
      <c r="E1119" s="494" t="s">
        <v>169</v>
      </c>
      <c r="F1119" s="426">
        <v>3949</v>
      </c>
      <c r="G1119" s="426">
        <v>4.1900000000000004</v>
      </c>
      <c r="H1119" s="426">
        <v>5.3</v>
      </c>
      <c r="I1119" s="445">
        <v>20929.7</v>
      </c>
      <c r="J1119" s="446"/>
      <c r="K1119" s="446"/>
      <c r="L1119" s="446"/>
      <c r="M1119" s="446"/>
      <c r="N1119" s="446"/>
      <c r="O1119" s="446"/>
    </row>
    <row r="1120" spans="1:18" s="447" customFormat="1" x14ac:dyDescent="0.2">
      <c r="A1120" s="542"/>
      <c r="B1120" s="506"/>
      <c r="C1120" s="506"/>
      <c r="D1120" s="540"/>
      <c r="E1120" s="494"/>
      <c r="F1120" s="426"/>
      <c r="G1120" s="426"/>
      <c r="H1120" s="426"/>
      <c r="I1120" s="445"/>
      <c r="J1120" s="446"/>
      <c r="K1120" s="453"/>
      <c r="L1120" s="446"/>
      <c r="M1120" s="446"/>
      <c r="N1120" s="446"/>
      <c r="O1120" s="446"/>
    </row>
    <row r="1121" spans="1:18" s="447" customFormat="1" x14ac:dyDescent="0.2">
      <c r="A1121" s="542"/>
      <c r="B1121" s="506"/>
      <c r="C1121" s="506"/>
      <c r="D1121" s="540" t="s">
        <v>2726</v>
      </c>
      <c r="E1121" s="494"/>
      <c r="F1121" s="426"/>
      <c r="G1121" s="426"/>
      <c r="H1121" s="426"/>
      <c r="I1121" s="445"/>
      <c r="J1121" s="446"/>
      <c r="K1121" s="453"/>
      <c r="L1121" s="446"/>
      <c r="M1121" s="446"/>
      <c r="N1121" s="446"/>
      <c r="O1121" s="446"/>
    </row>
    <row r="1122" spans="1:18" s="447" customFormat="1" x14ac:dyDescent="0.2">
      <c r="A1122" s="542"/>
      <c r="B1122" s="506"/>
      <c r="C1122" s="506"/>
      <c r="D1122" s="540"/>
      <c r="E1122" s="494"/>
      <c r="F1122" s="426"/>
      <c r="G1122" s="426"/>
      <c r="H1122" s="426"/>
      <c r="I1122" s="445"/>
      <c r="J1122" s="446"/>
      <c r="K1122" s="453"/>
      <c r="L1122" s="446"/>
      <c r="M1122" s="446"/>
      <c r="N1122" s="446"/>
      <c r="O1122" s="446"/>
    </row>
    <row r="1123" spans="1:18" s="447" customFormat="1" x14ac:dyDescent="0.2">
      <c r="A1123" s="542" t="s">
        <v>1121</v>
      </c>
      <c r="B1123" s="506" t="s">
        <v>45</v>
      </c>
      <c r="C1123" s="506">
        <v>34439</v>
      </c>
      <c r="D1123" s="540" t="s">
        <v>798</v>
      </c>
      <c r="E1123" s="494" t="s">
        <v>169</v>
      </c>
      <c r="F1123" s="426">
        <v>4493</v>
      </c>
      <c r="G1123" s="426">
        <v>4</v>
      </c>
      <c r="H1123" s="426">
        <v>5.0599999999999996</v>
      </c>
      <c r="I1123" s="445">
        <v>22734.58</v>
      </c>
      <c r="J1123" s="446"/>
      <c r="K1123" s="446"/>
      <c r="L1123" s="446"/>
      <c r="M1123" s="446"/>
      <c r="N1123" s="446"/>
      <c r="O1123" s="446"/>
    </row>
    <row r="1124" spans="1:18" s="447" customFormat="1" x14ac:dyDescent="0.2">
      <c r="A1124" s="542"/>
      <c r="B1124" s="506"/>
      <c r="C1124" s="506"/>
      <c r="D1124" s="540"/>
      <c r="E1124" s="494"/>
      <c r="F1124" s="426"/>
      <c r="G1124" s="426"/>
      <c r="H1124" s="426"/>
      <c r="I1124" s="445"/>
      <c r="J1124" s="446"/>
      <c r="K1124" s="453"/>
      <c r="L1124" s="446"/>
      <c r="M1124" s="446"/>
      <c r="N1124" s="446"/>
      <c r="O1124" s="446"/>
    </row>
    <row r="1125" spans="1:18" s="447" customFormat="1" x14ac:dyDescent="0.2">
      <c r="A1125" s="550"/>
      <c r="B1125" s="551"/>
      <c r="C1125" s="551"/>
      <c r="D1125" s="552" t="s">
        <v>2473</v>
      </c>
      <c r="E1125" s="494"/>
      <c r="F1125" s="426"/>
      <c r="G1125" s="426"/>
      <c r="H1125" s="426"/>
      <c r="I1125" s="445"/>
      <c r="J1125" s="446"/>
      <c r="K1125" s="453"/>
      <c r="L1125" s="446"/>
      <c r="M1125" s="446"/>
      <c r="N1125" s="446"/>
      <c r="O1125" s="446"/>
    </row>
    <row r="1126" spans="1:18" s="447" customFormat="1" x14ac:dyDescent="0.2">
      <c r="A1126" s="542"/>
      <c r="B1126" s="506"/>
      <c r="C1126" s="506"/>
      <c r="D1126" s="540"/>
      <c r="E1126" s="494"/>
      <c r="F1126" s="426"/>
      <c r="G1126" s="426"/>
      <c r="H1126" s="426"/>
      <c r="I1126" s="445"/>
      <c r="J1126" s="446"/>
      <c r="K1126" s="453"/>
      <c r="L1126" s="446"/>
      <c r="M1126" s="446"/>
      <c r="N1126" s="446"/>
      <c r="O1126" s="446"/>
    </row>
    <row r="1127" spans="1:18" s="447" customFormat="1" x14ac:dyDescent="0.2">
      <c r="A1127" s="542" t="s">
        <v>1122</v>
      </c>
      <c r="B1127" s="506" t="s">
        <v>45</v>
      </c>
      <c r="C1127" s="506">
        <v>34441</v>
      </c>
      <c r="D1127" s="540" t="s">
        <v>1389</v>
      </c>
      <c r="E1127" s="494" t="s">
        <v>169</v>
      </c>
      <c r="F1127" s="426">
        <v>11175</v>
      </c>
      <c r="G1127" s="426">
        <v>3.8</v>
      </c>
      <c r="H1127" s="426">
        <v>4.8</v>
      </c>
      <c r="I1127" s="445">
        <v>53640</v>
      </c>
      <c r="J1127" s="446"/>
      <c r="K1127" s="446"/>
      <c r="L1127" s="446"/>
      <c r="M1127" s="446"/>
      <c r="N1127" s="446"/>
      <c r="O1127" s="446"/>
    </row>
    <row r="1128" spans="1:18" s="447" customFormat="1" x14ac:dyDescent="0.2">
      <c r="A1128" s="542"/>
      <c r="B1128" s="506"/>
      <c r="C1128" s="506"/>
      <c r="D1128" s="540"/>
      <c r="E1128" s="494"/>
      <c r="F1128" s="426"/>
      <c r="G1128" s="426"/>
      <c r="H1128" s="426"/>
      <c r="I1128" s="445"/>
      <c r="J1128" s="446"/>
      <c r="K1128" s="453"/>
      <c r="L1128" s="446"/>
      <c r="M1128" s="446"/>
      <c r="N1128" s="446"/>
      <c r="O1128" s="446"/>
    </row>
    <row r="1129" spans="1:18" s="447" customFormat="1" x14ac:dyDescent="0.2">
      <c r="A1129" s="542"/>
      <c r="B1129" s="506"/>
      <c r="C1129" s="506"/>
      <c r="D1129" s="540" t="s">
        <v>2474</v>
      </c>
      <c r="E1129" s="494"/>
      <c r="F1129" s="426"/>
      <c r="G1129" s="426"/>
      <c r="H1129" s="426"/>
      <c r="I1129" s="445"/>
      <c r="J1129" s="446"/>
      <c r="K1129" s="453"/>
      <c r="L1129" s="446"/>
      <c r="M1129" s="446"/>
      <c r="N1129" s="446"/>
      <c r="O1129" s="446"/>
    </row>
    <row r="1130" spans="1:18" s="447" customFormat="1" x14ac:dyDescent="0.2">
      <c r="A1130" s="542"/>
      <c r="B1130" s="506"/>
      <c r="C1130" s="506"/>
      <c r="D1130" s="540"/>
      <c r="E1130" s="494"/>
      <c r="F1130" s="426"/>
      <c r="G1130" s="426"/>
      <c r="H1130" s="426"/>
      <c r="I1130" s="445"/>
      <c r="J1130" s="446"/>
      <c r="K1130" s="453"/>
      <c r="L1130" s="446"/>
      <c r="M1130" s="446"/>
      <c r="N1130" s="446"/>
      <c r="O1130" s="446"/>
    </row>
    <row r="1131" spans="1:18" s="447" customFormat="1" x14ac:dyDescent="0.2">
      <c r="A1131" s="542" t="s">
        <v>1123</v>
      </c>
      <c r="B1131" s="506" t="s">
        <v>45</v>
      </c>
      <c r="C1131" s="506">
        <v>34443</v>
      </c>
      <c r="D1131" s="540" t="s">
        <v>1390</v>
      </c>
      <c r="E1131" s="494" t="s">
        <v>169</v>
      </c>
      <c r="F1131" s="426">
        <v>10759</v>
      </c>
      <c r="G1131" s="426">
        <v>3.8</v>
      </c>
      <c r="H1131" s="426">
        <v>4.8</v>
      </c>
      <c r="I1131" s="445">
        <v>51643.199999999997</v>
      </c>
      <c r="J1131" s="446"/>
      <c r="K1131" s="446"/>
      <c r="L1131" s="446"/>
      <c r="M1131" s="446"/>
      <c r="N1131" s="446"/>
      <c r="O1131" s="446"/>
    </row>
    <row r="1132" spans="1:18" s="447" customFormat="1" x14ac:dyDescent="0.2">
      <c r="A1132" s="542"/>
      <c r="B1132" s="506"/>
      <c r="C1132" s="506"/>
      <c r="D1132" s="540"/>
      <c r="E1132" s="494"/>
      <c r="F1132" s="426"/>
      <c r="G1132" s="426"/>
      <c r="H1132" s="426"/>
      <c r="I1132" s="445"/>
      <c r="J1132" s="446"/>
      <c r="K1132" s="453"/>
      <c r="L1132" s="446"/>
      <c r="M1132" s="446"/>
      <c r="N1132" s="446"/>
      <c r="O1132" s="446"/>
    </row>
    <row r="1133" spans="1:18" s="447" customFormat="1" x14ac:dyDescent="0.2">
      <c r="A1133" s="542"/>
      <c r="B1133" s="506"/>
      <c r="C1133" s="506"/>
      <c r="D1133" s="540" t="s">
        <v>2475</v>
      </c>
      <c r="E1133" s="494"/>
      <c r="F1133" s="426"/>
      <c r="G1133" s="426"/>
      <c r="H1133" s="426"/>
      <c r="I1133" s="445"/>
      <c r="J1133" s="446"/>
      <c r="K1133" s="453"/>
      <c r="L1133" s="446"/>
      <c r="M1133" s="446"/>
      <c r="N1133" s="446"/>
      <c r="O1133" s="446"/>
    </row>
    <row r="1134" spans="1:18" s="447" customFormat="1" x14ac:dyDescent="0.2">
      <c r="A1134" s="542"/>
      <c r="B1134" s="506"/>
      <c r="C1134" s="506"/>
      <c r="D1134" s="540"/>
      <c r="E1134" s="494"/>
      <c r="F1134" s="426"/>
      <c r="G1134" s="426"/>
      <c r="H1134" s="426"/>
      <c r="I1134" s="445"/>
      <c r="J1134" s="446"/>
      <c r="K1134" s="453"/>
      <c r="L1134" s="446"/>
      <c r="M1134" s="446"/>
      <c r="N1134" s="446"/>
      <c r="O1134" s="446"/>
    </row>
    <row r="1135" spans="1:18" s="373" customFormat="1" ht="30" x14ac:dyDescent="0.2">
      <c r="A1135" s="538" t="s">
        <v>1124</v>
      </c>
      <c r="B1135" s="506" t="s">
        <v>45</v>
      </c>
      <c r="C1135" s="506">
        <v>94967</v>
      </c>
      <c r="D1135" s="554" t="s">
        <v>1351</v>
      </c>
      <c r="E1135" s="495" t="s">
        <v>16</v>
      </c>
      <c r="F1135" s="426">
        <v>637.4</v>
      </c>
      <c r="G1135" s="426">
        <v>331.4</v>
      </c>
      <c r="H1135" s="426">
        <f t="shared" si="73"/>
        <v>419.01</v>
      </c>
      <c r="I1135" s="445">
        <f>ROUND(F1135*H1135,2)</f>
        <v>267076.96999999997</v>
      </c>
      <c r="J1135" s="444"/>
      <c r="K1135" s="372"/>
      <c r="L1135" s="424"/>
      <c r="M1135" s="372"/>
      <c r="N1135" s="372"/>
      <c r="O1135" s="372"/>
      <c r="P1135" s="372"/>
      <c r="R1135" s="372"/>
    </row>
    <row r="1136" spans="1:18" s="373" customFormat="1" x14ac:dyDescent="0.2">
      <c r="A1136" s="538"/>
      <c r="B1136" s="506"/>
      <c r="C1136" s="506"/>
      <c r="D1136" s="554"/>
      <c r="E1136" s="495"/>
      <c r="F1136" s="426"/>
      <c r="G1136" s="426"/>
      <c r="H1136" s="426"/>
      <c r="I1136" s="455"/>
      <c r="J1136" s="444"/>
      <c r="K1136" s="372"/>
      <c r="L1136" s="424"/>
      <c r="M1136" s="372"/>
      <c r="N1136" s="372"/>
      <c r="O1136" s="372"/>
      <c r="P1136" s="372"/>
      <c r="R1136" s="372"/>
    </row>
    <row r="1137" spans="1:63" s="373" customFormat="1" x14ac:dyDescent="0.2">
      <c r="A1137" s="538"/>
      <c r="B1137" s="506"/>
      <c r="C1137" s="506"/>
      <c r="D1137" s="554" t="s">
        <v>2727</v>
      </c>
      <c r="E1137" s="495"/>
      <c r="F1137" s="426"/>
      <c r="G1137" s="426"/>
      <c r="H1137" s="426"/>
      <c r="I1137" s="455"/>
      <c r="J1137" s="444"/>
      <c r="K1137" s="372"/>
      <c r="L1137" s="424"/>
      <c r="M1137" s="372"/>
      <c r="N1137" s="372"/>
      <c r="O1137" s="372"/>
      <c r="P1137" s="372"/>
      <c r="R1137" s="372"/>
    </row>
    <row r="1138" spans="1:63" s="373" customFormat="1" x14ac:dyDescent="0.2">
      <c r="A1138" s="538"/>
      <c r="B1138" s="506"/>
      <c r="C1138" s="506"/>
      <c r="D1138" s="554"/>
      <c r="E1138" s="495"/>
      <c r="F1138" s="426"/>
      <c r="G1138" s="426"/>
      <c r="H1138" s="426"/>
      <c r="I1138" s="455"/>
      <c r="J1138" s="444"/>
      <c r="K1138" s="372"/>
      <c r="L1138" s="424"/>
      <c r="M1138" s="372"/>
      <c r="N1138" s="372"/>
      <c r="O1138" s="372"/>
      <c r="P1138" s="372"/>
      <c r="R1138" s="372"/>
    </row>
    <row r="1139" spans="1:63" ht="30" x14ac:dyDescent="0.2">
      <c r="A1139" s="538" t="s">
        <v>1125</v>
      </c>
      <c r="B1139" s="499" t="s">
        <v>45</v>
      </c>
      <c r="C1139" s="499">
        <v>92874</v>
      </c>
      <c r="D1139" s="539" t="s">
        <v>800</v>
      </c>
      <c r="E1139" s="492" t="s">
        <v>16</v>
      </c>
      <c r="F1139" s="426">
        <f>F1135</f>
        <v>637.4</v>
      </c>
      <c r="G1139" s="426">
        <v>27.56</v>
      </c>
      <c r="H1139" s="427">
        <f t="shared" ref="H1139:H1191" si="74">G1139*(1+$L$16)</f>
        <v>34.8456752518345</v>
      </c>
      <c r="I1139" s="428">
        <f t="shared" ref="I1139" si="75">ROUND(F1139*H1139,2)</f>
        <v>22210.63</v>
      </c>
      <c r="J1139" s="429"/>
      <c r="K1139" s="372"/>
      <c r="L1139" s="430"/>
      <c r="M1139" s="372"/>
      <c r="N1139" s="372"/>
      <c r="O1139" s="372"/>
      <c r="P1139" s="372"/>
      <c r="R1139" s="372"/>
      <c r="W1139" s="374"/>
      <c r="X1139" s="374"/>
      <c r="Y1139" s="374"/>
      <c r="Z1139" s="374"/>
      <c r="AA1139" s="374"/>
      <c r="AB1139" s="374"/>
      <c r="AC1139" s="374"/>
      <c r="AD1139" s="374"/>
      <c r="AE1139" s="374"/>
      <c r="AF1139" s="374"/>
      <c r="AG1139" s="374"/>
      <c r="AH1139" s="374"/>
      <c r="AI1139" s="374"/>
      <c r="AJ1139" s="374"/>
      <c r="AK1139" s="374"/>
      <c r="AL1139" s="374"/>
      <c r="AM1139" s="374"/>
      <c r="AN1139" s="374"/>
      <c r="AO1139" s="374"/>
      <c r="AP1139" s="374"/>
      <c r="AQ1139" s="374"/>
      <c r="AR1139" s="374"/>
      <c r="AS1139" s="374"/>
      <c r="AT1139" s="374"/>
      <c r="AU1139" s="374"/>
      <c r="AV1139" s="374"/>
      <c r="AW1139" s="374"/>
      <c r="AX1139" s="374"/>
      <c r="AY1139" s="374"/>
      <c r="AZ1139" s="374"/>
      <c r="BA1139" s="374"/>
      <c r="BB1139" s="374"/>
      <c r="BC1139" s="374"/>
      <c r="BD1139" s="374"/>
      <c r="BE1139" s="374"/>
      <c r="BF1139" s="374"/>
      <c r="BG1139" s="374"/>
      <c r="BH1139" s="374"/>
      <c r="BI1139" s="374"/>
      <c r="BJ1139" s="374"/>
      <c r="BK1139" s="374"/>
    </row>
    <row r="1140" spans="1:63" x14ac:dyDescent="0.2">
      <c r="A1140" s="538"/>
      <c r="B1140" s="499"/>
      <c r="C1140" s="499"/>
      <c r="D1140" s="539"/>
      <c r="E1140" s="492"/>
      <c r="F1140" s="426"/>
      <c r="G1140" s="426"/>
      <c r="H1140" s="427"/>
      <c r="I1140" s="428"/>
      <c r="J1140" s="429"/>
      <c r="K1140" s="372"/>
      <c r="L1140" s="430"/>
      <c r="M1140" s="372"/>
      <c r="N1140" s="372"/>
      <c r="O1140" s="372"/>
      <c r="P1140" s="372"/>
      <c r="R1140" s="372"/>
      <c r="W1140" s="374"/>
      <c r="X1140" s="374"/>
      <c r="Y1140" s="374"/>
      <c r="Z1140" s="374"/>
      <c r="AA1140" s="374"/>
      <c r="AB1140" s="374"/>
      <c r="AC1140" s="374"/>
      <c r="AD1140" s="374"/>
      <c r="AE1140" s="374"/>
      <c r="AF1140" s="374"/>
      <c r="AG1140" s="374"/>
      <c r="AH1140" s="374"/>
      <c r="AI1140" s="374"/>
      <c r="AJ1140" s="374"/>
      <c r="AK1140" s="374"/>
      <c r="AL1140" s="374"/>
      <c r="AM1140" s="374"/>
      <c r="AN1140" s="374"/>
      <c r="AO1140" s="374"/>
      <c r="AP1140" s="374"/>
      <c r="AQ1140" s="374"/>
      <c r="AR1140" s="374"/>
      <c r="AS1140" s="374"/>
      <c r="AT1140" s="374"/>
      <c r="AU1140" s="374"/>
      <c r="AV1140" s="374"/>
      <c r="AW1140" s="374"/>
      <c r="AX1140" s="374"/>
      <c r="AY1140" s="374"/>
      <c r="AZ1140" s="374"/>
      <c r="BA1140" s="374"/>
      <c r="BB1140" s="374"/>
      <c r="BC1140" s="374"/>
      <c r="BD1140" s="374"/>
      <c r="BE1140" s="374"/>
      <c r="BF1140" s="374"/>
      <c r="BG1140" s="374"/>
      <c r="BH1140" s="374"/>
      <c r="BI1140" s="374"/>
      <c r="BJ1140" s="374"/>
      <c r="BK1140" s="374"/>
    </row>
    <row r="1141" spans="1:63" x14ac:dyDescent="0.2">
      <c r="A1141" s="538"/>
      <c r="B1141" s="499"/>
      <c r="C1141" s="499"/>
      <c r="D1141" s="554" t="s">
        <v>2727</v>
      </c>
      <c r="E1141" s="492"/>
      <c r="F1141" s="426"/>
      <c r="G1141" s="426"/>
      <c r="H1141" s="427"/>
      <c r="I1141" s="428"/>
      <c r="J1141" s="429"/>
      <c r="K1141" s="372"/>
      <c r="L1141" s="430"/>
      <c r="M1141" s="372"/>
      <c r="N1141" s="372"/>
      <c r="O1141" s="372"/>
      <c r="P1141" s="372"/>
      <c r="R1141" s="372"/>
      <c r="W1141" s="374"/>
      <c r="X1141" s="374"/>
      <c r="Y1141" s="374"/>
      <c r="Z1141" s="374"/>
      <c r="AA1141" s="374"/>
      <c r="AB1141" s="374"/>
      <c r="AC1141" s="374"/>
      <c r="AD1141" s="374"/>
      <c r="AE1141" s="374"/>
      <c r="AF1141" s="374"/>
      <c r="AG1141" s="374"/>
      <c r="AH1141" s="374"/>
      <c r="AI1141" s="374"/>
      <c r="AJ1141" s="374"/>
      <c r="AK1141" s="374"/>
      <c r="AL1141" s="374"/>
      <c r="AM1141" s="374"/>
      <c r="AN1141" s="374"/>
      <c r="AO1141" s="374"/>
      <c r="AP1141" s="374"/>
      <c r="AQ1141" s="374"/>
      <c r="AR1141" s="374"/>
      <c r="AS1141" s="374"/>
      <c r="AT1141" s="374"/>
      <c r="AU1141" s="374"/>
      <c r="AV1141" s="374"/>
      <c r="AW1141" s="374"/>
      <c r="AX1141" s="374"/>
      <c r="AY1141" s="374"/>
      <c r="AZ1141" s="374"/>
      <c r="BA1141" s="374"/>
      <c r="BB1141" s="374"/>
      <c r="BC1141" s="374"/>
      <c r="BD1141" s="374"/>
      <c r="BE1141" s="374"/>
      <c r="BF1141" s="374"/>
      <c r="BG1141" s="374"/>
      <c r="BH1141" s="374"/>
      <c r="BI1141" s="374"/>
      <c r="BJ1141" s="374"/>
      <c r="BK1141" s="374"/>
    </row>
    <row r="1142" spans="1:63" x14ac:dyDescent="0.2">
      <c r="A1142" s="538"/>
      <c r="B1142" s="499"/>
      <c r="C1142" s="499"/>
      <c r="D1142" s="539"/>
      <c r="E1142" s="492"/>
      <c r="F1142" s="426"/>
      <c r="G1142" s="426"/>
      <c r="H1142" s="427"/>
      <c r="I1142" s="428"/>
      <c r="J1142" s="429"/>
      <c r="K1142" s="372"/>
      <c r="L1142" s="430"/>
      <c r="M1142" s="372"/>
      <c r="N1142" s="372"/>
      <c r="O1142" s="372"/>
      <c r="P1142" s="372"/>
      <c r="R1142" s="372"/>
      <c r="W1142" s="374"/>
      <c r="X1142" s="374"/>
      <c r="Y1142" s="374"/>
      <c r="Z1142" s="374"/>
      <c r="AA1142" s="374"/>
      <c r="AB1142" s="374"/>
      <c r="AC1142" s="374"/>
      <c r="AD1142" s="374"/>
      <c r="AE1142" s="374"/>
      <c r="AF1142" s="374"/>
      <c r="AG1142" s="374"/>
      <c r="AH1142" s="374"/>
      <c r="AI1142" s="374"/>
      <c r="AJ1142" s="374"/>
      <c r="AK1142" s="374"/>
      <c r="AL1142" s="374"/>
      <c r="AM1142" s="374"/>
      <c r="AN1142" s="374"/>
      <c r="AO1142" s="374"/>
      <c r="AP1142" s="374"/>
      <c r="AQ1142" s="374"/>
      <c r="AR1142" s="374"/>
      <c r="AS1142" s="374"/>
      <c r="AT1142" s="374"/>
      <c r="AU1142" s="374"/>
      <c r="AV1142" s="374"/>
      <c r="AW1142" s="374"/>
      <c r="AX1142" s="374"/>
      <c r="AY1142" s="374"/>
      <c r="AZ1142" s="374"/>
      <c r="BA1142" s="374"/>
      <c r="BB1142" s="374"/>
      <c r="BC1142" s="374"/>
      <c r="BD1142" s="374"/>
      <c r="BE1142" s="374"/>
      <c r="BF1142" s="374"/>
      <c r="BG1142" s="374"/>
      <c r="BH1142" s="374"/>
      <c r="BI1142" s="374"/>
      <c r="BJ1142" s="374"/>
      <c r="BK1142" s="374"/>
    </row>
    <row r="1143" spans="1:63" ht="30" x14ac:dyDescent="0.2">
      <c r="A1143" s="538" t="s">
        <v>1126</v>
      </c>
      <c r="B1143" s="502" t="s">
        <v>45</v>
      </c>
      <c r="C1143" s="502">
        <v>83516</v>
      </c>
      <c r="D1143" s="559" t="s">
        <v>1359</v>
      </c>
      <c r="E1143" s="496" t="s">
        <v>16</v>
      </c>
      <c r="F1143" s="426">
        <f>F1102+F1110</f>
        <v>1122.2399999999998</v>
      </c>
      <c r="G1143" s="426">
        <v>13.16</v>
      </c>
      <c r="H1143" s="427">
        <f t="shared" si="74"/>
        <v>16.638936368437665</v>
      </c>
      <c r="I1143" s="428">
        <f t="shared" si="69"/>
        <v>18672.88</v>
      </c>
      <c r="J1143" s="429"/>
      <c r="K1143" s="372"/>
      <c r="L1143" s="430"/>
      <c r="M1143" s="372"/>
      <c r="N1143" s="372"/>
      <c r="O1143" s="372"/>
      <c r="P1143" s="372"/>
      <c r="R1143" s="372"/>
      <c r="W1143" s="374"/>
      <c r="X1143" s="374"/>
      <c r="Y1143" s="374"/>
      <c r="Z1143" s="374"/>
      <c r="AA1143" s="374"/>
      <c r="AB1143" s="374"/>
      <c r="AC1143" s="374"/>
      <c r="AD1143" s="374"/>
      <c r="AE1143" s="374"/>
      <c r="AF1143" s="374"/>
      <c r="AG1143" s="374"/>
      <c r="AH1143" s="374"/>
      <c r="AI1143" s="374"/>
      <c r="AJ1143" s="374"/>
      <c r="AK1143" s="374"/>
      <c r="AL1143" s="374"/>
      <c r="AM1143" s="374"/>
      <c r="AN1143" s="374"/>
      <c r="AO1143" s="374"/>
      <c r="AP1143" s="374"/>
      <c r="AQ1143" s="374"/>
      <c r="AR1143" s="374"/>
      <c r="AS1143" s="374"/>
      <c r="AT1143" s="374"/>
      <c r="AU1143" s="374"/>
      <c r="AV1143" s="374"/>
      <c r="AW1143" s="374"/>
      <c r="AX1143" s="374"/>
      <c r="AY1143" s="374"/>
      <c r="AZ1143" s="374"/>
      <c r="BA1143" s="374"/>
      <c r="BB1143" s="374"/>
      <c r="BC1143" s="374"/>
      <c r="BD1143" s="374"/>
      <c r="BE1143" s="374"/>
      <c r="BF1143" s="374"/>
      <c r="BG1143" s="374"/>
      <c r="BH1143" s="374"/>
      <c r="BI1143" s="374"/>
      <c r="BJ1143" s="374"/>
      <c r="BK1143" s="374"/>
    </row>
    <row r="1144" spans="1:63" x14ac:dyDescent="0.2">
      <c r="A1144" s="538"/>
      <c r="B1144" s="502"/>
      <c r="C1144" s="502"/>
      <c r="D1144" s="559"/>
      <c r="E1144" s="496"/>
      <c r="F1144" s="426"/>
      <c r="G1144" s="426"/>
      <c r="H1144" s="427"/>
      <c r="I1144" s="428"/>
      <c r="J1144" s="429"/>
      <c r="K1144" s="372"/>
      <c r="L1144" s="430"/>
      <c r="M1144" s="372"/>
      <c r="N1144" s="372"/>
      <c r="O1144" s="372"/>
      <c r="P1144" s="372"/>
      <c r="R1144" s="372"/>
      <c r="W1144" s="374"/>
      <c r="X1144" s="374"/>
      <c r="Y1144" s="374"/>
      <c r="Z1144" s="374"/>
      <c r="AA1144" s="374"/>
      <c r="AB1144" s="374"/>
      <c r="AC1144" s="374"/>
      <c r="AD1144" s="374"/>
      <c r="AE1144" s="374"/>
      <c r="AF1144" s="374"/>
      <c r="AG1144" s="374"/>
      <c r="AH1144" s="374"/>
      <c r="AI1144" s="374"/>
      <c r="AJ1144" s="374"/>
      <c r="AK1144" s="374"/>
      <c r="AL1144" s="374"/>
      <c r="AM1144" s="374"/>
      <c r="AN1144" s="374"/>
      <c r="AO1144" s="374"/>
      <c r="AP1144" s="374"/>
      <c r="AQ1144" s="374"/>
      <c r="AR1144" s="374"/>
      <c r="AS1144" s="374"/>
      <c r="AT1144" s="374"/>
      <c r="AU1144" s="374"/>
      <c r="AV1144" s="374"/>
      <c r="AW1144" s="374"/>
      <c r="AX1144" s="374"/>
      <c r="AY1144" s="374"/>
      <c r="AZ1144" s="374"/>
      <c r="BA1144" s="374"/>
      <c r="BB1144" s="374"/>
      <c r="BC1144" s="374"/>
      <c r="BD1144" s="374"/>
      <c r="BE1144" s="374"/>
      <c r="BF1144" s="374"/>
      <c r="BG1144" s="374"/>
      <c r="BH1144" s="374"/>
      <c r="BI1144" s="374"/>
      <c r="BJ1144" s="374"/>
      <c r="BK1144" s="374"/>
    </row>
    <row r="1145" spans="1:63" x14ac:dyDescent="0.2">
      <c r="A1145" s="538"/>
      <c r="B1145" s="502"/>
      <c r="C1145" s="502"/>
      <c r="D1145" s="559" t="s">
        <v>2476</v>
      </c>
      <c r="E1145" s="496"/>
      <c r="F1145" s="426"/>
      <c r="G1145" s="426"/>
      <c r="H1145" s="427"/>
      <c r="I1145" s="428"/>
      <c r="J1145" s="429"/>
      <c r="K1145" s="372"/>
      <c r="L1145" s="430"/>
      <c r="M1145" s="372"/>
      <c r="N1145" s="372"/>
      <c r="O1145" s="372"/>
      <c r="P1145" s="372"/>
      <c r="R1145" s="372"/>
      <c r="W1145" s="374"/>
      <c r="X1145" s="374"/>
      <c r="Y1145" s="374"/>
      <c r="Z1145" s="374"/>
      <c r="AA1145" s="374"/>
      <c r="AB1145" s="374"/>
      <c r="AC1145" s="374"/>
      <c r="AD1145" s="374"/>
      <c r="AE1145" s="374"/>
      <c r="AF1145" s="374"/>
      <c r="AG1145" s="374"/>
      <c r="AH1145" s="374"/>
      <c r="AI1145" s="374"/>
      <c r="AJ1145" s="374"/>
      <c r="AK1145" s="374"/>
      <c r="AL1145" s="374"/>
      <c r="AM1145" s="374"/>
      <c r="AN1145" s="374"/>
      <c r="AO1145" s="374"/>
      <c r="AP1145" s="374"/>
      <c r="AQ1145" s="374"/>
      <c r="AR1145" s="374"/>
      <c r="AS1145" s="374"/>
      <c r="AT1145" s="374"/>
      <c r="AU1145" s="374"/>
      <c r="AV1145" s="374"/>
      <c r="AW1145" s="374"/>
      <c r="AX1145" s="374"/>
      <c r="AY1145" s="374"/>
      <c r="AZ1145" s="374"/>
      <c r="BA1145" s="374"/>
      <c r="BB1145" s="374"/>
      <c r="BC1145" s="374"/>
      <c r="BD1145" s="374"/>
      <c r="BE1145" s="374"/>
      <c r="BF1145" s="374"/>
      <c r="BG1145" s="374"/>
      <c r="BH1145" s="374"/>
      <c r="BI1145" s="374"/>
      <c r="BJ1145" s="374"/>
      <c r="BK1145" s="374"/>
    </row>
    <row r="1146" spans="1:63" x14ac:dyDescent="0.2">
      <c r="A1146" s="538"/>
      <c r="B1146" s="502"/>
      <c r="C1146" s="502"/>
      <c r="D1146" s="559"/>
      <c r="E1146" s="496"/>
      <c r="F1146" s="426"/>
      <c r="G1146" s="426"/>
      <c r="H1146" s="427"/>
      <c r="I1146" s="428"/>
      <c r="J1146" s="429"/>
      <c r="K1146" s="372"/>
      <c r="L1146" s="430"/>
      <c r="M1146" s="372"/>
      <c r="N1146" s="372"/>
      <c r="O1146" s="372"/>
      <c r="P1146" s="372"/>
      <c r="R1146" s="372"/>
      <c r="W1146" s="374"/>
      <c r="X1146" s="374"/>
      <c r="Y1146" s="374"/>
      <c r="Z1146" s="374"/>
      <c r="AA1146" s="374"/>
      <c r="AB1146" s="374"/>
      <c r="AC1146" s="374"/>
      <c r="AD1146" s="374"/>
      <c r="AE1146" s="374"/>
      <c r="AF1146" s="374"/>
      <c r="AG1146" s="374"/>
      <c r="AH1146" s="374"/>
      <c r="AI1146" s="374"/>
      <c r="AJ1146" s="374"/>
      <c r="AK1146" s="374"/>
      <c r="AL1146" s="374"/>
      <c r="AM1146" s="374"/>
      <c r="AN1146" s="374"/>
      <c r="AO1146" s="374"/>
      <c r="AP1146" s="374"/>
      <c r="AQ1146" s="374"/>
      <c r="AR1146" s="374"/>
      <c r="AS1146" s="374"/>
      <c r="AT1146" s="374"/>
      <c r="AU1146" s="374"/>
      <c r="AV1146" s="374"/>
      <c r="AW1146" s="374"/>
      <c r="AX1146" s="374"/>
      <c r="AY1146" s="374"/>
      <c r="AZ1146" s="374"/>
      <c r="BA1146" s="374"/>
      <c r="BB1146" s="374"/>
      <c r="BC1146" s="374"/>
      <c r="BD1146" s="374"/>
      <c r="BE1146" s="374"/>
      <c r="BF1146" s="374"/>
      <c r="BG1146" s="374"/>
      <c r="BH1146" s="374"/>
      <c r="BI1146" s="374"/>
      <c r="BJ1146" s="374"/>
      <c r="BK1146" s="374"/>
    </row>
    <row r="1147" spans="1:63" ht="30" x14ac:dyDescent="0.2">
      <c r="A1147" s="538" t="s">
        <v>1485</v>
      </c>
      <c r="B1147" s="499" t="s">
        <v>45</v>
      </c>
      <c r="C1147" s="499" t="s">
        <v>377</v>
      </c>
      <c r="D1147" s="539" t="s">
        <v>378</v>
      </c>
      <c r="E1147" s="492" t="s">
        <v>15</v>
      </c>
      <c r="F1147" s="426">
        <f>(7.8*2+16.8*2)*5*2+7.8*16.8*2*2+1.6*17.4+0.6*1*2+1.75*1.2*2+(1.75*2+1.2*2)*0.65*2+(1.8*2+0.95*2)*0.4*12</f>
        <v>1083.4700000000003</v>
      </c>
      <c r="G1147" s="426">
        <v>31.05</v>
      </c>
      <c r="H1147" s="427">
        <f t="shared" si="74"/>
        <v>39.258280717324432</v>
      </c>
      <c r="I1147" s="428">
        <f t="shared" si="69"/>
        <v>42535.17</v>
      </c>
      <c r="J1147" s="429"/>
      <c r="K1147" s="372"/>
      <c r="L1147" s="430"/>
      <c r="M1147" s="372"/>
      <c r="N1147" s="372"/>
      <c r="O1147" s="372"/>
      <c r="P1147" s="372"/>
      <c r="R1147" s="372"/>
      <c r="W1147" s="374"/>
      <c r="X1147" s="374"/>
      <c r="Y1147" s="374"/>
      <c r="Z1147" s="374"/>
      <c r="AA1147" s="374"/>
      <c r="AB1147" s="374"/>
      <c r="AC1147" s="374"/>
      <c r="AD1147" s="374"/>
      <c r="AE1147" s="374"/>
      <c r="AF1147" s="374"/>
      <c r="AG1147" s="374"/>
      <c r="AH1147" s="374"/>
      <c r="AI1147" s="374"/>
      <c r="AJ1147" s="374"/>
      <c r="AK1147" s="374"/>
      <c r="AL1147" s="374"/>
      <c r="AM1147" s="374"/>
      <c r="AN1147" s="374"/>
      <c r="AO1147" s="374"/>
      <c r="AP1147" s="374"/>
      <c r="AQ1147" s="374"/>
      <c r="AR1147" s="374"/>
      <c r="AS1147" s="374"/>
      <c r="AT1147" s="374"/>
      <c r="AU1147" s="374"/>
      <c r="AV1147" s="374"/>
      <c r="AW1147" s="374"/>
      <c r="AX1147" s="374"/>
      <c r="AY1147" s="374"/>
      <c r="AZ1147" s="374"/>
      <c r="BA1147" s="374"/>
      <c r="BB1147" s="374"/>
      <c r="BC1147" s="374"/>
      <c r="BD1147" s="374"/>
      <c r="BE1147" s="374"/>
      <c r="BF1147" s="374"/>
      <c r="BG1147" s="374"/>
      <c r="BH1147" s="374"/>
      <c r="BI1147" s="374"/>
      <c r="BJ1147" s="374"/>
      <c r="BK1147" s="374"/>
    </row>
    <row r="1148" spans="1:63" x14ac:dyDescent="0.2">
      <c r="A1148" s="538"/>
      <c r="B1148" s="499"/>
      <c r="C1148" s="499"/>
      <c r="D1148" s="539"/>
      <c r="E1148" s="492"/>
      <c r="F1148" s="426"/>
      <c r="G1148" s="426"/>
      <c r="H1148" s="427"/>
      <c r="I1148" s="428"/>
      <c r="J1148" s="429"/>
      <c r="K1148" s="372"/>
      <c r="L1148" s="430"/>
      <c r="M1148" s="372"/>
      <c r="N1148" s="372"/>
      <c r="O1148" s="372"/>
      <c r="P1148" s="372"/>
      <c r="R1148" s="372"/>
      <c r="W1148" s="374"/>
      <c r="X1148" s="374"/>
      <c r="Y1148" s="374"/>
      <c r="Z1148" s="374"/>
      <c r="AA1148" s="374"/>
      <c r="AB1148" s="374"/>
      <c r="AC1148" s="374"/>
      <c r="AD1148" s="374"/>
      <c r="AE1148" s="374"/>
      <c r="AF1148" s="374"/>
      <c r="AG1148" s="374"/>
      <c r="AH1148" s="374"/>
      <c r="AI1148" s="374"/>
      <c r="AJ1148" s="374"/>
      <c r="AK1148" s="374"/>
      <c r="AL1148" s="374"/>
      <c r="AM1148" s="374"/>
      <c r="AN1148" s="374"/>
      <c r="AO1148" s="374"/>
      <c r="AP1148" s="374"/>
      <c r="AQ1148" s="374"/>
      <c r="AR1148" s="374"/>
      <c r="AS1148" s="374"/>
      <c r="AT1148" s="374"/>
      <c r="AU1148" s="374"/>
      <c r="AV1148" s="374"/>
      <c r="AW1148" s="374"/>
      <c r="AX1148" s="374"/>
      <c r="AY1148" s="374"/>
      <c r="AZ1148" s="374"/>
      <c r="BA1148" s="374"/>
      <c r="BB1148" s="374"/>
      <c r="BC1148" s="374"/>
      <c r="BD1148" s="374"/>
      <c r="BE1148" s="374"/>
      <c r="BF1148" s="374"/>
      <c r="BG1148" s="374"/>
      <c r="BH1148" s="374"/>
      <c r="BI1148" s="374"/>
      <c r="BJ1148" s="374"/>
      <c r="BK1148" s="374"/>
    </row>
    <row r="1149" spans="1:63" x14ac:dyDescent="0.2">
      <c r="A1149" s="538"/>
      <c r="B1149" s="499"/>
      <c r="C1149" s="499"/>
      <c r="D1149" s="539" t="s">
        <v>2477</v>
      </c>
      <c r="E1149" s="492"/>
      <c r="F1149" s="426"/>
      <c r="G1149" s="426"/>
      <c r="H1149" s="427"/>
      <c r="I1149" s="428"/>
      <c r="J1149" s="429"/>
      <c r="K1149" s="372"/>
      <c r="L1149" s="430"/>
      <c r="M1149" s="372"/>
      <c r="N1149" s="372"/>
      <c r="O1149" s="372"/>
      <c r="P1149" s="372"/>
      <c r="R1149" s="372"/>
      <c r="W1149" s="374"/>
      <c r="X1149" s="374"/>
      <c r="Y1149" s="374"/>
      <c r="Z1149" s="374"/>
      <c r="AA1149" s="374"/>
      <c r="AB1149" s="374"/>
      <c r="AC1149" s="374"/>
      <c r="AD1149" s="374"/>
      <c r="AE1149" s="374"/>
      <c r="AF1149" s="374"/>
      <c r="AG1149" s="374"/>
      <c r="AH1149" s="374"/>
      <c r="AI1149" s="374"/>
      <c r="AJ1149" s="374"/>
      <c r="AK1149" s="374"/>
      <c r="AL1149" s="374"/>
      <c r="AM1149" s="374"/>
      <c r="AN1149" s="374"/>
      <c r="AO1149" s="374"/>
      <c r="AP1149" s="374"/>
      <c r="AQ1149" s="374"/>
      <c r="AR1149" s="374"/>
      <c r="AS1149" s="374"/>
      <c r="AT1149" s="374"/>
      <c r="AU1149" s="374"/>
      <c r="AV1149" s="374"/>
      <c r="AW1149" s="374"/>
      <c r="AX1149" s="374"/>
      <c r="AY1149" s="374"/>
      <c r="AZ1149" s="374"/>
      <c r="BA1149" s="374"/>
      <c r="BB1149" s="374"/>
      <c r="BC1149" s="374"/>
      <c r="BD1149" s="374"/>
      <c r="BE1149" s="374"/>
      <c r="BF1149" s="374"/>
      <c r="BG1149" s="374"/>
      <c r="BH1149" s="374"/>
      <c r="BI1149" s="374"/>
      <c r="BJ1149" s="374"/>
      <c r="BK1149" s="374"/>
    </row>
    <row r="1150" spans="1:63" x14ac:dyDescent="0.2">
      <c r="A1150" s="538"/>
      <c r="B1150" s="499"/>
      <c r="C1150" s="499"/>
      <c r="D1150" s="539"/>
      <c r="E1150" s="492"/>
      <c r="F1150" s="426"/>
      <c r="G1150" s="426"/>
      <c r="H1150" s="427"/>
      <c r="I1150" s="428"/>
      <c r="J1150" s="429"/>
      <c r="K1150" s="372"/>
      <c r="L1150" s="430"/>
      <c r="M1150" s="372"/>
      <c r="N1150" s="372"/>
      <c r="O1150" s="372"/>
      <c r="P1150" s="372"/>
      <c r="R1150" s="372"/>
      <c r="W1150" s="374"/>
      <c r="X1150" s="374"/>
      <c r="Y1150" s="374"/>
      <c r="Z1150" s="374"/>
      <c r="AA1150" s="374"/>
      <c r="AB1150" s="374"/>
      <c r="AC1150" s="374"/>
      <c r="AD1150" s="374"/>
      <c r="AE1150" s="374"/>
      <c r="AF1150" s="374"/>
      <c r="AG1150" s="374"/>
      <c r="AH1150" s="374"/>
      <c r="AI1150" s="374"/>
      <c r="AJ1150" s="374"/>
      <c r="AK1150" s="374"/>
      <c r="AL1150" s="374"/>
      <c r="AM1150" s="374"/>
      <c r="AN1150" s="374"/>
      <c r="AO1150" s="374"/>
      <c r="AP1150" s="374"/>
      <c r="AQ1150" s="374"/>
      <c r="AR1150" s="374"/>
      <c r="AS1150" s="374"/>
      <c r="AT1150" s="374"/>
      <c r="AU1150" s="374"/>
      <c r="AV1150" s="374"/>
      <c r="AW1150" s="374"/>
      <c r="AX1150" s="374"/>
      <c r="AY1150" s="374"/>
      <c r="AZ1150" s="374"/>
      <c r="BA1150" s="374"/>
      <c r="BB1150" s="374"/>
      <c r="BC1150" s="374"/>
      <c r="BD1150" s="374"/>
      <c r="BE1150" s="374"/>
      <c r="BF1150" s="374"/>
      <c r="BG1150" s="374"/>
      <c r="BH1150" s="374"/>
      <c r="BI1150" s="374"/>
      <c r="BJ1150" s="374"/>
      <c r="BK1150" s="374"/>
    </row>
    <row r="1151" spans="1:63" ht="45" x14ac:dyDescent="0.2">
      <c r="A1151" s="538" t="s">
        <v>1127</v>
      </c>
      <c r="B1151" s="499" t="s">
        <v>45</v>
      </c>
      <c r="C1151" s="499">
        <v>87471</v>
      </c>
      <c r="D1151" s="539" t="s">
        <v>1393</v>
      </c>
      <c r="E1151" s="492" t="s">
        <v>15</v>
      </c>
      <c r="F1151" s="426">
        <f>(2.05+1.2)*2*0.65*2</f>
        <v>8.4500000000000011</v>
      </c>
      <c r="G1151" s="426">
        <v>35.33</v>
      </c>
      <c r="H1151" s="427">
        <f t="shared" si="74"/>
        <v>44.669728107667382</v>
      </c>
      <c r="I1151" s="428">
        <f t="shared" ref="I1151" si="76">ROUND(F1151*H1151,2)</f>
        <v>377.46</v>
      </c>
      <c r="J1151" s="429"/>
      <c r="K1151" s="372"/>
      <c r="L1151" s="430"/>
      <c r="M1151" s="372"/>
      <c r="N1151" s="372"/>
      <c r="O1151" s="372"/>
      <c r="P1151" s="372"/>
      <c r="R1151" s="372"/>
      <c r="W1151" s="374"/>
      <c r="X1151" s="374"/>
      <c r="Y1151" s="374"/>
      <c r="Z1151" s="374"/>
      <c r="AA1151" s="374"/>
      <c r="AB1151" s="374"/>
      <c r="AC1151" s="374"/>
      <c r="AD1151" s="374"/>
      <c r="AE1151" s="374"/>
      <c r="AF1151" s="374"/>
      <c r="AG1151" s="374"/>
      <c r="AH1151" s="374"/>
      <c r="AI1151" s="374"/>
      <c r="AJ1151" s="374"/>
      <c r="AK1151" s="374"/>
      <c r="AL1151" s="374"/>
      <c r="AM1151" s="374"/>
      <c r="AN1151" s="374"/>
      <c r="AO1151" s="374"/>
      <c r="AP1151" s="374"/>
      <c r="AQ1151" s="374"/>
      <c r="AR1151" s="374"/>
      <c r="AS1151" s="374"/>
      <c r="AT1151" s="374"/>
      <c r="AU1151" s="374"/>
      <c r="AV1151" s="374"/>
      <c r="AW1151" s="374"/>
      <c r="AX1151" s="374"/>
      <c r="AY1151" s="374"/>
      <c r="AZ1151" s="374"/>
      <c r="BA1151" s="374"/>
      <c r="BB1151" s="374"/>
      <c r="BC1151" s="374"/>
      <c r="BD1151" s="374"/>
      <c r="BE1151" s="374"/>
      <c r="BF1151" s="374"/>
      <c r="BG1151" s="374"/>
      <c r="BH1151" s="374"/>
      <c r="BI1151" s="374"/>
      <c r="BJ1151" s="374"/>
      <c r="BK1151" s="374"/>
    </row>
    <row r="1152" spans="1:63" x14ac:dyDescent="0.2">
      <c r="A1152" s="538"/>
      <c r="B1152" s="499"/>
      <c r="C1152" s="499"/>
      <c r="D1152" s="539"/>
      <c r="E1152" s="492"/>
      <c r="F1152" s="426"/>
      <c r="G1152" s="426"/>
      <c r="H1152" s="427"/>
      <c r="I1152" s="428"/>
      <c r="J1152" s="429"/>
      <c r="K1152" s="372"/>
      <c r="L1152" s="430"/>
      <c r="M1152" s="372"/>
      <c r="N1152" s="372"/>
      <c r="O1152" s="372"/>
      <c r="P1152" s="372"/>
      <c r="R1152" s="372"/>
      <c r="W1152" s="374"/>
      <c r="X1152" s="374"/>
      <c r="Y1152" s="374"/>
      <c r="Z1152" s="374"/>
      <c r="AA1152" s="374"/>
      <c r="AB1152" s="374"/>
      <c r="AC1152" s="374"/>
      <c r="AD1152" s="374"/>
      <c r="AE1152" s="374"/>
      <c r="AF1152" s="374"/>
      <c r="AG1152" s="374"/>
      <c r="AH1152" s="374"/>
      <c r="AI1152" s="374"/>
      <c r="AJ1152" s="374"/>
      <c r="AK1152" s="374"/>
      <c r="AL1152" s="374"/>
      <c r="AM1152" s="374"/>
      <c r="AN1152" s="374"/>
      <c r="AO1152" s="374"/>
      <c r="AP1152" s="374"/>
      <c r="AQ1152" s="374"/>
      <c r="AR1152" s="374"/>
      <c r="AS1152" s="374"/>
      <c r="AT1152" s="374"/>
      <c r="AU1152" s="374"/>
      <c r="AV1152" s="374"/>
      <c r="AW1152" s="374"/>
      <c r="AX1152" s="374"/>
      <c r="AY1152" s="374"/>
      <c r="AZ1152" s="374"/>
      <c r="BA1152" s="374"/>
      <c r="BB1152" s="374"/>
      <c r="BC1152" s="374"/>
      <c r="BD1152" s="374"/>
      <c r="BE1152" s="374"/>
      <c r="BF1152" s="374"/>
      <c r="BG1152" s="374"/>
      <c r="BH1152" s="374"/>
      <c r="BI1152" s="374"/>
      <c r="BJ1152" s="374"/>
      <c r="BK1152" s="374"/>
    </row>
    <row r="1153" spans="1:63" x14ac:dyDescent="0.2">
      <c r="A1153" s="538"/>
      <c r="B1153" s="499"/>
      <c r="C1153" s="499"/>
      <c r="D1153" s="539" t="s">
        <v>2478</v>
      </c>
      <c r="E1153" s="492"/>
      <c r="F1153" s="426"/>
      <c r="G1153" s="426"/>
      <c r="H1153" s="427"/>
      <c r="I1153" s="428"/>
      <c r="J1153" s="429"/>
      <c r="K1153" s="372"/>
      <c r="L1153" s="430"/>
      <c r="M1153" s="372"/>
      <c r="N1153" s="372"/>
      <c r="O1153" s="372"/>
      <c r="P1153" s="372"/>
      <c r="R1153" s="372"/>
      <c r="W1153" s="374"/>
      <c r="X1153" s="374"/>
      <c r="Y1153" s="374"/>
      <c r="Z1153" s="374"/>
      <c r="AA1153" s="374"/>
      <c r="AB1153" s="374"/>
      <c r="AC1153" s="374"/>
      <c r="AD1153" s="374"/>
      <c r="AE1153" s="374"/>
      <c r="AF1153" s="374"/>
      <c r="AG1153" s="374"/>
      <c r="AH1153" s="374"/>
      <c r="AI1153" s="374"/>
      <c r="AJ1153" s="374"/>
      <c r="AK1153" s="374"/>
      <c r="AL1153" s="374"/>
      <c r="AM1153" s="374"/>
      <c r="AN1153" s="374"/>
      <c r="AO1153" s="374"/>
      <c r="AP1153" s="374"/>
      <c r="AQ1153" s="374"/>
      <c r="AR1153" s="374"/>
      <c r="AS1153" s="374"/>
      <c r="AT1153" s="374"/>
      <c r="AU1153" s="374"/>
      <c r="AV1153" s="374"/>
      <c r="AW1153" s="374"/>
      <c r="AX1153" s="374"/>
      <c r="AY1153" s="374"/>
      <c r="AZ1153" s="374"/>
      <c r="BA1153" s="374"/>
      <c r="BB1153" s="374"/>
      <c r="BC1153" s="374"/>
      <c r="BD1153" s="374"/>
      <c r="BE1153" s="374"/>
      <c r="BF1153" s="374"/>
      <c r="BG1153" s="374"/>
      <c r="BH1153" s="374"/>
      <c r="BI1153" s="374"/>
      <c r="BJ1153" s="374"/>
      <c r="BK1153" s="374"/>
    </row>
    <row r="1154" spans="1:63" x14ac:dyDescent="0.2">
      <c r="A1154" s="538"/>
      <c r="B1154" s="499"/>
      <c r="C1154" s="499"/>
      <c r="D1154" s="539"/>
      <c r="E1154" s="492"/>
      <c r="F1154" s="426"/>
      <c r="G1154" s="426"/>
      <c r="H1154" s="427"/>
      <c r="I1154" s="428"/>
      <c r="J1154" s="429"/>
      <c r="K1154" s="372"/>
      <c r="L1154" s="430"/>
      <c r="M1154" s="372"/>
      <c r="N1154" s="372"/>
      <c r="O1154" s="372"/>
      <c r="P1154" s="372"/>
      <c r="R1154" s="372"/>
      <c r="W1154" s="374"/>
      <c r="X1154" s="374"/>
      <c r="Y1154" s="374"/>
      <c r="Z1154" s="374"/>
      <c r="AA1154" s="374"/>
      <c r="AB1154" s="374"/>
      <c r="AC1154" s="374"/>
      <c r="AD1154" s="374"/>
      <c r="AE1154" s="374"/>
      <c r="AF1154" s="374"/>
      <c r="AG1154" s="374"/>
      <c r="AH1154" s="374"/>
      <c r="AI1154" s="374"/>
      <c r="AJ1154" s="374"/>
      <c r="AK1154" s="374"/>
      <c r="AL1154" s="374"/>
      <c r="AM1154" s="374"/>
      <c r="AN1154" s="374"/>
      <c r="AO1154" s="374"/>
      <c r="AP1154" s="374"/>
      <c r="AQ1154" s="374"/>
      <c r="AR1154" s="374"/>
      <c r="AS1154" s="374"/>
      <c r="AT1154" s="374"/>
      <c r="AU1154" s="374"/>
      <c r="AV1154" s="374"/>
      <c r="AW1154" s="374"/>
      <c r="AX1154" s="374"/>
      <c r="AY1154" s="374"/>
      <c r="AZ1154" s="374"/>
      <c r="BA1154" s="374"/>
      <c r="BB1154" s="374"/>
      <c r="BC1154" s="374"/>
      <c r="BD1154" s="374"/>
      <c r="BE1154" s="374"/>
      <c r="BF1154" s="374"/>
      <c r="BG1154" s="374"/>
      <c r="BH1154" s="374"/>
      <c r="BI1154" s="374"/>
      <c r="BJ1154" s="374"/>
      <c r="BK1154" s="374"/>
    </row>
    <row r="1155" spans="1:63" ht="45" x14ac:dyDescent="0.2">
      <c r="A1155" s="538" t="s">
        <v>1128</v>
      </c>
      <c r="B1155" s="499" t="s">
        <v>45</v>
      </c>
      <c r="C1155" s="499">
        <v>87473</v>
      </c>
      <c r="D1155" s="539" t="s">
        <v>1394</v>
      </c>
      <c r="E1155" s="492" t="s">
        <v>15</v>
      </c>
      <c r="F1155" s="426">
        <f>(2*2+1.15*2+1.8)*0.4*12</f>
        <v>38.880000000000003</v>
      </c>
      <c r="G1155" s="426">
        <v>49.04</v>
      </c>
      <c r="H1155" s="427">
        <f t="shared" si="74"/>
        <v>62.004060752901452</v>
      </c>
      <c r="I1155" s="428">
        <f t="shared" si="69"/>
        <v>2410.7199999999998</v>
      </c>
      <c r="J1155" s="429"/>
      <c r="K1155" s="372"/>
      <c r="L1155" s="430"/>
      <c r="M1155" s="372"/>
      <c r="N1155" s="372"/>
      <c r="O1155" s="372"/>
      <c r="P1155" s="372"/>
      <c r="R1155" s="372"/>
      <c r="W1155" s="374"/>
      <c r="X1155" s="374"/>
      <c r="Y1155" s="374"/>
      <c r="Z1155" s="374"/>
      <c r="AA1155" s="374"/>
      <c r="AB1155" s="374"/>
      <c r="AC1155" s="374"/>
      <c r="AD1155" s="374"/>
      <c r="AE1155" s="374"/>
      <c r="AF1155" s="374"/>
      <c r="AG1155" s="374"/>
      <c r="AH1155" s="374"/>
      <c r="AI1155" s="374"/>
      <c r="AJ1155" s="374"/>
      <c r="AK1155" s="374"/>
      <c r="AL1155" s="374"/>
      <c r="AM1155" s="374"/>
      <c r="AN1155" s="374"/>
      <c r="AO1155" s="374"/>
      <c r="AP1155" s="374"/>
      <c r="AQ1155" s="374"/>
      <c r="AR1155" s="374"/>
      <c r="AS1155" s="374"/>
      <c r="AT1155" s="374"/>
      <c r="AU1155" s="374"/>
      <c r="AV1155" s="374"/>
      <c r="AW1155" s="374"/>
      <c r="AX1155" s="374"/>
      <c r="AY1155" s="374"/>
      <c r="AZ1155" s="374"/>
      <c r="BA1155" s="374"/>
      <c r="BB1155" s="374"/>
      <c r="BC1155" s="374"/>
      <c r="BD1155" s="374"/>
      <c r="BE1155" s="374"/>
      <c r="BF1155" s="374"/>
      <c r="BG1155" s="374"/>
      <c r="BH1155" s="374"/>
      <c r="BI1155" s="374"/>
      <c r="BJ1155" s="374"/>
      <c r="BK1155" s="374"/>
    </row>
    <row r="1156" spans="1:63" x14ac:dyDescent="0.2">
      <c r="A1156" s="538"/>
      <c r="B1156" s="499"/>
      <c r="C1156" s="499"/>
      <c r="D1156" s="539"/>
      <c r="E1156" s="492"/>
      <c r="F1156" s="426"/>
      <c r="G1156" s="426"/>
      <c r="H1156" s="427"/>
      <c r="I1156" s="428"/>
      <c r="J1156" s="429"/>
      <c r="K1156" s="372"/>
      <c r="L1156" s="430"/>
      <c r="M1156" s="372"/>
      <c r="N1156" s="372"/>
      <c r="O1156" s="372"/>
      <c r="P1156" s="372"/>
      <c r="R1156" s="372"/>
      <c r="W1156" s="374"/>
      <c r="X1156" s="374"/>
      <c r="Y1156" s="374"/>
      <c r="Z1156" s="374"/>
      <c r="AA1156" s="374"/>
      <c r="AB1156" s="374"/>
      <c r="AC1156" s="374"/>
      <c r="AD1156" s="374"/>
      <c r="AE1156" s="374"/>
      <c r="AF1156" s="374"/>
      <c r="AG1156" s="374"/>
      <c r="AH1156" s="374"/>
      <c r="AI1156" s="374"/>
      <c r="AJ1156" s="374"/>
      <c r="AK1156" s="374"/>
      <c r="AL1156" s="374"/>
      <c r="AM1156" s="374"/>
      <c r="AN1156" s="374"/>
      <c r="AO1156" s="374"/>
      <c r="AP1156" s="374"/>
      <c r="AQ1156" s="374"/>
      <c r="AR1156" s="374"/>
      <c r="AS1156" s="374"/>
      <c r="AT1156" s="374"/>
      <c r="AU1156" s="374"/>
      <c r="AV1156" s="374"/>
      <c r="AW1156" s="374"/>
      <c r="AX1156" s="374"/>
      <c r="AY1156" s="374"/>
      <c r="AZ1156" s="374"/>
      <c r="BA1156" s="374"/>
      <c r="BB1156" s="374"/>
      <c r="BC1156" s="374"/>
      <c r="BD1156" s="374"/>
      <c r="BE1156" s="374"/>
      <c r="BF1156" s="374"/>
      <c r="BG1156" s="374"/>
      <c r="BH1156" s="374"/>
      <c r="BI1156" s="374"/>
      <c r="BJ1156" s="374"/>
      <c r="BK1156" s="374"/>
    </row>
    <row r="1157" spans="1:63" ht="30" x14ac:dyDescent="0.2">
      <c r="A1157" s="538"/>
      <c r="B1157" s="499"/>
      <c r="C1157" s="499"/>
      <c r="D1157" s="539" t="s">
        <v>2479</v>
      </c>
      <c r="E1157" s="492"/>
      <c r="F1157" s="426"/>
      <c r="G1157" s="426"/>
      <c r="H1157" s="427"/>
      <c r="I1157" s="428"/>
      <c r="J1157" s="429"/>
      <c r="K1157" s="372"/>
      <c r="L1157" s="430"/>
      <c r="M1157" s="372"/>
      <c r="N1157" s="372"/>
      <c r="O1157" s="372"/>
      <c r="P1157" s="372"/>
      <c r="R1157" s="372"/>
      <c r="W1157" s="374"/>
      <c r="X1157" s="374"/>
      <c r="Y1157" s="374"/>
      <c r="Z1157" s="374"/>
      <c r="AA1157" s="374"/>
      <c r="AB1157" s="374"/>
      <c r="AC1157" s="374"/>
      <c r="AD1157" s="374"/>
      <c r="AE1157" s="374"/>
      <c r="AF1157" s="374"/>
      <c r="AG1157" s="374"/>
      <c r="AH1157" s="374"/>
      <c r="AI1157" s="374"/>
      <c r="AJ1157" s="374"/>
      <c r="AK1157" s="374"/>
      <c r="AL1157" s="374"/>
      <c r="AM1157" s="374"/>
      <c r="AN1157" s="374"/>
      <c r="AO1157" s="374"/>
      <c r="AP1157" s="374"/>
      <c r="AQ1157" s="374"/>
      <c r="AR1157" s="374"/>
      <c r="AS1157" s="374"/>
      <c r="AT1157" s="374"/>
      <c r="AU1157" s="374"/>
      <c r="AV1157" s="374"/>
      <c r="AW1157" s="374"/>
      <c r="AX1157" s="374"/>
      <c r="AY1157" s="374"/>
      <c r="AZ1157" s="374"/>
      <c r="BA1157" s="374"/>
      <c r="BB1157" s="374"/>
      <c r="BC1157" s="374"/>
      <c r="BD1157" s="374"/>
      <c r="BE1157" s="374"/>
      <c r="BF1157" s="374"/>
      <c r="BG1157" s="374"/>
      <c r="BH1157" s="374"/>
      <c r="BI1157" s="374"/>
      <c r="BJ1157" s="374"/>
      <c r="BK1157" s="374"/>
    </row>
    <row r="1158" spans="1:63" x14ac:dyDescent="0.2">
      <c r="A1158" s="538"/>
      <c r="B1158" s="499"/>
      <c r="C1158" s="499"/>
      <c r="D1158" s="539"/>
      <c r="E1158" s="492"/>
      <c r="F1158" s="426"/>
      <c r="G1158" s="426"/>
      <c r="H1158" s="427"/>
      <c r="I1158" s="428"/>
      <c r="J1158" s="429"/>
      <c r="K1158" s="372"/>
      <c r="L1158" s="430"/>
      <c r="M1158" s="372"/>
      <c r="N1158" s="372"/>
      <c r="O1158" s="372"/>
      <c r="P1158" s="372"/>
      <c r="R1158" s="372"/>
      <c r="W1158" s="374"/>
      <c r="X1158" s="374"/>
      <c r="Y1158" s="374"/>
      <c r="Z1158" s="374"/>
      <c r="AA1158" s="374"/>
      <c r="AB1158" s="374"/>
      <c r="AC1158" s="374"/>
      <c r="AD1158" s="374"/>
      <c r="AE1158" s="374"/>
      <c r="AF1158" s="374"/>
      <c r="AG1158" s="374"/>
      <c r="AH1158" s="374"/>
      <c r="AI1158" s="374"/>
      <c r="AJ1158" s="374"/>
      <c r="AK1158" s="374"/>
      <c r="AL1158" s="374"/>
      <c r="AM1158" s="374"/>
      <c r="AN1158" s="374"/>
      <c r="AO1158" s="374"/>
      <c r="AP1158" s="374"/>
      <c r="AQ1158" s="374"/>
      <c r="AR1158" s="374"/>
      <c r="AS1158" s="374"/>
      <c r="AT1158" s="374"/>
      <c r="AU1158" s="374"/>
      <c r="AV1158" s="374"/>
      <c r="AW1158" s="374"/>
      <c r="AX1158" s="374"/>
      <c r="AY1158" s="374"/>
      <c r="AZ1158" s="374"/>
      <c r="BA1158" s="374"/>
      <c r="BB1158" s="374"/>
      <c r="BC1158" s="374"/>
      <c r="BD1158" s="374"/>
      <c r="BE1158" s="374"/>
      <c r="BF1158" s="374"/>
      <c r="BG1158" s="374"/>
      <c r="BH1158" s="374"/>
      <c r="BI1158" s="374"/>
      <c r="BJ1158" s="374"/>
      <c r="BK1158" s="374"/>
    </row>
    <row r="1159" spans="1:63" s="457" customFormat="1" ht="30" customHeight="1" x14ac:dyDescent="0.2">
      <c r="A1159" s="538" t="s">
        <v>1129</v>
      </c>
      <c r="B1159" s="499" t="s">
        <v>45</v>
      </c>
      <c r="C1159" s="499">
        <v>87874</v>
      </c>
      <c r="D1159" s="539" t="s">
        <v>423</v>
      </c>
      <c r="E1159" s="492" t="s">
        <v>15</v>
      </c>
      <c r="F1159" s="426">
        <f>(F1151+F1155)*2</f>
        <v>94.660000000000011</v>
      </c>
      <c r="G1159" s="426">
        <v>3.59</v>
      </c>
      <c r="H1159" s="427">
        <f t="shared" si="74"/>
        <v>4.5390411521801841</v>
      </c>
      <c r="I1159" s="428">
        <f t="shared" si="69"/>
        <v>429.67</v>
      </c>
      <c r="J1159" s="429"/>
      <c r="K1159" s="456"/>
      <c r="L1159" s="456"/>
      <c r="M1159" s="456"/>
      <c r="N1159" s="372"/>
      <c r="O1159" s="372"/>
      <c r="P1159" s="372"/>
      <c r="Q1159" s="373"/>
      <c r="R1159" s="372"/>
      <c r="S1159" s="373"/>
      <c r="T1159" s="373"/>
      <c r="U1159" s="373"/>
      <c r="V1159" s="373"/>
    </row>
    <row r="1160" spans="1:63" s="457" customFormat="1" x14ac:dyDescent="0.2">
      <c r="A1160" s="538"/>
      <c r="B1160" s="499"/>
      <c r="C1160" s="499"/>
      <c r="D1160" s="539"/>
      <c r="E1160" s="492"/>
      <c r="F1160" s="426"/>
      <c r="G1160" s="426"/>
      <c r="H1160" s="427"/>
      <c r="I1160" s="428"/>
      <c r="J1160" s="429"/>
      <c r="K1160" s="456"/>
      <c r="L1160" s="456"/>
      <c r="M1160" s="456"/>
      <c r="N1160" s="372"/>
      <c r="O1160" s="372"/>
      <c r="P1160" s="372"/>
      <c r="Q1160" s="373"/>
      <c r="R1160" s="372"/>
      <c r="S1160" s="373"/>
      <c r="T1160" s="373"/>
      <c r="U1160" s="373"/>
      <c r="V1160" s="373"/>
    </row>
    <row r="1161" spans="1:63" s="457" customFormat="1" x14ac:dyDescent="0.2">
      <c r="A1161" s="538"/>
      <c r="B1161" s="499"/>
      <c r="C1161" s="499"/>
      <c r="D1161" s="539" t="s">
        <v>2480</v>
      </c>
      <c r="E1161" s="492"/>
      <c r="F1161" s="426"/>
      <c r="G1161" s="426"/>
      <c r="H1161" s="427"/>
      <c r="I1161" s="428"/>
      <c r="J1161" s="429"/>
      <c r="K1161" s="456"/>
      <c r="L1161" s="456"/>
      <c r="M1161" s="456"/>
      <c r="N1161" s="372"/>
      <c r="O1161" s="372"/>
      <c r="P1161" s="372"/>
      <c r="Q1161" s="373"/>
      <c r="R1161" s="372"/>
      <c r="S1161" s="373"/>
      <c r="T1161" s="373"/>
      <c r="U1161" s="373"/>
      <c r="V1161" s="373"/>
    </row>
    <row r="1162" spans="1:63" s="457" customFormat="1" x14ac:dyDescent="0.2">
      <c r="A1162" s="538"/>
      <c r="B1162" s="499"/>
      <c r="C1162" s="499"/>
      <c r="D1162" s="539"/>
      <c r="E1162" s="492"/>
      <c r="F1162" s="426"/>
      <c r="G1162" s="426"/>
      <c r="H1162" s="427"/>
      <c r="I1162" s="428"/>
      <c r="J1162" s="429"/>
      <c r="K1162" s="456"/>
      <c r="L1162" s="456"/>
      <c r="M1162" s="456"/>
      <c r="N1162" s="372"/>
      <c r="O1162" s="372"/>
      <c r="P1162" s="372"/>
      <c r="Q1162" s="373"/>
      <c r="R1162" s="372"/>
      <c r="S1162" s="373"/>
      <c r="T1162" s="373"/>
      <c r="U1162" s="373"/>
      <c r="V1162" s="373"/>
    </row>
    <row r="1163" spans="1:63" s="373" customFormat="1" ht="28.5" customHeight="1" x14ac:dyDescent="0.2">
      <c r="A1163" s="538" t="s">
        <v>1130</v>
      </c>
      <c r="B1163" s="499" t="s">
        <v>45</v>
      </c>
      <c r="C1163" s="499">
        <v>87547</v>
      </c>
      <c r="D1163" s="539" t="s">
        <v>1395</v>
      </c>
      <c r="E1163" s="492" t="s">
        <v>15</v>
      </c>
      <c r="F1163" s="426">
        <f>F1159</f>
        <v>94.660000000000011</v>
      </c>
      <c r="G1163" s="426">
        <v>15.94</v>
      </c>
      <c r="H1163" s="427">
        <f t="shared" si="74"/>
        <v>20.153848458426776</v>
      </c>
      <c r="I1163" s="428">
        <f t="shared" si="69"/>
        <v>1907.76</v>
      </c>
      <c r="J1163" s="437"/>
      <c r="K1163" s="372"/>
      <c r="L1163" s="430"/>
      <c r="M1163" s="372"/>
      <c r="N1163" s="372"/>
      <c r="O1163" s="372"/>
      <c r="P1163" s="372"/>
      <c r="R1163" s="372"/>
    </row>
    <row r="1164" spans="1:63" s="373" customFormat="1" x14ac:dyDescent="0.2">
      <c r="A1164" s="538"/>
      <c r="B1164" s="499"/>
      <c r="C1164" s="499"/>
      <c r="D1164" s="539"/>
      <c r="E1164" s="492"/>
      <c r="F1164" s="426"/>
      <c r="G1164" s="426"/>
      <c r="H1164" s="427"/>
      <c r="I1164" s="428"/>
      <c r="J1164" s="437"/>
      <c r="K1164" s="372"/>
      <c r="L1164" s="430"/>
      <c r="M1164" s="372"/>
      <c r="N1164" s="372"/>
      <c r="O1164" s="372"/>
      <c r="P1164" s="372"/>
      <c r="R1164" s="372"/>
    </row>
    <row r="1165" spans="1:63" s="373" customFormat="1" x14ac:dyDescent="0.2">
      <c r="A1165" s="538"/>
      <c r="B1165" s="499"/>
      <c r="C1165" s="499"/>
      <c r="D1165" s="539" t="s">
        <v>2480</v>
      </c>
      <c r="E1165" s="492"/>
      <c r="F1165" s="426"/>
      <c r="G1165" s="426"/>
      <c r="H1165" s="427"/>
      <c r="I1165" s="428"/>
      <c r="J1165" s="437"/>
      <c r="K1165" s="372"/>
      <c r="L1165" s="430"/>
      <c r="M1165" s="372"/>
      <c r="N1165" s="372"/>
      <c r="O1165" s="372"/>
      <c r="P1165" s="372"/>
      <c r="R1165" s="372"/>
    </row>
    <row r="1166" spans="1:63" s="373" customFormat="1" x14ac:dyDescent="0.2">
      <c r="A1166" s="538"/>
      <c r="B1166" s="499"/>
      <c r="C1166" s="499"/>
      <c r="D1166" s="539"/>
      <c r="E1166" s="492"/>
      <c r="F1166" s="426"/>
      <c r="G1166" s="426"/>
      <c r="H1166" s="427"/>
      <c r="I1166" s="428"/>
      <c r="J1166" s="437"/>
      <c r="K1166" s="372"/>
      <c r="L1166" s="430"/>
      <c r="M1166" s="372"/>
      <c r="N1166" s="372"/>
      <c r="O1166" s="372"/>
      <c r="P1166" s="372"/>
      <c r="R1166" s="372"/>
    </row>
    <row r="1167" spans="1:63" ht="30" x14ac:dyDescent="0.2">
      <c r="A1167" s="538" t="s">
        <v>1131</v>
      </c>
      <c r="B1167" s="499" t="s">
        <v>335</v>
      </c>
      <c r="C1167" s="499" t="str">
        <f>COMPOSIÇÕES!C275</f>
        <v>CE-023</v>
      </c>
      <c r="D1167" s="539" t="s">
        <v>66</v>
      </c>
      <c r="E1167" s="492" t="s">
        <v>18</v>
      </c>
      <c r="F1167" s="426">
        <v>96</v>
      </c>
      <c r="G1167" s="426">
        <f>COMPOSIÇÕES!I275</f>
        <v>239.78999999999996</v>
      </c>
      <c r="H1167" s="427">
        <f t="shared" si="74"/>
        <v>303.1801331145644</v>
      </c>
      <c r="I1167" s="428">
        <f>ROUND(F1167*H1167,2)</f>
        <v>29105.29</v>
      </c>
      <c r="J1167" s="429"/>
      <c r="K1167" s="372"/>
      <c r="L1167" s="430"/>
      <c r="M1167" s="372"/>
      <c r="N1167" s="372"/>
      <c r="O1167" s="372"/>
      <c r="P1167" s="372"/>
      <c r="R1167" s="372"/>
      <c r="W1167" s="374"/>
      <c r="X1167" s="374"/>
      <c r="Y1167" s="374"/>
      <c r="Z1167" s="374"/>
      <c r="AA1167" s="374"/>
      <c r="AB1167" s="374"/>
      <c r="AC1167" s="374"/>
      <c r="AD1167" s="374"/>
      <c r="AE1167" s="374"/>
      <c r="AF1167" s="374"/>
      <c r="AG1167" s="374"/>
      <c r="AH1167" s="374"/>
      <c r="AI1167" s="374"/>
      <c r="AJ1167" s="374"/>
      <c r="AK1167" s="374"/>
      <c r="AL1167" s="374"/>
      <c r="AM1167" s="374"/>
      <c r="AN1167" s="374"/>
      <c r="AO1167" s="374"/>
      <c r="AP1167" s="374"/>
      <c r="AQ1167" s="374"/>
      <c r="AR1167" s="374"/>
      <c r="AS1167" s="374"/>
      <c r="AT1167" s="374"/>
      <c r="AU1167" s="374"/>
      <c r="AV1167" s="374"/>
      <c r="AW1167" s="374"/>
      <c r="AX1167" s="374"/>
      <c r="AY1167" s="374"/>
      <c r="AZ1167" s="374"/>
      <c r="BA1167" s="374"/>
      <c r="BB1167" s="374"/>
      <c r="BC1167" s="374"/>
      <c r="BD1167" s="374"/>
      <c r="BE1167" s="374"/>
      <c r="BF1167" s="374"/>
      <c r="BG1167" s="374"/>
      <c r="BH1167" s="374"/>
      <c r="BI1167" s="374"/>
      <c r="BJ1167" s="374"/>
      <c r="BK1167" s="374"/>
    </row>
    <row r="1168" spans="1:63" x14ac:dyDescent="0.2">
      <c r="A1168" s="538"/>
      <c r="B1168" s="499"/>
      <c r="C1168" s="499"/>
      <c r="D1168" s="539"/>
      <c r="E1168" s="492"/>
      <c r="F1168" s="426"/>
      <c r="G1168" s="426"/>
      <c r="H1168" s="427"/>
      <c r="I1168" s="428"/>
      <c r="J1168" s="429"/>
      <c r="K1168" s="372"/>
      <c r="L1168" s="430"/>
      <c r="M1168" s="372"/>
      <c r="N1168" s="372"/>
      <c r="O1168" s="372"/>
      <c r="P1168" s="372"/>
      <c r="R1168" s="372"/>
      <c r="W1168" s="374"/>
      <c r="X1168" s="374"/>
      <c r="Y1168" s="374"/>
      <c r="Z1168" s="374"/>
      <c r="AA1168" s="374"/>
      <c r="AB1168" s="374"/>
      <c r="AC1168" s="374"/>
      <c r="AD1168" s="374"/>
      <c r="AE1168" s="374"/>
      <c r="AF1168" s="374"/>
      <c r="AG1168" s="374"/>
      <c r="AH1168" s="374"/>
      <c r="AI1168" s="374"/>
      <c r="AJ1168" s="374"/>
      <c r="AK1168" s="374"/>
      <c r="AL1168" s="374"/>
      <c r="AM1168" s="374"/>
      <c r="AN1168" s="374"/>
      <c r="AO1168" s="374"/>
      <c r="AP1168" s="374"/>
      <c r="AQ1168" s="374"/>
      <c r="AR1168" s="374"/>
      <c r="AS1168" s="374"/>
      <c r="AT1168" s="374"/>
      <c r="AU1168" s="374"/>
      <c r="AV1168" s="374"/>
      <c r="AW1168" s="374"/>
      <c r="AX1168" s="374"/>
      <c r="AY1168" s="374"/>
      <c r="AZ1168" s="374"/>
      <c r="BA1168" s="374"/>
      <c r="BB1168" s="374"/>
      <c r="BC1168" s="374"/>
      <c r="BD1168" s="374"/>
      <c r="BE1168" s="374"/>
      <c r="BF1168" s="374"/>
      <c r="BG1168" s="374"/>
      <c r="BH1168" s="374"/>
      <c r="BI1168" s="374"/>
      <c r="BJ1168" s="374"/>
      <c r="BK1168" s="374"/>
    </row>
    <row r="1169" spans="1:63" x14ac:dyDescent="0.2">
      <c r="A1169" s="538"/>
      <c r="B1169" s="499"/>
      <c r="C1169" s="499"/>
      <c r="D1169" s="539" t="s">
        <v>2481</v>
      </c>
      <c r="E1169" s="492"/>
      <c r="F1169" s="426"/>
      <c r="G1169" s="426"/>
      <c r="H1169" s="427"/>
      <c r="I1169" s="428"/>
      <c r="J1169" s="429"/>
      <c r="K1169" s="372"/>
      <c r="L1169" s="430"/>
      <c r="M1169" s="372"/>
      <c r="N1169" s="372"/>
      <c r="O1169" s="372"/>
      <c r="P1169" s="372"/>
      <c r="R1169" s="372"/>
      <c r="W1169" s="374"/>
      <c r="X1169" s="374"/>
      <c r="Y1169" s="374"/>
      <c r="Z1169" s="374"/>
      <c r="AA1169" s="374"/>
      <c r="AB1169" s="374"/>
      <c r="AC1169" s="374"/>
      <c r="AD1169" s="374"/>
      <c r="AE1169" s="374"/>
      <c r="AF1169" s="374"/>
      <c r="AG1169" s="374"/>
      <c r="AH1169" s="374"/>
      <c r="AI1169" s="374"/>
      <c r="AJ1169" s="374"/>
      <c r="AK1169" s="374"/>
      <c r="AL1169" s="374"/>
      <c r="AM1169" s="374"/>
      <c r="AN1169" s="374"/>
      <c r="AO1169" s="374"/>
      <c r="AP1169" s="374"/>
      <c r="AQ1169" s="374"/>
      <c r="AR1169" s="374"/>
      <c r="AS1169" s="374"/>
      <c r="AT1169" s="374"/>
      <c r="AU1169" s="374"/>
      <c r="AV1169" s="374"/>
      <c r="AW1169" s="374"/>
      <c r="AX1169" s="374"/>
      <c r="AY1169" s="374"/>
      <c r="AZ1169" s="374"/>
      <c r="BA1169" s="374"/>
      <c r="BB1169" s="374"/>
      <c r="BC1169" s="374"/>
      <c r="BD1169" s="374"/>
      <c r="BE1169" s="374"/>
      <c r="BF1169" s="374"/>
      <c r="BG1169" s="374"/>
      <c r="BH1169" s="374"/>
      <c r="BI1169" s="374"/>
      <c r="BJ1169" s="374"/>
      <c r="BK1169" s="374"/>
    </row>
    <row r="1170" spans="1:63" x14ac:dyDescent="0.2">
      <c r="A1170" s="538"/>
      <c r="B1170" s="499"/>
      <c r="C1170" s="499"/>
      <c r="D1170" s="539"/>
      <c r="E1170" s="492"/>
      <c r="F1170" s="426"/>
      <c r="G1170" s="426"/>
      <c r="H1170" s="427"/>
      <c r="I1170" s="428"/>
      <c r="J1170" s="429"/>
      <c r="K1170" s="372"/>
      <c r="L1170" s="430"/>
      <c r="M1170" s="372"/>
      <c r="N1170" s="372"/>
      <c r="O1170" s="372"/>
      <c r="P1170" s="372"/>
      <c r="R1170" s="372"/>
      <c r="W1170" s="374"/>
      <c r="X1170" s="374"/>
      <c r="Y1170" s="374"/>
      <c r="Z1170" s="374"/>
      <c r="AA1170" s="374"/>
      <c r="AB1170" s="374"/>
      <c r="AC1170" s="374"/>
      <c r="AD1170" s="374"/>
      <c r="AE1170" s="374"/>
      <c r="AF1170" s="374"/>
      <c r="AG1170" s="374"/>
      <c r="AH1170" s="374"/>
      <c r="AI1170" s="374"/>
      <c r="AJ1170" s="374"/>
      <c r="AK1170" s="374"/>
      <c r="AL1170" s="374"/>
      <c r="AM1170" s="374"/>
      <c r="AN1170" s="374"/>
      <c r="AO1170" s="374"/>
      <c r="AP1170" s="374"/>
      <c r="AQ1170" s="374"/>
      <c r="AR1170" s="374"/>
      <c r="AS1170" s="374"/>
      <c r="AT1170" s="374"/>
      <c r="AU1170" s="374"/>
      <c r="AV1170" s="374"/>
      <c r="AW1170" s="374"/>
      <c r="AX1170" s="374"/>
      <c r="AY1170" s="374"/>
      <c r="AZ1170" s="374"/>
      <c r="BA1170" s="374"/>
      <c r="BB1170" s="374"/>
      <c r="BC1170" s="374"/>
      <c r="BD1170" s="374"/>
      <c r="BE1170" s="374"/>
      <c r="BF1170" s="374"/>
      <c r="BG1170" s="374"/>
      <c r="BH1170" s="374"/>
      <c r="BI1170" s="374"/>
      <c r="BJ1170" s="374"/>
      <c r="BK1170" s="374"/>
    </row>
    <row r="1171" spans="1:63" s="457" customFormat="1" ht="30" x14ac:dyDescent="0.2">
      <c r="A1171" s="538" t="s">
        <v>1132</v>
      </c>
      <c r="B1171" s="502" t="s">
        <v>335</v>
      </c>
      <c r="C1171" s="502" t="str">
        <f>COMPOSIÇÕES!C283</f>
        <v>CE-024</v>
      </c>
      <c r="D1171" s="559" t="str">
        <f>COMPOSIÇÕES!D283</f>
        <v>FORNECIMENTO E INSTALAÇÃO DO SEPARADOR TRIFÁSICO</v>
      </c>
      <c r="E1171" s="496" t="s">
        <v>18</v>
      </c>
      <c r="F1171" s="426">
        <v>1</v>
      </c>
      <c r="G1171" s="426">
        <f>COMPOSIÇÕES!I283</f>
        <v>31947.249919999998</v>
      </c>
      <c r="H1171" s="427">
        <f t="shared" si="74"/>
        <v>40392.7248150042</v>
      </c>
      <c r="I1171" s="428">
        <f>ROUND(F1171*H1171,2)</f>
        <v>40392.720000000001</v>
      </c>
      <c r="J1171" s="437"/>
      <c r="K1171" s="456"/>
      <c r="L1171" s="456"/>
      <c r="M1171" s="456"/>
      <c r="N1171" s="372"/>
      <c r="O1171" s="372"/>
      <c r="P1171" s="372"/>
      <c r="Q1171" s="373"/>
      <c r="R1171" s="372"/>
      <c r="S1171" s="373"/>
      <c r="T1171" s="373"/>
      <c r="U1171" s="373"/>
      <c r="V1171" s="373"/>
    </row>
    <row r="1172" spans="1:63" s="457" customFormat="1" x14ac:dyDescent="0.2">
      <c r="A1172" s="538"/>
      <c r="B1172" s="502"/>
      <c r="C1172" s="502"/>
      <c r="D1172" s="559"/>
      <c r="E1172" s="496"/>
      <c r="F1172" s="426"/>
      <c r="G1172" s="426"/>
      <c r="H1172" s="427"/>
      <c r="I1172" s="428"/>
      <c r="J1172" s="437"/>
      <c r="K1172" s="456"/>
      <c r="L1172" s="456"/>
      <c r="M1172" s="456"/>
      <c r="N1172" s="372"/>
      <c r="O1172" s="372"/>
      <c r="P1172" s="372"/>
      <c r="Q1172" s="373"/>
      <c r="R1172" s="372"/>
      <c r="S1172" s="373"/>
      <c r="T1172" s="373"/>
      <c r="U1172" s="373"/>
      <c r="V1172" s="373"/>
    </row>
    <row r="1173" spans="1:63" s="457" customFormat="1" x14ac:dyDescent="0.2">
      <c r="A1173" s="538"/>
      <c r="B1173" s="502"/>
      <c r="C1173" s="502"/>
      <c r="D1173" s="554" t="s">
        <v>2482</v>
      </c>
      <c r="E1173" s="496"/>
      <c r="F1173" s="426"/>
      <c r="G1173" s="426"/>
      <c r="H1173" s="427"/>
      <c r="I1173" s="428"/>
      <c r="J1173" s="437"/>
      <c r="K1173" s="456"/>
      <c r="L1173" s="456"/>
      <c r="M1173" s="456"/>
      <c r="N1173" s="372"/>
      <c r="O1173" s="372"/>
      <c r="P1173" s="372"/>
      <c r="Q1173" s="373"/>
      <c r="R1173" s="372"/>
      <c r="S1173" s="373"/>
      <c r="T1173" s="373"/>
      <c r="U1173" s="373"/>
      <c r="V1173" s="373"/>
    </row>
    <row r="1174" spans="1:63" s="457" customFormat="1" x14ac:dyDescent="0.2">
      <c r="A1174" s="538"/>
      <c r="B1174" s="502"/>
      <c r="C1174" s="502"/>
      <c r="D1174" s="559"/>
      <c r="E1174" s="496"/>
      <c r="F1174" s="426"/>
      <c r="G1174" s="426"/>
      <c r="H1174" s="427"/>
      <c r="I1174" s="428"/>
      <c r="J1174" s="437"/>
      <c r="K1174" s="456"/>
      <c r="L1174" s="456"/>
      <c r="M1174" s="456"/>
      <c r="N1174" s="372"/>
      <c r="O1174" s="372"/>
      <c r="P1174" s="372"/>
      <c r="Q1174" s="373"/>
      <c r="R1174" s="372"/>
      <c r="S1174" s="373"/>
      <c r="T1174" s="373"/>
      <c r="U1174" s="373"/>
      <c r="V1174" s="373"/>
    </row>
    <row r="1175" spans="1:63" s="373" customFormat="1" ht="30" x14ac:dyDescent="0.2">
      <c r="A1175" s="538" t="s">
        <v>1133</v>
      </c>
      <c r="B1175" s="499" t="s">
        <v>335</v>
      </c>
      <c r="C1175" s="499" t="str">
        <f>COMPOSIÇÕES!C296</f>
        <v>CE-025</v>
      </c>
      <c r="D1175" s="540" t="s">
        <v>83</v>
      </c>
      <c r="E1175" s="495" t="s">
        <v>18</v>
      </c>
      <c r="F1175" s="426">
        <v>12</v>
      </c>
      <c r="G1175" s="426">
        <f>COMPOSIÇÕES!I296</f>
        <v>286.47000000000003</v>
      </c>
      <c r="H1175" s="427">
        <f t="shared" si="74"/>
        <v>362.20031166157588</v>
      </c>
      <c r="I1175" s="428">
        <f t="shared" si="69"/>
        <v>4346.3999999999996</v>
      </c>
      <c r="J1175" s="437"/>
      <c r="K1175" s="372"/>
      <c r="L1175" s="430"/>
      <c r="M1175" s="372"/>
      <c r="N1175" s="372"/>
      <c r="O1175" s="372"/>
      <c r="P1175" s="372"/>
      <c r="R1175" s="372"/>
    </row>
    <row r="1176" spans="1:63" s="457" customFormat="1" x14ac:dyDescent="0.2">
      <c r="A1176" s="538"/>
      <c r="B1176" s="502"/>
      <c r="C1176" s="502"/>
      <c r="D1176" s="559"/>
      <c r="E1176" s="496"/>
      <c r="F1176" s="426"/>
      <c r="G1176" s="426"/>
      <c r="H1176" s="427"/>
      <c r="I1176" s="428"/>
      <c r="J1176" s="437"/>
      <c r="K1176" s="456"/>
      <c r="L1176" s="456"/>
      <c r="M1176" s="456"/>
      <c r="N1176" s="372"/>
      <c r="O1176" s="372"/>
      <c r="P1176" s="372"/>
      <c r="Q1176" s="373"/>
      <c r="R1176" s="372"/>
      <c r="S1176" s="373"/>
      <c r="T1176" s="373"/>
      <c r="U1176" s="373"/>
      <c r="V1176" s="373"/>
    </row>
    <row r="1177" spans="1:63" s="457" customFormat="1" x14ac:dyDescent="0.2">
      <c r="A1177" s="538"/>
      <c r="B1177" s="502"/>
      <c r="C1177" s="502"/>
      <c r="D1177" s="554" t="s">
        <v>2483</v>
      </c>
      <c r="E1177" s="496"/>
      <c r="F1177" s="426"/>
      <c r="G1177" s="426"/>
      <c r="H1177" s="427"/>
      <c r="I1177" s="428"/>
      <c r="J1177" s="437"/>
      <c r="K1177" s="456"/>
      <c r="L1177" s="456"/>
      <c r="M1177" s="456"/>
      <c r="N1177" s="372"/>
      <c r="O1177" s="372"/>
      <c r="P1177" s="372"/>
      <c r="Q1177" s="373"/>
      <c r="R1177" s="372"/>
      <c r="S1177" s="373"/>
      <c r="T1177" s="373"/>
      <c r="U1177" s="373"/>
      <c r="V1177" s="373"/>
    </row>
    <row r="1178" spans="1:63" s="457" customFormat="1" x14ac:dyDescent="0.2">
      <c r="A1178" s="538"/>
      <c r="B1178" s="502"/>
      <c r="C1178" s="502"/>
      <c r="D1178" s="559"/>
      <c r="E1178" s="496"/>
      <c r="F1178" s="426"/>
      <c r="G1178" s="426"/>
      <c r="H1178" s="427"/>
      <c r="I1178" s="428"/>
      <c r="J1178" s="437"/>
      <c r="K1178" s="456"/>
      <c r="L1178" s="456"/>
      <c r="M1178" s="456"/>
      <c r="N1178" s="372"/>
      <c r="O1178" s="372"/>
      <c r="P1178" s="372"/>
      <c r="Q1178" s="373"/>
      <c r="R1178" s="372"/>
      <c r="S1178" s="373"/>
      <c r="T1178" s="373"/>
      <c r="U1178" s="373"/>
      <c r="V1178" s="373"/>
    </row>
    <row r="1179" spans="1:63" s="457" customFormat="1" ht="30" x14ac:dyDescent="0.2">
      <c r="A1179" s="538" t="s">
        <v>1134</v>
      </c>
      <c r="B1179" s="499" t="s">
        <v>335</v>
      </c>
      <c r="C1179" s="499" t="str">
        <f>COMPOSIÇÕES!C302</f>
        <v>CE-026</v>
      </c>
      <c r="D1179" s="540" t="s">
        <v>84</v>
      </c>
      <c r="E1179" s="495" t="s">
        <v>18</v>
      </c>
      <c r="F1179" s="426">
        <v>48</v>
      </c>
      <c r="G1179" s="426">
        <f>COMPOSIÇÕES!I302</f>
        <v>259.14</v>
      </c>
      <c r="H1179" s="427">
        <f t="shared" si="74"/>
        <v>327.64543848912894</v>
      </c>
      <c r="I1179" s="428">
        <f t="shared" si="69"/>
        <v>15726.98</v>
      </c>
      <c r="J1179" s="437"/>
      <c r="K1179" s="456"/>
      <c r="L1179" s="456"/>
      <c r="M1179" s="456"/>
      <c r="N1179" s="372"/>
      <c r="O1179" s="372"/>
      <c r="P1179" s="372"/>
      <c r="Q1179" s="373"/>
      <c r="R1179" s="372"/>
      <c r="S1179" s="373"/>
      <c r="T1179" s="373"/>
      <c r="U1179" s="373"/>
      <c r="V1179" s="373"/>
    </row>
    <row r="1180" spans="1:63" s="457" customFormat="1" x14ac:dyDescent="0.2">
      <c r="A1180" s="538"/>
      <c r="B1180" s="502"/>
      <c r="C1180" s="502"/>
      <c r="D1180" s="559"/>
      <c r="E1180" s="496"/>
      <c r="F1180" s="426"/>
      <c r="G1180" s="426"/>
      <c r="H1180" s="427"/>
      <c r="I1180" s="428"/>
      <c r="J1180" s="437"/>
      <c r="K1180" s="456"/>
      <c r="L1180" s="456"/>
      <c r="M1180" s="456"/>
      <c r="N1180" s="372"/>
      <c r="O1180" s="372"/>
      <c r="P1180" s="372"/>
      <c r="Q1180" s="373"/>
      <c r="R1180" s="372"/>
      <c r="S1180" s="373"/>
      <c r="T1180" s="373"/>
      <c r="U1180" s="373"/>
      <c r="V1180" s="373"/>
    </row>
    <row r="1181" spans="1:63" s="457" customFormat="1" x14ac:dyDescent="0.2">
      <c r="A1181" s="550"/>
      <c r="B1181" s="551"/>
      <c r="C1181" s="551"/>
      <c r="D1181" s="552" t="s">
        <v>2484</v>
      </c>
      <c r="E1181" s="496"/>
      <c r="F1181" s="426"/>
      <c r="G1181" s="426"/>
      <c r="H1181" s="427"/>
      <c r="I1181" s="428"/>
      <c r="J1181" s="437"/>
      <c r="K1181" s="456"/>
      <c r="L1181" s="456"/>
      <c r="M1181" s="456"/>
      <c r="N1181" s="372"/>
      <c r="O1181" s="372"/>
      <c r="P1181" s="372"/>
      <c r="Q1181" s="373"/>
      <c r="R1181" s="372"/>
      <c r="S1181" s="373"/>
      <c r="T1181" s="373"/>
      <c r="U1181" s="373"/>
      <c r="V1181" s="373"/>
    </row>
    <row r="1182" spans="1:63" s="457" customFormat="1" x14ac:dyDescent="0.2">
      <c r="A1182" s="538"/>
      <c r="B1182" s="502"/>
      <c r="C1182" s="502"/>
      <c r="D1182" s="559"/>
      <c r="E1182" s="496"/>
      <c r="F1182" s="426"/>
      <c r="G1182" s="426"/>
      <c r="H1182" s="427"/>
      <c r="I1182" s="428"/>
      <c r="J1182" s="437"/>
      <c r="K1182" s="456"/>
      <c r="L1182" s="456"/>
      <c r="M1182" s="456"/>
      <c r="N1182" s="372"/>
      <c r="O1182" s="372"/>
      <c r="P1182" s="372"/>
      <c r="Q1182" s="373"/>
      <c r="R1182" s="372"/>
      <c r="S1182" s="373"/>
      <c r="T1182" s="373"/>
      <c r="U1182" s="373"/>
      <c r="V1182" s="373"/>
    </row>
    <row r="1183" spans="1:63" s="457" customFormat="1" x14ac:dyDescent="0.2">
      <c r="A1183" s="538" t="s">
        <v>1486</v>
      </c>
      <c r="B1183" s="502" t="s">
        <v>45</v>
      </c>
      <c r="C1183" s="502">
        <v>73631</v>
      </c>
      <c r="D1183" s="554" t="s">
        <v>337</v>
      </c>
      <c r="E1183" s="494" t="s">
        <v>17</v>
      </c>
      <c r="F1183" s="426">
        <v>79.8</v>
      </c>
      <c r="G1183" s="426">
        <v>298.98</v>
      </c>
      <c r="H1183" s="427">
        <f t="shared" si="74"/>
        <v>378.01741606652689</v>
      </c>
      <c r="I1183" s="428">
        <f t="shared" si="69"/>
        <v>30165.79</v>
      </c>
      <c r="J1183" s="437"/>
      <c r="K1183" s="456"/>
      <c r="L1183" s="456"/>
      <c r="M1183" s="456"/>
      <c r="N1183" s="372"/>
      <c r="O1183" s="372"/>
      <c r="P1183" s="372"/>
      <c r="Q1183" s="373"/>
      <c r="R1183" s="372"/>
      <c r="S1183" s="373"/>
      <c r="T1183" s="373"/>
      <c r="U1183" s="373"/>
      <c r="V1183" s="373"/>
    </row>
    <row r="1184" spans="1:63" s="457" customFormat="1" x14ac:dyDescent="0.2">
      <c r="A1184" s="538"/>
      <c r="B1184" s="502"/>
      <c r="C1184" s="502"/>
      <c r="D1184" s="559"/>
      <c r="E1184" s="496"/>
      <c r="F1184" s="426"/>
      <c r="G1184" s="426"/>
      <c r="H1184" s="427"/>
      <c r="I1184" s="428"/>
      <c r="J1184" s="437"/>
      <c r="K1184" s="456"/>
      <c r="L1184" s="456"/>
      <c r="M1184" s="456"/>
      <c r="N1184" s="372"/>
      <c r="O1184" s="372"/>
      <c r="P1184" s="372"/>
      <c r="Q1184" s="373"/>
      <c r="R1184" s="372"/>
      <c r="S1184" s="373"/>
      <c r="T1184" s="373"/>
      <c r="U1184" s="373"/>
      <c r="V1184" s="373"/>
    </row>
    <row r="1185" spans="1:63" s="457" customFormat="1" x14ac:dyDescent="0.2">
      <c r="A1185" s="538"/>
      <c r="B1185" s="502"/>
      <c r="C1185" s="502"/>
      <c r="D1185" s="554" t="s">
        <v>2485</v>
      </c>
      <c r="E1185" s="496"/>
      <c r="F1185" s="426"/>
      <c r="G1185" s="426"/>
      <c r="H1185" s="427"/>
      <c r="I1185" s="428"/>
      <c r="J1185" s="437"/>
      <c r="K1185" s="456"/>
      <c r="L1185" s="456"/>
      <c r="M1185" s="456"/>
      <c r="N1185" s="372"/>
      <c r="O1185" s="372"/>
      <c r="P1185" s="372"/>
      <c r="Q1185" s="373"/>
      <c r="R1185" s="372"/>
      <c r="S1185" s="373"/>
      <c r="T1185" s="373"/>
      <c r="U1185" s="373"/>
      <c r="V1185" s="373"/>
    </row>
    <row r="1186" spans="1:63" s="457" customFormat="1" x14ac:dyDescent="0.2">
      <c r="A1186" s="538"/>
      <c r="B1186" s="502"/>
      <c r="C1186" s="502"/>
      <c r="D1186" s="559"/>
      <c r="E1186" s="496"/>
      <c r="F1186" s="426"/>
      <c r="G1186" s="426"/>
      <c r="H1186" s="427"/>
      <c r="I1186" s="428"/>
      <c r="J1186" s="437"/>
      <c r="K1186" s="456"/>
      <c r="L1186" s="456"/>
      <c r="M1186" s="456"/>
      <c r="N1186" s="372"/>
      <c r="O1186" s="372"/>
      <c r="P1186" s="372"/>
      <c r="Q1186" s="373"/>
      <c r="R1186" s="372"/>
      <c r="S1186" s="373"/>
      <c r="T1186" s="373"/>
      <c r="U1186" s="373"/>
      <c r="V1186" s="373"/>
    </row>
    <row r="1187" spans="1:63" s="457" customFormat="1" ht="30" x14ac:dyDescent="0.2">
      <c r="A1187" s="538" t="s">
        <v>1487</v>
      </c>
      <c r="B1187" s="502" t="s">
        <v>335</v>
      </c>
      <c r="C1187" s="502" t="str">
        <f>COMPOSIÇÕES!C308</f>
        <v>CE-027</v>
      </c>
      <c r="D1187" s="554" t="s">
        <v>188</v>
      </c>
      <c r="E1187" s="494" t="s">
        <v>18</v>
      </c>
      <c r="F1187" s="426">
        <v>4</v>
      </c>
      <c r="G1187" s="426">
        <f>COMPOSIÇÕES!I308</f>
        <v>381.01000000000005</v>
      </c>
      <c r="H1187" s="427">
        <f t="shared" si="74"/>
        <v>481.73260985854375</v>
      </c>
      <c r="I1187" s="428">
        <f t="shared" si="69"/>
        <v>1926.93</v>
      </c>
      <c r="J1187" s="437"/>
      <c r="K1187" s="456"/>
      <c r="L1187" s="456"/>
      <c r="M1187" s="456"/>
      <c r="N1187" s="372"/>
      <c r="O1187" s="372"/>
      <c r="P1187" s="372"/>
      <c r="Q1187" s="373"/>
      <c r="R1187" s="372"/>
      <c r="S1187" s="373"/>
      <c r="T1187" s="373"/>
      <c r="U1187" s="373"/>
      <c r="V1187" s="373"/>
    </row>
    <row r="1188" spans="1:63" s="457" customFormat="1" x14ac:dyDescent="0.2">
      <c r="A1188" s="538"/>
      <c r="B1188" s="502"/>
      <c r="C1188" s="502"/>
      <c r="D1188" s="559"/>
      <c r="E1188" s="496"/>
      <c r="F1188" s="426"/>
      <c r="G1188" s="426"/>
      <c r="H1188" s="427"/>
      <c r="I1188" s="428"/>
      <c r="J1188" s="437"/>
      <c r="K1188" s="456"/>
      <c r="L1188" s="456"/>
      <c r="M1188" s="456"/>
      <c r="N1188" s="372"/>
      <c r="O1188" s="372"/>
      <c r="P1188" s="372"/>
      <c r="Q1188" s="373"/>
      <c r="R1188" s="372"/>
      <c r="S1188" s="373"/>
      <c r="T1188" s="373"/>
      <c r="U1188" s="373"/>
      <c r="V1188" s="373"/>
    </row>
    <row r="1189" spans="1:63" s="457" customFormat="1" x14ac:dyDescent="0.2">
      <c r="A1189" s="538"/>
      <c r="B1189" s="502"/>
      <c r="C1189" s="502"/>
      <c r="D1189" s="554" t="s">
        <v>2487</v>
      </c>
      <c r="E1189" s="496"/>
      <c r="F1189" s="426"/>
      <c r="G1189" s="426"/>
      <c r="H1189" s="427"/>
      <c r="I1189" s="428"/>
      <c r="J1189" s="437"/>
      <c r="K1189" s="456"/>
      <c r="L1189" s="456"/>
      <c r="M1189" s="456"/>
      <c r="N1189" s="372"/>
      <c r="O1189" s="372"/>
      <c r="P1189" s="372"/>
      <c r="Q1189" s="373"/>
      <c r="R1189" s="372"/>
      <c r="S1189" s="373"/>
      <c r="T1189" s="373"/>
      <c r="U1189" s="373"/>
      <c r="V1189" s="373"/>
    </row>
    <row r="1190" spans="1:63" s="457" customFormat="1" x14ac:dyDescent="0.2">
      <c r="A1190" s="538"/>
      <c r="B1190" s="502"/>
      <c r="C1190" s="502"/>
      <c r="D1190" s="559"/>
      <c r="E1190" s="496"/>
      <c r="F1190" s="426"/>
      <c r="G1190" s="426"/>
      <c r="H1190" s="427"/>
      <c r="I1190" s="428"/>
      <c r="J1190" s="437"/>
      <c r="K1190" s="456"/>
      <c r="L1190" s="456"/>
      <c r="M1190" s="456"/>
      <c r="N1190" s="372"/>
      <c r="O1190" s="372"/>
      <c r="P1190" s="372"/>
      <c r="Q1190" s="373"/>
      <c r="R1190" s="372"/>
      <c r="S1190" s="373"/>
      <c r="T1190" s="373"/>
      <c r="U1190" s="373"/>
      <c r="V1190" s="373"/>
    </row>
    <row r="1191" spans="1:63" s="373" customFormat="1" ht="30" x14ac:dyDescent="0.2">
      <c r="A1191" s="538" t="s">
        <v>1488</v>
      </c>
      <c r="B1191" s="502" t="s">
        <v>335</v>
      </c>
      <c r="C1191" s="502" t="str">
        <f>COMPOSIÇÕES!C314</f>
        <v>CE-028</v>
      </c>
      <c r="D1191" s="554" t="s">
        <v>396</v>
      </c>
      <c r="E1191" s="494" t="s">
        <v>18</v>
      </c>
      <c r="F1191" s="426">
        <v>12</v>
      </c>
      <c r="G1191" s="426">
        <f>COMPOSIÇÕES!I314</f>
        <v>214.47000000000003</v>
      </c>
      <c r="H1191" s="427">
        <f t="shared" si="74"/>
        <v>271.16661724459169</v>
      </c>
      <c r="I1191" s="428">
        <f t="shared" si="69"/>
        <v>3254</v>
      </c>
      <c r="J1191" s="444"/>
      <c r="K1191" s="372"/>
      <c r="L1191" s="372"/>
      <c r="M1191" s="372"/>
      <c r="N1191" s="372"/>
      <c r="O1191" s="372"/>
      <c r="P1191" s="372"/>
      <c r="R1191" s="372"/>
    </row>
    <row r="1192" spans="1:63" s="457" customFormat="1" x14ac:dyDescent="0.2">
      <c r="A1192" s="538"/>
      <c r="B1192" s="502"/>
      <c r="C1192" s="502"/>
      <c r="D1192" s="559"/>
      <c r="E1192" s="496"/>
      <c r="F1192" s="426"/>
      <c r="G1192" s="426"/>
      <c r="H1192" s="427"/>
      <c r="I1192" s="428"/>
      <c r="J1192" s="437"/>
      <c r="K1192" s="456"/>
      <c r="L1192" s="456"/>
      <c r="M1192" s="456"/>
      <c r="N1192" s="372"/>
      <c r="O1192" s="372"/>
      <c r="P1192" s="372"/>
      <c r="Q1192" s="373"/>
      <c r="R1192" s="372"/>
      <c r="S1192" s="373"/>
      <c r="T1192" s="373"/>
      <c r="U1192" s="373"/>
      <c r="V1192" s="373"/>
    </row>
    <row r="1193" spans="1:63" s="457" customFormat="1" x14ac:dyDescent="0.2">
      <c r="A1193" s="538"/>
      <c r="B1193" s="502"/>
      <c r="C1193" s="502"/>
      <c r="D1193" s="554" t="s">
        <v>2486</v>
      </c>
      <c r="E1193" s="496"/>
      <c r="F1193" s="426"/>
      <c r="G1193" s="426"/>
      <c r="H1193" s="427"/>
      <c r="I1193" s="428"/>
      <c r="J1193" s="437"/>
      <c r="K1193" s="456"/>
      <c r="L1193" s="456"/>
      <c r="M1193" s="456"/>
      <c r="N1193" s="372"/>
      <c r="O1193" s="372"/>
      <c r="P1193" s="372"/>
      <c r="Q1193" s="373"/>
      <c r="R1193" s="372"/>
      <c r="S1193" s="373"/>
      <c r="T1193" s="373"/>
      <c r="U1193" s="373"/>
      <c r="V1193" s="373"/>
    </row>
    <row r="1194" spans="1:63" s="457" customFormat="1" x14ac:dyDescent="0.2">
      <c r="A1194" s="538"/>
      <c r="B1194" s="502"/>
      <c r="C1194" s="502"/>
      <c r="D1194" s="559"/>
      <c r="E1194" s="496"/>
      <c r="F1194" s="426"/>
      <c r="G1194" s="426"/>
      <c r="H1194" s="427"/>
      <c r="I1194" s="428"/>
      <c r="J1194" s="437"/>
      <c r="K1194" s="456"/>
      <c r="L1194" s="456"/>
      <c r="M1194" s="456"/>
      <c r="N1194" s="372"/>
      <c r="O1194" s="372"/>
      <c r="P1194" s="372"/>
      <c r="Q1194" s="373"/>
      <c r="R1194" s="372"/>
      <c r="S1194" s="373"/>
      <c r="T1194" s="373"/>
      <c r="U1194" s="373"/>
      <c r="V1194" s="373"/>
    </row>
    <row r="1195" spans="1:63" ht="23.25" customHeight="1" x14ac:dyDescent="0.2">
      <c r="A1195" s="538" t="s">
        <v>1489</v>
      </c>
      <c r="B1195" s="502" t="s">
        <v>335</v>
      </c>
      <c r="C1195" s="502" t="str">
        <f>COMPOSIÇÕES!C321</f>
        <v>CE-029</v>
      </c>
      <c r="D1195" s="559" t="s">
        <v>1586</v>
      </c>
      <c r="E1195" s="496" t="s">
        <v>19</v>
      </c>
      <c r="F1195" s="426">
        <v>1</v>
      </c>
      <c r="G1195" s="426">
        <f>COMPOSIÇÕES!I321</f>
        <v>216408.74599999998</v>
      </c>
      <c r="H1195" s="427">
        <f>G1195*(1+$K$16)</f>
        <v>252766.2663430651</v>
      </c>
      <c r="I1195" s="428">
        <f t="shared" si="69"/>
        <v>252766.27</v>
      </c>
      <c r="J1195" s="436"/>
      <c r="K1195" s="477"/>
      <c r="L1195" s="477"/>
      <c r="M1195" s="477"/>
      <c r="N1195" s="372"/>
      <c r="O1195" s="372"/>
      <c r="P1195" s="372"/>
      <c r="R1195" s="372"/>
      <c r="W1195" s="374"/>
      <c r="X1195" s="374"/>
      <c r="Y1195" s="374"/>
      <c r="Z1195" s="374"/>
      <c r="AA1195" s="374"/>
      <c r="AB1195" s="374"/>
      <c r="AC1195" s="374"/>
      <c r="AD1195" s="374"/>
      <c r="AE1195" s="374"/>
      <c r="AF1195" s="374"/>
      <c r="AG1195" s="374"/>
      <c r="AH1195" s="374"/>
      <c r="AI1195" s="374"/>
      <c r="AJ1195" s="374"/>
      <c r="AK1195" s="374"/>
      <c r="AL1195" s="374"/>
      <c r="AM1195" s="374"/>
      <c r="AN1195" s="374"/>
      <c r="AO1195" s="374"/>
      <c r="AP1195" s="374"/>
      <c r="AQ1195" s="374"/>
      <c r="AR1195" s="374"/>
      <c r="AS1195" s="374"/>
      <c r="AT1195" s="374"/>
      <c r="AU1195" s="374"/>
      <c r="AV1195" s="374"/>
      <c r="AW1195" s="374"/>
      <c r="AX1195" s="374"/>
      <c r="AY1195" s="374"/>
      <c r="AZ1195" s="374"/>
      <c r="BA1195" s="374"/>
      <c r="BB1195" s="374"/>
      <c r="BC1195" s="374"/>
      <c r="BD1195" s="374"/>
      <c r="BE1195" s="374"/>
      <c r="BF1195" s="374"/>
      <c r="BG1195" s="374"/>
      <c r="BH1195" s="374"/>
      <c r="BI1195" s="374"/>
      <c r="BJ1195" s="374"/>
      <c r="BK1195" s="374"/>
    </row>
    <row r="1196" spans="1:63" s="457" customFormat="1" x14ac:dyDescent="0.2">
      <c r="A1196" s="538"/>
      <c r="B1196" s="502"/>
      <c r="C1196" s="502"/>
      <c r="D1196" s="559"/>
      <c r="E1196" s="496"/>
      <c r="F1196" s="426"/>
      <c r="G1196" s="426"/>
      <c r="H1196" s="427"/>
      <c r="I1196" s="428"/>
      <c r="J1196" s="437"/>
      <c r="K1196" s="456"/>
      <c r="L1196" s="456"/>
      <c r="M1196" s="456"/>
      <c r="N1196" s="372"/>
      <c r="O1196" s="372"/>
      <c r="P1196" s="372"/>
      <c r="Q1196" s="373"/>
      <c r="R1196" s="372"/>
      <c r="S1196" s="373"/>
      <c r="T1196" s="373"/>
      <c r="U1196" s="373"/>
      <c r="V1196" s="373"/>
    </row>
    <row r="1197" spans="1:63" s="457" customFormat="1" x14ac:dyDescent="0.2">
      <c r="A1197" s="538"/>
      <c r="B1197" s="502"/>
      <c r="C1197" s="502"/>
      <c r="D1197" s="554" t="s">
        <v>2488</v>
      </c>
      <c r="E1197" s="496"/>
      <c r="F1197" s="426"/>
      <c r="G1197" s="426"/>
      <c r="H1197" s="427"/>
      <c r="I1197" s="428"/>
      <c r="J1197" s="437"/>
      <c r="K1197" s="456"/>
      <c r="L1197" s="456"/>
      <c r="M1197" s="456"/>
      <c r="N1197" s="372"/>
      <c r="O1197" s="372"/>
      <c r="P1197" s="372"/>
      <c r="Q1197" s="373"/>
      <c r="R1197" s="372"/>
      <c r="S1197" s="373"/>
      <c r="T1197" s="373"/>
      <c r="U1197" s="373"/>
      <c r="V1197" s="373"/>
    </row>
    <row r="1198" spans="1:63" s="457" customFormat="1" x14ac:dyDescent="0.2">
      <c r="A1198" s="538"/>
      <c r="B1198" s="502"/>
      <c r="C1198" s="502"/>
      <c r="D1198" s="559"/>
      <c r="E1198" s="496"/>
      <c r="F1198" s="426"/>
      <c r="G1198" s="426"/>
      <c r="H1198" s="427"/>
      <c r="I1198" s="428"/>
      <c r="J1198" s="437"/>
      <c r="K1198" s="456"/>
      <c r="L1198" s="456"/>
      <c r="M1198" s="456"/>
      <c r="N1198" s="372"/>
      <c r="O1198" s="372"/>
      <c r="P1198" s="372"/>
      <c r="Q1198" s="373"/>
      <c r="R1198" s="372"/>
      <c r="S1198" s="373"/>
      <c r="T1198" s="373"/>
      <c r="U1198" s="373"/>
      <c r="V1198" s="373"/>
    </row>
    <row r="1199" spans="1:63" x14ac:dyDescent="0.2">
      <c r="A1199" s="538"/>
      <c r="B1199" s="502"/>
      <c r="C1199" s="503"/>
      <c r="D1199" s="539"/>
      <c r="E1199" s="492"/>
      <c r="F1199" s="432"/>
      <c r="G1199" s="433"/>
      <c r="H1199" s="432"/>
      <c r="I1199" s="434"/>
      <c r="J1199" s="429"/>
      <c r="K1199" s="372"/>
      <c r="L1199" s="430"/>
      <c r="M1199" s="372"/>
      <c r="N1199" s="372"/>
      <c r="O1199" s="372"/>
      <c r="P1199" s="372"/>
      <c r="R1199" s="372"/>
      <c r="W1199" s="374"/>
      <c r="X1199" s="374"/>
      <c r="Y1199" s="374"/>
      <c r="Z1199" s="374"/>
      <c r="AA1199" s="374"/>
      <c r="AB1199" s="374"/>
      <c r="AC1199" s="374"/>
      <c r="AD1199" s="374"/>
      <c r="AE1199" s="374"/>
      <c r="AF1199" s="374"/>
      <c r="AG1199" s="374"/>
      <c r="AH1199" s="374"/>
      <c r="AI1199" s="374"/>
      <c r="AJ1199" s="374"/>
      <c r="AK1199" s="374"/>
      <c r="AL1199" s="374"/>
      <c r="AM1199" s="374"/>
      <c r="AN1199" s="374"/>
      <c r="AO1199" s="374"/>
      <c r="AP1199" s="374"/>
      <c r="AQ1199" s="374"/>
      <c r="AR1199" s="374"/>
      <c r="AS1199" s="374"/>
      <c r="AT1199" s="374"/>
      <c r="AU1199" s="374"/>
      <c r="AV1199" s="374"/>
      <c r="AW1199" s="374"/>
      <c r="AX1199" s="374"/>
      <c r="AY1199" s="374"/>
      <c r="AZ1199" s="374"/>
      <c r="BA1199" s="374"/>
      <c r="BB1199" s="374"/>
      <c r="BC1199" s="374"/>
      <c r="BD1199" s="374"/>
      <c r="BE1199" s="374"/>
      <c r="BF1199" s="374"/>
      <c r="BG1199" s="374"/>
      <c r="BH1199" s="374"/>
      <c r="BI1199" s="374"/>
      <c r="BJ1199" s="374"/>
      <c r="BK1199" s="374"/>
    </row>
    <row r="1200" spans="1:63" ht="15.75" x14ac:dyDescent="0.2">
      <c r="A1200" s="558" t="s">
        <v>268</v>
      </c>
      <c r="B1200" s="501"/>
      <c r="C1200" s="501"/>
      <c r="D1200" s="545" t="s">
        <v>85</v>
      </c>
      <c r="E1200" s="491"/>
      <c r="F1200" s="404"/>
      <c r="G1200" s="405"/>
      <c r="H1200" s="406"/>
      <c r="I1200" s="407">
        <f>SUM(I1201:I1298)</f>
        <v>661675.11999999988</v>
      </c>
      <c r="J1200" s="429"/>
      <c r="K1200" s="372"/>
      <c r="L1200" s="430"/>
      <c r="M1200" s="372"/>
      <c r="N1200" s="372"/>
      <c r="O1200" s="372"/>
      <c r="P1200" s="372"/>
      <c r="R1200" s="372"/>
      <c r="W1200" s="374"/>
      <c r="X1200" s="374"/>
      <c r="Y1200" s="374"/>
      <c r="Z1200" s="374"/>
      <c r="AA1200" s="374"/>
      <c r="AB1200" s="374"/>
      <c r="AC1200" s="374"/>
      <c r="AD1200" s="374"/>
      <c r="AE1200" s="374"/>
      <c r="AF1200" s="374"/>
      <c r="AG1200" s="374"/>
      <c r="AH1200" s="374"/>
      <c r="AI1200" s="374"/>
      <c r="AJ1200" s="374"/>
      <c r="AK1200" s="374"/>
      <c r="AL1200" s="374"/>
      <c r="AM1200" s="374"/>
      <c r="AN1200" s="374"/>
      <c r="AO1200" s="374"/>
      <c r="AP1200" s="374"/>
      <c r="AQ1200" s="374"/>
      <c r="AR1200" s="374"/>
      <c r="AS1200" s="374"/>
      <c r="AT1200" s="374"/>
      <c r="AU1200" s="374"/>
      <c r="AV1200" s="374"/>
      <c r="AW1200" s="374"/>
      <c r="AX1200" s="374"/>
      <c r="AY1200" s="374"/>
      <c r="AZ1200" s="374"/>
      <c r="BA1200" s="374"/>
      <c r="BB1200" s="374"/>
      <c r="BC1200" s="374"/>
      <c r="BD1200" s="374"/>
      <c r="BE1200" s="374"/>
      <c r="BF1200" s="374"/>
      <c r="BG1200" s="374"/>
      <c r="BH1200" s="374"/>
      <c r="BI1200" s="374"/>
      <c r="BJ1200" s="374"/>
      <c r="BK1200" s="374"/>
    </row>
    <row r="1201" spans="1:22" s="457" customFormat="1" ht="30" x14ac:dyDescent="0.2">
      <c r="A1201" s="542" t="s">
        <v>1135</v>
      </c>
      <c r="B1201" s="500" t="s">
        <v>45</v>
      </c>
      <c r="C1201" s="506" t="s">
        <v>730</v>
      </c>
      <c r="D1201" s="554" t="s">
        <v>731</v>
      </c>
      <c r="E1201" s="495" t="s">
        <v>15</v>
      </c>
      <c r="F1201" s="426">
        <f>PI()*11.75^2</f>
        <v>433.73613573624084</v>
      </c>
      <c r="G1201" s="426">
        <v>8.3000000000000007</v>
      </c>
      <c r="H1201" s="426">
        <f>G1201*(1+$L$16)</f>
        <v>10.494161995291234</v>
      </c>
      <c r="I1201" s="448">
        <f t="shared" ref="I1201:I1298" si="77">ROUND(F1201*H1201,2)</f>
        <v>4551.7</v>
      </c>
      <c r="J1201" s="437"/>
      <c r="K1201" s="456"/>
      <c r="L1201" s="456"/>
      <c r="M1201" s="456"/>
      <c r="N1201" s="372"/>
      <c r="O1201" s="372"/>
      <c r="P1201" s="372"/>
      <c r="Q1201" s="373"/>
      <c r="R1201" s="372"/>
      <c r="S1201" s="373"/>
      <c r="T1201" s="373"/>
      <c r="U1201" s="373"/>
      <c r="V1201" s="373"/>
    </row>
    <row r="1202" spans="1:22" s="457" customFormat="1" x14ac:dyDescent="0.2">
      <c r="A1202" s="542"/>
      <c r="B1202" s="500"/>
      <c r="C1202" s="506"/>
      <c r="D1202" s="554"/>
      <c r="E1202" s="495"/>
      <c r="F1202" s="426"/>
      <c r="G1202" s="426"/>
      <c r="H1202" s="426"/>
      <c r="I1202" s="448"/>
      <c r="J1202" s="437"/>
      <c r="K1202" s="456"/>
      <c r="L1202" s="456"/>
      <c r="M1202" s="456"/>
      <c r="N1202" s="372"/>
      <c r="O1202" s="372"/>
      <c r="P1202" s="372"/>
      <c r="Q1202" s="373"/>
      <c r="R1202" s="372"/>
      <c r="S1202" s="373"/>
      <c r="T1202" s="373"/>
      <c r="U1202" s="373"/>
      <c r="V1202" s="373"/>
    </row>
    <row r="1203" spans="1:22" s="457" customFormat="1" x14ac:dyDescent="0.2">
      <c r="A1203" s="542"/>
      <c r="B1203" s="500"/>
      <c r="C1203" s="506"/>
      <c r="D1203" s="554" t="s">
        <v>2507</v>
      </c>
      <c r="E1203" s="495"/>
      <c r="F1203" s="426"/>
      <c r="G1203" s="426"/>
      <c r="H1203" s="426"/>
      <c r="I1203" s="448"/>
      <c r="J1203" s="437"/>
      <c r="K1203" s="456"/>
      <c r="L1203" s="456"/>
      <c r="M1203" s="456"/>
      <c r="N1203" s="372"/>
      <c r="O1203" s="372"/>
      <c r="P1203" s="372"/>
      <c r="Q1203" s="373"/>
      <c r="R1203" s="372"/>
      <c r="S1203" s="373"/>
      <c r="T1203" s="373"/>
      <c r="U1203" s="373"/>
      <c r="V1203" s="373"/>
    </row>
    <row r="1204" spans="1:22" s="457" customFormat="1" x14ac:dyDescent="0.2">
      <c r="A1204" s="542"/>
      <c r="B1204" s="500"/>
      <c r="C1204" s="506"/>
      <c r="D1204" s="554"/>
      <c r="E1204" s="495"/>
      <c r="F1204" s="426"/>
      <c r="G1204" s="426"/>
      <c r="H1204" s="426"/>
      <c r="I1204" s="448"/>
      <c r="J1204" s="437"/>
      <c r="K1204" s="456"/>
      <c r="L1204" s="456"/>
      <c r="M1204" s="456"/>
      <c r="N1204" s="372"/>
      <c r="O1204" s="372"/>
      <c r="P1204" s="372"/>
      <c r="Q1204" s="373"/>
      <c r="R1204" s="372"/>
      <c r="S1204" s="373"/>
      <c r="T1204" s="373"/>
      <c r="U1204" s="373"/>
      <c r="V1204" s="373"/>
    </row>
    <row r="1205" spans="1:22" s="373" customFormat="1" ht="30" x14ac:dyDescent="0.2">
      <c r="A1205" s="542" t="s">
        <v>1136</v>
      </c>
      <c r="B1205" s="500" t="s">
        <v>45</v>
      </c>
      <c r="C1205" s="500">
        <v>83338</v>
      </c>
      <c r="D1205" s="540" t="s">
        <v>795</v>
      </c>
      <c r="E1205" s="495" t="s">
        <v>16</v>
      </c>
      <c r="F1205" s="426">
        <f>PI()*9.55^2*0.435+PI()*1.17^2*0.3</f>
        <v>125.9268380902748</v>
      </c>
      <c r="G1205" s="426">
        <v>2.41</v>
      </c>
      <c r="H1205" s="426">
        <f>G1205*(1+$L$16)</f>
        <v>3.0471000492351656</v>
      </c>
      <c r="I1205" s="448">
        <f t="shared" si="77"/>
        <v>383.71</v>
      </c>
      <c r="J1205" s="437"/>
      <c r="K1205" s="372"/>
      <c r="L1205" s="430"/>
      <c r="M1205" s="372"/>
      <c r="N1205" s="372"/>
      <c r="O1205" s="372"/>
      <c r="P1205" s="372"/>
      <c r="R1205" s="372"/>
    </row>
    <row r="1206" spans="1:22" s="373" customFormat="1" x14ac:dyDescent="0.2">
      <c r="A1206" s="542"/>
      <c r="B1206" s="500"/>
      <c r="C1206" s="500"/>
      <c r="D1206" s="540"/>
      <c r="E1206" s="495"/>
      <c r="F1206" s="426"/>
      <c r="G1206" s="426"/>
      <c r="H1206" s="426"/>
      <c r="I1206" s="448"/>
      <c r="J1206" s="437"/>
      <c r="K1206" s="372"/>
      <c r="L1206" s="430"/>
      <c r="M1206" s="372"/>
      <c r="N1206" s="372"/>
      <c r="O1206" s="372"/>
      <c r="P1206" s="372"/>
      <c r="R1206" s="372"/>
    </row>
    <row r="1207" spans="1:22" s="373" customFormat="1" x14ac:dyDescent="0.2">
      <c r="A1207" s="542"/>
      <c r="B1207" s="500"/>
      <c r="C1207" s="500"/>
      <c r="D1207" s="540" t="s">
        <v>2489</v>
      </c>
      <c r="E1207" s="495"/>
      <c r="F1207" s="426"/>
      <c r="G1207" s="426"/>
      <c r="H1207" s="426"/>
      <c r="I1207" s="448"/>
      <c r="J1207" s="437"/>
      <c r="K1207" s="372"/>
      <c r="L1207" s="430"/>
      <c r="M1207" s="372"/>
      <c r="N1207" s="372"/>
      <c r="O1207" s="372"/>
      <c r="P1207" s="372"/>
      <c r="R1207" s="372"/>
    </row>
    <row r="1208" spans="1:22" s="373" customFormat="1" x14ac:dyDescent="0.2">
      <c r="A1208" s="542"/>
      <c r="B1208" s="500"/>
      <c r="C1208" s="500"/>
      <c r="D1208" s="540"/>
      <c r="E1208" s="495"/>
      <c r="F1208" s="426"/>
      <c r="G1208" s="426"/>
      <c r="H1208" s="426"/>
      <c r="I1208" s="448"/>
      <c r="J1208" s="437"/>
      <c r="K1208" s="372"/>
      <c r="L1208" s="430"/>
      <c r="M1208" s="372"/>
      <c r="N1208" s="372"/>
      <c r="O1208" s="372"/>
      <c r="P1208" s="372"/>
      <c r="R1208" s="372"/>
    </row>
    <row r="1209" spans="1:22" s="373" customFormat="1" x14ac:dyDescent="0.2">
      <c r="A1209" s="542" t="s">
        <v>1490</v>
      </c>
      <c r="B1209" s="500" t="s">
        <v>45</v>
      </c>
      <c r="C1209" s="500">
        <v>72898</v>
      </c>
      <c r="D1209" s="540" t="s">
        <v>770</v>
      </c>
      <c r="E1209" s="495" t="s">
        <v>16</v>
      </c>
      <c r="F1209" s="426">
        <f>F1205</f>
        <v>125.9268380902748</v>
      </c>
      <c r="G1209" s="426">
        <v>3.57</v>
      </c>
      <c r="H1209" s="426">
        <f>ROUND((1+$L$16)*G1209,2)</f>
        <v>4.51</v>
      </c>
      <c r="I1209" s="448">
        <f>ROUND(F1209*H1209,2)</f>
        <v>567.92999999999995</v>
      </c>
      <c r="J1209" s="444"/>
      <c r="K1209" s="372" t="s">
        <v>1213</v>
      </c>
      <c r="L1209" s="424">
        <v>21583.700000000004</v>
      </c>
      <c r="M1209" s="372"/>
      <c r="N1209" s="372">
        <v>170</v>
      </c>
      <c r="O1209" s="372"/>
      <c r="P1209" s="372"/>
      <c r="R1209" s="372"/>
    </row>
    <row r="1210" spans="1:22" s="373" customFormat="1" x14ac:dyDescent="0.2">
      <c r="A1210" s="542"/>
      <c r="B1210" s="500"/>
      <c r="C1210" s="500"/>
      <c r="D1210" s="540"/>
      <c r="E1210" s="495"/>
      <c r="F1210" s="426"/>
      <c r="G1210" s="426"/>
      <c r="H1210" s="426"/>
      <c r="I1210" s="448"/>
      <c r="J1210" s="444"/>
      <c r="K1210" s="372"/>
      <c r="L1210" s="424"/>
      <c r="M1210" s="372"/>
      <c r="N1210" s="372"/>
      <c r="O1210" s="372"/>
      <c r="P1210" s="372"/>
      <c r="R1210" s="372"/>
    </row>
    <row r="1211" spans="1:22" s="373" customFormat="1" x14ac:dyDescent="0.2">
      <c r="A1211" s="542"/>
      <c r="B1211" s="500"/>
      <c r="C1211" s="500"/>
      <c r="D1211" s="540" t="s">
        <v>2489</v>
      </c>
      <c r="E1211" s="495"/>
      <c r="F1211" s="426"/>
      <c r="G1211" s="426"/>
      <c r="H1211" s="426"/>
      <c r="I1211" s="448"/>
      <c r="J1211" s="444"/>
      <c r="K1211" s="372"/>
      <c r="L1211" s="424"/>
      <c r="M1211" s="372"/>
      <c r="N1211" s="372"/>
      <c r="O1211" s="372"/>
      <c r="P1211" s="372"/>
      <c r="R1211" s="372"/>
    </row>
    <row r="1212" spans="1:22" s="373" customFormat="1" x14ac:dyDescent="0.2">
      <c r="A1212" s="542"/>
      <c r="B1212" s="500"/>
      <c r="C1212" s="500"/>
      <c r="D1212" s="540"/>
      <c r="E1212" s="495"/>
      <c r="F1212" s="426"/>
      <c r="G1212" s="426"/>
      <c r="H1212" s="426"/>
      <c r="I1212" s="448"/>
      <c r="J1212" s="444"/>
      <c r="K1212" s="372"/>
      <c r="L1212" s="424"/>
      <c r="M1212" s="372"/>
      <c r="N1212" s="372"/>
      <c r="O1212" s="372"/>
      <c r="P1212" s="372"/>
      <c r="R1212" s="372"/>
    </row>
    <row r="1213" spans="1:22" s="457" customFormat="1" x14ac:dyDescent="0.2">
      <c r="A1213" s="542" t="s">
        <v>1491</v>
      </c>
      <c r="B1213" s="500" t="s">
        <v>45</v>
      </c>
      <c r="C1213" s="500">
        <v>72885</v>
      </c>
      <c r="D1213" s="540" t="s">
        <v>333</v>
      </c>
      <c r="E1213" s="495" t="s">
        <v>725</v>
      </c>
      <c r="F1213" s="426">
        <f>F1209*5</f>
        <v>629.63419045137402</v>
      </c>
      <c r="G1213" s="426">
        <v>1.36</v>
      </c>
      <c r="H1213" s="426">
        <f>ROUND((1+$L$16)*G1213,2)</f>
        <v>1.72</v>
      </c>
      <c r="I1213" s="448">
        <f t="shared" ref="I1213:I1225" si="78">ROUND(F1213*H1213,2)</f>
        <v>1082.97</v>
      </c>
      <c r="J1213" s="437"/>
      <c r="K1213" s="456"/>
      <c r="L1213" s="456"/>
      <c r="M1213" s="456"/>
      <c r="N1213" s="372"/>
      <c r="O1213" s="372"/>
      <c r="P1213" s="372"/>
      <c r="Q1213" s="373"/>
      <c r="R1213" s="372"/>
      <c r="S1213" s="373"/>
      <c r="T1213" s="373"/>
      <c r="U1213" s="373"/>
      <c r="V1213" s="373"/>
    </row>
    <row r="1214" spans="1:22" s="457" customFormat="1" x14ac:dyDescent="0.2">
      <c r="A1214" s="542"/>
      <c r="B1214" s="500"/>
      <c r="C1214" s="500"/>
      <c r="D1214" s="540"/>
      <c r="E1214" s="495"/>
      <c r="F1214" s="426"/>
      <c r="G1214" s="426"/>
      <c r="H1214" s="426"/>
      <c r="I1214" s="448"/>
      <c r="J1214" s="437"/>
      <c r="K1214" s="456"/>
      <c r="L1214" s="456"/>
      <c r="M1214" s="456"/>
      <c r="N1214" s="372"/>
      <c r="O1214" s="372"/>
      <c r="P1214" s="372"/>
      <c r="Q1214" s="373"/>
      <c r="R1214" s="372"/>
      <c r="S1214" s="373"/>
      <c r="T1214" s="373"/>
      <c r="U1214" s="373"/>
      <c r="V1214" s="373"/>
    </row>
    <row r="1215" spans="1:22" s="457" customFormat="1" x14ac:dyDescent="0.2">
      <c r="A1215" s="542"/>
      <c r="B1215" s="500"/>
      <c r="C1215" s="500"/>
      <c r="D1215" s="540" t="s">
        <v>2490</v>
      </c>
      <c r="E1215" s="495"/>
      <c r="F1215" s="426"/>
      <c r="G1215" s="426"/>
      <c r="H1215" s="426"/>
      <c r="I1215" s="448"/>
      <c r="J1215" s="437"/>
      <c r="K1215" s="456"/>
      <c r="L1215" s="456"/>
      <c r="M1215" s="456"/>
      <c r="N1215" s="372"/>
      <c r="O1215" s="372"/>
      <c r="P1215" s="372"/>
      <c r="Q1215" s="373"/>
      <c r="R1215" s="372"/>
      <c r="S1215" s="373"/>
      <c r="T1215" s="373"/>
      <c r="U1215" s="373"/>
      <c r="V1215" s="373"/>
    </row>
    <row r="1216" spans="1:22" s="457" customFormat="1" x14ac:dyDescent="0.2">
      <c r="A1216" s="542"/>
      <c r="B1216" s="500"/>
      <c r="C1216" s="500"/>
      <c r="D1216" s="540"/>
      <c r="E1216" s="495"/>
      <c r="F1216" s="426"/>
      <c r="G1216" s="426"/>
      <c r="H1216" s="426"/>
      <c r="I1216" s="448"/>
      <c r="J1216" s="437"/>
      <c r="K1216" s="456"/>
      <c r="L1216" s="456"/>
      <c r="M1216" s="456"/>
      <c r="N1216" s="372"/>
      <c r="O1216" s="372"/>
      <c r="P1216" s="372"/>
      <c r="Q1216" s="373"/>
      <c r="R1216" s="372"/>
      <c r="S1216" s="373"/>
      <c r="T1216" s="373"/>
      <c r="U1216" s="373"/>
      <c r="V1216" s="373"/>
    </row>
    <row r="1217" spans="1:22" s="373" customFormat="1" x14ac:dyDescent="0.2">
      <c r="A1217" s="542" t="s">
        <v>1492</v>
      </c>
      <c r="B1217" s="500" t="s">
        <v>45</v>
      </c>
      <c r="C1217" s="500" t="s">
        <v>57</v>
      </c>
      <c r="D1217" s="540" t="s">
        <v>726</v>
      </c>
      <c r="E1217" s="495" t="s">
        <v>16</v>
      </c>
      <c r="F1217" s="426">
        <f>F1209</f>
        <v>125.9268380902748</v>
      </c>
      <c r="G1217" s="426">
        <v>1.94</v>
      </c>
      <c r="H1217" s="426">
        <f>ROUND((1+$L$16)*G1217,2)</f>
        <v>2.4500000000000002</v>
      </c>
      <c r="I1217" s="448">
        <f t="shared" si="78"/>
        <v>308.52</v>
      </c>
      <c r="J1217" s="437"/>
      <c r="K1217" s="372"/>
      <c r="L1217" s="430"/>
      <c r="M1217" s="372"/>
      <c r="N1217" s="372"/>
      <c r="O1217" s="372"/>
      <c r="P1217" s="372"/>
      <c r="R1217" s="372"/>
    </row>
    <row r="1218" spans="1:22" s="373" customFormat="1" x14ac:dyDescent="0.2">
      <c r="A1218" s="542"/>
      <c r="B1218" s="500"/>
      <c r="C1218" s="500"/>
      <c r="D1218" s="540"/>
      <c r="E1218" s="495"/>
      <c r="F1218" s="426"/>
      <c r="G1218" s="426"/>
      <c r="H1218" s="426"/>
      <c r="I1218" s="448"/>
      <c r="J1218" s="437"/>
      <c r="K1218" s="372"/>
      <c r="L1218" s="430"/>
      <c r="M1218" s="372"/>
      <c r="N1218" s="372"/>
      <c r="O1218" s="372"/>
      <c r="P1218" s="372"/>
      <c r="R1218" s="372"/>
    </row>
    <row r="1219" spans="1:22" s="373" customFormat="1" x14ac:dyDescent="0.2">
      <c r="A1219" s="542"/>
      <c r="B1219" s="500"/>
      <c r="C1219" s="500"/>
      <c r="D1219" s="540" t="s">
        <v>2489</v>
      </c>
      <c r="E1219" s="495"/>
      <c r="F1219" s="426"/>
      <c r="G1219" s="426"/>
      <c r="H1219" s="426"/>
      <c r="I1219" s="448"/>
      <c r="J1219" s="437"/>
      <c r="K1219" s="372"/>
      <c r="L1219" s="430"/>
      <c r="M1219" s="372"/>
      <c r="N1219" s="372"/>
      <c r="O1219" s="372"/>
      <c r="P1219" s="372"/>
      <c r="R1219" s="372"/>
    </row>
    <row r="1220" spans="1:22" s="373" customFormat="1" x14ac:dyDescent="0.2">
      <c r="A1220" s="542"/>
      <c r="B1220" s="500"/>
      <c r="C1220" s="500"/>
      <c r="D1220" s="540"/>
      <c r="E1220" s="495"/>
      <c r="F1220" s="426"/>
      <c r="G1220" s="426"/>
      <c r="H1220" s="426"/>
      <c r="I1220" s="448"/>
      <c r="J1220" s="437"/>
      <c r="K1220" s="372"/>
      <c r="L1220" s="430"/>
      <c r="M1220" s="372"/>
      <c r="N1220" s="372"/>
      <c r="O1220" s="372"/>
      <c r="P1220" s="372"/>
      <c r="R1220" s="372"/>
    </row>
    <row r="1221" spans="1:22" s="373" customFormat="1" ht="45" x14ac:dyDescent="0.2">
      <c r="A1221" s="542" t="s">
        <v>1871</v>
      </c>
      <c r="B1221" s="506" t="s">
        <v>45</v>
      </c>
      <c r="C1221" s="506" t="str">
        <f>COMPOSIÇÕES!C380</f>
        <v>CE-030</v>
      </c>
      <c r="D1221" s="554" t="str">
        <f>COMPOSIÇÕES!D380</f>
        <v>CRAVAMENTO DE ESTACAS PRÉ-MOLDADA DE CONCRETO,  SEÇÃO QUADRADA, CAPACIDADE DE 50 TONELADAS, COMPRIMENTO TOTAL CRAVADO ATÉ 8,00M, BATE-ESTACAS POR GRAVIDADE SOBRE ROLOS</v>
      </c>
      <c r="E1221" s="494" t="s">
        <v>1809</v>
      </c>
      <c r="F1221" s="426">
        <v>1</v>
      </c>
      <c r="G1221" s="426">
        <f>COMPOSIÇÕES!I380</f>
        <v>11952.960000000001</v>
      </c>
      <c r="H1221" s="426">
        <f t="shared" ref="H1221" si="79">ROUND((1+$K$3)*G1221,2)</f>
        <v>11952.96</v>
      </c>
      <c r="I1221" s="448">
        <f t="shared" ref="I1221" si="80">ROUND(F1221*H1221,2)</f>
        <v>11952.96</v>
      </c>
      <c r="J1221" s="372"/>
      <c r="K1221" s="372"/>
      <c r="L1221" s="372"/>
      <c r="M1221" s="372"/>
      <c r="N1221" s="372"/>
      <c r="O1221" s="372"/>
      <c r="P1221" s="372"/>
      <c r="Q1221" s="372"/>
    </row>
    <row r="1222" spans="1:22" s="373" customFormat="1" x14ac:dyDescent="0.2">
      <c r="A1222" s="542"/>
      <c r="B1222" s="506"/>
      <c r="C1222" s="506"/>
      <c r="D1222" s="554"/>
      <c r="E1222" s="494"/>
      <c r="F1222" s="426"/>
      <c r="G1222" s="426"/>
      <c r="H1222" s="426"/>
      <c r="I1222" s="448"/>
      <c r="J1222" s="372"/>
      <c r="K1222" s="372"/>
      <c r="L1222" s="372"/>
      <c r="M1222" s="372"/>
      <c r="N1222" s="372"/>
      <c r="O1222" s="372"/>
      <c r="P1222" s="372"/>
      <c r="Q1222" s="372"/>
    </row>
    <row r="1223" spans="1:22" s="373" customFormat="1" x14ac:dyDescent="0.2">
      <c r="A1223" s="542"/>
      <c r="B1223" s="506"/>
      <c r="C1223" s="506"/>
      <c r="D1223" s="554" t="s">
        <v>2491</v>
      </c>
      <c r="E1223" s="494"/>
      <c r="F1223" s="426"/>
      <c r="G1223" s="426"/>
      <c r="H1223" s="426"/>
      <c r="I1223" s="448"/>
      <c r="J1223" s="372"/>
      <c r="K1223" s="372"/>
      <c r="L1223" s="372"/>
      <c r="M1223" s="372"/>
      <c r="N1223" s="372"/>
      <c r="O1223" s="372"/>
      <c r="P1223" s="372"/>
      <c r="Q1223" s="372"/>
    </row>
    <row r="1224" spans="1:22" s="373" customFormat="1" x14ac:dyDescent="0.2">
      <c r="A1224" s="542"/>
      <c r="B1224" s="506"/>
      <c r="C1224" s="506"/>
      <c r="D1224" s="554"/>
      <c r="E1224" s="494"/>
      <c r="F1224" s="426"/>
      <c r="G1224" s="426"/>
      <c r="H1224" s="426"/>
      <c r="I1224" s="448"/>
      <c r="J1224" s="372"/>
      <c r="K1224" s="372"/>
      <c r="L1224" s="372"/>
      <c r="M1224" s="372"/>
      <c r="N1224" s="372"/>
      <c r="O1224" s="372"/>
      <c r="P1224" s="372"/>
      <c r="Q1224" s="372"/>
    </row>
    <row r="1225" spans="1:22" s="457" customFormat="1" ht="30" x14ac:dyDescent="0.2">
      <c r="A1225" s="542" t="s">
        <v>1493</v>
      </c>
      <c r="B1225" s="506" t="s">
        <v>45</v>
      </c>
      <c r="C1225" s="506">
        <v>95241</v>
      </c>
      <c r="D1225" s="554" t="s">
        <v>733</v>
      </c>
      <c r="E1225" s="495" t="s">
        <v>15</v>
      </c>
      <c r="F1225" s="426">
        <f>PI()*9.55^2</f>
        <v>286.52110398902317</v>
      </c>
      <c r="G1225" s="426">
        <v>19.88</v>
      </c>
      <c r="H1225" s="426">
        <f>G1225*(1+$L$16)</f>
        <v>25.135414514022855</v>
      </c>
      <c r="I1225" s="448">
        <f t="shared" si="78"/>
        <v>7201.83</v>
      </c>
      <c r="J1225" s="437"/>
      <c r="K1225" s="456"/>
      <c r="L1225" s="456">
        <v>593.20000000000005</v>
      </c>
      <c r="M1225" s="456"/>
      <c r="N1225" s="372"/>
      <c r="O1225" s="372"/>
      <c r="P1225" s="372"/>
      <c r="Q1225" s="373"/>
      <c r="R1225" s="372"/>
      <c r="S1225" s="373"/>
      <c r="T1225" s="373"/>
      <c r="U1225" s="373"/>
      <c r="V1225" s="373"/>
    </row>
    <row r="1226" spans="1:22" s="457" customFormat="1" x14ac:dyDescent="0.2">
      <c r="A1226" s="542"/>
      <c r="B1226" s="506"/>
      <c r="C1226" s="506"/>
      <c r="D1226" s="554"/>
      <c r="E1226" s="495"/>
      <c r="F1226" s="426"/>
      <c r="G1226" s="426"/>
      <c r="H1226" s="426"/>
      <c r="I1226" s="510"/>
      <c r="J1226" s="437"/>
      <c r="K1226" s="456"/>
      <c r="L1226" s="456"/>
      <c r="M1226" s="456"/>
      <c r="N1226" s="372"/>
      <c r="O1226" s="372"/>
      <c r="P1226" s="372"/>
      <c r="Q1226" s="373"/>
      <c r="R1226" s="372"/>
      <c r="S1226" s="373"/>
      <c r="T1226" s="373"/>
      <c r="U1226" s="373"/>
      <c r="V1226" s="373"/>
    </row>
    <row r="1227" spans="1:22" s="457" customFormat="1" x14ac:dyDescent="0.2">
      <c r="A1227" s="542"/>
      <c r="B1227" s="506"/>
      <c r="C1227" s="506"/>
      <c r="D1227" s="554" t="s">
        <v>2492</v>
      </c>
      <c r="E1227" s="495"/>
      <c r="F1227" s="426"/>
      <c r="G1227" s="426"/>
      <c r="H1227" s="426"/>
      <c r="I1227" s="510"/>
      <c r="J1227" s="437"/>
      <c r="K1227" s="456"/>
      <c r="L1227" s="456"/>
      <c r="M1227" s="456"/>
      <c r="N1227" s="372"/>
      <c r="O1227" s="372"/>
      <c r="P1227" s="372"/>
      <c r="Q1227" s="373"/>
      <c r="R1227" s="372"/>
      <c r="S1227" s="373"/>
      <c r="T1227" s="373"/>
      <c r="U1227" s="373"/>
      <c r="V1227" s="373"/>
    </row>
    <row r="1228" spans="1:22" s="457" customFormat="1" x14ac:dyDescent="0.2">
      <c r="A1228" s="542"/>
      <c r="B1228" s="506"/>
      <c r="C1228" s="506"/>
      <c r="D1228" s="554"/>
      <c r="E1228" s="495"/>
      <c r="F1228" s="426"/>
      <c r="G1228" s="426"/>
      <c r="H1228" s="426"/>
      <c r="I1228" s="510"/>
      <c r="J1228" s="437"/>
      <c r="K1228" s="456"/>
      <c r="L1228" s="456"/>
      <c r="M1228" s="456"/>
      <c r="N1228" s="372"/>
      <c r="O1228" s="372"/>
      <c r="P1228" s="372"/>
      <c r="Q1228" s="373"/>
      <c r="R1228" s="372"/>
      <c r="S1228" s="373"/>
      <c r="T1228" s="373"/>
      <c r="U1228" s="373"/>
      <c r="V1228" s="373"/>
    </row>
    <row r="1229" spans="1:22" s="447" customFormat="1" ht="45" x14ac:dyDescent="0.2">
      <c r="A1229" s="542" t="s">
        <v>1872</v>
      </c>
      <c r="B1229" s="506" t="s">
        <v>45</v>
      </c>
      <c r="C1229" s="506">
        <v>92417</v>
      </c>
      <c r="D1229" s="540" t="s">
        <v>1388</v>
      </c>
      <c r="E1229" s="494" t="s">
        <v>15</v>
      </c>
      <c r="F1229" s="426">
        <f>593.2-F1233</f>
        <v>389.61694206574748</v>
      </c>
      <c r="G1229" s="426">
        <v>96.25</v>
      </c>
      <c r="H1229" s="426">
        <f t="shared" ref="H1229:H1266" si="81">ROUND((1+$L$16)*G1229,2)</f>
        <v>121.69</v>
      </c>
      <c r="I1229" s="445">
        <f>ROUND(F1229*H1229,2)</f>
        <v>47412.49</v>
      </c>
      <c r="J1229" s="446"/>
      <c r="K1229" s="446"/>
      <c r="L1229" s="446"/>
      <c r="M1229" s="446"/>
      <c r="N1229" s="446"/>
      <c r="O1229" s="446"/>
    </row>
    <row r="1230" spans="1:22" s="447" customFormat="1" x14ac:dyDescent="0.2">
      <c r="A1230" s="542"/>
      <c r="B1230" s="506"/>
      <c r="C1230" s="506"/>
      <c r="D1230" s="540"/>
      <c r="E1230" s="494"/>
      <c r="F1230" s="426"/>
      <c r="G1230" s="426"/>
      <c r="H1230" s="426"/>
      <c r="I1230" s="445"/>
      <c r="J1230" s="446"/>
      <c r="K1230" s="446"/>
      <c r="L1230" s="446"/>
      <c r="M1230" s="446"/>
      <c r="N1230" s="446"/>
      <c r="O1230" s="446"/>
    </row>
    <row r="1231" spans="1:22" s="447" customFormat="1" x14ac:dyDescent="0.2">
      <c r="A1231" s="542"/>
      <c r="B1231" s="506"/>
      <c r="C1231" s="506"/>
      <c r="D1231" s="540" t="s">
        <v>2450</v>
      </c>
      <c r="E1231" s="494"/>
      <c r="F1231" s="426"/>
      <c r="G1231" s="426"/>
      <c r="H1231" s="426"/>
      <c r="I1231" s="445"/>
      <c r="J1231" s="446"/>
      <c r="K1231" s="446"/>
      <c r="L1231" s="446"/>
      <c r="M1231" s="446"/>
      <c r="N1231" s="446"/>
      <c r="O1231" s="446"/>
    </row>
    <row r="1232" spans="1:22" s="447" customFormat="1" x14ac:dyDescent="0.2">
      <c r="A1232" s="542"/>
      <c r="B1232" s="506"/>
      <c r="C1232" s="506"/>
      <c r="D1232" s="540"/>
      <c r="E1232" s="494"/>
      <c r="F1232" s="426"/>
      <c r="G1232" s="426"/>
      <c r="H1232" s="426"/>
      <c r="I1232" s="445"/>
      <c r="J1232" s="446"/>
      <c r="K1232" s="446"/>
      <c r="L1232" s="446"/>
      <c r="M1232" s="446"/>
      <c r="N1232" s="446"/>
      <c r="O1232" s="446"/>
    </row>
    <row r="1233" spans="1:15" s="447" customFormat="1" ht="30" x14ac:dyDescent="0.2">
      <c r="A1233" s="542" t="s">
        <v>1494</v>
      </c>
      <c r="B1233" s="506" t="s">
        <v>45</v>
      </c>
      <c r="C1233" s="506">
        <v>92508</v>
      </c>
      <c r="D1233" s="540" t="s">
        <v>1392</v>
      </c>
      <c r="E1233" s="494" t="s">
        <v>15</v>
      </c>
      <c r="F1233" s="426">
        <f>PI()*16.1^2/4</f>
        <v>203.58305793425259</v>
      </c>
      <c r="G1233" s="426">
        <v>44.92</v>
      </c>
      <c r="H1233" s="426">
        <f t="shared" si="81"/>
        <v>56.79</v>
      </c>
      <c r="I1233" s="445">
        <f>ROUND(F1233*H1233,2)</f>
        <v>11561.48</v>
      </c>
      <c r="J1233" s="446"/>
      <c r="K1233" s="446"/>
      <c r="L1233" s="446"/>
      <c r="M1233" s="446"/>
      <c r="N1233" s="446"/>
      <c r="O1233" s="446"/>
    </row>
    <row r="1234" spans="1:15" s="447" customFormat="1" x14ac:dyDescent="0.2">
      <c r="A1234" s="542"/>
      <c r="B1234" s="506"/>
      <c r="C1234" s="506"/>
      <c r="D1234" s="540"/>
      <c r="E1234" s="494"/>
      <c r="F1234" s="426"/>
      <c r="G1234" s="426"/>
      <c r="H1234" s="426"/>
      <c r="I1234" s="445"/>
      <c r="J1234" s="446"/>
      <c r="K1234" s="446"/>
      <c r="L1234" s="446"/>
      <c r="M1234" s="446"/>
      <c r="N1234" s="446"/>
      <c r="O1234" s="446"/>
    </row>
    <row r="1235" spans="1:15" s="447" customFormat="1" x14ac:dyDescent="0.2">
      <c r="A1235" s="542"/>
      <c r="B1235" s="506"/>
      <c r="C1235" s="506"/>
      <c r="D1235" s="540" t="s">
        <v>2451</v>
      </c>
      <c r="E1235" s="494"/>
      <c r="F1235" s="426"/>
      <c r="G1235" s="426"/>
      <c r="H1235" s="426"/>
      <c r="I1235" s="445"/>
      <c r="J1235" s="446"/>
      <c r="K1235" s="446"/>
      <c r="L1235" s="446"/>
      <c r="M1235" s="446"/>
      <c r="N1235" s="446"/>
      <c r="O1235" s="446"/>
    </row>
    <row r="1236" spans="1:15" s="447" customFormat="1" ht="15.75" x14ac:dyDescent="0.2">
      <c r="A1236" s="542"/>
      <c r="B1236" s="506"/>
      <c r="C1236" s="506"/>
      <c r="D1236" s="556" t="s">
        <v>2494</v>
      </c>
      <c r="E1236" s="494"/>
      <c r="F1236" s="426"/>
      <c r="G1236" s="426"/>
      <c r="H1236" s="426"/>
      <c r="I1236" s="445"/>
      <c r="J1236" s="446"/>
      <c r="K1236" s="446"/>
      <c r="L1236" s="446"/>
      <c r="M1236" s="446"/>
      <c r="N1236" s="446"/>
      <c r="O1236" s="446"/>
    </row>
    <row r="1237" spans="1:15" s="447" customFormat="1" ht="15.75" x14ac:dyDescent="0.2">
      <c r="A1237" s="542"/>
      <c r="B1237" s="506"/>
      <c r="C1237" s="506"/>
      <c r="D1237" s="556"/>
      <c r="E1237" s="494"/>
      <c r="F1237" s="426"/>
      <c r="G1237" s="426"/>
      <c r="H1237" s="426"/>
      <c r="I1237" s="445"/>
      <c r="J1237" s="446"/>
      <c r="K1237" s="446"/>
      <c r="L1237" s="446"/>
      <c r="M1237" s="446"/>
      <c r="N1237" s="446"/>
      <c r="O1237" s="446"/>
    </row>
    <row r="1238" spans="1:15" s="447" customFormat="1" ht="12.75" customHeight="1" x14ac:dyDescent="0.2">
      <c r="A1238" s="542" t="s">
        <v>1495</v>
      </c>
      <c r="B1238" s="506" t="s">
        <v>45</v>
      </c>
      <c r="C1238" s="506">
        <v>34456</v>
      </c>
      <c r="D1238" s="540" t="s">
        <v>1358</v>
      </c>
      <c r="E1238" s="494" t="s">
        <v>169</v>
      </c>
      <c r="F1238" s="426">
        <v>2</v>
      </c>
      <c r="G1238" s="426">
        <v>3.7</v>
      </c>
      <c r="H1238" s="426">
        <v>4.68</v>
      </c>
      <c r="I1238" s="445">
        <v>9.36</v>
      </c>
      <c r="J1238" s="446"/>
      <c r="K1238" s="446"/>
      <c r="L1238" s="446"/>
      <c r="M1238" s="446"/>
      <c r="N1238" s="446"/>
      <c r="O1238" s="446"/>
    </row>
    <row r="1239" spans="1:15" s="447" customFormat="1" ht="13.5" customHeight="1" x14ac:dyDescent="0.2">
      <c r="A1239" s="542"/>
      <c r="B1239" s="506"/>
      <c r="C1239" s="506"/>
      <c r="D1239" s="540"/>
      <c r="E1239" s="494"/>
      <c r="F1239" s="426"/>
      <c r="G1239" s="426"/>
      <c r="H1239" s="426"/>
      <c r="I1239" s="445"/>
      <c r="J1239" s="446"/>
      <c r="K1239" s="446"/>
      <c r="L1239" s="446"/>
      <c r="M1239" s="446"/>
      <c r="N1239" s="446"/>
      <c r="O1239" s="446"/>
    </row>
    <row r="1240" spans="1:15" s="447" customFormat="1" ht="17.25" customHeight="1" x14ac:dyDescent="0.2">
      <c r="A1240" s="542"/>
      <c r="B1240" s="506"/>
      <c r="C1240" s="506"/>
      <c r="D1240" s="540" t="s">
        <v>2495</v>
      </c>
      <c r="E1240" s="494"/>
      <c r="F1240" s="426"/>
      <c r="G1240" s="426"/>
      <c r="H1240" s="426"/>
      <c r="I1240" s="445"/>
      <c r="J1240" s="446"/>
      <c r="K1240" s="446"/>
      <c r="L1240" s="446"/>
      <c r="M1240" s="446"/>
      <c r="N1240" s="446"/>
      <c r="O1240" s="446"/>
    </row>
    <row r="1241" spans="1:15" s="447" customFormat="1" ht="13.5" customHeight="1" x14ac:dyDescent="0.2">
      <c r="A1241" s="542"/>
      <c r="B1241" s="506"/>
      <c r="C1241" s="506"/>
      <c r="D1241" s="540"/>
      <c r="E1241" s="494"/>
      <c r="F1241" s="426"/>
      <c r="G1241" s="426"/>
      <c r="H1241" s="426"/>
      <c r="I1241" s="445"/>
      <c r="J1241" s="446"/>
      <c r="K1241" s="446"/>
      <c r="L1241" s="446"/>
      <c r="M1241" s="446"/>
      <c r="N1241" s="446"/>
      <c r="O1241" s="446"/>
    </row>
    <row r="1242" spans="1:15" s="447" customFormat="1" ht="12.75" customHeight="1" x14ac:dyDescent="0.2">
      <c r="A1242" s="550" t="s">
        <v>1496</v>
      </c>
      <c r="B1242" s="551" t="s">
        <v>45</v>
      </c>
      <c r="C1242" s="551">
        <v>34449</v>
      </c>
      <c r="D1242" s="552" t="s">
        <v>871</v>
      </c>
      <c r="E1242" s="494" t="s">
        <v>169</v>
      </c>
      <c r="F1242" s="426">
        <v>371</v>
      </c>
      <c r="G1242" s="426">
        <v>4.18</v>
      </c>
      <c r="H1242" s="426">
        <v>5.29</v>
      </c>
      <c r="I1242" s="445">
        <v>1962.59</v>
      </c>
      <c r="J1242" s="446"/>
      <c r="K1242" s="446"/>
      <c r="L1242" s="446"/>
      <c r="M1242" s="446"/>
      <c r="N1242" s="446"/>
      <c r="O1242" s="446"/>
    </row>
    <row r="1243" spans="1:15" s="447" customFormat="1" ht="13.5" customHeight="1" x14ac:dyDescent="0.2">
      <c r="A1243" s="542"/>
      <c r="B1243" s="506"/>
      <c r="C1243" s="506"/>
      <c r="D1243" s="540"/>
      <c r="E1243" s="494"/>
      <c r="F1243" s="426"/>
      <c r="G1243" s="426"/>
      <c r="H1243" s="426"/>
      <c r="I1243" s="445"/>
      <c r="J1243" s="446"/>
      <c r="K1243" s="446"/>
      <c r="L1243" s="446"/>
      <c r="M1243" s="446"/>
      <c r="N1243" s="446"/>
      <c r="O1243" s="446"/>
    </row>
    <row r="1244" spans="1:15" s="447" customFormat="1" ht="17.25" customHeight="1" x14ac:dyDescent="0.2">
      <c r="A1244" s="542"/>
      <c r="B1244" s="506"/>
      <c r="C1244" s="506"/>
      <c r="D1244" s="540" t="s">
        <v>2496</v>
      </c>
      <c r="E1244" s="494"/>
      <c r="F1244" s="426"/>
      <c r="G1244" s="426"/>
      <c r="H1244" s="426"/>
      <c r="I1244" s="445"/>
      <c r="J1244" s="446"/>
      <c r="K1244" s="446"/>
      <c r="L1244" s="446"/>
      <c r="M1244" s="446"/>
      <c r="N1244" s="446"/>
      <c r="O1244" s="446"/>
    </row>
    <row r="1245" spans="1:15" s="447" customFormat="1" ht="13.5" customHeight="1" x14ac:dyDescent="0.2">
      <c r="A1245" s="542"/>
      <c r="B1245" s="506"/>
      <c r="C1245" s="506"/>
      <c r="D1245" s="540"/>
      <c r="E1245" s="494"/>
      <c r="F1245" s="426"/>
      <c r="G1245" s="426"/>
      <c r="H1245" s="426"/>
      <c r="I1245" s="445"/>
      <c r="J1245" s="446"/>
      <c r="K1245" s="446"/>
      <c r="L1245" s="446"/>
      <c r="M1245" s="446"/>
      <c r="N1245" s="446"/>
      <c r="O1245" s="446"/>
    </row>
    <row r="1246" spans="1:15" s="447" customFormat="1" ht="12.75" customHeight="1" x14ac:dyDescent="0.2">
      <c r="A1246" s="542" t="s">
        <v>1497</v>
      </c>
      <c r="B1246" s="506" t="s">
        <v>45</v>
      </c>
      <c r="C1246" s="506">
        <v>33</v>
      </c>
      <c r="D1246" s="540" t="s">
        <v>799</v>
      </c>
      <c r="E1246" s="494" t="s">
        <v>169</v>
      </c>
      <c r="F1246" s="426">
        <v>4488</v>
      </c>
      <c r="G1246" s="426">
        <v>4.1900000000000004</v>
      </c>
      <c r="H1246" s="426">
        <v>5.3</v>
      </c>
      <c r="I1246" s="445">
        <v>23786.400000000001</v>
      </c>
      <c r="J1246" s="446"/>
      <c r="K1246" s="446"/>
      <c r="L1246" s="446"/>
      <c r="M1246" s="446"/>
      <c r="N1246" s="446"/>
      <c r="O1246" s="446"/>
    </row>
    <row r="1247" spans="1:15" s="447" customFormat="1" ht="13.5" customHeight="1" x14ac:dyDescent="0.2">
      <c r="A1247" s="542"/>
      <c r="B1247" s="506"/>
      <c r="C1247" s="506"/>
      <c r="D1247" s="540"/>
      <c r="E1247" s="494"/>
      <c r="F1247" s="426"/>
      <c r="G1247" s="426"/>
      <c r="H1247" s="426"/>
      <c r="I1247" s="445"/>
      <c r="J1247" s="446"/>
      <c r="K1247" s="446"/>
      <c r="L1247" s="446"/>
      <c r="M1247" s="446"/>
      <c r="N1247" s="446"/>
      <c r="O1247" s="446"/>
    </row>
    <row r="1248" spans="1:15" s="447" customFormat="1" ht="17.25" customHeight="1" x14ac:dyDescent="0.2">
      <c r="A1248" s="542"/>
      <c r="B1248" s="506"/>
      <c r="C1248" s="506"/>
      <c r="D1248" s="540" t="s">
        <v>2729</v>
      </c>
      <c r="E1248" s="494"/>
      <c r="F1248" s="426"/>
      <c r="G1248" s="426"/>
      <c r="H1248" s="426"/>
      <c r="I1248" s="445"/>
      <c r="J1248" s="446"/>
      <c r="K1248" s="446"/>
      <c r="L1248" s="446"/>
      <c r="M1248" s="446"/>
      <c r="N1248" s="446"/>
      <c r="O1248" s="446"/>
    </row>
    <row r="1249" spans="1:15" s="447" customFormat="1" ht="13.5" customHeight="1" x14ac:dyDescent="0.2">
      <c r="A1249" s="542"/>
      <c r="B1249" s="506"/>
      <c r="C1249" s="506"/>
      <c r="D1249" s="540"/>
      <c r="E1249" s="494"/>
      <c r="F1249" s="426"/>
      <c r="G1249" s="426"/>
      <c r="H1249" s="426"/>
      <c r="I1249" s="445"/>
      <c r="J1249" s="446"/>
      <c r="K1249" s="446"/>
      <c r="L1249" s="446"/>
      <c r="M1249" s="446"/>
      <c r="N1249" s="446"/>
      <c r="O1249" s="446"/>
    </row>
    <row r="1250" spans="1:15" s="447" customFormat="1" ht="12.75" customHeight="1" x14ac:dyDescent="0.2">
      <c r="A1250" s="542" t="s">
        <v>1137</v>
      </c>
      <c r="B1250" s="506" t="s">
        <v>45</v>
      </c>
      <c r="C1250" s="506">
        <v>34439</v>
      </c>
      <c r="D1250" s="540" t="s">
        <v>798</v>
      </c>
      <c r="E1250" s="494" t="s">
        <v>169</v>
      </c>
      <c r="F1250" s="426">
        <v>9154</v>
      </c>
      <c r="G1250" s="426">
        <v>4</v>
      </c>
      <c r="H1250" s="426">
        <v>5.0599999999999996</v>
      </c>
      <c r="I1250" s="445">
        <v>46319.24</v>
      </c>
      <c r="J1250" s="446"/>
      <c r="K1250" s="446"/>
      <c r="L1250" s="446"/>
      <c r="M1250" s="446"/>
      <c r="N1250" s="446"/>
      <c r="O1250" s="446"/>
    </row>
    <row r="1251" spans="1:15" s="447" customFormat="1" ht="13.5" customHeight="1" x14ac:dyDescent="0.2">
      <c r="A1251" s="542"/>
      <c r="B1251" s="506"/>
      <c r="C1251" s="506"/>
      <c r="D1251" s="540"/>
      <c r="E1251" s="494"/>
      <c r="F1251" s="426"/>
      <c r="G1251" s="426"/>
      <c r="H1251" s="426"/>
      <c r="I1251" s="445"/>
      <c r="J1251" s="446"/>
      <c r="K1251" s="446"/>
      <c r="L1251" s="446"/>
      <c r="M1251" s="446"/>
      <c r="N1251" s="446"/>
      <c r="O1251" s="446"/>
    </row>
    <row r="1252" spans="1:15" s="447" customFormat="1" ht="17.25" customHeight="1" x14ac:dyDescent="0.2">
      <c r="A1252" s="542"/>
      <c r="B1252" s="506"/>
      <c r="C1252" s="506"/>
      <c r="D1252" s="540" t="s">
        <v>2497</v>
      </c>
      <c r="E1252" s="494"/>
      <c r="F1252" s="426"/>
      <c r="G1252" s="426"/>
      <c r="H1252" s="426"/>
      <c r="I1252" s="445"/>
      <c r="J1252" s="446"/>
      <c r="K1252" s="446"/>
      <c r="L1252" s="446"/>
      <c r="M1252" s="446"/>
      <c r="N1252" s="446"/>
      <c r="O1252" s="446"/>
    </row>
    <row r="1253" spans="1:15" s="447" customFormat="1" ht="13.5" customHeight="1" x14ac:dyDescent="0.2">
      <c r="A1253" s="542"/>
      <c r="B1253" s="506"/>
      <c r="C1253" s="506"/>
      <c r="D1253" s="540"/>
      <c r="E1253" s="494"/>
      <c r="F1253" s="426"/>
      <c r="G1253" s="426"/>
      <c r="H1253" s="426"/>
      <c r="I1253" s="445"/>
      <c r="J1253" s="446"/>
      <c r="K1253" s="446"/>
      <c r="L1253" s="446"/>
      <c r="M1253" s="446"/>
      <c r="N1253" s="446"/>
      <c r="O1253" s="446"/>
    </row>
    <row r="1254" spans="1:15" s="447" customFormat="1" ht="12.75" customHeight="1" x14ac:dyDescent="0.2">
      <c r="A1254" s="542" t="s">
        <v>1138</v>
      </c>
      <c r="B1254" s="506" t="s">
        <v>45</v>
      </c>
      <c r="C1254" s="506">
        <v>34441</v>
      </c>
      <c r="D1254" s="540" t="s">
        <v>1389</v>
      </c>
      <c r="E1254" s="494" t="s">
        <v>169</v>
      </c>
      <c r="F1254" s="426">
        <v>544</v>
      </c>
      <c r="G1254" s="426">
        <v>3.8</v>
      </c>
      <c r="H1254" s="426">
        <v>4.8</v>
      </c>
      <c r="I1254" s="445">
        <v>2611.1999999999998</v>
      </c>
      <c r="J1254" s="446"/>
      <c r="K1254" s="446"/>
      <c r="L1254" s="446"/>
      <c r="M1254" s="446"/>
      <c r="N1254" s="446"/>
      <c r="O1254" s="446"/>
    </row>
    <row r="1255" spans="1:15" s="447" customFormat="1" ht="13.5" customHeight="1" x14ac:dyDescent="0.2">
      <c r="A1255" s="542"/>
      <c r="B1255" s="506"/>
      <c r="C1255" s="506"/>
      <c r="D1255" s="540"/>
      <c r="E1255" s="494"/>
      <c r="F1255" s="426"/>
      <c r="G1255" s="426"/>
      <c r="H1255" s="426"/>
      <c r="I1255" s="445"/>
      <c r="J1255" s="446"/>
      <c r="K1255" s="446"/>
      <c r="L1255" s="446"/>
      <c r="M1255" s="446"/>
      <c r="N1255" s="446"/>
      <c r="O1255" s="446"/>
    </row>
    <row r="1256" spans="1:15" s="447" customFormat="1" ht="17.25" customHeight="1" x14ac:dyDescent="0.2">
      <c r="A1256" s="542"/>
      <c r="B1256" s="506"/>
      <c r="C1256" s="506"/>
      <c r="D1256" s="540" t="s">
        <v>2730</v>
      </c>
      <c r="E1256" s="494"/>
      <c r="F1256" s="426"/>
      <c r="G1256" s="426"/>
      <c r="H1256" s="426"/>
      <c r="I1256" s="445"/>
      <c r="J1256" s="446"/>
      <c r="K1256" s="446"/>
      <c r="L1256" s="446"/>
      <c r="M1256" s="446"/>
      <c r="N1256" s="446"/>
      <c r="O1256" s="446"/>
    </row>
    <row r="1257" spans="1:15" s="447" customFormat="1" ht="13.5" customHeight="1" x14ac:dyDescent="0.2">
      <c r="A1257" s="542"/>
      <c r="B1257" s="506"/>
      <c r="C1257" s="506"/>
      <c r="D1257" s="540"/>
      <c r="E1257" s="494"/>
      <c r="F1257" s="426"/>
      <c r="G1257" s="426"/>
      <c r="H1257" s="426"/>
      <c r="I1257" s="445"/>
      <c r="J1257" s="446"/>
      <c r="K1257" s="446"/>
      <c r="L1257" s="446"/>
      <c r="M1257" s="446"/>
      <c r="N1257" s="446"/>
      <c r="O1257" s="446"/>
    </row>
    <row r="1258" spans="1:15" s="447" customFormat="1" ht="12.75" customHeight="1" x14ac:dyDescent="0.2">
      <c r="A1258" s="542" t="s">
        <v>1139</v>
      </c>
      <c r="B1258" s="506" t="s">
        <v>45</v>
      </c>
      <c r="C1258" s="506">
        <v>34443</v>
      </c>
      <c r="D1258" s="540" t="s">
        <v>1390</v>
      </c>
      <c r="E1258" s="494" t="s">
        <v>169</v>
      </c>
      <c r="F1258" s="426">
        <v>910</v>
      </c>
      <c r="G1258" s="426">
        <v>3.8</v>
      </c>
      <c r="H1258" s="426">
        <v>4.8</v>
      </c>
      <c r="I1258" s="445">
        <v>4368</v>
      </c>
      <c r="J1258" s="446"/>
      <c r="K1258" s="446"/>
      <c r="L1258" s="446"/>
      <c r="M1258" s="446"/>
      <c r="N1258" s="446"/>
      <c r="O1258" s="446"/>
    </row>
    <row r="1259" spans="1:15" s="447" customFormat="1" ht="13.5" customHeight="1" x14ac:dyDescent="0.2">
      <c r="A1259" s="542"/>
      <c r="B1259" s="506"/>
      <c r="C1259" s="506"/>
      <c r="D1259" s="540"/>
      <c r="E1259" s="494"/>
      <c r="F1259" s="426"/>
      <c r="G1259" s="426"/>
      <c r="H1259" s="426"/>
      <c r="I1259" s="445"/>
      <c r="J1259" s="446"/>
      <c r="K1259" s="446"/>
      <c r="L1259" s="446"/>
      <c r="M1259" s="446"/>
      <c r="N1259" s="446"/>
      <c r="O1259" s="446"/>
    </row>
    <row r="1260" spans="1:15" s="447" customFormat="1" ht="17.25" customHeight="1" x14ac:dyDescent="0.2">
      <c r="A1260" s="542"/>
      <c r="B1260" s="506"/>
      <c r="C1260" s="506"/>
      <c r="D1260" s="540" t="s">
        <v>2731</v>
      </c>
      <c r="E1260" s="494"/>
      <c r="F1260" s="426"/>
      <c r="G1260" s="426"/>
      <c r="H1260" s="426"/>
      <c r="I1260" s="445"/>
      <c r="J1260" s="446"/>
      <c r="K1260" s="446"/>
      <c r="L1260" s="446"/>
      <c r="M1260" s="446"/>
      <c r="N1260" s="446"/>
      <c r="O1260" s="446"/>
    </row>
    <row r="1261" spans="1:15" s="447" customFormat="1" ht="13.5" customHeight="1" x14ac:dyDescent="0.2">
      <c r="A1261" s="542"/>
      <c r="B1261" s="506"/>
      <c r="C1261" s="506"/>
      <c r="D1261" s="540"/>
      <c r="E1261" s="494"/>
      <c r="F1261" s="426"/>
      <c r="G1261" s="426"/>
      <c r="H1261" s="426"/>
      <c r="I1261" s="445"/>
      <c r="J1261" s="446"/>
      <c r="K1261" s="446"/>
      <c r="L1261" s="446"/>
      <c r="M1261" s="446"/>
      <c r="N1261" s="446"/>
      <c r="O1261" s="446"/>
    </row>
    <row r="1262" spans="1:15" s="447" customFormat="1" ht="12.75" customHeight="1" x14ac:dyDescent="0.2">
      <c r="A1262" s="542" t="s">
        <v>1498</v>
      </c>
      <c r="B1262" s="506" t="s">
        <v>45</v>
      </c>
      <c r="C1262" s="506">
        <v>34446</v>
      </c>
      <c r="D1262" s="540" t="s">
        <v>2493</v>
      </c>
      <c r="E1262" s="494" t="s">
        <v>169</v>
      </c>
      <c r="F1262" s="426">
        <v>81</v>
      </c>
      <c r="G1262" s="426">
        <v>3.8</v>
      </c>
      <c r="H1262" s="426">
        <v>4.8</v>
      </c>
      <c r="I1262" s="445">
        <v>388.8</v>
      </c>
      <c r="J1262" s="446"/>
      <c r="K1262" s="446"/>
      <c r="L1262" s="446"/>
      <c r="M1262" s="446"/>
      <c r="N1262" s="446"/>
      <c r="O1262" s="446"/>
    </row>
    <row r="1263" spans="1:15" s="447" customFormat="1" ht="13.5" customHeight="1" x14ac:dyDescent="0.2">
      <c r="A1263" s="542"/>
      <c r="B1263" s="506"/>
      <c r="C1263" s="506"/>
      <c r="D1263" s="540"/>
      <c r="E1263" s="494"/>
      <c r="F1263" s="426"/>
      <c r="G1263" s="426"/>
      <c r="H1263" s="426"/>
      <c r="I1263" s="445"/>
      <c r="J1263" s="446"/>
      <c r="K1263" s="446"/>
      <c r="L1263" s="446"/>
      <c r="M1263" s="446"/>
      <c r="N1263" s="446"/>
      <c r="O1263" s="446"/>
    </row>
    <row r="1264" spans="1:15" s="447" customFormat="1" ht="17.25" customHeight="1" x14ac:dyDescent="0.2">
      <c r="A1264" s="542"/>
      <c r="B1264" s="506"/>
      <c r="C1264" s="506"/>
      <c r="D1264" s="540" t="s">
        <v>2498</v>
      </c>
      <c r="E1264" s="494"/>
      <c r="F1264" s="426"/>
      <c r="G1264" s="426"/>
      <c r="H1264" s="426"/>
      <c r="I1264" s="445"/>
      <c r="J1264" s="446"/>
      <c r="K1264" s="446"/>
      <c r="L1264" s="446"/>
      <c r="M1264" s="446"/>
      <c r="N1264" s="446"/>
      <c r="O1264" s="446"/>
    </row>
    <row r="1265" spans="1:18" s="447" customFormat="1" ht="13.5" customHeight="1" x14ac:dyDescent="0.2">
      <c r="A1265" s="542"/>
      <c r="B1265" s="506"/>
      <c r="C1265" s="506"/>
      <c r="D1265" s="540"/>
      <c r="E1265" s="494"/>
      <c r="F1265" s="426"/>
      <c r="G1265" s="426"/>
      <c r="H1265" s="426"/>
      <c r="I1265" s="445"/>
      <c r="J1265" s="446"/>
      <c r="K1265" s="446"/>
      <c r="L1265" s="446"/>
      <c r="M1265" s="446"/>
      <c r="N1265" s="446"/>
      <c r="O1265" s="446"/>
    </row>
    <row r="1266" spans="1:18" s="373" customFormat="1" ht="12.75" customHeight="1" x14ac:dyDescent="0.2">
      <c r="A1266" s="542" t="s">
        <v>1140</v>
      </c>
      <c r="B1266" s="506" t="s">
        <v>45</v>
      </c>
      <c r="C1266" s="506">
        <v>94967</v>
      </c>
      <c r="D1266" s="554" t="s">
        <v>1351</v>
      </c>
      <c r="E1266" s="495" t="s">
        <v>16</v>
      </c>
      <c r="F1266" s="426"/>
      <c r="G1266" s="426">
        <v>331.4</v>
      </c>
      <c r="H1266" s="426">
        <f t="shared" si="81"/>
        <v>419.01</v>
      </c>
      <c r="I1266" s="445">
        <f>ROUND(F1266*H1266,2)</f>
        <v>0</v>
      </c>
      <c r="J1266" s="444"/>
      <c r="K1266" s="372"/>
      <c r="L1266" s="424"/>
      <c r="M1266" s="372"/>
      <c r="N1266" s="372"/>
      <c r="O1266" s="372"/>
      <c r="P1266" s="372"/>
      <c r="R1266" s="372"/>
    </row>
    <row r="1267" spans="1:18" s="373" customFormat="1" ht="12.75" customHeight="1" x14ac:dyDescent="0.2">
      <c r="A1267" s="542"/>
      <c r="B1267" s="506"/>
      <c r="C1267" s="506"/>
      <c r="D1267" s="554"/>
      <c r="E1267" s="495"/>
      <c r="F1267" s="426"/>
      <c r="G1267" s="426"/>
      <c r="H1267" s="426"/>
      <c r="I1267" s="455"/>
      <c r="J1267" s="444"/>
      <c r="K1267" s="372"/>
      <c r="L1267" s="424"/>
      <c r="M1267" s="372"/>
      <c r="N1267" s="372"/>
      <c r="O1267" s="372"/>
      <c r="P1267" s="372"/>
      <c r="R1267" s="372"/>
    </row>
    <row r="1268" spans="1:18" s="373" customFormat="1" ht="17.25" customHeight="1" x14ac:dyDescent="0.2">
      <c r="A1268" s="542"/>
      <c r="B1268" s="506"/>
      <c r="C1268" s="506"/>
      <c r="D1268" s="554" t="s">
        <v>2728</v>
      </c>
      <c r="E1268" s="495"/>
      <c r="F1268" s="426"/>
      <c r="G1268" s="426"/>
      <c r="H1268" s="426"/>
      <c r="I1268" s="455"/>
      <c r="J1268" s="444"/>
      <c r="K1268" s="372"/>
      <c r="L1268" s="424"/>
      <c r="M1268" s="372"/>
      <c r="N1268" s="372"/>
      <c r="O1268" s="372"/>
      <c r="P1268" s="372"/>
      <c r="R1268" s="372"/>
    </row>
    <row r="1269" spans="1:18" s="373" customFormat="1" ht="12.75" customHeight="1" x14ac:dyDescent="0.2">
      <c r="A1269" s="542"/>
      <c r="B1269" s="506"/>
      <c r="C1269" s="506"/>
      <c r="D1269" s="554"/>
      <c r="E1269" s="495"/>
      <c r="F1269" s="426"/>
      <c r="G1269" s="426"/>
      <c r="H1269" s="426"/>
      <c r="I1269" s="455"/>
      <c r="J1269" s="444"/>
      <c r="K1269" s="372"/>
      <c r="L1269" s="424"/>
      <c r="M1269" s="372"/>
      <c r="N1269" s="372"/>
      <c r="O1269" s="372"/>
      <c r="P1269" s="372"/>
      <c r="R1269" s="372"/>
    </row>
    <row r="1270" spans="1:18" s="373" customFormat="1" ht="30" x14ac:dyDescent="0.2">
      <c r="A1270" s="542" t="s">
        <v>1141</v>
      </c>
      <c r="B1270" s="500" t="s">
        <v>45</v>
      </c>
      <c r="C1270" s="500">
        <v>92874</v>
      </c>
      <c r="D1270" s="540" t="s">
        <v>800</v>
      </c>
      <c r="E1270" s="495" t="s">
        <v>16</v>
      </c>
      <c r="F1270" s="426">
        <f>F1266</f>
        <v>0</v>
      </c>
      <c r="G1270" s="426">
        <v>27.56</v>
      </c>
      <c r="H1270" s="426">
        <f>G1270*(1+$L$16)</f>
        <v>34.8456752518345</v>
      </c>
      <c r="I1270" s="448">
        <f t="shared" ref="I1270:I1278" si="82">ROUND(F1270*H1270,2)</f>
        <v>0</v>
      </c>
      <c r="J1270" s="437"/>
      <c r="K1270" s="372"/>
      <c r="L1270" s="430"/>
      <c r="M1270" s="372"/>
      <c r="N1270" s="372"/>
      <c r="O1270" s="372"/>
      <c r="P1270" s="372"/>
      <c r="R1270" s="372"/>
    </row>
    <row r="1271" spans="1:18" s="373" customFormat="1" x14ac:dyDescent="0.2">
      <c r="A1271" s="542"/>
      <c r="B1271" s="500"/>
      <c r="C1271" s="500"/>
      <c r="D1271" s="540"/>
      <c r="E1271" s="495"/>
      <c r="F1271" s="426"/>
      <c r="G1271" s="426"/>
      <c r="H1271" s="426"/>
      <c r="I1271" s="448"/>
      <c r="J1271" s="437"/>
      <c r="K1271" s="372"/>
      <c r="L1271" s="430"/>
      <c r="M1271" s="372"/>
      <c r="N1271" s="372"/>
      <c r="O1271" s="372"/>
      <c r="P1271" s="372"/>
      <c r="R1271" s="372"/>
    </row>
    <row r="1272" spans="1:18" s="373" customFormat="1" x14ac:dyDescent="0.2">
      <c r="A1272" s="542"/>
      <c r="B1272" s="500"/>
      <c r="C1272" s="500"/>
      <c r="D1272" s="554" t="s">
        <v>2728</v>
      </c>
      <c r="E1272" s="495"/>
      <c r="F1272" s="426"/>
      <c r="G1272" s="426"/>
      <c r="H1272" s="426"/>
      <c r="I1272" s="448"/>
      <c r="J1272" s="437"/>
      <c r="K1272" s="372"/>
      <c r="L1272" s="430"/>
      <c r="M1272" s="372"/>
      <c r="N1272" s="372"/>
      <c r="O1272" s="372"/>
      <c r="P1272" s="372"/>
      <c r="R1272" s="372"/>
    </row>
    <row r="1273" spans="1:18" s="373" customFormat="1" x14ac:dyDescent="0.2">
      <c r="A1273" s="542"/>
      <c r="B1273" s="500"/>
      <c r="C1273" s="500"/>
      <c r="D1273" s="540"/>
      <c r="E1273" s="495"/>
      <c r="F1273" s="426"/>
      <c r="G1273" s="426"/>
      <c r="H1273" s="426"/>
      <c r="I1273" s="448"/>
      <c r="J1273" s="437"/>
      <c r="K1273" s="372"/>
      <c r="L1273" s="430"/>
      <c r="M1273" s="372"/>
      <c r="N1273" s="372"/>
      <c r="O1273" s="372"/>
      <c r="P1273" s="372"/>
      <c r="R1273" s="372"/>
    </row>
    <row r="1274" spans="1:18" s="373" customFormat="1" ht="30" x14ac:dyDescent="0.2">
      <c r="A1274" s="542" t="s">
        <v>1142</v>
      </c>
      <c r="B1274" s="506" t="s">
        <v>45</v>
      </c>
      <c r="C1274" s="506">
        <v>83516</v>
      </c>
      <c r="D1274" s="554" t="s">
        <v>1359</v>
      </c>
      <c r="E1274" s="494" t="s">
        <v>16</v>
      </c>
      <c r="F1274" s="426"/>
      <c r="G1274" s="426">
        <v>13.16</v>
      </c>
      <c r="H1274" s="426">
        <f>G1274*(1+$L$16)</f>
        <v>16.638936368437665</v>
      </c>
      <c r="I1274" s="448">
        <f t="shared" si="82"/>
        <v>0</v>
      </c>
      <c r="J1274" s="437"/>
      <c r="K1274" s="372"/>
      <c r="L1274" s="430"/>
      <c r="M1274" s="372"/>
      <c r="N1274" s="372"/>
      <c r="O1274" s="372"/>
      <c r="P1274" s="372"/>
      <c r="R1274" s="372"/>
    </row>
    <row r="1275" spans="1:18" s="373" customFormat="1" x14ac:dyDescent="0.2">
      <c r="A1275" s="542"/>
      <c r="B1275" s="506"/>
      <c r="C1275" s="506"/>
      <c r="D1275" s="554"/>
      <c r="E1275" s="494"/>
      <c r="F1275" s="426"/>
      <c r="G1275" s="426"/>
      <c r="H1275" s="426"/>
      <c r="I1275" s="448"/>
      <c r="J1275" s="437"/>
      <c r="K1275" s="372"/>
      <c r="L1275" s="430"/>
      <c r="M1275" s="372"/>
      <c r="N1275" s="372"/>
      <c r="O1275" s="372"/>
      <c r="P1275" s="372"/>
      <c r="R1275" s="372"/>
    </row>
    <row r="1276" spans="1:18" s="373" customFormat="1" ht="30" x14ac:dyDescent="0.2">
      <c r="A1276" s="542"/>
      <c r="B1276" s="506"/>
      <c r="C1276" s="506"/>
      <c r="D1276" s="554" t="s">
        <v>2499</v>
      </c>
      <c r="E1276" s="494"/>
      <c r="F1276" s="426"/>
      <c r="G1276" s="426"/>
      <c r="H1276" s="426"/>
      <c r="I1276" s="448"/>
      <c r="J1276" s="437"/>
      <c r="K1276" s="372"/>
      <c r="L1276" s="430"/>
      <c r="M1276" s="372"/>
      <c r="N1276" s="372"/>
      <c r="O1276" s="372"/>
      <c r="P1276" s="372"/>
      <c r="R1276" s="372"/>
    </row>
    <row r="1277" spans="1:18" s="373" customFormat="1" x14ac:dyDescent="0.2">
      <c r="A1277" s="542"/>
      <c r="B1277" s="506"/>
      <c r="C1277" s="506"/>
      <c r="D1277" s="554"/>
      <c r="E1277" s="494"/>
      <c r="F1277" s="426"/>
      <c r="G1277" s="426"/>
      <c r="H1277" s="426"/>
      <c r="I1277" s="448"/>
      <c r="J1277" s="437"/>
      <c r="K1277" s="372"/>
      <c r="L1277" s="430"/>
      <c r="M1277" s="372"/>
      <c r="N1277" s="372"/>
      <c r="O1277" s="372"/>
      <c r="P1277" s="372"/>
      <c r="R1277" s="372"/>
    </row>
    <row r="1278" spans="1:18" s="373" customFormat="1" ht="30" x14ac:dyDescent="0.2">
      <c r="A1278" s="542" t="s">
        <v>1499</v>
      </c>
      <c r="B1278" s="500" t="s">
        <v>45</v>
      </c>
      <c r="C1278" s="500" t="s">
        <v>377</v>
      </c>
      <c r="D1278" s="540" t="s">
        <v>378</v>
      </c>
      <c r="E1278" s="495" t="s">
        <v>15</v>
      </c>
      <c r="F1278" s="426">
        <f>50.26*3.8+6.3*3.8+7.3*3.8+PI()*8^2*2</f>
        <v>644.79185965949353</v>
      </c>
      <c r="G1278" s="426">
        <v>31.05</v>
      </c>
      <c r="H1278" s="426">
        <f>G1278*(1+$L$16)</f>
        <v>39.258280717324432</v>
      </c>
      <c r="I1278" s="448">
        <f t="shared" si="82"/>
        <v>25313.42</v>
      </c>
      <c r="J1278" s="437"/>
      <c r="K1278" s="372"/>
      <c r="L1278" s="430"/>
      <c r="M1278" s="372"/>
      <c r="N1278" s="372"/>
      <c r="O1278" s="372"/>
      <c r="P1278" s="372"/>
      <c r="R1278" s="372"/>
    </row>
    <row r="1279" spans="1:18" s="373" customFormat="1" x14ac:dyDescent="0.2">
      <c r="A1279" s="542"/>
      <c r="B1279" s="500"/>
      <c r="C1279" s="500"/>
      <c r="D1279" s="540"/>
      <c r="E1279" s="495"/>
      <c r="F1279" s="426"/>
      <c r="G1279" s="426"/>
      <c r="H1279" s="426"/>
      <c r="I1279" s="448"/>
      <c r="J1279" s="437"/>
      <c r="K1279" s="372"/>
      <c r="L1279" s="430"/>
      <c r="M1279" s="372"/>
      <c r="N1279" s="372"/>
      <c r="O1279" s="372"/>
      <c r="P1279" s="372"/>
      <c r="R1279" s="372"/>
    </row>
    <row r="1280" spans="1:18" s="373" customFormat="1" x14ac:dyDescent="0.2">
      <c r="A1280" s="542"/>
      <c r="B1280" s="500"/>
      <c r="C1280" s="500"/>
      <c r="D1280" s="540" t="s">
        <v>2500</v>
      </c>
      <c r="E1280" s="495"/>
      <c r="F1280" s="426"/>
      <c r="G1280" s="426"/>
      <c r="H1280" s="426"/>
      <c r="I1280" s="448"/>
      <c r="J1280" s="437"/>
      <c r="K1280" s="372"/>
      <c r="L1280" s="430"/>
      <c r="M1280" s="372"/>
      <c r="N1280" s="372"/>
      <c r="O1280" s="372"/>
      <c r="P1280" s="372"/>
      <c r="R1280" s="372"/>
    </row>
    <row r="1281" spans="1:22" s="373" customFormat="1" x14ac:dyDescent="0.2">
      <c r="A1281" s="542"/>
      <c r="B1281" s="500"/>
      <c r="C1281" s="500"/>
      <c r="D1281" s="540"/>
      <c r="E1281" s="495"/>
      <c r="F1281" s="426"/>
      <c r="G1281" s="426"/>
      <c r="H1281" s="426"/>
      <c r="I1281" s="448"/>
      <c r="J1281" s="437"/>
      <c r="K1281" s="372"/>
      <c r="L1281" s="430"/>
      <c r="M1281" s="372"/>
      <c r="N1281" s="372"/>
      <c r="O1281" s="372"/>
      <c r="P1281" s="372"/>
      <c r="R1281" s="372"/>
    </row>
    <row r="1282" spans="1:22" s="373" customFormat="1" x14ac:dyDescent="0.2">
      <c r="A1282" s="542" t="s">
        <v>1500</v>
      </c>
      <c r="B1282" s="506" t="s">
        <v>45</v>
      </c>
      <c r="C1282" s="506">
        <v>73631</v>
      </c>
      <c r="D1282" s="554" t="s">
        <v>337</v>
      </c>
      <c r="E1282" s="495" t="s">
        <v>15</v>
      </c>
      <c r="F1282" s="426">
        <v>70</v>
      </c>
      <c r="G1282" s="426">
        <v>298.98</v>
      </c>
      <c r="H1282" s="426">
        <f>G1282*(1+$L$16)</f>
        <v>378.01741606652689</v>
      </c>
      <c r="I1282" s="448">
        <f t="shared" si="77"/>
        <v>26461.22</v>
      </c>
      <c r="J1282" s="437"/>
      <c r="K1282" s="372"/>
      <c r="L1282" s="372"/>
      <c r="M1282" s="372"/>
      <c r="N1282" s="372"/>
      <c r="O1282" s="372"/>
      <c r="P1282" s="372"/>
      <c r="R1282" s="372"/>
    </row>
    <row r="1283" spans="1:22" s="373" customFormat="1" x14ac:dyDescent="0.2">
      <c r="A1283" s="542"/>
      <c r="B1283" s="506"/>
      <c r="C1283" s="506"/>
      <c r="D1283" s="554"/>
      <c r="E1283" s="495"/>
      <c r="F1283" s="426"/>
      <c r="G1283" s="426"/>
      <c r="H1283" s="426"/>
      <c r="I1283" s="448"/>
      <c r="J1283" s="437"/>
      <c r="K1283" s="372"/>
      <c r="L1283" s="372"/>
      <c r="M1283" s="372"/>
      <c r="N1283" s="372"/>
      <c r="O1283" s="372"/>
      <c r="P1283" s="372"/>
      <c r="R1283" s="372"/>
    </row>
    <row r="1284" spans="1:22" s="373" customFormat="1" x14ac:dyDescent="0.2">
      <c r="A1284" s="542"/>
      <c r="B1284" s="506"/>
      <c r="C1284" s="506"/>
      <c r="D1284" s="554" t="s">
        <v>2501</v>
      </c>
      <c r="E1284" s="495"/>
      <c r="F1284" s="426"/>
      <c r="G1284" s="426"/>
      <c r="H1284" s="426"/>
      <c r="I1284" s="448"/>
      <c r="J1284" s="437"/>
      <c r="K1284" s="372"/>
      <c r="L1284" s="372"/>
      <c r="M1284" s="372"/>
      <c r="N1284" s="372"/>
      <c r="O1284" s="372"/>
      <c r="P1284" s="372"/>
      <c r="R1284" s="372"/>
    </row>
    <row r="1285" spans="1:22" s="373" customFormat="1" x14ac:dyDescent="0.2">
      <c r="A1285" s="542"/>
      <c r="B1285" s="506"/>
      <c r="C1285" s="506"/>
      <c r="D1285" s="554"/>
      <c r="E1285" s="495"/>
      <c r="F1285" s="426"/>
      <c r="G1285" s="426"/>
      <c r="H1285" s="426"/>
      <c r="I1285" s="448"/>
      <c r="J1285" s="437"/>
      <c r="K1285" s="372"/>
      <c r="L1285" s="372"/>
      <c r="M1285" s="372"/>
      <c r="N1285" s="372"/>
      <c r="O1285" s="372"/>
      <c r="P1285" s="372"/>
      <c r="R1285" s="372"/>
    </row>
    <row r="1286" spans="1:22" s="373" customFormat="1" x14ac:dyDescent="0.2">
      <c r="A1286" s="542" t="s">
        <v>1501</v>
      </c>
      <c r="B1286" s="506" t="s">
        <v>65</v>
      </c>
      <c r="C1286" s="506"/>
      <c r="D1286" s="554" t="s">
        <v>361</v>
      </c>
      <c r="E1286" s="495" t="s">
        <v>18</v>
      </c>
      <c r="F1286" s="426">
        <v>1</v>
      </c>
      <c r="G1286" s="426">
        <v>248000</v>
      </c>
      <c r="H1286" s="426">
        <f>G1286*(1+$K$16)</f>
        <v>289664.97524587176</v>
      </c>
      <c r="I1286" s="448">
        <f t="shared" si="77"/>
        <v>289664.98</v>
      </c>
      <c r="J1286" s="437"/>
      <c r="K1286" s="372"/>
      <c r="L1286" s="372"/>
      <c r="M1286" s="372"/>
      <c r="N1286" s="372"/>
      <c r="O1286" s="372"/>
      <c r="P1286" s="372"/>
      <c r="R1286" s="372"/>
    </row>
    <row r="1287" spans="1:22" s="373" customFormat="1" x14ac:dyDescent="0.2">
      <c r="A1287" s="542"/>
      <c r="B1287" s="506"/>
      <c r="C1287" s="506"/>
      <c r="D1287" s="554"/>
      <c r="E1287" s="495"/>
      <c r="F1287" s="426"/>
      <c r="G1287" s="426"/>
      <c r="H1287" s="426"/>
      <c r="I1287" s="448"/>
      <c r="J1287" s="437"/>
      <c r="K1287" s="372"/>
      <c r="L1287" s="372"/>
      <c r="M1287" s="372"/>
      <c r="N1287" s="372"/>
      <c r="O1287" s="372"/>
      <c r="P1287" s="372"/>
      <c r="R1287" s="372"/>
    </row>
    <row r="1288" spans="1:22" s="373" customFormat="1" x14ac:dyDescent="0.2">
      <c r="A1288" s="542"/>
      <c r="B1288" s="506"/>
      <c r="C1288" s="506"/>
      <c r="D1288" s="554" t="s">
        <v>2462</v>
      </c>
      <c r="E1288" s="495"/>
      <c r="F1288" s="426"/>
      <c r="G1288" s="426"/>
      <c r="H1288" s="426"/>
      <c r="I1288" s="448"/>
      <c r="J1288" s="437"/>
      <c r="K1288" s="372"/>
      <c r="L1288" s="372"/>
      <c r="M1288" s="372"/>
      <c r="N1288" s="372"/>
      <c r="O1288" s="372"/>
      <c r="P1288" s="372"/>
      <c r="R1288" s="372"/>
    </row>
    <row r="1289" spans="1:22" s="373" customFormat="1" x14ac:dyDescent="0.2">
      <c r="A1289" s="542"/>
      <c r="B1289" s="506"/>
      <c r="C1289" s="506"/>
      <c r="D1289" s="554"/>
      <c r="E1289" s="495"/>
      <c r="F1289" s="426"/>
      <c r="G1289" s="426"/>
      <c r="H1289" s="426"/>
      <c r="I1289" s="448"/>
      <c r="J1289" s="437"/>
      <c r="K1289" s="372"/>
      <c r="L1289" s="372"/>
      <c r="M1289" s="372"/>
      <c r="N1289" s="372"/>
      <c r="O1289" s="372"/>
      <c r="P1289" s="372"/>
      <c r="R1289" s="372"/>
    </row>
    <row r="1290" spans="1:22" s="457" customFormat="1" x14ac:dyDescent="0.2">
      <c r="A1290" s="542" t="s">
        <v>1502</v>
      </c>
      <c r="B1290" s="500" t="s">
        <v>45</v>
      </c>
      <c r="C1290" s="500">
        <v>11244</v>
      </c>
      <c r="D1290" s="540" t="s">
        <v>1411</v>
      </c>
      <c r="E1290" s="495" t="s">
        <v>18</v>
      </c>
      <c r="F1290" s="426">
        <f>8*6</f>
        <v>48</v>
      </c>
      <c r="G1290" s="426">
        <v>148.71</v>
      </c>
      <c r="H1290" s="426">
        <f>G1290*(1+$L$16)</f>
        <v>188.02250967707946</v>
      </c>
      <c r="I1290" s="448">
        <f t="shared" si="77"/>
        <v>9025.08</v>
      </c>
      <c r="J1290" s="437"/>
      <c r="K1290" s="456"/>
      <c r="L1290" s="456"/>
      <c r="M1290" s="456"/>
      <c r="N1290" s="372"/>
      <c r="O1290" s="372"/>
      <c r="P1290" s="372"/>
      <c r="Q1290" s="373"/>
      <c r="R1290" s="372"/>
      <c r="S1290" s="373"/>
      <c r="T1290" s="373"/>
      <c r="U1290" s="373"/>
      <c r="V1290" s="373"/>
    </row>
    <row r="1291" spans="1:22" s="457" customFormat="1" x14ac:dyDescent="0.2">
      <c r="A1291" s="542"/>
      <c r="B1291" s="500"/>
      <c r="C1291" s="500"/>
      <c r="D1291" s="540"/>
      <c r="E1291" s="495"/>
      <c r="F1291" s="426"/>
      <c r="G1291" s="426"/>
      <c r="H1291" s="426"/>
      <c r="I1291" s="448"/>
      <c r="J1291" s="437"/>
      <c r="K1291" s="456"/>
      <c r="L1291" s="456"/>
      <c r="M1291" s="456"/>
      <c r="N1291" s="372"/>
      <c r="O1291" s="372"/>
      <c r="P1291" s="372"/>
      <c r="Q1291" s="373"/>
      <c r="R1291" s="372"/>
      <c r="S1291" s="373"/>
      <c r="T1291" s="373"/>
      <c r="U1291" s="373"/>
      <c r="V1291" s="373"/>
    </row>
    <row r="1292" spans="1:22" s="457" customFormat="1" x14ac:dyDescent="0.2">
      <c r="A1292" s="542"/>
      <c r="B1292" s="500"/>
      <c r="C1292" s="500"/>
      <c r="D1292" s="540" t="s">
        <v>2502</v>
      </c>
      <c r="E1292" s="495"/>
      <c r="F1292" s="426"/>
      <c r="G1292" s="426"/>
      <c r="H1292" s="426"/>
      <c r="I1292" s="448"/>
      <c r="J1292" s="437"/>
      <c r="K1292" s="456"/>
      <c r="L1292" s="456"/>
      <c r="M1292" s="456"/>
      <c r="N1292" s="372"/>
      <c r="O1292" s="372"/>
      <c r="P1292" s="372"/>
      <c r="Q1292" s="373"/>
      <c r="R1292" s="372"/>
      <c r="S1292" s="373"/>
      <c r="T1292" s="373"/>
      <c r="U1292" s="373"/>
      <c r="V1292" s="373"/>
    </row>
    <row r="1293" spans="1:22" s="457" customFormat="1" x14ac:dyDescent="0.2">
      <c r="A1293" s="542"/>
      <c r="B1293" s="500"/>
      <c r="C1293" s="500"/>
      <c r="D1293" s="540"/>
      <c r="E1293" s="495"/>
      <c r="F1293" s="426"/>
      <c r="G1293" s="426"/>
      <c r="H1293" s="426"/>
      <c r="I1293" s="448"/>
      <c r="J1293" s="437"/>
      <c r="K1293" s="456"/>
      <c r="L1293" s="456"/>
      <c r="M1293" s="456"/>
      <c r="N1293" s="372"/>
      <c r="O1293" s="372"/>
      <c r="P1293" s="372"/>
      <c r="Q1293" s="373"/>
      <c r="R1293" s="372"/>
      <c r="S1293" s="373"/>
      <c r="T1293" s="373"/>
      <c r="U1293" s="373"/>
      <c r="V1293" s="373"/>
    </row>
    <row r="1294" spans="1:22" s="373" customFormat="1" x14ac:dyDescent="0.2">
      <c r="A1294" s="542" t="s">
        <v>2505</v>
      </c>
      <c r="B1294" s="506" t="s">
        <v>45</v>
      </c>
      <c r="C1294" s="506" t="s">
        <v>97</v>
      </c>
      <c r="D1294" s="554" t="s">
        <v>98</v>
      </c>
      <c r="E1294" s="494" t="s">
        <v>16</v>
      </c>
      <c r="F1294" s="426">
        <f>196.8*2</f>
        <v>393.6</v>
      </c>
      <c r="G1294" s="426">
        <v>145.25</v>
      </c>
      <c r="H1294" s="426">
        <f>G1294*(1+$L$16)</f>
        <v>183.64783491759658</v>
      </c>
      <c r="I1294" s="448">
        <f t="shared" si="77"/>
        <v>72283.789999999994</v>
      </c>
      <c r="J1294" s="444"/>
      <c r="K1294" s="477"/>
      <c r="L1294" s="477"/>
      <c r="M1294" s="477"/>
      <c r="N1294" s="372"/>
      <c r="O1294" s="372"/>
      <c r="P1294" s="372"/>
      <c r="R1294" s="372"/>
    </row>
    <row r="1295" spans="1:22" s="373" customFormat="1" x14ac:dyDescent="0.2">
      <c r="A1295" s="542"/>
      <c r="B1295" s="506"/>
      <c r="C1295" s="506"/>
      <c r="D1295" s="554"/>
      <c r="E1295" s="494"/>
      <c r="F1295" s="426"/>
      <c r="G1295" s="426"/>
      <c r="H1295" s="426"/>
      <c r="I1295" s="448"/>
      <c r="J1295" s="444"/>
      <c r="K1295" s="477"/>
      <c r="L1295" s="477"/>
      <c r="M1295" s="477"/>
      <c r="N1295" s="372"/>
      <c r="O1295" s="372"/>
      <c r="P1295" s="372"/>
      <c r="R1295" s="372"/>
    </row>
    <row r="1296" spans="1:22" s="373" customFormat="1" x14ac:dyDescent="0.2">
      <c r="A1296" s="542"/>
      <c r="B1296" s="506"/>
      <c r="C1296" s="506"/>
      <c r="D1296" s="554" t="s">
        <v>2503</v>
      </c>
      <c r="E1296" s="494"/>
      <c r="F1296" s="426"/>
      <c r="G1296" s="426"/>
      <c r="H1296" s="426"/>
      <c r="I1296" s="448"/>
      <c r="J1296" s="444"/>
      <c r="K1296" s="477"/>
      <c r="L1296" s="477"/>
      <c r="M1296" s="477"/>
      <c r="N1296" s="372"/>
      <c r="O1296" s="372"/>
      <c r="P1296" s="372"/>
      <c r="R1296" s="372"/>
    </row>
    <row r="1297" spans="1:63" s="373" customFormat="1" x14ac:dyDescent="0.2">
      <c r="A1297" s="542"/>
      <c r="B1297" s="506"/>
      <c r="C1297" s="506"/>
      <c r="D1297" s="554"/>
      <c r="E1297" s="494"/>
      <c r="F1297" s="426"/>
      <c r="G1297" s="426"/>
      <c r="H1297" s="426"/>
      <c r="I1297" s="448"/>
      <c r="J1297" s="444"/>
      <c r="K1297" s="477"/>
      <c r="L1297" s="477"/>
      <c r="M1297" s="477"/>
      <c r="N1297" s="372"/>
      <c r="O1297" s="372"/>
      <c r="P1297" s="372"/>
      <c r="R1297" s="372"/>
    </row>
    <row r="1298" spans="1:63" ht="30" x14ac:dyDescent="0.2">
      <c r="A1298" s="538" t="s">
        <v>2506</v>
      </c>
      <c r="B1298" s="502" t="s">
        <v>335</v>
      </c>
      <c r="C1298" s="502" t="str">
        <f>COMPOSIÇÕES!C388</f>
        <v>CE-031</v>
      </c>
      <c r="D1298" s="559" t="s">
        <v>1587</v>
      </c>
      <c r="E1298" s="496" t="s">
        <v>19</v>
      </c>
      <c r="F1298" s="426">
        <v>1</v>
      </c>
      <c r="G1298" s="426">
        <f>COMPOSIÇÕES!I388</f>
        <v>63747.6</v>
      </c>
      <c r="H1298" s="427">
        <f>G1298*(1+$K$16)</f>
        <v>74457.447483805387</v>
      </c>
      <c r="I1298" s="428">
        <f t="shared" si="77"/>
        <v>74457.45</v>
      </c>
      <c r="J1298" s="436"/>
      <c r="K1298" s="477"/>
      <c r="L1298" s="477"/>
      <c r="M1298" s="477"/>
      <c r="N1298" s="372"/>
      <c r="O1298" s="372"/>
      <c r="P1298" s="372"/>
      <c r="R1298" s="372"/>
      <c r="W1298" s="374"/>
      <c r="X1298" s="374"/>
      <c r="Y1298" s="374"/>
      <c r="Z1298" s="374"/>
      <c r="AA1298" s="374"/>
      <c r="AB1298" s="374"/>
      <c r="AC1298" s="374"/>
      <c r="AD1298" s="374"/>
      <c r="AE1298" s="374"/>
      <c r="AF1298" s="374"/>
      <c r="AG1298" s="374"/>
      <c r="AH1298" s="374"/>
      <c r="AI1298" s="374"/>
      <c r="AJ1298" s="374"/>
      <c r="AK1298" s="374"/>
      <c r="AL1298" s="374"/>
      <c r="AM1298" s="374"/>
      <c r="AN1298" s="374"/>
      <c r="AO1298" s="374"/>
      <c r="AP1298" s="374"/>
      <c r="AQ1298" s="374"/>
      <c r="AR1298" s="374"/>
      <c r="AS1298" s="374"/>
      <c r="AT1298" s="374"/>
      <c r="AU1298" s="374"/>
      <c r="AV1298" s="374"/>
      <c r="AW1298" s="374"/>
      <c r="AX1298" s="374"/>
      <c r="AY1298" s="374"/>
      <c r="AZ1298" s="374"/>
      <c r="BA1298" s="374"/>
      <c r="BB1298" s="374"/>
      <c r="BC1298" s="374"/>
      <c r="BD1298" s="374"/>
      <c r="BE1298" s="374"/>
      <c r="BF1298" s="374"/>
      <c r="BG1298" s="374"/>
      <c r="BH1298" s="374"/>
      <c r="BI1298" s="374"/>
      <c r="BJ1298" s="374"/>
      <c r="BK1298" s="374"/>
    </row>
    <row r="1299" spans="1:63" ht="15.75" x14ac:dyDescent="0.2">
      <c r="A1299" s="538"/>
      <c r="B1299" s="502"/>
      <c r="C1299" s="502"/>
      <c r="D1299" s="559"/>
      <c r="E1299" s="496"/>
      <c r="F1299" s="426"/>
      <c r="G1299" s="426"/>
      <c r="H1299" s="427"/>
      <c r="I1299" s="428"/>
      <c r="J1299" s="436"/>
      <c r="K1299" s="477"/>
      <c r="L1299" s="477"/>
      <c r="M1299" s="477"/>
      <c r="N1299" s="372"/>
      <c r="O1299" s="372"/>
      <c r="P1299" s="372"/>
      <c r="R1299" s="372"/>
      <c r="W1299" s="374"/>
      <c r="X1299" s="374"/>
      <c r="Y1299" s="374"/>
      <c r="Z1299" s="374"/>
      <c r="AA1299" s="374"/>
      <c r="AB1299" s="374"/>
      <c r="AC1299" s="374"/>
      <c r="AD1299" s="374"/>
      <c r="AE1299" s="374"/>
      <c r="AF1299" s="374"/>
      <c r="AG1299" s="374"/>
      <c r="AH1299" s="374"/>
      <c r="AI1299" s="374"/>
      <c r="AJ1299" s="374"/>
      <c r="AK1299" s="374"/>
      <c r="AL1299" s="374"/>
      <c r="AM1299" s="374"/>
      <c r="AN1299" s="374"/>
      <c r="AO1299" s="374"/>
      <c r="AP1299" s="374"/>
      <c r="AQ1299" s="374"/>
      <c r="AR1299" s="374"/>
      <c r="AS1299" s="374"/>
      <c r="AT1299" s="374"/>
      <c r="AU1299" s="374"/>
      <c r="AV1299" s="374"/>
      <c r="AW1299" s="374"/>
      <c r="AX1299" s="374"/>
      <c r="AY1299" s="374"/>
      <c r="AZ1299" s="374"/>
      <c r="BA1299" s="374"/>
      <c r="BB1299" s="374"/>
      <c r="BC1299" s="374"/>
      <c r="BD1299" s="374"/>
      <c r="BE1299" s="374"/>
      <c r="BF1299" s="374"/>
      <c r="BG1299" s="374"/>
      <c r="BH1299" s="374"/>
      <c r="BI1299" s="374"/>
      <c r="BJ1299" s="374"/>
      <c r="BK1299" s="374"/>
    </row>
    <row r="1300" spans="1:63" ht="15.75" x14ac:dyDescent="0.2">
      <c r="A1300" s="538"/>
      <c r="B1300" s="502"/>
      <c r="C1300" s="502"/>
      <c r="D1300" s="554" t="s">
        <v>2504</v>
      </c>
      <c r="E1300" s="496"/>
      <c r="F1300" s="426"/>
      <c r="G1300" s="426"/>
      <c r="H1300" s="427"/>
      <c r="I1300" s="428"/>
      <c r="J1300" s="436"/>
      <c r="K1300" s="477"/>
      <c r="L1300" s="477"/>
      <c r="M1300" s="477"/>
      <c r="N1300" s="372"/>
      <c r="O1300" s="372"/>
      <c r="P1300" s="372"/>
      <c r="R1300" s="372"/>
      <c r="W1300" s="374"/>
      <c r="X1300" s="374"/>
      <c r="Y1300" s="374"/>
      <c r="Z1300" s="374"/>
      <c r="AA1300" s="374"/>
      <c r="AB1300" s="374"/>
      <c r="AC1300" s="374"/>
      <c r="AD1300" s="374"/>
      <c r="AE1300" s="374"/>
      <c r="AF1300" s="374"/>
      <c r="AG1300" s="374"/>
      <c r="AH1300" s="374"/>
      <c r="AI1300" s="374"/>
      <c r="AJ1300" s="374"/>
      <c r="AK1300" s="374"/>
      <c r="AL1300" s="374"/>
      <c r="AM1300" s="374"/>
      <c r="AN1300" s="374"/>
      <c r="AO1300" s="374"/>
      <c r="AP1300" s="374"/>
      <c r="AQ1300" s="374"/>
      <c r="AR1300" s="374"/>
      <c r="AS1300" s="374"/>
      <c r="AT1300" s="374"/>
      <c r="AU1300" s="374"/>
      <c r="AV1300" s="374"/>
      <c r="AW1300" s="374"/>
      <c r="AX1300" s="374"/>
      <c r="AY1300" s="374"/>
      <c r="AZ1300" s="374"/>
      <c r="BA1300" s="374"/>
      <c r="BB1300" s="374"/>
      <c r="BC1300" s="374"/>
      <c r="BD1300" s="374"/>
      <c r="BE1300" s="374"/>
      <c r="BF1300" s="374"/>
      <c r="BG1300" s="374"/>
      <c r="BH1300" s="374"/>
      <c r="BI1300" s="374"/>
      <c r="BJ1300" s="374"/>
      <c r="BK1300" s="374"/>
    </row>
    <row r="1301" spans="1:63" x14ac:dyDescent="0.2">
      <c r="A1301" s="538"/>
      <c r="B1301" s="502"/>
      <c r="C1301" s="503"/>
      <c r="D1301" s="559"/>
      <c r="E1301" s="492"/>
      <c r="F1301" s="432"/>
      <c r="G1301" s="433"/>
      <c r="H1301" s="432"/>
      <c r="I1301" s="434"/>
      <c r="J1301" s="429"/>
      <c r="K1301" s="372"/>
      <c r="L1301" s="430"/>
      <c r="M1301" s="372"/>
      <c r="N1301" s="372"/>
      <c r="O1301" s="372"/>
      <c r="P1301" s="372"/>
      <c r="R1301" s="372"/>
      <c r="W1301" s="374"/>
      <c r="X1301" s="374"/>
      <c r="Y1301" s="374"/>
      <c r="Z1301" s="374"/>
      <c r="AA1301" s="374"/>
      <c r="AB1301" s="374"/>
      <c r="AC1301" s="374"/>
      <c r="AD1301" s="374"/>
      <c r="AE1301" s="374"/>
      <c r="AF1301" s="374"/>
      <c r="AG1301" s="374"/>
      <c r="AH1301" s="374"/>
      <c r="AI1301" s="374"/>
      <c r="AJ1301" s="374"/>
      <c r="AK1301" s="374"/>
      <c r="AL1301" s="374"/>
      <c r="AM1301" s="374"/>
      <c r="AN1301" s="374"/>
      <c r="AO1301" s="374"/>
      <c r="AP1301" s="374"/>
      <c r="AQ1301" s="374"/>
      <c r="AR1301" s="374"/>
      <c r="AS1301" s="374"/>
      <c r="AT1301" s="374"/>
      <c r="AU1301" s="374"/>
      <c r="AV1301" s="374"/>
      <c r="AW1301" s="374"/>
      <c r="AX1301" s="374"/>
      <c r="AY1301" s="374"/>
      <c r="AZ1301" s="374"/>
      <c r="BA1301" s="374"/>
      <c r="BB1301" s="374"/>
      <c r="BC1301" s="374"/>
      <c r="BD1301" s="374"/>
      <c r="BE1301" s="374"/>
      <c r="BF1301" s="374"/>
      <c r="BG1301" s="374"/>
      <c r="BH1301" s="374"/>
      <c r="BI1301" s="374"/>
      <c r="BJ1301" s="374"/>
      <c r="BK1301" s="374"/>
    </row>
    <row r="1302" spans="1:63" s="457" customFormat="1" ht="15.75" x14ac:dyDescent="0.2">
      <c r="A1302" s="558" t="s">
        <v>322</v>
      </c>
      <c r="B1302" s="501"/>
      <c r="C1302" s="501"/>
      <c r="D1302" s="545" t="s">
        <v>86</v>
      </c>
      <c r="E1302" s="491"/>
      <c r="F1302" s="404"/>
      <c r="G1302" s="405"/>
      <c r="H1302" s="406"/>
      <c r="I1302" s="407">
        <f>SUM(I1303:I1395)</f>
        <v>352361.24</v>
      </c>
      <c r="J1302" s="429"/>
      <c r="K1302" s="456"/>
      <c r="L1302" s="456"/>
      <c r="M1302" s="456"/>
      <c r="N1302" s="372"/>
      <c r="O1302" s="372"/>
      <c r="P1302" s="372"/>
      <c r="Q1302" s="373"/>
      <c r="R1302" s="372"/>
      <c r="S1302" s="373"/>
      <c r="T1302" s="373"/>
      <c r="U1302" s="373"/>
      <c r="V1302" s="373"/>
    </row>
    <row r="1303" spans="1:63" s="373" customFormat="1" ht="30" x14ac:dyDescent="0.2">
      <c r="A1303" s="542" t="s">
        <v>1143</v>
      </c>
      <c r="B1303" s="500" t="s">
        <v>45</v>
      </c>
      <c r="C1303" s="506" t="s">
        <v>730</v>
      </c>
      <c r="D1303" s="554" t="s">
        <v>731</v>
      </c>
      <c r="E1303" s="495" t="s">
        <v>15</v>
      </c>
      <c r="F1303" s="426">
        <f>PI()*7.95^2</f>
        <v>198.5565096885089</v>
      </c>
      <c r="G1303" s="426">
        <v>8.3000000000000007</v>
      </c>
      <c r="H1303" s="426">
        <f>G1303*(1+$L$16)</f>
        <v>10.494161995291234</v>
      </c>
      <c r="I1303" s="448">
        <f t="shared" ref="I1303:I1395" si="83">ROUND(F1303*H1303,2)</f>
        <v>2083.6799999999998</v>
      </c>
      <c r="J1303" s="437"/>
      <c r="K1303" s="372"/>
      <c r="L1303" s="430"/>
      <c r="M1303" s="372"/>
      <c r="N1303" s="372"/>
      <c r="O1303" s="372"/>
      <c r="P1303" s="372"/>
      <c r="R1303" s="372"/>
    </row>
    <row r="1304" spans="1:63" s="373" customFormat="1" x14ac:dyDescent="0.2">
      <c r="A1304" s="542"/>
      <c r="B1304" s="500"/>
      <c r="C1304" s="506"/>
      <c r="D1304" s="554"/>
      <c r="E1304" s="495"/>
      <c r="F1304" s="426"/>
      <c r="G1304" s="426"/>
      <c r="H1304" s="426"/>
      <c r="I1304" s="448"/>
      <c r="J1304" s="437"/>
      <c r="K1304" s="372"/>
      <c r="L1304" s="430"/>
      <c r="M1304" s="372"/>
      <c r="N1304" s="372"/>
      <c r="O1304" s="372"/>
      <c r="P1304" s="372"/>
      <c r="R1304" s="372"/>
    </row>
    <row r="1305" spans="1:63" s="373" customFormat="1" x14ac:dyDescent="0.2">
      <c r="A1305" s="542"/>
      <c r="B1305" s="500"/>
      <c r="C1305" s="506"/>
      <c r="D1305" s="554" t="s">
        <v>2521</v>
      </c>
      <c r="E1305" s="495"/>
      <c r="F1305" s="426"/>
      <c r="G1305" s="426"/>
      <c r="H1305" s="426"/>
      <c r="I1305" s="448"/>
      <c r="J1305" s="437"/>
      <c r="K1305" s="372"/>
      <c r="L1305" s="430"/>
      <c r="M1305" s="372"/>
      <c r="N1305" s="372"/>
      <c r="O1305" s="372"/>
      <c r="P1305" s="372"/>
      <c r="R1305" s="372"/>
    </row>
    <row r="1306" spans="1:63" s="373" customFormat="1" x14ac:dyDescent="0.2">
      <c r="A1306" s="542"/>
      <c r="B1306" s="500"/>
      <c r="C1306" s="506"/>
      <c r="D1306" s="554"/>
      <c r="E1306" s="495"/>
      <c r="F1306" s="426"/>
      <c r="G1306" s="426"/>
      <c r="H1306" s="426"/>
      <c r="I1306" s="448"/>
      <c r="J1306" s="437"/>
      <c r="K1306" s="372"/>
      <c r="L1306" s="430"/>
      <c r="M1306" s="372"/>
      <c r="N1306" s="372"/>
      <c r="O1306" s="372"/>
      <c r="P1306" s="372"/>
      <c r="R1306" s="372"/>
    </row>
    <row r="1307" spans="1:63" s="373" customFormat="1" ht="30" x14ac:dyDescent="0.2">
      <c r="A1307" s="550" t="s">
        <v>1144</v>
      </c>
      <c r="B1307" s="551" t="s">
        <v>45</v>
      </c>
      <c r="C1307" s="551">
        <v>83338</v>
      </c>
      <c r="D1307" s="552" t="s">
        <v>795</v>
      </c>
      <c r="E1307" s="495" t="s">
        <v>16</v>
      </c>
      <c r="F1307" s="426">
        <f>PI()*6.95^2*4.7*0.9</f>
        <v>641.88887580458879</v>
      </c>
      <c r="G1307" s="426">
        <v>2.41</v>
      </c>
      <c r="H1307" s="426">
        <f>G1307*(1+$L$16)</f>
        <v>3.0471000492351656</v>
      </c>
      <c r="I1307" s="448">
        <f t="shared" si="83"/>
        <v>1955.9</v>
      </c>
      <c r="J1307" s="437"/>
      <c r="K1307" s="372"/>
      <c r="L1307" s="430"/>
      <c r="M1307" s="372"/>
      <c r="N1307" s="372"/>
      <c r="O1307" s="372"/>
      <c r="P1307" s="372"/>
      <c r="R1307" s="372"/>
    </row>
    <row r="1308" spans="1:63" s="373" customFormat="1" x14ac:dyDescent="0.2">
      <c r="A1308" s="542"/>
      <c r="B1308" s="500"/>
      <c r="C1308" s="500"/>
      <c r="D1308" s="540"/>
      <c r="E1308" s="495"/>
      <c r="F1308" s="426"/>
      <c r="G1308" s="426"/>
      <c r="H1308" s="426"/>
      <c r="I1308" s="448"/>
      <c r="J1308" s="437"/>
      <c r="K1308" s="372"/>
      <c r="L1308" s="430"/>
      <c r="M1308" s="372"/>
      <c r="N1308" s="372"/>
      <c r="O1308" s="372"/>
      <c r="P1308" s="372"/>
      <c r="R1308" s="372"/>
    </row>
    <row r="1309" spans="1:63" s="373" customFormat="1" x14ac:dyDescent="0.2">
      <c r="A1309" s="542"/>
      <c r="B1309" s="500"/>
      <c r="C1309" s="500"/>
      <c r="D1309" s="540" t="s">
        <v>2520</v>
      </c>
      <c r="E1309" s="495"/>
      <c r="F1309" s="426"/>
      <c r="G1309" s="426"/>
      <c r="H1309" s="426"/>
      <c r="I1309" s="448"/>
      <c r="J1309" s="437"/>
      <c r="K1309" s="372"/>
      <c r="L1309" s="430"/>
      <c r="M1309" s="372"/>
      <c r="N1309" s="372"/>
      <c r="O1309" s="372"/>
      <c r="P1309" s="372"/>
      <c r="R1309" s="372"/>
    </row>
    <row r="1310" spans="1:63" s="373" customFormat="1" x14ac:dyDescent="0.2">
      <c r="A1310" s="542"/>
      <c r="B1310" s="500"/>
      <c r="C1310" s="500"/>
      <c r="D1310" s="540"/>
      <c r="E1310" s="495"/>
      <c r="F1310" s="426"/>
      <c r="G1310" s="426"/>
      <c r="H1310" s="426"/>
      <c r="I1310" s="448"/>
      <c r="J1310" s="437"/>
      <c r="K1310" s="372"/>
      <c r="L1310" s="430"/>
      <c r="M1310" s="372"/>
      <c r="N1310" s="372"/>
      <c r="O1310" s="372"/>
      <c r="P1310" s="372"/>
      <c r="R1310" s="372"/>
    </row>
    <row r="1311" spans="1:63" s="457" customFormat="1" ht="14.25" customHeight="1" x14ac:dyDescent="0.2">
      <c r="A1311" s="542" t="s">
        <v>1145</v>
      </c>
      <c r="B1311" s="500" t="s">
        <v>45</v>
      </c>
      <c r="C1311" s="500">
        <v>93358</v>
      </c>
      <c r="D1311" s="540" t="s">
        <v>803</v>
      </c>
      <c r="E1311" s="495" t="s">
        <v>16</v>
      </c>
      <c r="F1311" s="426">
        <f>PI()*6.95^2*4.7*0.1</f>
        <v>71.320986200509864</v>
      </c>
      <c r="G1311" s="426">
        <v>65.819999999999993</v>
      </c>
      <c r="H1311" s="426">
        <f>G1311*(1+$L$16)</f>
        <v>83.219968979526371</v>
      </c>
      <c r="I1311" s="448">
        <f t="shared" si="83"/>
        <v>5935.33</v>
      </c>
      <c r="J1311" s="437"/>
      <c r="K1311" s="456"/>
      <c r="L1311" s="456"/>
      <c r="M1311" s="456"/>
      <c r="N1311" s="372"/>
      <c r="O1311" s="372"/>
      <c r="P1311" s="372"/>
      <c r="Q1311" s="373"/>
      <c r="R1311" s="372"/>
      <c r="S1311" s="373"/>
      <c r="T1311" s="373"/>
      <c r="U1311" s="373"/>
      <c r="V1311" s="373"/>
    </row>
    <row r="1312" spans="1:63" s="457" customFormat="1" ht="14.25" customHeight="1" x14ac:dyDescent="0.2">
      <c r="A1312" s="542"/>
      <c r="B1312" s="500"/>
      <c r="C1312" s="500"/>
      <c r="D1312" s="540"/>
      <c r="E1312" s="495"/>
      <c r="F1312" s="426"/>
      <c r="G1312" s="426"/>
      <c r="H1312" s="426"/>
      <c r="I1312" s="448"/>
      <c r="J1312" s="437"/>
      <c r="K1312" s="456"/>
      <c r="L1312" s="456"/>
      <c r="M1312" s="456"/>
      <c r="N1312" s="372"/>
      <c r="O1312" s="372"/>
      <c r="P1312" s="372"/>
      <c r="Q1312" s="373"/>
      <c r="R1312" s="372"/>
      <c r="S1312" s="373"/>
      <c r="T1312" s="373"/>
      <c r="U1312" s="373"/>
      <c r="V1312" s="373"/>
    </row>
    <row r="1313" spans="1:22" s="457" customFormat="1" ht="18.75" customHeight="1" x14ac:dyDescent="0.2">
      <c r="A1313" s="542"/>
      <c r="B1313" s="500"/>
      <c r="C1313" s="500"/>
      <c r="D1313" s="540" t="s">
        <v>2519</v>
      </c>
      <c r="E1313" s="495"/>
      <c r="F1313" s="426"/>
      <c r="G1313" s="426"/>
      <c r="H1313" s="426"/>
      <c r="I1313" s="448"/>
      <c r="J1313" s="437"/>
      <c r="K1313" s="456"/>
      <c r="L1313" s="456"/>
      <c r="M1313" s="456"/>
      <c r="N1313" s="372"/>
      <c r="O1313" s="372"/>
      <c r="P1313" s="372"/>
      <c r="Q1313" s="373"/>
      <c r="R1313" s="372"/>
      <c r="S1313" s="373"/>
      <c r="T1313" s="373"/>
      <c r="U1313" s="373"/>
      <c r="V1313" s="373"/>
    </row>
    <row r="1314" spans="1:22" s="457" customFormat="1" ht="14.25" customHeight="1" x14ac:dyDescent="0.2">
      <c r="A1314" s="542"/>
      <c r="B1314" s="500"/>
      <c r="C1314" s="500"/>
      <c r="D1314" s="540"/>
      <c r="E1314" s="495"/>
      <c r="F1314" s="426"/>
      <c r="G1314" s="426"/>
      <c r="H1314" s="426"/>
      <c r="I1314" s="448"/>
      <c r="J1314" s="437"/>
      <c r="K1314" s="456"/>
      <c r="L1314" s="456"/>
      <c r="M1314" s="456"/>
      <c r="N1314" s="372"/>
      <c r="O1314" s="372"/>
      <c r="P1314" s="372"/>
      <c r="Q1314" s="373"/>
      <c r="R1314" s="372"/>
      <c r="S1314" s="373"/>
      <c r="T1314" s="373"/>
      <c r="U1314" s="373"/>
      <c r="V1314" s="373"/>
    </row>
    <row r="1315" spans="1:22" s="457" customFormat="1" ht="15" customHeight="1" x14ac:dyDescent="0.2">
      <c r="A1315" s="542" t="s">
        <v>1415</v>
      </c>
      <c r="B1315" s="500" t="s">
        <v>45</v>
      </c>
      <c r="C1315" s="500">
        <v>93381</v>
      </c>
      <c r="D1315" s="540" t="s">
        <v>1412</v>
      </c>
      <c r="E1315" s="495" t="s">
        <v>16</v>
      </c>
      <c r="F1315" s="426">
        <f>PI()*6.95^2*2*0.9</f>
        <v>273.14420247003778</v>
      </c>
      <c r="G1315" s="426">
        <v>6.75</v>
      </c>
      <c r="H1315" s="426">
        <f>G1315*(1+$L$16)</f>
        <v>8.5344088515922678</v>
      </c>
      <c r="I1315" s="448">
        <f>ROUND(F1315*H1315,2)</f>
        <v>2331.12</v>
      </c>
      <c r="J1315" s="437"/>
      <c r="K1315" s="456"/>
      <c r="L1315" s="456"/>
      <c r="M1315" s="456"/>
      <c r="N1315" s="372"/>
      <c r="O1315" s="372"/>
      <c r="P1315" s="372"/>
      <c r="Q1315" s="373"/>
      <c r="R1315" s="372"/>
      <c r="S1315" s="373"/>
      <c r="T1315" s="373"/>
      <c r="U1315" s="373"/>
      <c r="V1315" s="373"/>
    </row>
    <row r="1316" spans="1:22" s="457" customFormat="1" ht="15" customHeight="1" x14ac:dyDescent="0.2">
      <c r="A1316" s="542"/>
      <c r="B1316" s="500"/>
      <c r="C1316" s="500"/>
      <c r="D1316" s="540"/>
      <c r="E1316" s="495"/>
      <c r="F1316" s="426"/>
      <c r="G1316" s="426"/>
      <c r="H1316" s="426"/>
      <c r="I1316" s="448"/>
      <c r="J1316" s="437"/>
      <c r="K1316" s="456"/>
      <c r="L1316" s="456"/>
      <c r="M1316" s="456"/>
      <c r="N1316" s="372"/>
      <c r="O1316" s="372"/>
      <c r="P1316" s="372"/>
      <c r="Q1316" s="373"/>
      <c r="R1316" s="372"/>
      <c r="S1316" s="373"/>
      <c r="T1316" s="373"/>
      <c r="U1316" s="373"/>
      <c r="V1316" s="373"/>
    </row>
    <row r="1317" spans="1:22" s="457" customFormat="1" ht="15" customHeight="1" x14ac:dyDescent="0.2">
      <c r="A1317" s="542"/>
      <c r="B1317" s="500"/>
      <c r="C1317" s="500"/>
      <c r="D1317" s="540" t="s">
        <v>2518</v>
      </c>
      <c r="E1317" s="495"/>
      <c r="F1317" s="426"/>
      <c r="G1317" s="426"/>
      <c r="H1317" s="426"/>
      <c r="I1317" s="448"/>
      <c r="J1317" s="437"/>
      <c r="K1317" s="456"/>
      <c r="L1317" s="456"/>
      <c r="M1317" s="456"/>
      <c r="N1317" s="372"/>
      <c r="O1317" s="372"/>
      <c r="P1317" s="372"/>
      <c r="Q1317" s="373"/>
      <c r="R1317" s="372"/>
      <c r="S1317" s="373"/>
      <c r="T1317" s="373"/>
      <c r="U1317" s="373"/>
      <c r="V1317" s="373"/>
    </row>
    <row r="1318" spans="1:22" s="457" customFormat="1" ht="15" customHeight="1" x14ac:dyDescent="0.2">
      <c r="A1318" s="542"/>
      <c r="B1318" s="500"/>
      <c r="C1318" s="500"/>
      <c r="D1318" s="540"/>
      <c r="E1318" s="495"/>
      <c r="F1318" s="426"/>
      <c r="G1318" s="426"/>
      <c r="H1318" s="426"/>
      <c r="I1318" s="448"/>
      <c r="J1318" s="437"/>
      <c r="K1318" s="456"/>
      <c r="L1318" s="456"/>
      <c r="M1318" s="456"/>
      <c r="N1318" s="372"/>
      <c r="O1318" s="372"/>
      <c r="P1318" s="372"/>
      <c r="Q1318" s="373"/>
      <c r="R1318" s="372"/>
      <c r="S1318" s="373"/>
      <c r="T1318" s="373"/>
      <c r="U1318" s="373"/>
      <c r="V1318" s="373"/>
    </row>
    <row r="1319" spans="1:22" s="457" customFormat="1" x14ac:dyDescent="0.2">
      <c r="A1319" s="542" t="s">
        <v>1503</v>
      </c>
      <c r="B1319" s="500" t="s">
        <v>45</v>
      </c>
      <c r="C1319" s="500">
        <v>93382</v>
      </c>
      <c r="D1319" s="540" t="s">
        <v>732</v>
      </c>
      <c r="E1319" s="495"/>
      <c r="F1319" s="426">
        <f>PI()*6.95^2*2*0.1</f>
        <v>30.3493558300042</v>
      </c>
      <c r="G1319" s="426">
        <v>23.98</v>
      </c>
      <c r="H1319" s="426"/>
      <c r="I1319" s="448"/>
      <c r="J1319" s="437"/>
      <c r="K1319" s="456"/>
      <c r="L1319" s="456"/>
      <c r="M1319" s="456"/>
      <c r="N1319" s="372"/>
      <c r="O1319" s="372"/>
      <c r="P1319" s="372"/>
      <c r="Q1319" s="373"/>
      <c r="R1319" s="372"/>
      <c r="S1319" s="373"/>
      <c r="T1319" s="373"/>
      <c r="U1319" s="373"/>
      <c r="V1319" s="373"/>
    </row>
    <row r="1320" spans="1:22" s="457" customFormat="1" x14ac:dyDescent="0.2">
      <c r="A1320" s="542"/>
      <c r="B1320" s="500"/>
      <c r="C1320" s="500"/>
      <c r="D1320" s="540"/>
      <c r="E1320" s="495"/>
      <c r="F1320" s="426"/>
      <c r="G1320" s="426"/>
      <c r="H1320" s="426"/>
      <c r="I1320" s="448"/>
      <c r="J1320" s="437"/>
      <c r="K1320" s="456"/>
      <c r="L1320" s="456"/>
      <c r="M1320" s="456"/>
      <c r="N1320" s="372"/>
      <c r="O1320" s="372"/>
      <c r="P1320" s="372"/>
      <c r="Q1320" s="373"/>
      <c r="R1320" s="372"/>
      <c r="S1320" s="373"/>
      <c r="T1320" s="373"/>
      <c r="U1320" s="373"/>
      <c r="V1320" s="373"/>
    </row>
    <row r="1321" spans="1:22" s="457" customFormat="1" ht="18.75" customHeight="1" x14ac:dyDescent="0.2">
      <c r="A1321" s="542"/>
      <c r="B1321" s="500"/>
      <c r="C1321" s="500"/>
      <c r="D1321" s="540" t="s">
        <v>2517</v>
      </c>
      <c r="E1321" s="495"/>
      <c r="F1321" s="426"/>
      <c r="G1321" s="426"/>
      <c r="H1321" s="426"/>
      <c r="I1321" s="448"/>
      <c r="J1321" s="437"/>
      <c r="K1321" s="456"/>
      <c r="L1321" s="456"/>
      <c r="M1321" s="456"/>
      <c r="N1321" s="372"/>
      <c r="O1321" s="372"/>
      <c r="P1321" s="372"/>
      <c r="Q1321" s="373"/>
      <c r="R1321" s="372"/>
      <c r="S1321" s="373"/>
      <c r="T1321" s="373"/>
      <c r="U1321" s="373"/>
      <c r="V1321" s="373"/>
    </row>
    <row r="1322" spans="1:22" s="457" customFormat="1" x14ac:dyDescent="0.2">
      <c r="A1322" s="542"/>
      <c r="B1322" s="500"/>
      <c r="C1322" s="500"/>
      <c r="D1322" s="540"/>
      <c r="E1322" s="495"/>
      <c r="F1322" s="426"/>
      <c r="G1322" s="426"/>
      <c r="H1322" s="426"/>
      <c r="I1322" s="448"/>
      <c r="J1322" s="437"/>
      <c r="K1322" s="456"/>
      <c r="L1322" s="456"/>
      <c r="M1322" s="456"/>
      <c r="N1322" s="372"/>
      <c r="O1322" s="372"/>
      <c r="P1322" s="372"/>
      <c r="Q1322" s="373"/>
      <c r="R1322" s="372"/>
      <c r="S1322" s="373"/>
      <c r="T1322" s="373"/>
      <c r="U1322" s="373"/>
      <c r="V1322" s="373"/>
    </row>
    <row r="1323" spans="1:22" s="373" customFormat="1" x14ac:dyDescent="0.2">
      <c r="A1323" s="542" t="s">
        <v>1504</v>
      </c>
      <c r="B1323" s="500" t="s">
        <v>45</v>
      </c>
      <c r="C1323" s="500">
        <v>72898</v>
      </c>
      <c r="D1323" s="540" t="s">
        <v>770</v>
      </c>
      <c r="E1323" s="495" t="s">
        <v>16</v>
      </c>
      <c r="F1323" s="426">
        <f>F1307+F1311-F1315-F1319</f>
        <v>409.7163037050567</v>
      </c>
      <c r="G1323" s="426">
        <v>3.57</v>
      </c>
      <c r="H1323" s="426">
        <f>ROUND((1+$L$16)*G1323,2)</f>
        <v>4.51</v>
      </c>
      <c r="I1323" s="448">
        <f>ROUND(F1323*H1323,2)</f>
        <v>1847.82</v>
      </c>
      <c r="J1323" s="444"/>
      <c r="K1323" s="372" t="s">
        <v>1213</v>
      </c>
      <c r="L1323" s="424">
        <v>21583.700000000004</v>
      </c>
      <c r="M1323" s="372"/>
      <c r="N1323" s="372">
        <v>170</v>
      </c>
      <c r="O1323" s="372"/>
      <c r="P1323" s="372"/>
      <c r="R1323" s="372"/>
    </row>
    <row r="1324" spans="1:22" s="373" customFormat="1" x14ac:dyDescent="0.2">
      <c r="A1324" s="542"/>
      <c r="B1324" s="500"/>
      <c r="C1324" s="500"/>
      <c r="D1324" s="540"/>
      <c r="E1324" s="495"/>
      <c r="F1324" s="426"/>
      <c r="G1324" s="426"/>
      <c r="H1324" s="426"/>
      <c r="I1324" s="448"/>
      <c r="J1324" s="444"/>
      <c r="K1324" s="372"/>
      <c r="L1324" s="424"/>
      <c r="M1324" s="372"/>
      <c r="N1324" s="372"/>
      <c r="O1324" s="372"/>
      <c r="P1324" s="372"/>
      <c r="R1324" s="372"/>
    </row>
    <row r="1325" spans="1:22" s="373" customFormat="1" ht="36" customHeight="1" x14ac:dyDescent="0.2">
      <c r="A1325" s="542"/>
      <c r="B1325" s="500"/>
      <c r="C1325" s="500"/>
      <c r="D1325" s="540" t="s">
        <v>2508</v>
      </c>
      <c r="E1325" s="495"/>
      <c r="F1325" s="426"/>
      <c r="G1325" s="426"/>
      <c r="H1325" s="426"/>
      <c r="I1325" s="448"/>
      <c r="J1325" s="444"/>
      <c r="K1325" s="372"/>
      <c r="L1325" s="424"/>
      <c r="M1325" s="372"/>
      <c r="N1325" s="372"/>
      <c r="O1325" s="372"/>
      <c r="P1325" s="372"/>
      <c r="R1325" s="372"/>
    </row>
    <row r="1326" spans="1:22" s="373" customFormat="1" x14ac:dyDescent="0.2">
      <c r="A1326" s="542"/>
      <c r="B1326" s="500"/>
      <c r="C1326" s="500"/>
      <c r="D1326" s="540"/>
      <c r="E1326" s="495"/>
      <c r="F1326" s="426"/>
      <c r="G1326" s="426"/>
      <c r="H1326" s="426"/>
      <c r="I1326" s="448"/>
      <c r="J1326" s="444"/>
      <c r="K1326" s="372"/>
      <c r="L1326" s="424"/>
      <c r="M1326" s="372"/>
      <c r="N1326" s="372"/>
      <c r="O1326" s="372"/>
      <c r="P1326" s="372"/>
      <c r="R1326" s="372"/>
    </row>
    <row r="1327" spans="1:22" s="457" customFormat="1" x14ac:dyDescent="0.2">
      <c r="A1327" s="542" t="s">
        <v>1505</v>
      </c>
      <c r="B1327" s="500" t="s">
        <v>45</v>
      </c>
      <c r="C1327" s="500">
        <v>72885</v>
      </c>
      <c r="D1327" s="540" t="s">
        <v>333</v>
      </c>
      <c r="E1327" s="495" t="s">
        <v>725</v>
      </c>
      <c r="F1327" s="426">
        <f>F1323*5</f>
        <v>2048.5815185252836</v>
      </c>
      <c r="G1327" s="426">
        <v>1.36</v>
      </c>
      <c r="H1327" s="426">
        <f>ROUND((1+$L$16)*G1327,2)</f>
        <v>1.72</v>
      </c>
      <c r="I1327" s="448">
        <f t="shared" ref="I1327:I1339" si="84">ROUND(F1327*H1327,2)</f>
        <v>3523.56</v>
      </c>
      <c r="J1327" s="437"/>
      <c r="K1327" s="456"/>
      <c r="L1327" s="456"/>
      <c r="M1327" s="456"/>
      <c r="N1327" s="372"/>
      <c r="O1327" s="372"/>
      <c r="P1327" s="372"/>
      <c r="Q1327" s="373"/>
      <c r="R1327" s="372"/>
      <c r="S1327" s="373"/>
      <c r="T1327" s="373"/>
      <c r="U1327" s="373"/>
      <c r="V1327" s="373"/>
    </row>
    <row r="1328" spans="1:22" s="457" customFormat="1" x14ac:dyDescent="0.2">
      <c r="A1328" s="542"/>
      <c r="B1328" s="500"/>
      <c r="C1328" s="500"/>
      <c r="D1328" s="540"/>
      <c r="E1328" s="495"/>
      <c r="F1328" s="426"/>
      <c r="G1328" s="426"/>
      <c r="H1328" s="426"/>
      <c r="I1328" s="448"/>
      <c r="J1328" s="437"/>
      <c r="K1328" s="456"/>
      <c r="L1328" s="456"/>
      <c r="M1328" s="456"/>
      <c r="N1328" s="372"/>
      <c r="O1328" s="372"/>
      <c r="P1328" s="372"/>
      <c r="Q1328" s="373"/>
      <c r="R1328" s="372"/>
      <c r="S1328" s="373"/>
      <c r="T1328" s="373"/>
      <c r="U1328" s="373"/>
      <c r="V1328" s="373"/>
    </row>
    <row r="1329" spans="1:22" s="457" customFormat="1" ht="30" x14ac:dyDescent="0.2">
      <c r="A1329" s="542"/>
      <c r="B1329" s="500"/>
      <c r="C1329" s="500"/>
      <c r="D1329" s="540" t="s">
        <v>2509</v>
      </c>
      <c r="E1329" s="495"/>
      <c r="F1329" s="426"/>
      <c r="G1329" s="426"/>
      <c r="H1329" s="426"/>
      <c r="I1329" s="448"/>
      <c r="J1329" s="437"/>
      <c r="K1329" s="456"/>
      <c r="L1329" s="456"/>
      <c r="M1329" s="456"/>
      <c r="N1329" s="372"/>
      <c r="O1329" s="372"/>
      <c r="P1329" s="372"/>
      <c r="Q1329" s="373"/>
      <c r="R1329" s="372"/>
      <c r="S1329" s="373"/>
      <c r="T1329" s="373"/>
      <c r="U1329" s="373"/>
      <c r="V1329" s="373"/>
    </row>
    <row r="1330" spans="1:22" s="457" customFormat="1" x14ac:dyDescent="0.2">
      <c r="A1330" s="542"/>
      <c r="B1330" s="500"/>
      <c r="C1330" s="500"/>
      <c r="D1330" s="540"/>
      <c r="E1330" s="495"/>
      <c r="F1330" s="426"/>
      <c r="G1330" s="426"/>
      <c r="H1330" s="426"/>
      <c r="I1330" s="448"/>
      <c r="J1330" s="437"/>
      <c r="K1330" s="456"/>
      <c r="L1330" s="456"/>
      <c r="M1330" s="456"/>
      <c r="N1330" s="372"/>
      <c r="O1330" s="372"/>
      <c r="P1330" s="372"/>
      <c r="Q1330" s="373"/>
      <c r="R1330" s="372"/>
      <c r="S1330" s="373"/>
      <c r="T1330" s="373"/>
      <c r="U1330" s="373"/>
      <c r="V1330" s="373"/>
    </row>
    <row r="1331" spans="1:22" s="373" customFormat="1" x14ac:dyDescent="0.2">
      <c r="A1331" s="542" t="s">
        <v>1506</v>
      </c>
      <c r="B1331" s="500" t="s">
        <v>45</v>
      </c>
      <c r="C1331" s="500" t="s">
        <v>57</v>
      </c>
      <c r="D1331" s="540" t="s">
        <v>726</v>
      </c>
      <c r="E1331" s="495" t="s">
        <v>16</v>
      </c>
      <c r="F1331" s="426">
        <f>F1323</f>
        <v>409.7163037050567</v>
      </c>
      <c r="G1331" s="426">
        <v>1.94</v>
      </c>
      <c r="H1331" s="426">
        <f>ROUND((1+$L$16)*G1331,2)</f>
        <v>2.4500000000000002</v>
      </c>
      <c r="I1331" s="448">
        <f t="shared" si="84"/>
        <v>1003.8</v>
      </c>
      <c r="J1331" s="437"/>
      <c r="K1331" s="372"/>
      <c r="L1331" s="430"/>
      <c r="M1331" s="372"/>
      <c r="N1331" s="372"/>
      <c r="O1331" s="372"/>
      <c r="P1331" s="372"/>
      <c r="R1331" s="372"/>
    </row>
    <row r="1332" spans="1:22" s="373" customFormat="1" x14ac:dyDescent="0.2">
      <c r="A1332" s="542"/>
      <c r="B1332" s="500"/>
      <c r="C1332" s="500"/>
      <c r="D1332" s="540"/>
      <c r="E1332" s="495"/>
      <c r="F1332" s="426"/>
      <c r="G1332" s="426"/>
      <c r="H1332" s="426"/>
      <c r="I1332" s="448"/>
      <c r="J1332" s="437"/>
      <c r="K1332" s="372"/>
      <c r="L1332" s="430"/>
      <c r="M1332" s="372"/>
      <c r="N1332" s="372"/>
      <c r="O1332" s="372"/>
      <c r="P1332" s="372"/>
      <c r="R1332" s="372"/>
    </row>
    <row r="1333" spans="1:22" s="373" customFormat="1" ht="30" x14ac:dyDescent="0.2">
      <c r="A1333" s="542"/>
      <c r="B1333" s="500"/>
      <c r="C1333" s="500"/>
      <c r="D1333" s="540" t="s">
        <v>2508</v>
      </c>
      <c r="E1333" s="495"/>
      <c r="F1333" s="426"/>
      <c r="G1333" s="426"/>
      <c r="H1333" s="426"/>
      <c r="I1333" s="448"/>
      <c r="J1333" s="437"/>
      <c r="K1333" s="372"/>
      <c r="L1333" s="430"/>
      <c r="M1333" s="372"/>
      <c r="N1333" s="372"/>
      <c r="O1333" s="372"/>
      <c r="P1333" s="372"/>
      <c r="R1333" s="372"/>
    </row>
    <row r="1334" spans="1:22" s="373" customFormat="1" x14ac:dyDescent="0.2">
      <c r="A1334" s="542"/>
      <c r="B1334" s="500"/>
      <c r="C1334" s="500"/>
      <c r="D1334" s="540"/>
      <c r="E1334" s="495"/>
      <c r="F1334" s="426"/>
      <c r="G1334" s="426"/>
      <c r="H1334" s="426"/>
      <c r="I1334" s="448"/>
      <c r="J1334" s="437"/>
      <c r="K1334" s="372"/>
      <c r="L1334" s="430"/>
      <c r="M1334" s="372"/>
      <c r="N1334" s="372"/>
      <c r="O1334" s="372"/>
      <c r="P1334" s="372"/>
      <c r="R1334" s="372"/>
    </row>
    <row r="1335" spans="1:22" s="373" customFormat="1" ht="45" x14ac:dyDescent="0.2">
      <c r="A1335" s="542" t="s">
        <v>1507</v>
      </c>
      <c r="B1335" s="500"/>
      <c r="C1335" s="500" t="str">
        <f>COMPOSIÇÕES!C411</f>
        <v>CE-032</v>
      </c>
      <c r="D1335" s="540" t="str">
        <f>COMPOSIÇÕES!D411</f>
        <v xml:space="preserve">CRAVAMENTO DE ESTACAS PRÉ-MOLDADA DE CONCRETO, SEÇÃO QUADRADA, CAPACIDADE DE 25 TONELADAS, COMPRIMENTO TOTAL CRAVADO ATÉ 5,00M, BATE-ESTACAS POR GRAVIDADE SOBRE ROLOS </v>
      </c>
      <c r="E1335" s="494" t="s">
        <v>18</v>
      </c>
      <c r="F1335" s="426">
        <v>1</v>
      </c>
      <c r="G1335" s="426">
        <f>COMPOSIÇÕES!I411</f>
        <v>5322.89</v>
      </c>
      <c r="H1335" s="426">
        <f>ROUND((1+$L$16)*G1335,2)</f>
        <v>6730.03</v>
      </c>
      <c r="I1335" s="448">
        <f t="shared" ref="I1335" si="85">ROUND(F1335*H1335,2)</f>
        <v>6730.03</v>
      </c>
      <c r="J1335" s="437"/>
      <c r="K1335" s="372"/>
      <c r="L1335" s="430"/>
      <c r="M1335" s="372"/>
      <c r="N1335" s="372"/>
      <c r="O1335" s="372"/>
      <c r="P1335" s="372"/>
      <c r="R1335" s="372"/>
    </row>
    <row r="1336" spans="1:22" s="373" customFormat="1" x14ac:dyDescent="0.2">
      <c r="A1336" s="542"/>
      <c r="B1336" s="500"/>
      <c r="C1336" s="500"/>
      <c r="D1336" s="540"/>
      <c r="E1336" s="494"/>
      <c r="F1336" s="426"/>
      <c r="G1336" s="426"/>
      <c r="H1336" s="426"/>
      <c r="I1336" s="448"/>
      <c r="J1336" s="437"/>
      <c r="K1336" s="372"/>
      <c r="L1336" s="430"/>
      <c r="M1336" s="372"/>
      <c r="N1336" s="372"/>
      <c r="O1336" s="372"/>
      <c r="P1336" s="372"/>
      <c r="R1336" s="372"/>
    </row>
    <row r="1337" spans="1:22" s="373" customFormat="1" x14ac:dyDescent="0.2">
      <c r="A1337" s="542"/>
      <c r="B1337" s="500"/>
      <c r="C1337" s="500"/>
      <c r="D1337" s="554" t="s">
        <v>2516</v>
      </c>
      <c r="E1337" s="494"/>
      <c r="F1337" s="426"/>
      <c r="G1337" s="426"/>
      <c r="H1337" s="426"/>
      <c r="I1337" s="448"/>
      <c r="J1337" s="437"/>
      <c r="K1337" s="372"/>
      <c r="L1337" s="430"/>
      <c r="M1337" s="372"/>
      <c r="N1337" s="372"/>
      <c r="O1337" s="372"/>
      <c r="P1337" s="372"/>
      <c r="R1337" s="372"/>
    </row>
    <row r="1338" spans="1:22" s="373" customFormat="1" x14ac:dyDescent="0.2">
      <c r="A1338" s="542"/>
      <c r="B1338" s="500"/>
      <c r="C1338" s="500"/>
      <c r="D1338" s="540"/>
      <c r="E1338" s="494"/>
      <c r="F1338" s="426"/>
      <c r="G1338" s="426"/>
      <c r="H1338" s="426"/>
      <c r="I1338" s="448"/>
      <c r="J1338" s="437"/>
      <c r="K1338" s="372"/>
      <c r="L1338" s="430"/>
      <c r="M1338" s="372"/>
      <c r="N1338" s="372"/>
      <c r="O1338" s="372"/>
      <c r="P1338" s="372"/>
      <c r="R1338" s="372"/>
    </row>
    <row r="1339" spans="1:22" s="457" customFormat="1" ht="30" x14ac:dyDescent="0.2">
      <c r="A1339" s="542" t="s">
        <v>1508</v>
      </c>
      <c r="B1339" s="506" t="s">
        <v>45</v>
      </c>
      <c r="C1339" s="506">
        <v>95241</v>
      </c>
      <c r="D1339" s="554" t="s">
        <v>733</v>
      </c>
      <c r="E1339" s="495" t="s">
        <v>15</v>
      </c>
      <c r="F1339" s="426">
        <f>PI()*8^2</f>
        <v>201.06192982974676</v>
      </c>
      <c r="G1339" s="426">
        <v>19.88</v>
      </c>
      <c r="H1339" s="426">
        <f>G1339*(1+$L$16)</f>
        <v>25.135414514022855</v>
      </c>
      <c r="I1339" s="448">
        <f t="shared" si="84"/>
        <v>5053.7700000000004</v>
      </c>
      <c r="J1339" s="437"/>
      <c r="K1339" s="456"/>
      <c r="L1339" s="456"/>
      <c r="M1339" s="456"/>
      <c r="N1339" s="372"/>
      <c r="O1339" s="372"/>
      <c r="P1339" s="372"/>
      <c r="Q1339" s="373"/>
      <c r="R1339" s="372"/>
      <c r="S1339" s="373"/>
      <c r="T1339" s="373"/>
      <c r="U1339" s="373"/>
      <c r="V1339" s="373"/>
    </row>
    <row r="1340" spans="1:22" s="457" customFormat="1" x14ac:dyDescent="0.2">
      <c r="A1340" s="542"/>
      <c r="B1340" s="506"/>
      <c r="C1340" s="506"/>
      <c r="D1340" s="554"/>
      <c r="E1340" s="495"/>
      <c r="F1340" s="426"/>
      <c r="G1340" s="426"/>
      <c r="H1340" s="426"/>
      <c r="I1340" s="510"/>
      <c r="J1340" s="437"/>
      <c r="K1340" s="456"/>
      <c r="L1340" s="456"/>
      <c r="M1340" s="456"/>
      <c r="N1340" s="372"/>
      <c r="O1340" s="372"/>
      <c r="P1340" s="372"/>
      <c r="Q1340" s="373"/>
      <c r="R1340" s="372"/>
      <c r="S1340" s="373"/>
      <c r="T1340" s="373"/>
      <c r="U1340" s="373"/>
      <c r="V1340" s="373"/>
    </row>
    <row r="1341" spans="1:22" s="457" customFormat="1" x14ac:dyDescent="0.2">
      <c r="A1341" s="542"/>
      <c r="B1341" s="506"/>
      <c r="C1341" s="506"/>
      <c r="D1341" s="554" t="s">
        <v>2522</v>
      </c>
      <c r="E1341" s="495"/>
      <c r="F1341" s="426"/>
      <c r="G1341" s="426"/>
      <c r="H1341" s="426"/>
      <c r="I1341" s="510"/>
      <c r="J1341" s="437"/>
      <c r="K1341" s="456"/>
      <c r="L1341" s="456"/>
      <c r="M1341" s="456"/>
      <c r="N1341" s="372"/>
      <c r="O1341" s="372"/>
      <c r="P1341" s="372"/>
      <c r="Q1341" s="373"/>
      <c r="R1341" s="372"/>
      <c r="S1341" s="373"/>
      <c r="T1341" s="373"/>
      <c r="U1341" s="373"/>
      <c r="V1341" s="373"/>
    </row>
    <row r="1342" spans="1:22" s="457" customFormat="1" x14ac:dyDescent="0.2">
      <c r="A1342" s="542"/>
      <c r="B1342" s="506"/>
      <c r="C1342" s="506"/>
      <c r="D1342" s="554"/>
      <c r="E1342" s="495"/>
      <c r="F1342" s="426"/>
      <c r="G1342" s="426"/>
      <c r="H1342" s="426"/>
      <c r="I1342" s="510"/>
      <c r="J1342" s="437"/>
      <c r="K1342" s="456"/>
      <c r="L1342" s="456"/>
      <c r="M1342" s="456"/>
      <c r="N1342" s="372"/>
      <c r="O1342" s="372"/>
      <c r="P1342" s="372"/>
      <c r="Q1342" s="373"/>
      <c r="R1342" s="372"/>
      <c r="S1342" s="373"/>
      <c r="T1342" s="373"/>
      <c r="U1342" s="373"/>
      <c r="V1342" s="373"/>
    </row>
    <row r="1343" spans="1:22" s="447" customFormat="1" ht="45" x14ac:dyDescent="0.2">
      <c r="A1343" s="542" t="s">
        <v>1509</v>
      </c>
      <c r="B1343" s="506" t="s">
        <v>45</v>
      </c>
      <c r="C1343" s="506">
        <v>92417</v>
      </c>
      <c r="D1343" s="540" t="s">
        <v>1388</v>
      </c>
      <c r="E1343" s="494" t="s">
        <v>15</v>
      </c>
      <c r="F1343" s="426">
        <v>416.5</v>
      </c>
      <c r="G1343" s="426">
        <v>96.25</v>
      </c>
      <c r="H1343" s="426">
        <f t="shared" ref="H1343:H1367" si="86">ROUND((1+$L$16)*G1343,2)</f>
        <v>121.69</v>
      </c>
      <c r="I1343" s="445">
        <f>ROUND(F1343*H1343,2)</f>
        <v>50683.89</v>
      </c>
      <c r="J1343" s="446"/>
      <c r="K1343" s="446"/>
      <c r="L1343" s="446"/>
      <c r="M1343" s="446"/>
      <c r="N1343" s="446"/>
      <c r="O1343" s="446"/>
    </row>
    <row r="1344" spans="1:22" s="447" customFormat="1" x14ac:dyDescent="0.2">
      <c r="A1344" s="542"/>
      <c r="B1344" s="506"/>
      <c r="C1344" s="506"/>
      <c r="D1344" s="540"/>
      <c r="E1344" s="494"/>
      <c r="F1344" s="426"/>
      <c r="G1344" s="426"/>
      <c r="H1344" s="426"/>
      <c r="I1344" s="445"/>
      <c r="J1344" s="446"/>
      <c r="K1344" s="446"/>
      <c r="L1344" s="446"/>
      <c r="M1344" s="446"/>
      <c r="N1344" s="446"/>
      <c r="O1344" s="446"/>
    </row>
    <row r="1345" spans="1:15" s="447" customFormat="1" x14ac:dyDescent="0.2">
      <c r="A1345" s="542"/>
      <c r="B1345" s="506"/>
      <c r="C1345" s="506"/>
      <c r="D1345" s="540" t="s">
        <v>2523</v>
      </c>
      <c r="E1345" s="494"/>
      <c r="F1345" s="426"/>
      <c r="G1345" s="426"/>
      <c r="H1345" s="426"/>
      <c r="I1345" s="445"/>
      <c r="J1345" s="446"/>
      <c r="K1345" s="446"/>
      <c r="L1345" s="446"/>
      <c r="M1345" s="446"/>
      <c r="N1345" s="446"/>
      <c r="O1345" s="446"/>
    </row>
    <row r="1346" spans="1:15" s="447" customFormat="1" x14ac:dyDescent="0.2">
      <c r="A1346" s="542"/>
      <c r="B1346" s="506"/>
      <c r="C1346" s="506"/>
      <c r="D1346" s="540"/>
      <c r="E1346" s="494"/>
      <c r="F1346" s="426"/>
      <c r="G1346" s="426"/>
      <c r="H1346" s="426"/>
      <c r="I1346" s="445"/>
      <c r="J1346" s="446"/>
      <c r="K1346" s="446"/>
      <c r="L1346" s="446"/>
      <c r="M1346" s="446"/>
      <c r="N1346" s="446"/>
      <c r="O1346" s="446"/>
    </row>
    <row r="1347" spans="1:15" s="447" customFormat="1" x14ac:dyDescent="0.2">
      <c r="A1347" s="542" t="s">
        <v>1146</v>
      </c>
      <c r="B1347" s="506" t="s">
        <v>45</v>
      </c>
      <c r="C1347" s="506">
        <v>34449</v>
      </c>
      <c r="D1347" s="540" t="s">
        <v>1391</v>
      </c>
      <c r="E1347" s="494" t="s">
        <v>169</v>
      </c>
      <c r="F1347" s="426">
        <v>1908</v>
      </c>
      <c r="G1347" s="426">
        <v>4.18</v>
      </c>
      <c r="H1347" s="426">
        <v>4.88</v>
      </c>
      <c r="I1347" s="445">
        <v>9311.0400000000009</v>
      </c>
      <c r="J1347" s="446"/>
      <c r="K1347" s="446"/>
      <c r="L1347" s="446"/>
      <c r="M1347" s="446"/>
      <c r="N1347" s="446"/>
      <c r="O1347" s="446"/>
    </row>
    <row r="1348" spans="1:15" s="447" customFormat="1" x14ac:dyDescent="0.2">
      <c r="A1348" s="542"/>
      <c r="B1348" s="506"/>
      <c r="C1348" s="506"/>
      <c r="D1348" s="540"/>
      <c r="E1348" s="494"/>
      <c r="F1348" s="426"/>
      <c r="G1348" s="426"/>
      <c r="H1348" s="426"/>
      <c r="I1348" s="445"/>
      <c r="J1348" s="446"/>
      <c r="K1348" s="446"/>
      <c r="L1348" s="446"/>
      <c r="M1348" s="446"/>
      <c r="N1348" s="446"/>
      <c r="O1348" s="446"/>
    </row>
    <row r="1349" spans="1:15" s="447" customFormat="1" x14ac:dyDescent="0.2">
      <c r="A1349" s="542"/>
      <c r="B1349" s="506"/>
      <c r="C1349" s="506"/>
      <c r="D1349" s="540" t="s">
        <v>2524</v>
      </c>
      <c r="E1349" s="494"/>
      <c r="F1349" s="426"/>
      <c r="G1349" s="426"/>
      <c r="H1349" s="426"/>
      <c r="I1349" s="445"/>
      <c r="J1349" s="446"/>
      <c r="K1349" s="446"/>
      <c r="L1349" s="446"/>
      <c r="M1349" s="446"/>
      <c r="N1349" s="446"/>
      <c r="O1349" s="446"/>
    </row>
    <row r="1350" spans="1:15" s="447" customFormat="1" x14ac:dyDescent="0.2">
      <c r="A1350" s="542"/>
      <c r="B1350" s="506"/>
      <c r="C1350" s="506"/>
      <c r="D1350" s="540"/>
      <c r="E1350" s="494"/>
      <c r="F1350" s="426"/>
      <c r="G1350" s="426"/>
      <c r="H1350" s="426"/>
      <c r="I1350" s="445"/>
      <c r="J1350" s="446"/>
      <c r="K1350" s="446"/>
      <c r="L1350" s="446"/>
      <c r="M1350" s="446"/>
      <c r="N1350" s="446"/>
      <c r="O1350" s="446"/>
    </row>
    <row r="1351" spans="1:15" s="447" customFormat="1" x14ac:dyDescent="0.2">
      <c r="A1351" s="542" t="s">
        <v>1147</v>
      </c>
      <c r="B1351" s="506" t="s">
        <v>45</v>
      </c>
      <c r="C1351" s="506">
        <v>33</v>
      </c>
      <c r="D1351" s="540" t="s">
        <v>799</v>
      </c>
      <c r="E1351" s="494" t="s">
        <v>169</v>
      </c>
      <c r="F1351" s="426">
        <v>534</v>
      </c>
      <c r="G1351" s="426">
        <v>4.1900000000000004</v>
      </c>
      <c r="H1351" s="426">
        <v>4.8899999999999997</v>
      </c>
      <c r="I1351" s="445">
        <v>2611.2600000000002</v>
      </c>
      <c r="J1351" s="446"/>
      <c r="K1351" s="446"/>
      <c r="L1351" s="446"/>
      <c r="M1351" s="446"/>
      <c r="N1351" s="446"/>
      <c r="O1351" s="446"/>
    </row>
    <row r="1352" spans="1:15" s="447" customFormat="1" x14ac:dyDescent="0.2">
      <c r="A1352" s="542"/>
      <c r="B1352" s="506"/>
      <c r="C1352" s="506"/>
      <c r="D1352" s="540"/>
      <c r="E1352" s="494"/>
      <c r="F1352" s="426"/>
      <c r="G1352" s="426"/>
      <c r="H1352" s="426"/>
      <c r="I1352" s="445"/>
      <c r="J1352" s="446"/>
      <c r="K1352" s="446"/>
      <c r="L1352" s="446"/>
      <c r="M1352" s="446"/>
      <c r="N1352" s="446"/>
      <c r="O1352" s="446"/>
    </row>
    <row r="1353" spans="1:15" s="447" customFormat="1" x14ac:dyDescent="0.2">
      <c r="A1353" s="542"/>
      <c r="B1353" s="506"/>
      <c r="C1353" s="506"/>
      <c r="D1353" s="540" t="s">
        <v>2525</v>
      </c>
      <c r="E1353" s="494"/>
      <c r="F1353" s="426"/>
      <c r="G1353" s="426"/>
      <c r="H1353" s="426"/>
      <c r="I1353" s="445"/>
      <c r="J1353" s="446"/>
      <c r="K1353" s="446"/>
      <c r="L1353" s="446"/>
      <c r="M1353" s="446"/>
      <c r="N1353" s="446"/>
      <c r="O1353" s="446"/>
    </row>
    <row r="1354" spans="1:15" s="447" customFormat="1" x14ac:dyDescent="0.2">
      <c r="A1354" s="542"/>
      <c r="B1354" s="506"/>
      <c r="C1354" s="506"/>
      <c r="D1354" s="540"/>
      <c r="E1354" s="494"/>
      <c r="F1354" s="426"/>
      <c r="G1354" s="426"/>
      <c r="H1354" s="426"/>
      <c r="I1354" s="445"/>
      <c r="J1354" s="446"/>
      <c r="K1354" s="446"/>
      <c r="L1354" s="446"/>
      <c r="M1354" s="446"/>
      <c r="N1354" s="446"/>
      <c r="O1354" s="446"/>
    </row>
    <row r="1355" spans="1:15" s="447" customFormat="1" x14ac:dyDescent="0.2">
      <c r="A1355" s="542" t="s">
        <v>1510</v>
      </c>
      <c r="B1355" s="506" t="s">
        <v>45</v>
      </c>
      <c r="C1355" s="506">
        <v>34439</v>
      </c>
      <c r="D1355" s="540" t="s">
        <v>798</v>
      </c>
      <c r="E1355" s="494" t="s">
        <v>169</v>
      </c>
      <c r="F1355" s="426">
        <v>3173</v>
      </c>
      <c r="G1355" s="426">
        <v>4</v>
      </c>
      <c r="H1355" s="426">
        <v>4.67</v>
      </c>
      <c r="I1355" s="445">
        <v>14817.91</v>
      </c>
      <c r="J1355" s="446"/>
      <c r="K1355" s="446"/>
      <c r="L1355" s="446"/>
      <c r="M1355" s="446"/>
      <c r="N1355" s="446"/>
      <c r="O1355" s="446"/>
    </row>
    <row r="1356" spans="1:15" s="447" customFormat="1" x14ac:dyDescent="0.2">
      <c r="A1356" s="542"/>
      <c r="B1356" s="506"/>
      <c r="C1356" s="506"/>
      <c r="D1356" s="540"/>
      <c r="E1356" s="494"/>
      <c r="F1356" s="426"/>
      <c r="G1356" s="426"/>
      <c r="H1356" s="426"/>
      <c r="I1356" s="445"/>
      <c r="J1356" s="446"/>
      <c r="K1356" s="446"/>
      <c r="L1356" s="446"/>
      <c r="M1356" s="446"/>
      <c r="N1356" s="446"/>
      <c r="O1356" s="446"/>
    </row>
    <row r="1357" spans="1:15" s="447" customFormat="1" ht="19.5" customHeight="1" x14ac:dyDescent="0.2">
      <c r="A1357" s="542"/>
      <c r="B1357" s="506"/>
      <c r="C1357" s="506"/>
      <c r="D1357" s="540" t="s">
        <v>2526</v>
      </c>
      <c r="E1357" s="494"/>
      <c r="F1357" s="426"/>
      <c r="G1357" s="426"/>
      <c r="H1357" s="426"/>
      <c r="I1357" s="445"/>
      <c r="J1357" s="446"/>
      <c r="K1357" s="446"/>
      <c r="L1357" s="446"/>
      <c r="M1357" s="446"/>
      <c r="N1357" s="446"/>
      <c r="O1357" s="446"/>
    </row>
    <row r="1358" spans="1:15" s="447" customFormat="1" x14ac:dyDescent="0.2">
      <c r="A1358" s="542"/>
      <c r="B1358" s="506"/>
      <c r="C1358" s="506"/>
      <c r="D1358" s="540"/>
      <c r="E1358" s="494"/>
      <c r="F1358" s="426"/>
      <c r="G1358" s="426"/>
      <c r="H1358" s="426"/>
      <c r="I1358" s="445"/>
      <c r="J1358" s="446"/>
      <c r="K1358" s="446"/>
      <c r="L1358" s="446"/>
      <c r="M1358" s="446"/>
      <c r="N1358" s="446"/>
      <c r="O1358" s="446"/>
    </row>
    <row r="1359" spans="1:15" s="447" customFormat="1" x14ac:dyDescent="0.2">
      <c r="A1359" s="542" t="s">
        <v>1511</v>
      </c>
      <c r="B1359" s="506" t="s">
        <v>45</v>
      </c>
      <c r="C1359" s="506">
        <v>34441</v>
      </c>
      <c r="D1359" s="540" t="s">
        <v>1389</v>
      </c>
      <c r="E1359" s="494" t="s">
        <v>169</v>
      </c>
      <c r="F1359" s="426">
        <v>256</v>
      </c>
      <c r="G1359" s="426">
        <v>3.8</v>
      </c>
      <c r="H1359" s="426">
        <v>4.4400000000000004</v>
      </c>
      <c r="I1359" s="445">
        <v>1136.6400000000001</v>
      </c>
      <c r="J1359" s="446"/>
      <c r="K1359" s="446"/>
      <c r="L1359" s="446"/>
      <c r="M1359" s="446"/>
      <c r="N1359" s="446"/>
      <c r="O1359" s="446"/>
    </row>
    <row r="1360" spans="1:15" s="447" customFormat="1" x14ac:dyDescent="0.2">
      <c r="A1360" s="542"/>
      <c r="B1360" s="506"/>
      <c r="C1360" s="506"/>
      <c r="D1360" s="540"/>
      <c r="E1360" s="494"/>
      <c r="F1360" s="426"/>
      <c r="G1360" s="426"/>
      <c r="H1360" s="426"/>
      <c r="I1360" s="445"/>
      <c r="J1360" s="446"/>
      <c r="K1360" s="446"/>
      <c r="L1360" s="446"/>
      <c r="M1360" s="446"/>
      <c r="N1360" s="446"/>
      <c r="O1360" s="446"/>
    </row>
    <row r="1361" spans="1:18" s="447" customFormat="1" ht="20.25" customHeight="1" x14ac:dyDescent="0.2">
      <c r="A1361" s="542"/>
      <c r="B1361" s="506"/>
      <c r="C1361" s="506"/>
      <c r="D1361" s="540" t="s">
        <v>2527</v>
      </c>
      <c r="E1361" s="494"/>
      <c r="F1361" s="426"/>
      <c r="G1361" s="426"/>
      <c r="H1361" s="426"/>
      <c r="I1361" s="445"/>
      <c r="J1361" s="446"/>
      <c r="K1361" s="446"/>
      <c r="L1361" s="446"/>
      <c r="M1361" s="446"/>
      <c r="N1361" s="446"/>
      <c r="O1361" s="446"/>
    </row>
    <row r="1362" spans="1:18" s="447" customFormat="1" x14ac:dyDescent="0.2">
      <c r="A1362" s="542"/>
      <c r="B1362" s="506"/>
      <c r="C1362" s="506"/>
      <c r="D1362" s="540"/>
      <c r="E1362" s="494"/>
      <c r="F1362" s="426"/>
      <c r="G1362" s="426"/>
      <c r="H1362" s="426"/>
      <c r="I1362" s="445"/>
      <c r="J1362" s="446"/>
      <c r="K1362" s="446"/>
      <c r="L1362" s="446"/>
      <c r="M1362" s="446"/>
      <c r="N1362" s="446"/>
      <c r="O1362" s="446"/>
    </row>
    <row r="1363" spans="1:18" s="447" customFormat="1" x14ac:dyDescent="0.2">
      <c r="A1363" s="542" t="s">
        <v>1512</v>
      </c>
      <c r="B1363" s="506" t="s">
        <v>45</v>
      </c>
      <c r="C1363" s="506">
        <v>34443</v>
      </c>
      <c r="D1363" s="540" t="s">
        <v>1390</v>
      </c>
      <c r="E1363" s="494" t="s">
        <v>169</v>
      </c>
      <c r="F1363" s="426">
        <v>756</v>
      </c>
      <c r="G1363" s="426">
        <v>3.8</v>
      </c>
      <c r="H1363" s="426">
        <v>4.4400000000000004</v>
      </c>
      <c r="I1363" s="445">
        <v>3356.64</v>
      </c>
      <c r="J1363" s="446"/>
      <c r="K1363" s="446"/>
      <c r="L1363" s="446"/>
      <c r="M1363" s="446"/>
      <c r="N1363" s="446"/>
      <c r="O1363" s="446"/>
    </row>
    <row r="1364" spans="1:18" s="447" customFormat="1" x14ac:dyDescent="0.2">
      <c r="A1364" s="542"/>
      <c r="B1364" s="506"/>
      <c r="C1364" s="506"/>
      <c r="D1364" s="540"/>
      <c r="E1364" s="494"/>
      <c r="F1364" s="426"/>
      <c r="G1364" s="426"/>
      <c r="H1364" s="426"/>
      <c r="I1364" s="445"/>
      <c r="J1364" s="446"/>
      <c r="K1364" s="446"/>
      <c r="L1364" s="446"/>
      <c r="M1364" s="446"/>
      <c r="N1364" s="446"/>
      <c r="O1364" s="446"/>
    </row>
    <row r="1365" spans="1:18" s="447" customFormat="1" x14ac:dyDescent="0.2">
      <c r="A1365" s="542"/>
      <c r="B1365" s="506"/>
      <c r="C1365" s="506"/>
      <c r="D1365" s="540" t="s">
        <v>2528</v>
      </c>
      <c r="E1365" s="494"/>
      <c r="F1365" s="426"/>
      <c r="G1365" s="426"/>
      <c r="H1365" s="426"/>
      <c r="I1365" s="445"/>
      <c r="J1365" s="446"/>
      <c r="K1365" s="446"/>
      <c r="L1365" s="446"/>
      <c r="M1365" s="446"/>
      <c r="N1365" s="446"/>
      <c r="O1365" s="446"/>
    </row>
    <row r="1366" spans="1:18" s="447" customFormat="1" x14ac:dyDescent="0.2">
      <c r="A1366" s="542"/>
      <c r="B1366" s="506"/>
      <c r="C1366" s="506"/>
      <c r="D1366" s="540"/>
      <c r="E1366" s="494"/>
      <c r="F1366" s="426"/>
      <c r="G1366" s="426"/>
      <c r="H1366" s="426"/>
      <c r="I1366" s="445"/>
      <c r="J1366" s="446"/>
      <c r="K1366" s="446"/>
      <c r="L1366" s="446"/>
      <c r="M1366" s="446"/>
      <c r="N1366" s="446"/>
      <c r="O1366" s="446"/>
    </row>
    <row r="1367" spans="1:18" s="373" customFormat="1" ht="30" x14ac:dyDescent="0.2">
      <c r="A1367" s="542" t="s">
        <v>1148</v>
      </c>
      <c r="B1367" s="506" t="s">
        <v>45</v>
      </c>
      <c r="C1367" s="506">
        <v>94967</v>
      </c>
      <c r="D1367" s="554" t="s">
        <v>1351</v>
      </c>
      <c r="E1367" s="495" t="s">
        <v>16</v>
      </c>
      <c r="F1367" s="426">
        <v>75.5</v>
      </c>
      <c r="G1367" s="426">
        <v>331.4</v>
      </c>
      <c r="H1367" s="426">
        <f t="shared" si="86"/>
        <v>419.01</v>
      </c>
      <c r="I1367" s="445">
        <f>ROUND(F1367*H1367,2)</f>
        <v>31635.26</v>
      </c>
      <c r="J1367" s="444"/>
      <c r="K1367" s="372"/>
      <c r="L1367" s="424"/>
      <c r="M1367" s="372"/>
      <c r="N1367" s="372"/>
      <c r="O1367" s="372"/>
      <c r="P1367" s="372"/>
      <c r="R1367" s="372"/>
    </row>
    <row r="1368" spans="1:18" s="373" customFormat="1" x14ac:dyDescent="0.2">
      <c r="A1368" s="550"/>
      <c r="B1368" s="551"/>
      <c r="C1368" s="551"/>
      <c r="D1368" s="552"/>
      <c r="E1368" s="495"/>
      <c r="F1368" s="426"/>
      <c r="G1368" s="426"/>
      <c r="H1368" s="426"/>
      <c r="I1368" s="455"/>
      <c r="J1368" s="444"/>
      <c r="K1368" s="372"/>
      <c r="L1368" s="424"/>
      <c r="M1368" s="372"/>
      <c r="N1368" s="372"/>
      <c r="O1368" s="372"/>
      <c r="P1368" s="372"/>
      <c r="R1368" s="372"/>
    </row>
    <row r="1369" spans="1:18" s="373" customFormat="1" x14ac:dyDescent="0.2">
      <c r="A1369" s="542"/>
      <c r="B1369" s="506"/>
      <c r="C1369" s="506"/>
      <c r="D1369" s="540" t="s">
        <v>2529</v>
      </c>
      <c r="E1369" s="495"/>
      <c r="F1369" s="426"/>
      <c r="G1369" s="426"/>
      <c r="H1369" s="426"/>
      <c r="I1369" s="455"/>
      <c r="J1369" s="444"/>
      <c r="K1369" s="372"/>
      <c r="L1369" s="424"/>
      <c r="M1369" s="372"/>
      <c r="N1369" s="372"/>
      <c r="O1369" s="372"/>
      <c r="P1369" s="372"/>
      <c r="R1369" s="372"/>
    </row>
    <row r="1370" spans="1:18" s="373" customFormat="1" x14ac:dyDescent="0.2">
      <c r="A1370" s="542"/>
      <c r="B1370" s="506"/>
      <c r="C1370" s="506"/>
      <c r="D1370" s="554"/>
      <c r="E1370" s="495"/>
      <c r="F1370" s="426"/>
      <c r="G1370" s="426"/>
      <c r="H1370" s="426"/>
      <c r="I1370" s="455"/>
      <c r="J1370" s="444"/>
      <c r="K1370" s="372"/>
      <c r="L1370" s="424"/>
      <c r="M1370" s="372"/>
      <c r="N1370" s="372"/>
      <c r="O1370" s="372"/>
      <c r="P1370" s="372"/>
      <c r="R1370" s="372"/>
    </row>
    <row r="1371" spans="1:18" s="373" customFormat="1" ht="30" x14ac:dyDescent="0.2">
      <c r="A1371" s="542" t="s">
        <v>1149</v>
      </c>
      <c r="B1371" s="500" t="s">
        <v>45</v>
      </c>
      <c r="C1371" s="500">
        <v>92874</v>
      </c>
      <c r="D1371" s="540" t="s">
        <v>800</v>
      </c>
      <c r="E1371" s="495" t="s">
        <v>16</v>
      </c>
      <c r="F1371" s="426">
        <f>F1367</f>
        <v>75.5</v>
      </c>
      <c r="G1371" s="426">
        <v>27.56</v>
      </c>
      <c r="H1371" s="426">
        <f>G1371*(1+$L$16)</f>
        <v>34.8456752518345</v>
      </c>
      <c r="I1371" s="448">
        <f t="shared" ref="I1371:I1375" si="87">ROUND(F1371*H1371,2)</f>
        <v>2630.85</v>
      </c>
      <c r="J1371" s="437"/>
      <c r="K1371" s="372"/>
      <c r="L1371" s="430"/>
      <c r="M1371" s="372"/>
      <c r="N1371" s="372"/>
      <c r="O1371" s="372"/>
      <c r="P1371" s="372"/>
      <c r="R1371" s="372"/>
    </row>
    <row r="1372" spans="1:18" s="373" customFormat="1" x14ac:dyDescent="0.2">
      <c r="A1372" s="542"/>
      <c r="B1372" s="500"/>
      <c r="C1372" s="500"/>
      <c r="D1372" s="540"/>
      <c r="E1372" s="495"/>
      <c r="F1372" s="426"/>
      <c r="G1372" s="426"/>
      <c r="H1372" s="426"/>
      <c r="I1372" s="448"/>
      <c r="J1372" s="437"/>
      <c r="K1372" s="372"/>
      <c r="L1372" s="430"/>
      <c r="M1372" s="372"/>
      <c r="N1372" s="372"/>
      <c r="O1372" s="372"/>
      <c r="P1372" s="372"/>
      <c r="R1372" s="372"/>
    </row>
    <row r="1373" spans="1:18" s="373" customFormat="1" ht="18" customHeight="1" x14ac:dyDescent="0.2">
      <c r="A1373" s="542"/>
      <c r="B1373" s="500"/>
      <c r="C1373" s="500"/>
      <c r="D1373" s="540" t="s">
        <v>2529</v>
      </c>
      <c r="E1373" s="495"/>
      <c r="F1373" s="426"/>
      <c r="G1373" s="426"/>
      <c r="H1373" s="426"/>
      <c r="I1373" s="448"/>
      <c r="J1373" s="437"/>
      <c r="K1373" s="372"/>
      <c r="L1373" s="430"/>
      <c r="M1373" s="372"/>
      <c r="N1373" s="372"/>
      <c r="O1373" s="372"/>
      <c r="P1373" s="372"/>
      <c r="R1373" s="372"/>
    </row>
    <row r="1374" spans="1:18" s="373" customFormat="1" x14ac:dyDescent="0.2">
      <c r="A1374" s="542"/>
      <c r="B1374" s="500"/>
      <c r="C1374" s="500"/>
      <c r="D1374" s="540"/>
      <c r="E1374" s="495"/>
      <c r="F1374" s="426"/>
      <c r="G1374" s="426"/>
      <c r="H1374" s="426"/>
      <c r="I1374" s="448"/>
      <c r="J1374" s="437"/>
      <c r="K1374" s="372"/>
      <c r="L1374" s="430"/>
      <c r="M1374" s="372"/>
      <c r="N1374" s="372"/>
      <c r="O1374" s="372"/>
      <c r="P1374" s="372"/>
      <c r="R1374" s="372"/>
    </row>
    <row r="1375" spans="1:18" s="373" customFormat="1" ht="30" x14ac:dyDescent="0.2">
      <c r="A1375" s="542" t="s">
        <v>1150</v>
      </c>
      <c r="B1375" s="506" t="s">
        <v>45</v>
      </c>
      <c r="C1375" s="506">
        <v>83516</v>
      </c>
      <c r="D1375" s="554" t="s">
        <v>1359</v>
      </c>
      <c r="E1375" s="494" t="s">
        <v>16</v>
      </c>
      <c r="F1375" s="149">
        <f>F1343*0.2</f>
        <v>83.300000000000011</v>
      </c>
      <c r="G1375" s="426">
        <v>13.16</v>
      </c>
      <c r="H1375" s="426">
        <f>G1375*(1+$L$16)</f>
        <v>16.638936368437665</v>
      </c>
      <c r="I1375" s="448">
        <f t="shared" si="87"/>
        <v>1386.02</v>
      </c>
      <c r="J1375" s="437"/>
      <c r="K1375" s="372"/>
      <c r="L1375" s="430"/>
      <c r="M1375" s="372"/>
      <c r="N1375" s="372"/>
      <c r="O1375" s="372"/>
      <c r="P1375" s="372"/>
      <c r="R1375" s="372"/>
    </row>
    <row r="1376" spans="1:18" s="373" customFormat="1" x14ac:dyDescent="0.2">
      <c r="A1376" s="542"/>
      <c r="B1376" s="506"/>
      <c r="C1376" s="506"/>
      <c r="D1376" s="554"/>
      <c r="E1376" s="494"/>
      <c r="F1376" s="426"/>
      <c r="G1376" s="426"/>
      <c r="H1376" s="426"/>
      <c r="I1376" s="448"/>
      <c r="J1376" s="437"/>
      <c r="K1376" s="372"/>
      <c r="L1376" s="430"/>
      <c r="M1376" s="372"/>
      <c r="N1376" s="372"/>
      <c r="O1376" s="372"/>
      <c r="P1376" s="372"/>
      <c r="R1376" s="372"/>
    </row>
    <row r="1377" spans="1:22" s="373" customFormat="1" ht="15.75" x14ac:dyDescent="0.2">
      <c r="A1377" s="542"/>
      <c r="B1377" s="506"/>
      <c r="C1377" s="506"/>
      <c r="D1377" s="554" t="s">
        <v>2530</v>
      </c>
      <c r="E1377" s="494"/>
      <c r="F1377" s="426"/>
      <c r="G1377" s="426"/>
      <c r="H1377" s="426"/>
      <c r="I1377" s="448"/>
      <c r="J1377" s="437"/>
      <c r="K1377" s="372"/>
      <c r="L1377" s="430"/>
      <c r="M1377" s="372"/>
      <c r="N1377" s="372"/>
      <c r="O1377" s="372"/>
      <c r="P1377" s="372"/>
      <c r="R1377" s="372"/>
    </row>
    <row r="1378" spans="1:22" s="373" customFormat="1" x14ac:dyDescent="0.2">
      <c r="A1378" s="542"/>
      <c r="B1378" s="506"/>
      <c r="C1378" s="506"/>
      <c r="D1378" s="554"/>
      <c r="E1378" s="494"/>
      <c r="F1378" s="426"/>
      <c r="G1378" s="426"/>
      <c r="H1378" s="426"/>
      <c r="I1378" s="448"/>
      <c r="J1378" s="437"/>
      <c r="K1378" s="372"/>
      <c r="L1378" s="430"/>
      <c r="M1378" s="372"/>
      <c r="N1378" s="372"/>
      <c r="O1378" s="372"/>
      <c r="P1378" s="372"/>
      <c r="R1378" s="372"/>
    </row>
    <row r="1379" spans="1:22" s="457" customFormat="1" ht="30" x14ac:dyDescent="0.2">
      <c r="A1379" s="542" t="s">
        <v>1513</v>
      </c>
      <c r="B1379" s="500" t="s">
        <v>45</v>
      </c>
      <c r="C1379" s="500" t="s">
        <v>377</v>
      </c>
      <c r="D1379" s="540" t="s">
        <v>378</v>
      </c>
      <c r="E1379" s="495" t="s">
        <v>15</v>
      </c>
      <c r="F1379" s="426">
        <f>1.7*41.6+1.9*1.8+(1.9+1.8)*2*1.7+2.9*39.27+2.83*4.72+125</f>
        <v>338.9606</v>
      </c>
      <c r="G1379" s="426">
        <v>31.05</v>
      </c>
      <c r="H1379" s="426">
        <f>G1379*(1+$L$16)</f>
        <v>39.258280717324432</v>
      </c>
      <c r="I1379" s="448">
        <f t="shared" si="83"/>
        <v>13307.01</v>
      </c>
      <c r="J1379" s="437"/>
      <c r="K1379" s="456"/>
      <c r="L1379" s="456"/>
      <c r="M1379" s="456"/>
      <c r="N1379" s="372"/>
      <c r="O1379" s="372"/>
      <c r="P1379" s="372"/>
      <c r="Q1379" s="373"/>
      <c r="R1379" s="372"/>
      <c r="S1379" s="373"/>
      <c r="T1379" s="373"/>
      <c r="U1379" s="373"/>
      <c r="V1379" s="373"/>
    </row>
    <row r="1380" spans="1:22" s="457" customFormat="1" x14ac:dyDescent="0.2">
      <c r="A1380" s="542"/>
      <c r="B1380" s="500"/>
      <c r="C1380" s="500"/>
      <c r="D1380" s="540"/>
      <c r="E1380" s="495"/>
      <c r="F1380" s="426"/>
      <c r="G1380" s="426"/>
      <c r="H1380" s="426"/>
      <c r="I1380" s="448"/>
      <c r="J1380" s="437"/>
      <c r="K1380" s="456"/>
      <c r="L1380" s="456"/>
      <c r="M1380" s="456"/>
      <c r="N1380" s="372"/>
      <c r="O1380" s="372"/>
      <c r="P1380" s="372"/>
      <c r="Q1380" s="373"/>
      <c r="R1380" s="372"/>
      <c r="S1380" s="373"/>
      <c r="T1380" s="373"/>
      <c r="U1380" s="373"/>
      <c r="V1380" s="373"/>
    </row>
    <row r="1381" spans="1:22" s="457" customFormat="1" x14ac:dyDescent="0.2">
      <c r="A1381" s="542"/>
      <c r="B1381" s="500"/>
      <c r="C1381" s="500"/>
      <c r="D1381" s="540" t="s">
        <v>2531</v>
      </c>
      <c r="E1381" s="495"/>
      <c r="F1381" s="426"/>
      <c r="G1381" s="426"/>
      <c r="H1381" s="426"/>
      <c r="I1381" s="448"/>
      <c r="J1381" s="437"/>
      <c r="K1381" s="456"/>
      <c r="L1381" s="456"/>
      <c r="M1381" s="456"/>
      <c r="N1381" s="372"/>
      <c r="O1381" s="372"/>
      <c r="P1381" s="372"/>
      <c r="Q1381" s="373"/>
      <c r="R1381" s="372"/>
      <c r="S1381" s="373"/>
      <c r="T1381" s="373"/>
      <c r="U1381" s="373"/>
      <c r="V1381" s="373"/>
    </row>
    <row r="1382" spans="1:22" s="457" customFormat="1" x14ac:dyDescent="0.2">
      <c r="A1382" s="542"/>
      <c r="B1382" s="500"/>
      <c r="C1382" s="500"/>
      <c r="D1382" s="540"/>
      <c r="E1382" s="495"/>
      <c r="F1382" s="426"/>
      <c r="G1382" s="426"/>
      <c r="H1382" s="426"/>
      <c r="I1382" s="448"/>
      <c r="J1382" s="437"/>
      <c r="K1382" s="456"/>
      <c r="L1382" s="456"/>
      <c r="M1382" s="456"/>
      <c r="N1382" s="372"/>
      <c r="O1382" s="372"/>
      <c r="P1382" s="372"/>
      <c r="Q1382" s="373"/>
      <c r="R1382" s="372"/>
      <c r="S1382" s="373"/>
      <c r="T1382" s="373"/>
      <c r="U1382" s="373"/>
      <c r="V1382" s="373"/>
    </row>
    <row r="1383" spans="1:22" s="373" customFormat="1" x14ac:dyDescent="0.2">
      <c r="A1383" s="542" t="s">
        <v>1514</v>
      </c>
      <c r="B1383" s="506" t="s">
        <v>65</v>
      </c>
      <c r="C1383" s="506"/>
      <c r="D1383" s="554" t="s">
        <v>362</v>
      </c>
      <c r="E1383" s="494" t="s">
        <v>18</v>
      </c>
      <c r="F1383" s="426">
        <v>1</v>
      </c>
      <c r="G1383" s="426">
        <v>122000</v>
      </c>
      <c r="H1383" s="426">
        <f>G1383*(1+$K$16)</f>
        <v>142496.47975804983</v>
      </c>
      <c r="I1383" s="448">
        <f t="shared" si="83"/>
        <v>142496.48000000001</v>
      </c>
      <c r="J1383" s="437"/>
      <c r="K1383" s="372"/>
      <c r="L1383" s="430"/>
      <c r="M1383" s="372"/>
      <c r="N1383" s="372"/>
      <c r="O1383" s="372"/>
      <c r="P1383" s="372"/>
      <c r="R1383" s="372"/>
    </row>
    <row r="1384" spans="1:22" s="373" customFormat="1" x14ac:dyDescent="0.2">
      <c r="A1384" s="542"/>
      <c r="B1384" s="506"/>
      <c r="C1384" s="506"/>
      <c r="D1384" s="554"/>
      <c r="E1384" s="494"/>
      <c r="F1384" s="426"/>
      <c r="G1384" s="426"/>
      <c r="H1384" s="426"/>
      <c r="I1384" s="448"/>
      <c r="J1384" s="437"/>
      <c r="K1384" s="372"/>
      <c r="L1384" s="430"/>
      <c r="M1384" s="372"/>
      <c r="N1384" s="372"/>
      <c r="O1384" s="372"/>
      <c r="P1384" s="372"/>
      <c r="R1384" s="372"/>
    </row>
    <row r="1385" spans="1:22" s="373" customFormat="1" x14ac:dyDescent="0.2">
      <c r="A1385" s="542"/>
      <c r="B1385" s="506"/>
      <c r="C1385" s="506"/>
      <c r="D1385" s="554" t="s">
        <v>2532</v>
      </c>
      <c r="E1385" s="494"/>
      <c r="F1385" s="426"/>
      <c r="G1385" s="426"/>
      <c r="H1385" s="426"/>
      <c r="I1385" s="448"/>
      <c r="J1385" s="437"/>
      <c r="K1385" s="372"/>
      <c r="L1385" s="430"/>
      <c r="M1385" s="372"/>
      <c r="N1385" s="372"/>
      <c r="O1385" s="372"/>
      <c r="P1385" s="372"/>
      <c r="R1385" s="372"/>
    </row>
    <row r="1386" spans="1:22" s="373" customFormat="1" x14ac:dyDescent="0.2">
      <c r="A1386" s="542"/>
      <c r="B1386" s="506"/>
      <c r="C1386" s="506"/>
      <c r="D1386" s="554"/>
      <c r="E1386" s="494"/>
      <c r="F1386" s="426"/>
      <c r="G1386" s="426"/>
      <c r="H1386" s="426"/>
      <c r="I1386" s="448"/>
      <c r="J1386" s="437"/>
      <c r="K1386" s="372"/>
      <c r="L1386" s="430"/>
      <c r="M1386" s="372"/>
      <c r="N1386" s="372"/>
      <c r="O1386" s="372"/>
      <c r="P1386" s="372"/>
      <c r="R1386" s="372"/>
    </row>
    <row r="1387" spans="1:22" s="457" customFormat="1" x14ac:dyDescent="0.2">
      <c r="A1387" s="542" t="s">
        <v>1515</v>
      </c>
      <c r="B1387" s="500" t="s">
        <v>45</v>
      </c>
      <c r="C1387" s="500">
        <v>11244</v>
      </c>
      <c r="D1387" s="540" t="s">
        <v>1411</v>
      </c>
      <c r="E1387" s="495" t="s">
        <v>18</v>
      </c>
      <c r="F1387" s="426">
        <f>3*2+8</f>
        <v>14</v>
      </c>
      <c r="G1387" s="426">
        <v>148.71</v>
      </c>
      <c r="H1387" s="426">
        <f>G1387*(1+$L$16)</f>
        <v>188.02250967707946</v>
      </c>
      <c r="I1387" s="448">
        <f t="shared" si="83"/>
        <v>2632.32</v>
      </c>
      <c r="J1387" s="437"/>
      <c r="K1387" s="456"/>
      <c r="L1387" s="456"/>
      <c r="M1387" s="456"/>
      <c r="N1387" s="372"/>
      <c r="O1387" s="372"/>
      <c r="P1387" s="372"/>
      <c r="Q1387" s="373"/>
      <c r="R1387" s="372"/>
      <c r="S1387" s="373"/>
      <c r="T1387" s="373"/>
      <c r="U1387" s="373"/>
      <c r="V1387" s="373"/>
    </row>
    <row r="1388" spans="1:22" s="457" customFormat="1" x14ac:dyDescent="0.2">
      <c r="A1388" s="542"/>
      <c r="B1388" s="500"/>
      <c r="C1388" s="500"/>
      <c r="D1388" s="540"/>
      <c r="E1388" s="495"/>
      <c r="F1388" s="426"/>
      <c r="G1388" s="426"/>
      <c r="H1388" s="426"/>
      <c r="I1388" s="448"/>
      <c r="J1388" s="437"/>
      <c r="K1388" s="456"/>
      <c r="L1388" s="456"/>
      <c r="M1388" s="456"/>
      <c r="N1388" s="372"/>
      <c r="O1388" s="372"/>
      <c r="P1388" s="372"/>
      <c r="Q1388" s="373"/>
      <c r="R1388" s="372"/>
      <c r="S1388" s="373"/>
      <c r="T1388" s="373"/>
      <c r="U1388" s="373"/>
      <c r="V1388" s="373"/>
    </row>
    <row r="1389" spans="1:22" s="457" customFormat="1" x14ac:dyDescent="0.2">
      <c r="A1389" s="542"/>
      <c r="B1389" s="500"/>
      <c r="C1389" s="500"/>
      <c r="D1389" s="540" t="s">
        <v>2533</v>
      </c>
      <c r="E1389" s="495"/>
      <c r="F1389" s="426"/>
      <c r="G1389" s="426"/>
      <c r="H1389" s="426"/>
      <c r="I1389" s="448"/>
      <c r="J1389" s="437"/>
      <c r="K1389" s="456"/>
      <c r="L1389" s="456"/>
      <c r="M1389" s="456"/>
      <c r="N1389" s="372"/>
      <c r="O1389" s="372"/>
      <c r="P1389" s="372"/>
      <c r="Q1389" s="373"/>
      <c r="R1389" s="372"/>
      <c r="S1389" s="373"/>
      <c r="T1389" s="373"/>
      <c r="U1389" s="373"/>
      <c r="V1389" s="373"/>
    </row>
    <row r="1390" spans="1:22" s="457" customFormat="1" x14ac:dyDescent="0.2">
      <c r="A1390" s="542"/>
      <c r="B1390" s="500"/>
      <c r="C1390" s="500"/>
      <c r="D1390" s="540"/>
      <c r="E1390" s="495"/>
      <c r="F1390" s="426"/>
      <c r="G1390" s="426"/>
      <c r="H1390" s="426"/>
      <c r="I1390" s="448"/>
      <c r="J1390" s="437"/>
      <c r="K1390" s="456"/>
      <c r="L1390" s="456"/>
      <c r="M1390" s="456"/>
      <c r="N1390" s="372"/>
      <c r="O1390" s="372"/>
      <c r="P1390" s="372"/>
      <c r="Q1390" s="373"/>
      <c r="R1390" s="372"/>
      <c r="S1390" s="373"/>
      <c r="T1390" s="373"/>
      <c r="U1390" s="373"/>
      <c r="V1390" s="373"/>
    </row>
    <row r="1391" spans="1:22" s="457" customFormat="1" ht="30" x14ac:dyDescent="0.2">
      <c r="A1391" s="542" t="s">
        <v>1516</v>
      </c>
      <c r="B1391" s="506" t="s">
        <v>335</v>
      </c>
      <c r="C1391" s="506" t="str">
        <f>COMPOSIÇÕES!C419</f>
        <v>CE-033</v>
      </c>
      <c r="D1391" s="554" t="s">
        <v>189</v>
      </c>
      <c r="E1391" s="494" t="s">
        <v>18</v>
      </c>
      <c r="F1391" s="426">
        <v>1</v>
      </c>
      <c r="G1391" s="426">
        <f>COMPOSIÇÕES!I419</f>
        <v>328.75</v>
      </c>
      <c r="H1391" s="426">
        <f>G1391*(1+$L$16)</f>
        <v>415.65731999421604</v>
      </c>
      <c r="I1391" s="448">
        <f t="shared" si="83"/>
        <v>415.66</v>
      </c>
      <c r="J1391" s="437"/>
      <c r="K1391" s="456"/>
      <c r="L1391" s="456"/>
      <c r="M1391" s="456"/>
      <c r="N1391" s="372"/>
      <c r="O1391" s="372"/>
      <c r="P1391" s="372"/>
      <c r="Q1391" s="373"/>
      <c r="R1391" s="372"/>
      <c r="S1391" s="373"/>
      <c r="T1391" s="373"/>
      <c r="U1391" s="373"/>
      <c r="V1391" s="373"/>
    </row>
    <row r="1392" spans="1:22" s="457" customFormat="1" x14ac:dyDescent="0.2">
      <c r="A1392" s="542"/>
      <c r="B1392" s="506"/>
      <c r="C1392" s="506"/>
      <c r="D1392" s="554"/>
      <c r="E1392" s="494"/>
      <c r="F1392" s="426"/>
      <c r="G1392" s="426"/>
      <c r="H1392" s="426"/>
      <c r="I1392" s="448"/>
      <c r="J1392" s="437"/>
      <c r="K1392" s="456"/>
      <c r="L1392" s="456"/>
      <c r="M1392" s="456"/>
      <c r="N1392" s="372"/>
      <c r="O1392" s="372"/>
      <c r="P1392" s="372"/>
      <c r="Q1392" s="373"/>
      <c r="R1392" s="372"/>
      <c r="S1392" s="373"/>
      <c r="T1392" s="373"/>
      <c r="U1392" s="373"/>
      <c r="V1392" s="373"/>
    </row>
    <row r="1393" spans="1:63" s="457" customFormat="1" x14ac:dyDescent="0.2">
      <c r="A1393" s="542"/>
      <c r="B1393" s="506"/>
      <c r="C1393" s="506"/>
      <c r="D1393" s="554" t="s">
        <v>2534</v>
      </c>
      <c r="E1393" s="494"/>
      <c r="F1393" s="426"/>
      <c r="G1393" s="426"/>
      <c r="H1393" s="426"/>
      <c r="I1393" s="448"/>
      <c r="J1393" s="437"/>
      <c r="K1393" s="456"/>
      <c r="L1393" s="456"/>
      <c r="M1393" s="456"/>
      <c r="N1393" s="372"/>
      <c r="O1393" s="372"/>
      <c r="P1393" s="372"/>
      <c r="Q1393" s="373"/>
      <c r="R1393" s="372"/>
      <c r="S1393" s="373"/>
      <c r="T1393" s="373"/>
      <c r="U1393" s="373"/>
      <c r="V1393" s="373"/>
    </row>
    <row r="1394" spans="1:63" s="457" customFormat="1" x14ac:dyDescent="0.2">
      <c r="A1394" s="542"/>
      <c r="B1394" s="506"/>
      <c r="C1394" s="506"/>
      <c r="D1394" s="554"/>
      <c r="E1394" s="494"/>
      <c r="F1394" s="426"/>
      <c r="G1394" s="426"/>
      <c r="H1394" s="426"/>
      <c r="I1394" s="448"/>
      <c r="J1394" s="437"/>
      <c r="K1394" s="456"/>
      <c r="L1394" s="456"/>
      <c r="M1394" s="456"/>
      <c r="N1394" s="372"/>
      <c r="O1394" s="372"/>
      <c r="P1394" s="372"/>
      <c r="Q1394" s="373"/>
      <c r="R1394" s="372"/>
      <c r="S1394" s="373"/>
      <c r="T1394" s="373"/>
      <c r="U1394" s="373"/>
      <c r="V1394" s="373"/>
    </row>
    <row r="1395" spans="1:63" s="373" customFormat="1" ht="30" x14ac:dyDescent="0.2">
      <c r="A1395" s="542" t="s">
        <v>1517</v>
      </c>
      <c r="B1395" s="506" t="s">
        <v>335</v>
      </c>
      <c r="C1395" s="506" t="str">
        <f>COMPOSIÇÕES!C425</f>
        <v>CE-034</v>
      </c>
      <c r="D1395" s="554" t="s">
        <v>1593</v>
      </c>
      <c r="E1395" s="494" t="s">
        <v>19</v>
      </c>
      <c r="F1395" s="426">
        <v>1</v>
      </c>
      <c r="G1395" s="426">
        <f>COMPOSIÇÕES!I425</f>
        <v>38934.159999999996</v>
      </c>
      <c r="H1395" s="426">
        <f>G1395*(1+$K$16)</f>
        <v>45475.251986366173</v>
      </c>
      <c r="I1395" s="448">
        <f t="shared" si="83"/>
        <v>45475.25</v>
      </c>
      <c r="J1395" s="437"/>
      <c r="K1395" s="372"/>
      <c r="L1395" s="430"/>
      <c r="M1395" s="372"/>
      <c r="N1395" s="372"/>
      <c r="O1395" s="372"/>
      <c r="P1395" s="372"/>
      <c r="R1395" s="372"/>
    </row>
    <row r="1396" spans="1:63" s="373" customFormat="1" x14ac:dyDescent="0.2">
      <c r="A1396" s="542"/>
      <c r="B1396" s="506"/>
      <c r="C1396" s="506"/>
      <c r="D1396" s="554"/>
      <c r="E1396" s="494"/>
      <c r="F1396" s="426"/>
      <c r="G1396" s="426"/>
      <c r="H1396" s="426"/>
      <c r="I1396" s="448"/>
      <c r="J1396" s="437"/>
      <c r="K1396" s="372"/>
      <c r="L1396" s="430"/>
      <c r="M1396" s="372"/>
      <c r="N1396" s="372"/>
      <c r="O1396" s="372"/>
      <c r="P1396" s="372"/>
      <c r="R1396" s="372"/>
    </row>
    <row r="1397" spans="1:63" s="373" customFormat="1" x14ac:dyDescent="0.2">
      <c r="A1397" s="542"/>
      <c r="B1397" s="506"/>
      <c r="C1397" s="506"/>
      <c r="D1397" s="554" t="s">
        <v>2535</v>
      </c>
      <c r="E1397" s="494"/>
      <c r="F1397" s="426"/>
      <c r="G1397" s="426"/>
      <c r="H1397" s="426"/>
      <c r="I1397" s="448"/>
      <c r="J1397" s="437"/>
      <c r="K1397" s="372"/>
      <c r="L1397" s="430"/>
      <c r="M1397" s="372"/>
      <c r="N1397" s="372"/>
      <c r="O1397" s="372"/>
      <c r="P1397" s="372"/>
      <c r="R1397" s="372"/>
    </row>
    <row r="1398" spans="1:63" x14ac:dyDescent="0.2">
      <c r="A1398" s="538"/>
      <c r="B1398" s="499"/>
      <c r="C1398" s="508"/>
      <c r="D1398" s="539"/>
      <c r="E1398" s="492"/>
      <c r="F1398" s="432"/>
      <c r="G1398" s="433"/>
      <c r="H1398" s="432"/>
      <c r="I1398" s="434"/>
      <c r="J1398" s="429"/>
      <c r="K1398" s="372"/>
      <c r="L1398" s="430"/>
      <c r="M1398" s="372"/>
      <c r="N1398" s="372"/>
      <c r="O1398" s="372"/>
      <c r="P1398" s="372"/>
      <c r="R1398" s="372"/>
      <c r="W1398" s="374"/>
      <c r="X1398" s="374"/>
      <c r="Y1398" s="374"/>
      <c r="Z1398" s="374"/>
      <c r="AA1398" s="374"/>
      <c r="AB1398" s="374"/>
      <c r="AC1398" s="374"/>
      <c r="AD1398" s="374"/>
      <c r="AE1398" s="374"/>
      <c r="AF1398" s="374"/>
      <c r="AG1398" s="374"/>
      <c r="AH1398" s="374"/>
      <c r="AI1398" s="374"/>
      <c r="AJ1398" s="374"/>
      <c r="AK1398" s="374"/>
      <c r="AL1398" s="374"/>
      <c r="AM1398" s="374"/>
      <c r="AN1398" s="374"/>
      <c r="AO1398" s="374"/>
      <c r="AP1398" s="374"/>
      <c r="AQ1398" s="374"/>
      <c r="AR1398" s="374"/>
      <c r="AS1398" s="374"/>
      <c r="AT1398" s="374"/>
      <c r="AU1398" s="374"/>
      <c r="AV1398" s="374"/>
      <c r="AW1398" s="374"/>
      <c r="AX1398" s="374"/>
      <c r="AY1398" s="374"/>
      <c r="AZ1398" s="374"/>
      <c r="BA1398" s="374"/>
      <c r="BB1398" s="374"/>
      <c r="BC1398" s="374"/>
      <c r="BD1398" s="374"/>
      <c r="BE1398" s="374"/>
      <c r="BF1398" s="374"/>
      <c r="BG1398" s="374"/>
      <c r="BH1398" s="374"/>
      <c r="BI1398" s="374"/>
      <c r="BJ1398" s="374"/>
      <c r="BK1398" s="374"/>
    </row>
    <row r="1399" spans="1:63" s="457" customFormat="1" ht="28.5" customHeight="1" x14ac:dyDescent="0.2">
      <c r="A1399" s="558" t="s">
        <v>323</v>
      </c>
      <c r="B1399" s="501"/>
      <c r="C1399" s="501"/>
      <c r="D1399" s="545" t="s">
        <v>92</v>
      </c>
      <c r="E1399" s="491"/>
      <c r="F1399" s="404"/>
      <c r="G1399" s="405"/>
      <c r="H1399" s="406"/>
      <c r="I1399" s="407">
        <f>SUM(I1400:I1488)</f>
        <v>145653.47999999998</v>
      </c>
      <c r="J1399" s="429"/>
      <c r="K1399" s="456"/>
      <c r="L1399" s="456"/>
      <c r="M1399" s="456"/>
      <c r="N1399" s="372"/>
      <c r="O1399" s="372"/>
      <c r="P1399" s="372"/>
      <c r="Q1399" s="373"/>
      <c r="R1399" s="372"/>
      <c r="S1399" s="373"/>
      <c r="T1399" s="373"/>
      <c r="U1399" s="373"/>
      <c r="V1399" s="373"/>
    </row>
    <row r="1400" spans="1:63" s="373" customFormat="1" ht="30" x14ac:dyDescent="0.2">
      <c r="A1400" s="542" t="s">
        <v>1151</v>
      </c>
      <c r="B1400" s="500" t="s">
        <v>45</v>
      </c>
      <c r="C1400" s="506" t="s">
        <v>730</v>
      </c>
      <c r="D1400" s="554" t="s">
        <v>731</v>
      </c>
      <c r="E1400" s="495" t="s">
        <v>15</v>
      </c>
      <c r="F1400" s="426">
        <f>5.2*8</f>
        <v>41.6</v>
      </c>
      <c r="G1400" s="426">
        <v>8.3000000000000007</v>
      </c>
      <c r="H1400" s="426">
        <f>G1400*(1+$L$16)</f>
        <v>10.494161995291234</v>
      </c>
      <c r="I1400" s="448">
        <f>ROUND(F1400*H1400,2)</f>
        <v>436.56</v>
      </c>
      <c r="J1400" s="437"/>
      <c r="K1400" s="426">
        <f>(3.3*3.2*2.8+2.7*3.2*0.97)</f>
        <v>37.948799999999999</v>
      </c>
      <c r="L1400" s="430" t="s">
        <v>586</v>
      </c>
      <c r="M1400" s="372"/>
      <c r="N1400" s="372"/>
      <c r="O1400" s="372"/>
      <c r="P1400" s="372"/>
      <c r="R1400" s="372"/>
    </row>
    <row r="1401" spans="1:63" s="373" customFormat="1" x14ac:dyDescent="0.2">
      <c r="A1401" s="542"/>
      <c r="B1401" s="500"/>
      <c r="C1401" s="506"/>
      <c r="D1401" s="554"/>
      <c r="E1401" s="495"/>
      <c r="F1401" s="426"/>
      <c r="G1401" s="426"/>
      <c r="H1401" s="426"/>
      <c r="I1401" s="448"/>
      <c r="J1401" s="437"/>
      <c r="K1401" s="437"/>
      <c r="L1401" s="430"/>
      <c r="M1401" s="372"/>
      <c r="N1401" s="372"/>
      <c r="O1401" s="372"/>
      <c r="P1401" s="372"/>
      <c r="R1401" s="372"/>
    </row>
    <row r="1402" spans="1:63" s="373" customFormat="1" ht="17.25" customHeight="1" x14ac:dyDescent="0.2">
      <c r="A1402" s="542"/>
      <c r="B1402" s="500"/>
      <c r="C1402" s="506"/>
      <c r="D1402" s="554" t="s">
        <v>2537</v>
      </c>
      <c r="E1402" s="495"/>
      <c r="F1402" s="426"/>
      <c r="G1402" s="426"/>
      <c r="H1402" s="426"/>
      <c r="I1402" s="448"/>
      <c r="J1402" s="437"/>
      <c r="K1402" s="437"/>
      <c r="L1402" s="430"/>
      <c r="M1402" s="372"/>
      <c r="N1402" s="372"/>
      <c r="O1402" s="372"/>
      <c r="P1402" s="372"/>
      <c r="R1402" s="372"/>
    </row>
    <row r="1403" spans="1:63" s="373" customFormat="1" x14ac:dyDescent="0.2">
      <c r="A1403" s="542"/>
      <c r="B1403" s="500"/>
      <c r="C1403" s="506"/>
      <c r="D1403" s="554"/>
      <c r="E1403" s="495"/>
      <c r="F1403" s="426"/>
      <c r="G1403" s="426"/>
      <c r="H1403" s="426"/>
      <c r="I1403" s="448"/>
      <c r="J1403" s="437"/>
      <c r="K1403" s="437"/>
      <c r="L1403" s="430"/>
      <c r="M1403" s="372"/>
      <c r="N1403" s="372"/>
      <c r="O1403" s="372"/>
      <c r="P1403" s="372"/>
      <c r="R1403" s="372"/>
    </row>
    <row r="1404" spans="1:63" s="373" customFormat="1" ht="30" x14ac:dyDescent="0.2">
      <c r="A1404" s="542" t="s">
        <v>1152</v>
      </c>
      <c r="B1404" s="506" t="s">
        <v>45</v>
      </c>
      <c r="C1404" s="500">
        <v>83338</v>
      </c>
      <c r="D1404" s="540" t="s">
        <v>795</v>
      </c>
      <c r="E1404" s="494" t="s">
        <v>16</v>
      </c>
      <c r="F1404" s="426">
        <f>(4.3*5.2*2.8+3.7*5.2*0.97)*0.9</f>
        <v>73.143720000000002</v>
      </c>
      <c r="G1404" s="426">
        <v>2.41</v>
      </c>
      <c r="H1404" s="426">
        <f>G1404*(1+$L$16)</f>
        <v>3.0471000492351656</v>
      </c>
      <c r="I1404" s="448">
        <f>ROUND(F1404*H1404,2)</f>
        <v>222.88</v>
      </c>
      <c r="J1404" s="437"/>
      <c r="K1404" s="372"/>
      <c r="L1404" s="430"/>
      <c r="M1404" s="372"/>
      <c r="N1404" s="372"/>
      <c r="O1404" s="372"/>
      <c r="P1404" s="372"/>
      <c r="R1404" s="372"/>
    </row>
    <row r="1405" spans="1:63" s="373" customFormat="1" x14ac:dyDescent="0.2">
      <c r="A1405" s="542"/>
      <c r="B1405" s="506"/>
      <c r="C1405" s="500"/>
      <c r="D1405" s="540"/>
      <c r="E1405" s="494"/>
      <c r="F1405" s="426"/>
      <c r="G1405" s="426"/>
      <c r="H1405" s="426"/>
      <c r="I1405" s="448"/>
      <c r="J1405" s="437"/>
      <c r="K1405" s="372"/>
      <c r="L1405" s="430"/>
      <c r="M1405" s="372"/>
      <c r="N1405" s="372"/>
      <c r="O1405" s="372"/>
      <c r="P1405" s="372"/>
      <c r="R1405" s="372"/>
    </row>
    <row r="1406" spans="1:63" s="373" customFormat="1" ht="30" x14ac:dyDescent="0.2">
      <c r="A1406" s="542"/>
      <c r="B1406" s="506"/>
      <c r="C1406" s="500"/>
      <c r="D1406" s="540" t="s">
        <v>2538</v>
      </c>
      <c r="E1406" s="494"/>
      <c r="F1406" s="426"/>
      <c r="G1406" s="426"/>
      <c r="H1406" s="426"/>
      <c r="I1406" s="448"/>
      <c r="J1406" s="437"/>
      <c r="K1406" s="372"/>
      <c r="L1406" s="430"/>
      <c r="M1406" s="372"/>
      <c r="N1406" s="372"/>
      <c r="O1406" s="372"/>
      <c r="P1406" s="372"/>
      <c r="R1406" s="372"/>
    </row>
    <row r="1407" spans="1:63" s="373" customFormat="1" x14ac:dyDescent="0.2">
      <c r="A1407" s="542"/>
      <c r="B1407" s="506"/>
      <c r="C1407" s="500"/>
      <c r="D1407" s="540"/>
      <c r="E1407" s="494"/>
      <c r="F1407" s="426"/>
      <c r="G1407" s="426"/>
      <c r="H1407" s="426"/>
      <c r="I1407" s="448"/>
      <c r="J1407" s="437"/>
      <c r="K1407" s="372"/>
      <c r="L1407" s="430"/>
      <c r="M1407" s="372"/>
      <c r="N1407" s="372"/>
      <c r="O1407" s="372"/>
      <c r="P1407" s="372"/>
      <c r="R1407" s="372"/>
    </row>
    <row r="1408" spans="1:63" s="457" customFormat="1" ht="14.25" customHeight="1" x14ac:dyDescent="0.2">
      <c r="A1408" s="542" t="s">
        <v>1153</v>
      </c>
      <c r="B1408" s="500" t="s">
        <v>45</v>
      </c>
      <c r="C1408" s="500">
        <v>93358</v>
      </c>
      <c r="D1408" s="540" t="s">
        <v>803</v>
      </c>
      <c r="E1408" s="495" t="s">
        <v>16</v>
      </c>
      <c r="F1408" s="426">
        <f>(4.3*5.2*2.8+3.7*5.2*0.97)*0.1</f>
        <v>8.1270799999999994</v>
      </c>
      <c r="G1408" s="426">
        <v>65.819999999999993</v>
      </c>
      <c r="H1408" s="426">
        <f>G1408*(1+$L$16)</f>
        <v>83.219968979526371</v>
      </c>
      <c r="I1408" s="448">
        <f>ROUND(F1408*H1408,2)</f>
        <v>676.34</v>
      </c>
      <c r="J1408" s="437"/>
      <c r="K1408" s="456"/>
      <c r="L1408" s="456"/>
      <c r="M1408" s="456"/>
      <c r="N1408" s="372"/>
      <c r="O1408" s="372"/>
      <c r="P1408" s="372"/>
      <c r="Q1408" s="373"/>
      <c r="R1408" s="372"/>
      <c r="S1408" s="373"/>
      <c r="T1408" s="373"/>
      <c r="U1408" s="373"/>
      <c r="V1408" s="373"/>
    </row>
    <row r="1409" spans="1:22" s="457" customFormat="1" ht="14.25" customHeight="1" x14ac:dyDescent="0.2">
      <c r="A1409" s="542"/>
      <c r="B1409" s="500"/>
      <c r="C1409" s="500"/>
      <c r="D1409" s="540"/>
      <c r="E1409" s="495"/>
      <c r="F1409" s="426"/>
      <c r="G1409" s="426"/>
      <c r="H1409" s="426"/>
      <c r="I1409" s="448"/>
      <c r="J1409" s="437"/>
      <c r="K1409" s="456"/>
      <c r="L1409" s="456"/>
      <c r="M1409" s="456"/>
      <c r="N1409" s="372"/>
      <c r="O1409" s="372"/>
      <c r="P1409" s="372"/>
      <c r="Q1409" s="373"/>
      <c r="R1409" s="372"/>
      <c r="S1409" s="373"/>
      <c r="T1409" s="373"/>
      <c r="U1409" s="373"/>
      <c r="V1409" s="373"/>
    </row>
    <row r="1410" spans="1:22" s="457" customFormat="1" ht="30" x14ac:dyDescent="0.2">
      <c r="A1410" s="542"/>
      <c r="B1410" s="500"/>
      <c r="C1410" s="500"/>
      <c r="D1410" s="540" t="s">
        <v>2539</v>
      </c>
      <c r="E1410" s="495"/>
      <c r="F1410" s="426"/>
      <c r="G1410" s="426"/>
      <c r="H1410" s="426"/>
      <c r="I1410" s="448"/>
      <c r="J1410" s="437"/>
      <c r="K1410" s="456"/>
      <c r="L1410" s="456"/>
      <c r="M1410" s="456"/>
      <c r="N1410" s="372"/>
      <c r="O1410" s="372"/>
      <c r="P1410" s="372"/>
      <c r="Q1410" s="373"/>
      <c r="R1410" s="372"/>
      <c r="S1410" s="373"/>
      <c r="T1410" s="373"/>
      <c r="U1410" s="373"/>
      <c r="V1410" s="373"/>
    </row>
    <row r="1411" spans="1:22" s="457" customFormat="1" ht="14.25" customHeight="1" x14ac:dyDescent="0.2">
      <c r="A1411" s="542"/>
      <c r="B1411" s="500"/>
      <c r="C1411" s="500"/>
      <c r="D1411" s="540"/>
      <c r="E1411" s="495"/>
      <c r="F1411" s="426"/>
      <c r="G1411" s="426"/>
      <c r="H1411" s="426"/>
      <c r="I1411" s="448"/>
      <c r="J1411" s="437"/>
      <c r="K1411" s="456"/>
      <c r="L1411" s="456"/>
      <c r="M1411" s="456"/>
      <c r="N1411" s="372"/>
      <c r="O1411" s="372"/>
      <c r="P1411" s="372"/>
      <c r="Q1411" s="373"/>
      <c r="R1411" s="372"/>
      <c r="S1411" s="373"/>
      <c r="T1411" s="373"/>
      <c r="U1411" s="373"/>
      <c r="V1411" s="373"/>
    </row>
    <row r="1412" spans="1:22" s="457" customFormat="1" x14ac:dyDescent="0.2">
      <c r="A1412" s="542" t="s">
        <v>1154</v>
      </c>
      <c r="B1412" s="500" t="s">
        <v>45</v>
      </c>
      <c r="C1412" s="500">
        <v>93382</v>
      </c>
      <c r="D1412" s="540" t="s">
        <v>732</v>
      </c>
      <c r="E1412" s="495" t="s">
        <v>16</v>
      </c>
      <c r="F1412" s="426">
        <f>F1404+F1408-K1400</f>
        <v>43.32200000000001</v>
      </c>
      <c r="G1412" s="426">
        <v>23.98</v>
      </c>
      <c r="H1412" s="426">
        <f>G1412*(1+$L$16)</f>
        <v>30.319277668323348</v>
      </c>
      <c r="I1412" s="448">
        <f>ROUND(F1412*H1412,2)</f>
        <v>1313.49</v>
      </c>
      <c r="J1412" s="437"/>
      <c r="K1412" s="456"/>
      <c r="L1412" s="456"/>
      <c r="M1412" s="456"/>
      <c r="N1412" s="372"/>
      <c r="O1412" s="372"/>
      <c r="P1412" s="372"/>
      <c r="Q1412" s="373"/>
      <c r="R1412" s="372"/>
      <c r="S1412" s="373"/>
      <c r="T1412" s="373"/>
      <c r="U1412" s="373"/>
      <c r="V1412" s="373"/>
    </row>
    <row r="1413" spans="1:22" s="457" customFormat="1" x14ac:dyDescent="0.2">
      <c r="A1413" s="542"/>
      <c r="B1413" s="500"/>
      <c r="C1413" s="500"/>
      <c r="D1413" s="540"/>
      <c r="E1413" s="495"/>
      <c r="F1413" s="426"/>
      <c r="G1413" s="426"/>
      <c r="H1413" s="426"/>
      <c r="I1413" s="448"/>
      <c r="J1413" s="437"/>
      <c r="K1413" s="456"/>
      <c r="L1413" s="456"/>
      <c r="M1413" s="456"/>
      <c r="N1413" s="372"/>
      <c r="O1413" s="372"/>
      <c r="P1413" s="372"/>
      <c r="Q1413" s="373"/>
      <c r="R1413" s="372"/>
      <c r="S1413" s="373"/>
      <c r="T1413" s="373"/>
      <c r="U1413" s="373"/>
      <c r="V1413" s="373"/>
    </row>
    <row r="1414" spans="1:22" s="457" customFormat="1" x14ac:dyDescent="0.2">
      <c r="A1414" s="542"/>
      <c r="B1414" s="500"/>
      <c r="C1414" s="500"/>
      <c r="D1414" s="540" t="s">
        <v>2540</v>
      </c>
      <c r="E1414" s="495"/>
      <c r="F1414" s="426"/>
      <c r="G1414" s="426"/>
      <c r="H1414" s="426"/>
      <c r="I1414" s="448"/>
      <c r="J1414" s="437"/>
      <c r="K1414" s="456"/>
      <c r="L1414" s="456"/>
      <c r="M1414" s="456"/>
      <c r="N1414" s="372"/>
      <c r="O1414" s="372"/>
      <c r="P1414" s="372"/>
      <c r="Q1414" s="373"/>
      <c r="R1414" s="372"/>
      <c r="S1414" s="373"/>
      <c r="T1414" s="373"/>
      <c r="U1414" s="373"/>
      <c r="V1414" s="373"/>
    </row>
    <row r="1415" spans="1:22" s="457" customFormat="1" x14ac:dyDescent="0.2">
      <c r="A1415" s="542"/>
      <c r="B1415" s="500"/>
      <c r="C1415" s="500"/>
      <c r="D1415" s="540"/>
      <c r="E1415" s="495"/>
      <c r="F1415" s="426"/>
      <c r="G1415" s="426"/>
      <c r="H1415" s="426"/>
      <c r="I1415" s="448"/>
      <c r="J1415" s="437"/>
      <c r="K1415" s="456"/>
      <c r="L1415" s="456"/>
      <c r="M1415" s="456"/>
      <c r="N1415" s="372"/>
      <c r="O1415" s="372"/>
      <c r="P1415" s="372"/>
      <c r="Q1415" s="373"/>
      <c r="R1415" s="372"/>
      <c r="S1415" s="373"/>
      <c r="T1415" s="373"/>
      <c r="U1415" s="373"/>
      <c r="V1415" s="373"/>
    </row>
    <row r="1416" spans="1:22" s="373" customFormat="1" x14ac:dyDescent="0.2">
      <c r="A1416" s="542" t="s">
        <v>1155</v>
      </c>
      <c r="B1416" s="500" t="s">
        <v>45</v>
      </c>
      <c r="C1416" s="500">
        <v>72898</v>
      </c>
      <c r="D1416" s="540" t="s">
        <v>770</v>
      </c>
      <c r="E1416" s="495" t="s">
        <v>16</v>
      </c>
      <c r="F1416" s="426">
        <f>F1404+F1408-F1412</f>
        <v>37.948799999999999</v>
      </c>
      <c r="G1416" s="426">
        <v>3.57</v>
      </c>
      <c r="H1416" s="426">
        <f>ROUND((1+$L$16)*G1416,2)</f>
        <v>4.51</v>
      </c>
      <c r="I1416" s="448">
        <f>ROUND(F1416*H1416,2)</f>
        <v>171.15</v>
      </c>
      <c r="J1416" s="444"/>
      <c r="K1416" s="372" t="s">
        <v>1213</v>
      </c>
      <c r="L1416" s="424">
        <v>21583.700000000004</v>
      </c>
      <c r="M1416" s="372"/>
      <c r="N1416" s="372">
        <v>170</v>
      </c>
      <c r="O1416" s="372"/>
      <c r="P1416" s="372"/>
      <c r="R1416" s="372"/>
    </row>
    <row r="1417" spans="1:22" s="373" customFormat="1" x14ac:dyDescent="0.2">
      <c r="A1417" s="542"/>
      <c r="B1417" s="500"/>
      <c r="C1417" s="500"/>
      <c r="D1417" s="540"/>
      <c r="E1417" s="495"/>
      <c r="F1417" s="426"/>
      <c r="G1417" s="426"/>
      <c r="H1417" s="426"/>
      <c r="I1417" s="448"/>
      <c r="J1417" s="444"/>
      <c r="K1417" s="372"/>
      <c r="L1417" s="424"/>
      <c r="M1417" s="372"/>
      <c r="N1417" s="372"/>
      <c r="O1417" s="372"/>
      <c r="P1417" s="372"/>
      <c r="R1417" s="372"/>
    </row>
    <row r="1418" spans="1:22" s="373" customFormat="1" x14ac:dyDescent="0.2">
      <c r="A1418" s="542"/>
      <c r="B1418" s="500"/>
      <c r="C1418" s="500"/>
      <c r="D1418" s="540" t="s">
        <v>2542</v>
      </c>
      <c r="E1418" s="495"/>
      <c r="F1418" s="426"/>
      <c r="G1418" s="426"/>
      <c r="H1418" s="426"/>
      <c r="I1418" s="448"/>
      <c r="J1418" s="444"/>
      <c r="K1418" s="372"/>
      <c r="L1418" s="424"/>
      <c r="M1418" s="372"/>
      <c r="N1418" s="372"/>
      <c r="O1418" s="372"/>
      <c r="P1418" s="372"/>
      <c r="R1418" s="372"/>
    </row>
    <row r="1419" spans="1:22" s="373" customFormat="1" x14ac:dyDescent="0.2">
      <c r="A1419" s="542"/>
      <c r="B1419" s="500"/>
      <c r="C1419" s="500"/>
      <c r="D1419" s="540"/>
      <c r="E1419" s="495"/>
      <c r="F1419" s="426"/>
      <c r="G1419" s="426"/>
      <c r="H1419" s="426"/>
      <c r="I1419" s="448"/>
      <c r="J1419" s="444"/>
      <c r="K1419" s="372"/>
      <c r="L1419" s="424"/>
      <c r="M1419" s="372"/>
      <c r="N1419" s="372"/>
      <c r="O1419" s="372"/>
      <c r="P1419" s="372"/>
      <c r="R1419" s="372"/>
    </row>
    <row r="1420" spans="1:22" s="457" customFormat="1" x14ac:dyDescent="0.2">
      <c r="A1420" s="542" t="s">
        <v>1156</v>
      </c>
      <c r="B1420" s="500" t="s">
        <v>45</v>
      </c>
      <c r="C1420" s="500">
        <v>72885</v>
      </c>
      <c r="D1420" s="540" t="s">
        <v>333</v>
      </c>
      <c r="E1420" s="495" t="s">
        <v>725</v>
      </c>
      <c r="F1420" s="426">
        <f>F1416*5</f>
        <v>189.744</v>
      </c>
      <c r="G1420" s="426">
        <v>1.36</v>
      </c>
      <c r="H1420" s="426">
        <f>ROUND((1+$L$16)*G1420,2)</f>
        <v>1.72</v>
      </c>
      <c r="I1420" s="448">
        <f t="shared" ref="I1420:I1424" si="88">ROUND(F1420*H1420,2)</f>
        <v>326.36</v>
      </c>
      <c r="J1420" s="437"/>
      <c r="K1420" s="456"/>
      <c r="L1420" s="456"/>
      <c r="M1420" s="456"/>
      <c r="N1420" s="372"/>
      <c r="O1420" s="372"/>
      <c r="P1420" s="372"/>
      <c r="Q1420" s="373"/>
      <c r="R1420" s="372"/>
      <c r="S1420" s="373"/>
      <c r="T1420" s="373"/>
      <c r="U1420" s="373"/>
      <c r="V1420" s="373"/>
    </row>
    <row r="1421" spans="1:22" s="457" customFormat="1" x14ac:dyDescent="0.2">
      <c r="A1421" s="542"/>
      <c r="B1421" s="500"/>
      <c r="C1421" s="500"/>
      <c r="D1421" s="540"/>
      <c r="E1421" s="495"/>
      <c r="F1421" s="426"/>
      <c r="G1421" s="426"/>
      <c r="H1421" s="426"/>
      <c r="I1421" s="448"/>
      <c r="J1421" s="437"/>
      <c r="K1421" s="456"/>
      <c r="L1421" s="456"/>
      <c r="M1421" s="456"/>
      <c r="N1421" s="372"/>
      <c r="O1421" s="372"/>
      <c r="P1421" s="372"/>
      <c r="Q1421" s="373"/>
      <c r="R1421" s="372"/>
      <c r="S1421" s="373"/>
      <c r="T1421" s="373"/>
      <c r="U1421" s="373"/>
      <c r="V1421" s="373"/>
    </row>
    <row r="1422" spans="1:22" s="457" customFormat="1" x14ac:dyDescent="0.2">
      <c r="A1422" s="542"/>
      <c r="B1422" s="500"/>
      <c r="C1422" s="500"/>
      <c r="D1422" s="540" t="s">
        <v>2541</v>
      </c>
      <c r="E1422" s="495"/>
      <c r="F1422" s="426"/>
      <c r="G1422" s="426"/>
      <c r="H1422" s="426"/>
      <c r="I1422" s="448"/>
      <c r="J1422" s="437"/>
      <c r="K1422" s="456"/>
      <c r="L1422" s="456"/>
      <c r="M1422" s="456"/>
      <c r="N1422" s="372"/>
      <c r="O1422" s="372"/>
      <c r="P1422" s="372"/>
      <c r="Q1422" s="373"/>
      <c r="R1422" s="372"/>
      <c r="S1422" s="373"/>
      <c r="T1422" s="373"/>
      <c r="U1422" s="373"/>
      <c r="V1422" s="373"/>
    </row>
    <row r="1423" spans="1:22" s="457" customFormat="1" x14ac:dyDescent="0.2">
      <c r="A1423" s="542"/>
      <c r="B1423" s="500"/>
      <c r="C1423" s="500"/>
      <c r="D1423" s="540"/>
      <c r="E1423" s="495"/>
      <c r="F1423" s="426"/>
      <c r="G1423" s="426"/>
      <c r="H1423" s="426"/>
      <c r="I1423" s="448"/>
      <c r="J1423" s="437"/>
      <c r="K1423" s="456"/>
      <c r="L1423" s="456"/>
      <c r="M1423" s="456"/>
      <c r="N1423" s="372"/>
      <c r="O1423" s="372"/>
      <c r="P1423" s="372"/>
      <c r="Q1423" s="373"/>
      <c r="R1423" s="372"/>
      <c r="S1423" s="373"/>
      <c r="T1423" s="373"/>
      <c r="U1423" s="373"/>
      <c r="V1423" s="373"/>
    </row>
    <row r="1424" spans="1:22" s="373" customFormat="1" x14ac:dyDescent="0.2">
      <c r="A1424" s="542" t="s">
        <v>1157</v>
      </c>
      <c r="B1424" s="500" t="s">
        <v>45</v>
      </c>
      <c r="C1424" s="500" t="s">
        <v>57</v>
      </c>
      <c r="D1424" s="540" t="s">
        <v>726</v>
      </c>
      <c r="E1424" s="495" t="s">
        <v>16</v>
      </c>
      <c r="F1424" s="426">
        <f>F1416</f>
        <v>37.948799999999999</v>
      </c>
      <c r="G1424" s="426">
        <v>1.94</v>
      </c>
      <c r="H1424" s="426">
        <f>ROUND((1+$L$16)*G1424,2)</f>
        <v>2.4500000000000002</v>
      </c>
      <c r="I1424" s="448">
        <f t="shared" si="88"/>
        <v>92.97</v>
      </c>
      <c r="J1424" s="437"/>
      <c r="K1424" s="372"/>
      <c r="L1424" s="430"/>
      <c r="M1424" s="372"/>
      <c r="N1424" s="372"/>
      <c r="O1424" s="372"/>
      <c r="P1424" s="372"/>
      <c r="R1424" s="372"/>
    </row>
    <row r="1425" spans="1:18" s="373" customFormat="1" x14ac:dyDescent="0.2">
      <c r="A1425" s="542"/>
      <c r="B1425" s="500"/>
      <c r="C1425" s="500"/>
      <c r="D1425" s="540"/>
      <c r="E1425" s="495"/>
      <c r="F1425" s="426"/>
      <c r="G1425" s="426"/>
      <c r="H1425" s="426"/>
      <c r="I1425" s="448"/>
      <c r="J1425" s="437"/>
      <c r="K1425" s="372"/>
      <c r="L1425" s="430"/>
      <c r="M1425" s="372"/>
      <c r="N1425" s="372"/>
      <c r="O1425" s="372"/>
      <c r="P1425" s="372"/>
      <c r="R1425" s="372"/>
    </row>
    <row r="1426" spans="1:18" s="373" customFormat="1" x14ac:dyDescent="0.2">
      <c r="A1426" s="542"/>
      <c r="B1426" s="500"/>
      <c r="C1426" s="500"/>
      <c r="D1426" s="540" t="s">
        <v>2542</v>
      </c>
      <c r="E1426" s="495"/>
      <c r="F1426" s="426"/>
      <c r="G1426" s="426"/>
      <c r="H1426" s="426"/>
      <c r="I1426" s="448"/>
      <c r="J1426" s="437"/>
      <c r="K1426" s="372"/>
      <c r="L1426" s="430"/>
      <c r="M1426" s="372"/>
      <c r="N1426" s="372"/>
      <c r="O1426" s="372"/>
      <c r="P1426" s="372"/>
      <c r="R1426" s="372"/>
    </row>
    <row r="1427" spans="1:18" s="373" customFormat="1" x14ac:dyDescent="0.2">
      <c r="A1427" s="550"/>
      <c r="B1427" s="551"/>
      <c r="C1427" s="551"/>
      <c r="D1427" s="552"/>
      <c r="E1427" s="495"/>
      <c r="F1427" s="426"/>
      <c r="G1427" s="426"/>
      <c r="H1427" s="426"/>
      <c r="I1427" s="448"/>
      <c r="J1427" s="437"/>
      <c r="K1427" s="372"/>
      <c r="L1427" s="430"/>
      <c r="M1427" s="372"/>
      <c r="N1427" s="372"/>
      <c r="O1427" s="372"/>
      <c r="P1427" s="372"/>
      <c r="R1427" s="372"/>
    </row>
    <row r="1428" spans="1:18" s="373" customFormat="1" ht="45" x14ac:dyDescent="0.2">
      <c r="A1428" s="542" t="s">
        <v>1158</v>
      </c>
      <c r="B1428" s="500" t="s">
        <v>335</v>
      </c>
      <c r="C1428" s="500" t="s">
        <v>371</v>
      </c>
      <c r="D1428" s="540" t="s">
        <v>2536</v>
      </c>
      <c r="E1428" s="495" t="s">
        <v>18</v>
      </c>
      <c r="F1428" s="426">
        <v>1</v>
      </c>
      <c r="G1428" s="426">
        <v>5008.24</v>
      </c>
      <c r="H1428" s="426">
        <v>6332.2</v>
      </c>
      <c r="I1428" s="448">
        <v>6332.2</v>
      </c>
      <c r="J1428" s="437"/>
      <c r="K1428" s="372"/>
      <c r="L1428" s="430"/>
      <c r="M1428" s="372"/>
      <c r="N1428" s="372"/>
      <c r="O1428" s="372"/>
      <c r="P1428" s="372"/>
      <c r="R1428" s="372"/>
    </row>
    <row r="1429" spans="1:18" s="373" customFormat="1" x14ac:dyDescent="0.2">
      <c r="A1429" s="542"/>
      <c r="B1429" s="500"/>
      <c r="C1429" s="500"/>
      <c r="D1429" s="540"/>
      <c r="E1429" s="495"/>
      <c r="F1429" s="426"/>
      <c r="G1429" s="426"/>
      <c r="H1429" s="426"/>
      <c r="I1429" s="448"/>
      <c r="J1429" s="437"/>
      <c r="K1429" s="372"/>
      <c r="L1429" s="430"/>
      <c r="M1429" s="372"/>
      <c r="N1429" s="372"/>
      <c r="O1429" s="372"/>
      <c r="P1429" s="372"/>
      <c r="R1429" s="372"/>
    </row>
    <row r="1430" spans="1:18" s="373" customFormat="1" x14ac:dyDescent="0.2">
      <c r="A1430" s="542"/>
      <c r="B1430" s="500"/>
      <c r="C1430" s="500"/>
      <c r="D1430" s="554" t="s">
        <v>2543</v>
      </c>
      <c r="E1430" s="495"/>
      <c r="F1430" s="426"/>
      <c r="G1430" s="426"/>
      <c r="H1430" s="426"/>
      <c r="I1430" s="448"/>
      <c r="J1430" s="437"/>
      <c r="K1430" s="372"/>
      <c r="L1430" s="430"/>
      <c r="M1430" s="372"/>
      <c r="N1430" s="372"/>
      <c r="O1430" s="372"/>
      <c r="P1430" s="372"/>
      <c r="R1430" s="372"/>
    </row>
    <row r="1431" spans="1:18" s="373" customFormat="1" x14ac:dyDescent="0.2">
      <c r="A1431" s="542"/>
      <c r="B1431" s="500"/>
      <c r="C1431" s="500"/>
      <c r="D1431" s="540"/>
      <c r="E1431" s="495"/>
      <c r="F1431" s="426"/>
      <c r="G1431" s="426"/>
      <c r="H1431" s="426"/>
      <c r="I1431" s="448"/>
      <c r="J1431" s="437"/>
      <c r="K1431" s="372"/>
      <c r="L1431" s="430"/>
      <c r="M1431" s="372"/>
      <c r="N1431" s="372"/>
      <c r="O1431" s="372"/>
      <c r="P1431" s="372"/>
      <c r="R1431" s="372"/>
    </row>
    <row r="1432" spans="1:18" s="373" customFormat="1" ht="29.25" customHeight="1" x14ac:dyDescent="0.2">
      <c r="A1432" s="542" t="s">
        <v>1159</v>
      </c>
      <c r="B1432" s="500" t="s">
        <v>45</v>
      </c>
      <c r="C1432" s="506">
        <v>95241</v>
      </c>
      <c r="D1432" s="554" t="s">
        <v>733</v>
      </c>
      <c r="E1432" s="495" t="s">
        <v>15</v>
      </c>
      <c r="F1432" s="426">
        <f>3.2*6</f>
        <v>19.200000000000003</v>
      </c>
      <c r="G1432" s="426">
        <v>19.88</v>
      </c>
      <c r="H1432" s="426">
        <f>G1432*(1+$L$16)</f>
        <v>25.135414514022855</v>
      </c>
      <c r="I1432" s="448">
        <f>ROUND(F1432*H1432,2)</f>
        <v>482.6</v>
      </c>
      <c r="J1432" s="437"/>
      <c r="K1432" s="372"/>
      <c r="L1432" s="430"/>
      <c r="M1432" s="372"/>
      <c r="N1432" s="372"/>
      <c r="O1432" s="372"/>
      <c r="P1432" s="372"/>
      <c r="R1432" s="372"/>
    </row>
    <row r="1433" spans="1:18" s="373" customFormat="1" x14ac:dyDescent="0.2">
      <c r="A1433" s="542"/>
      <c r="B1433" s="500"/>
      <c r="C1433" s="506"/>
      <c r="D1433" s="554"/>
      <c r="E1433" s="495"/>
      <c r="F1433" s="426"/>
      <c r="G1433" s="426"/>
      <c r="H1433" s="426"/>
      <c r="I1433" s="510"/>
      <c r="J1433" s="437"/>
      <c r="K1433" s="372"/>
      <c r="L1433" s="430"/>
      <c r="M1433" s="372"/>
      <c r="N1433" s="372"/>
      <c r="O1433" s="372"/>
      <c r="P1433" s="372"/>
      <c r="R1433" s="372"/>
    </row>
    <row r="1434" spans="1:18" s="373" customFormat="1" x14ac:dyDescent="0.2">
      <c r="A1434" s="542"/>
      <c r="B1434" s="500"/>
      <c r="C1434" s="506"/>
      <c r="D1434" s="554" t="s">
        <v>2544</v>
      </c>
      <c r="E1434" s="495"/>
      <c r="F1434" s="426"/>
      <c r="G1434" s="426"/>
      <c r="H1434" s="426"/>
      <c r="I1434" s="510"/>
      <c r="J1434" s="437"/>
      <c r="K1434" s="372"/>
      <c r="L1434" s="430"/>
      <c r="M1434" s="372"/>
      <c r="N1434" s="372"/>
      <c r="O1434" s="372"/>
      <c r="P1434" s="372"/>
      <c r="R1434" s="372"/>
    </row>
    <row r="1435" spans="1:18" s="373" customFormat="1" x14ac:dyDescent="0.2">
      <c r="A1435" s="542"/>
      <c r="B1435" s="500"/>
      <c r="C1435" s="506"/>
      <c r="D1435" s="554"/>
      <c r="E1435" s="495"/>
      <c r="F1435" s="426"/>
      <c r="G1435" s="426"/>
      <c r="H1435" s="426"/>
      <c r="I1435" s="510"/>
      <c r="J1435" s="437"/>
      <c r="K1435" s="372"/>
      <c r="L1435" s="430"/>
      <c r="M1435" s="372"/>
      <c r="N1435" s="372"/>
      <c r="O1435" s="372"/>
      <c r="P1435" s="372"/>
      <c r="R1435" s="372"/>
    </row>
    <row r="1436" spans="1:18" s="373" customFormat="1" ht="45" x14ac:dyDescent="0.2">
      <c r="A1436" s="542" t="s">
        <v>1160</v>
      </c>
      <c r="B1436" s="500" t="s">
        <v>45</v>
      </c>
      <c r="C1436" s="506">
        <v>92417</v>
      </c>
      <c r="D1436" s="554" t="s">
        <v>1388</v>
      </c>
      <c r="E1436" s="495" t="s">
        <v>15</v>
      </c>
      <c r="F1436" s="426">
        <v>77</v>
      </c>
      <c r="G1436" s="426">
        <v>96.25</v>
      </c>
      <c r="H1436" s="426">
        <v>121.69</v>
      </c>
      <c r="I1436" s="510">
        <v>9370.1299999999992</v>
      </c>
      <c r="J1436" s="437"/>
      <c r="K1436" s="372"/>
      <c r="L1436" s="430"/>
      <c r="M1436" s="372"/>
      <c r="N1436" s="372"/>
      <c r="O1436" s="372"/>
      <c r="P1436" s="372"/>
      <c r="R1436" s="372"/>
    </row>
    <row r="1437" spans="1:18" s="373" customFormat="1" x14ac:dyDescent="0.2">
      <c r="A1437" s="542"/>
      <c r="B1437" s="500"/>
      <c r="C1437" s="506"/>
      <c r="D1437" s="554"/>
      <c r="E1437" s="495"/>
      <c r="F1437" s="426"/>
      <c r="G1437" s="426"/>
      <c r="H1437" s="426"/>
      <c r="I1437" s="510"/>
      <c r="J1437" s="437"/>
      <c r="K1437" s="372"/>
      <c r="L1437" s="430"/>
      <c r="M1437" s="372"/>
      <c r="N1437" s="372"/>
      <c r="O1437" s="372"/>
      <c r="P1437" s="372"/>
      <c r="R1437" s="372"/>
    </row>
    <row r="1438" spans="1:18" s="373" customFormat="1" x14ac:dyDescent="0.2">
      <c r="A1438" s="542"/>
      <c r="B1438" s="500"/>
      <c r="C1438" s="506"/>
      <c r="D1438" s="554" t="s">
        <v>2545</v>
      </c>
      <c r="E1438" s="495"/>
      <c r="F1438" s="426"/>
      <c r="G1438" s="426"/>
      <c r="H1438" s="426"/>
      <c r="I1438" s="510"/>
      <c r="J1438" s="437"/>
      <c r="K1438" s="372"/>
      <c r="L1438" s="430"/>
      <c r="M1438" s="372"/>
      <c r="N1438" s="372"/>
      <c r="O1438" s="372"/>
      <c r="P1438" s="372"/>
      <c r="R1438" s="372"/>
    </row>
    <row r="1439" spans="1:18" s="373" customFormat="1" x14ac:dyDescent="0.2">
      <c r="A1439" s="542"/>
      <c r="B1439" s="500"/>
      <c r="C1439" s="506"/>
      <c r="D1439" s="554"/>
      <c r="E1439" s="495"/>
      <c r="F1439" s="426"/>
      <c r="G1439" s="426"/>
      <c r="H1439" s="426"/>
      <c r="I1439" s="510"/>
      <c r="J1439" s="437"/>
      <c r="K1439" s="372"/>
      <c r="L1439" s="430"/>
      <c r="M1439" s="372"/>
      <c r="N1439" s="372"/>
      <c r="O1439" s="372"/>
      <c r="P1439" s="372"/>
      <c r="R1439" s="372"/>
    </row>
    <row r="1440" spans="1:18" s="373" customFormat="1" ht="30" x14ac:dyDescent="0.2">
      <c r="A1440" s="542" t="s">
        <v>1518</v>
      </c>
      <c r="B1440" s="500" t="s">
        <v>45</v>
      </c>
      <c r="C1440" s="506">
        <v>92508</v>
      </c>
      <c r="D1440" s="554" t="s">
        <v>1392</v>
      </c>
      <c r="E1440" s="495" t="s">
        <v>15</v>
      </c>
      <c r="F1440" s="426">
        <v>76.800000000000011</v>
      </c>
      <c r="G1440" s="426">
        <v>44.92</v>
      </c>
      <c r="H1440" s="426">
        <v>56.79</v>
      </c>
      <c r="I1440" s="510">
        <v>4361.47</v>
      </c>
      <c r="J1440" s="437"/>
      <c r="K1440" s="372"/>
      <c r="L1440" s="430"/>
      <c r="M1440" s="372"/>
      <c r="N1440" s="372"/>
      <c r="O1440" s="372"/>
      <c r="P1440" s="372"/>
      <c r="R1440" s="372"/>
    </row>
    <row r="1441" spans="1:18" s="373" customFormat="1" x14ac:dyDescent="0.2">
      <c r="A1441" s="542"/>
      <c r="B1441" s="500"/>
      <c r="C1441" s="506"/>
      <c r="D1441" s="554"/>
      <c r="E1441" s="495"/>
      <c r="F1441" s="426"/>
      <c r="G1441" s="426"/>
      <c r="H1441" s="426"/>
      <c r="I1441" s="510"/>
      <c r="J1441" s="437"/>
      <c r="K1441" s="372"/>
      <c r="L1441" s="430"/>
      <c r="M1441" s="372"/>
      <c r="N1441" s="372"/>
      <c r="O1441" s="372"/>
      <c r="P1441" s="372"/>
      <c r="R1441" s="372"/>
    </row>
    <row r="1442" spans="1:18" s="373" customFormat="1" x14ac:dyDescent="0.2">
      <c r="A1442" s="542"/>
      <c r="B1442" s="500"/>
      <c r="C1442" s="506"/>
      <c r="D1442" s="554" t="s">
        <v>2546</v>
      </c>
      <c r="E1442" s="495"/>
      <c r="F1442" s="426"/>
      <c r="G1442" s="426"/>
      <c r="H1442" s="426"/>
      <c r="I1442" s="510"/>
      <c r="J1442" s="437"/>
      <c r="K1442" s="372"/>
      <c r="L1442" s="430"/>
      <c r="M1442" s="372"/>
      <c r="N1442" s="372"/>
      <c r="O1442" s="372"/>
      <c r="P1442" s="372"/>
      <c r="R1442" s="372"/>
    </row>
    <row r="1443" spans="1:18" s="373" customFormat="1" x14ac:dyDescent="0.2">
      <c r="A1443" s="542"/>
      <c r="B1443" s="500"/>
      <c r="C1443" s="506"/>
      <c r="D1443" s="554"/>
      <c r="E1443" s="495"/>
      <c r="F1443" s="426"/>
      <c r="G1443" s="426"/>
      <c r="H1443" s="426"/>
      <c r="I1443" s="510"/>
      <c r="J1443" s="437"/>
      <c r="K1443" s="372"/>
      <c r="L1443" s="430"/>
      <c r="M1443" s="372"/>
      <c r="N1443" s="372"/>
      <c r="O1443" s="372"/>
      <c r="P1443" s="372"/>
      <c r="R1443" s="372"/>
    </row>
    <row r="1444" spans="1:18" s="447" customFormat="1" x14ac:dyDescent="0.2">
      <c r="A1444" s="542" t="s">
        <v>1519</v>
      </c>
      <c r="B1444" s="506" t="s">
        <v>45</v>
      </c>
      <c r="C1444" s="506">
        <v>33</v>
      </c>
      <c r="D1444" s="540" t="s">
        <v>799</v>
      </c>
      <c r="E1444" s="494" t="s">
        <v>169</v>
      </c>
      <c r="F1444" s="426">
        <v>186</v>
      </c>
      <c r="G1444" s="426">
        <v>4.1900000000000004</v>
      </c>
      <c r="H1444" s="426">
        <v>4.8899999999999997</v>
      </c>
      <c r="I1444" s="445">
        <v>909.54</v>
      </c>
      <c r="J1444" s="446"/>
      <c r="K1444" s="446"/>
      <c r="L1444" s="446"/>
      <c r="M1444" s="446"/>
      <c r="N1444" s="446"/>
      <c r="O1444" s="446"/>
    </row>
    <row r="1445" spans="1:18" s="447" customFormat="1" x14ac:dyDescent="0.2">
      <c r="A1445" s="542"/>
      <c r="B1445" s="506"/>
      <c r="C1445" s="506"/>
      <c r="D1445" s="540"/>
      <c r="E1445" s="494"/>
      <c r="F1445" s="426"/>
      <c r="G1445" s="426"/>
      <c r="H1445" s="426"/>
      <c r="I1445" s="445"/>
      <c r="J1445" s="446"/>
      <c r="K1445" s="446"/>
      <c r="L1445" s="446"/>
      <c r="M1445" s="446"/>
      <c r="N1445" s="446"/>
      <c r="O1445" s="446"/>
    </row>
    <row r="1446" spans="1:18" s="447" customFormat="1" x14ac:dyDescent="0.2">
      <c r="A1446" s="542"/>
      <c r="B1446" s="506"/>
      <c r="C1446" s="506"/>
      <c r="D1446" s="554" t="s">
        <v>2547</v>
      </c>
      <c r="E1446" s="494"/>
      <c r="F1446" s="426"/>
      <c r="G1446" s="426"/>
      <c r="H1446" s="426"/>
      <c r="I1446" s="445"/>
      <c r="J1446" s="446"/>
      <c r="K1446" s="446"/>
      <c r="L1446" s="446"/>
      <c r="M1446" s="446"/>
      <c r="N1446" s="446"/>
      <c r="O1446" s="446"/>
    </row>
    <row r="1447" spans="1:18" s="447" customFormat="1" x14ac:dyDescent="0.2">
      <c r="A1447" s="542"/>
      <c r="B1447" s="506"/>
      <c r="C1447" s="506"/>
      <c r="D1447" s="540"/>
      <c r="E1447" s="494"/>
      <c r="F1447" s="426"/>
      <c r="G1447" s="426"/>
      <c r="H1447" s="426"/>
      <c r="I1447" s="445"/>
      <c r="J1447" s="446"/>
      <c r="K1447" s="446"/>
      <c r="L1447" s="446"/>
      <c r="M1447" s="446"/>
      <c r="N1447" s="446"/>
      <c r="O1447" s="446"/>
    </row>
    <row r="1448" spans="1:18" s="447" customFormat="1" x14ac:dyDescent="0.2">
      <c r="A1448" s="542" t="s">
        <v>1161</v>
      </c>
      <c r="B1448" s="506" t="s">
        <v>45</v>
      </c>
      <c r="C1448" s="506">
        <v>34439</v>
      </c>
      <c r="D1448" s="540" t="s">
        <v>798</v>
      </c>
      <c r="E1448" s="494" t="s">
        <v>169</v>
      </c>
      <c r="F1448" s="426">
        <v>1589</v>
      </c>
      <c r="G1448" s="426">
        <v>4</v>
      </c>
      <c r="H1448" s="426">
        <v>4.67</v>
      </c>
      <c r="I1448" s="445">
        <v>7420.63</v>
      </c>
      <c r="J1448" s="446"/>
      <c r="K1448" s="446"/>
      <c r="L1448" s="446"/>
      <c r="M1448" s="446"/>
      <c r="N1448" s="446"/>
      <c r="O1448" s="446"/>
    </row>
    <row r="1449" spans="1:18" s="447" customFormat="1" x14ac:dyDescent="0.2">
      <c r="A1449" s="542"/>
      <c r="B1449" s="506"/>
      <c r="C1449" s="506"/>
      <c r="D1449" s="540"/>
      <c r="E1449" s="494"/>
      <c r="F1449" s="426"/>
      <c r="G1449" s="426"/>
      <c r="H1449" s="426"/>
      <c r="I1449" s="455"/>
      <c r="J1449" s="446"/>
      <c r="K1449" s="446"/>
      <c r="L1449" s="446"/>
      <c r="M1449" s="446"/>
      <c r="N1449" s="446"/>
      <c r="O1449" s="446"/>
    </row>
    <row r="1450" spans="1:18" s="447" customFormat="1" ht="18.75" customHeight="1" x14ac:dyDescent="0.2">
      <c r="A1450" s="542"/>
      <c r="B1450" s="506"/>
      <c r="C1450" s="506"/>
      <c r="D1450" s="554" t="s">
        <v>2548</v>
      </c>
      <c r="E1450" s="494"/>
      <c r="F1450" s="426"/>
      <c r="G1450" s="426"/>
      <c r="H1450" s="426"/>
      <c r="I1450" s="455"/>
      <c r="J1450" s="446"/>
      <c r="K1450" s="446"/>
      <c r="L1450" s="446"/>
      <c r="M1450" s="446"/>
      <c r="N1450" s="446"/>
      <c r="O1450" s="446"/>
    </row>
    <row r="1451" spans="1:18" s="447" customFormat="1" x14ac:dyDescent="0.2">
      <c r="A1451" s="542"/>
      <c r="B1451" s="506"/>
      <c r="C1451" s="506"/>
      <c r="D1451" s="540"/>
      <c r="E1451" s="494"/>
      <c r="F1451" s="426"/>
      <c r="G1451" s="426"/>
      <c r="H1451" s="426"/>
      <c r="I1451" s="455"/>
      <c r="J1451" s="446"/>
      <c r="K1451" s="446"/>
      <c r="L1451" s="446"/>
      <c r="M1451" s="446"/>
      <c r="N1451" s="446"/>
      <c r="O1451" s="446"/>
    </row>
    <row r="1452" spans="1:18" s="447" customFormat="1" ht="30" x14ac:dyDescent="0.2">
      <c r="A1452" s="542" t="s">
        <v>1162</v>
      </c>
      <c r="B1452" s="506" t="s">
        <v>45</v>
      </c>
      <c r="C1452" s="506">
        <v>94967</v>
      </c>
      <c r="D1452" s="540" t="s">
        <v>1351</v>
      </c>
      <c r="E1452" s="494" t="s">
        <v>16</v>
      </c>
      <c r="F1452" s="426">
        <v>20.5</v>
      </c>
      <c r="G1452" s="426">
        <v>331.4</v>
      </c>
      <c r="H1452" s="426">
        <v>419.01</v>
      </c>
      <c r="I1452" s="455">
        <v>8589.7099999999991</v>
      </c>
      <c r="J1452" s="446"/>
      <c r="K1452" s="446"/>
      <c r="L1452" s="446"/>
      <c r="M1452" s="446"/>
      <c r="N1452" s="446"/>
      <c r="O1452" s="446"/>
    </row>
    <row r="1453" spans="1:18" s="447" customFormat="1" x14ac:dyDescent="0.2">
      <c r="A1453" s="542"/>
      <c r="B1453" s="506"/>
      <c r="C1453" s="506"/>
      <c r="D1453" s="540"/>
      <c r="E1453" s="494"/>
      <c r="F1453" s="426"/>
      <c r="G1453" s="426"/>
      <c r="H1453" s="426"/>
      <c r="I1453" s="455"/>
      <c r="J1453" s="446"/>
      <c r="K1453" s="446"/>
      <c r="L1453" s="446"/>
      <c r="M1453" s="446"/>
      <c r="N1453" s="446"/>
      <c r="O1453" s="446"/>
    </row>
    <row r="1454" spans="1:18" s="447" customFormat="1" x14ac:dyDescent="0.2">
      <c r="A1454" s="542"/>
      <c r="B1454" s="506"/>
      <c r="C1454" s="506"/>
      <c r="D1454" s="540" t="s">
        <v>2549</v>
      </c>
      <c r="E1454" s="494"/>
      <c r="F1454" s="426"/>
      <c r="G1454" s="426"/>
      <c r="H1454" s="426"/>
      <c r="I1454" s="455"/>
      <c r="J1454" s="446"/>
      <c r="K1454" s="446"/>
      <c r="L1454" s="446"/>
      <c r="M1454" s="446"/>
      <c r="N1454" s="446"/>
      <c r="O1454" s="446"/>
    </row>
    <row r="1455" spans="1:18" s="447" customFormat="1" x14ac:dyDescent="0.2">
      <c r="A1455" s="542"/>
      <c r="B1455" s="506"/>
      <c r="C1455" s="506"/>
      <c r="D1455" s="540"/>
      <c r="E1455" s="494"/>
      <c r="F1455" s="426"/>
      <c r="G1455" s="426"/>
      <c r="H1455" s="426"/>
      <c r="I1455" s="455"/>
      <c r="J1455" s="446"/>
      <c r="K1455" s="446"/>
      <c r="L1455" s="446"/>
      <c r="M1455" s="446"/>
      <c r="N1455" s="446"/>
      <c r="O1455" s="446"/>
    </row>
    <row r="1456" spans="1:18" s="447" customFormat="1" ht="30" x14ac:dyDescent="0.2">
      <c r="A1456" s="542" t="s">
        <v>1163</v>
      </c>
      <c r="B1456" s="506" t="s">
        <v>45</v>
      </c>
      <c r="C1456" s="506">
        <v>92874</v>
      </c>
      <c r="D1456" s="540" t="s">
        <v>800</v>
      </c>
      <c r="E1456" s="494" t="s">
        <v>16</v>
      </c>
      <c r="F1456" s="426">
        <v>20.5</v>
      </c>
      <c r="G1456" s="426">
        <v>27.56</v>
      </c>
      <c r="H1456" s="426">
        <v>34.8456752518345</v>
      </c>
      <c r="I1456" s="455">
        <v>714.34</v>
      </c>
      <c r="J1456" s="446"/>
      <c r="K1456" s="446"/>
      <c r="L1456" s="446"/>
      <c r="M1456" s="446"/>
      <c r="N1456" s="446"/>
      <c r="O1456" s="446"/>
    </row>
    <row r="1457" spans="1:18" s="447" customFormat="1" x14ac:dyDescent="0.2">
      <c r="A1457" s="542"/>
      <c r="B1457" s="506"/>
      <c r="C1457" s="506"/>
      <c r="D1457" s="540"/>
      <c r="E1457" s="494"/>
      <c r="F1457" s="426"/>
      <c r="G1457" s="426"/>
      <c r="H1457" s="426"/>
      <c r="I1457" s="455"/>
      <c r="J1457" s="446"/>
      <c r="K1457" s="446"/>
      <c r="L1457" s="446"/>
      <c r="M1457" s="446"/>
      <c r="N1457" s="446"/>
      <c r="O1457" s="446"/>
    </row>
    <row r="1458" spans="1:18" s="447" customFormat="1" x14ac:dyDescent="0.2">
      <c r="A1458" s="542"/>
      <c r="B1458" s="506"/>
      <c r="C1458" s="506"/>
      <c r="D1458" s="540" t="s">
        <v>2549</v>
      </c>
      <c r="E1458" s="494"/>
      <c r="F1458" s="426"/>
      <c r="G1458" s="426"/>
      <c r="H1458" s="426"/>
      <c r="I1458" s="455"/>
      <c r="J1458" s="446"/>
      <c r="K1458" s="446"/>
      <c r="L1458" s="446"/>
      <c r="M1458" s="446"/>
      <c r="N1458" s="446"/>
      <c r="O1458" s="446"/>
    </row>
    <row r="1459" spans="1:18" s="447" customFormat="1" x14ac:dyDescent="0.2">
      <c r="A1459" s="542"/>
      <c r="B1459" s="506"/>
      <c r="C1459" s="506"/>
      <c r="D1459" s="540"/>
      <c r="E1459" s="494"/>
      <c r="F1459" s="426"/>
      <c r="G1459" s="426"/>
      <c r="H1459" s="426"/>
      <c r="I1459" s="455"/>
      <c r="J1459" s="446"/>
      <c r="K1459" s="446"/>
      <c r="L1459" s="446"/>
      <c r="M1459" s="446"/>
      <c r="N1459" s="446"/>
      <c r="O1459" s="446"/>
    </row>
    <row r="1460" spans="1:18" s="373" customFormat="1" ht="30" x14ac:dyDescent="0.2">
      <c r="A1460" s="542" t="s">
        <v>1520</v>
      </c>
      <c r="B1460" s="500" t="s">
        <v>45</v>
      </c>
      <c r="C1460" s="500" t="s">
        <v>377</v>
      </c>
      <c r="D1460" s="540" t="s">
        <v>378</v>
      </c>
      <c r="E1460" s="495" t="s">
        <v>15</v>
      </c>
      <c r="F1460" s="426">
        <f>2.8*2.5+(2.8*2+2.5*2)*1.25+2.9*2.8+(2.9*2+2.8*2)*3.08</f>
        <v>63.481999999999992</v>
      </c>
      <c r="G1460" s="426">
        <v>31.05</v>
      </c>
      <c r="H1460" s="426">
        <f>G1460*(1+$L$16)</f>
        <v>39.258280717324432</v>
      </c>
      <c r="I1460" s="448">
        <f t="shared" ref="I1460:I1480" si="89">ROUND(F1460*H1460,2)</f>
        <v>2492.19</v>
      </c>
      <c r="J1460" s="444"/>
      <c r="K1460" s="372"/>
      <c r="L1460" s="424"/>
      <c r="M1460" s="372"/>
      <c r="N1460" s="372"/>
      <c r="O1460" s="372"/>
      <c r="P1460" s="372"/>
      <c r="R1460" s="372"/>
    </row>
    <row r="1461" spans="1:18" s="373" customFormat="1" x14ac:dyDescent="0.2">
      <c r="A1461" s="542"/>
      <c r="B1461" s="500"/>
      <c r="C1461" s="500"/>
      <c r="D1461" s="540"/>
      <c r="E1461" s="495"/>
      <c r="F1461" s="426"/>
      <c r="G1461" s="426"/>
      <c r="H1461" s="426"/>
      <c r="I1461" s="448"/>
      <c r="J1461" s="444"/>
      <c r="K1461" s="372"/>
      <c r="L1461" s="424"/>
      <c r="M1461" s="372"/>
      <c r="N1461" s="372"/>
      <c r="O1461" s="372"/>
      <c r="P1461" s="372"/>
      <c r="R1461" s="372"/>
    </row>
    <row r="1462" spans="1:18" s="373" customFormat="1" x14ac:dyDescent="0.2">
      <c r="A1462" s="542"/>
      <c r="B1462" s="500"/>
      <c r="C1462" s="500"/>
      <c r="D1462" s="540" t="s">
        <v>2550</v>
      </c>
      <c r="E1462" s="495"/>
      <c r="F1462" s="426"/>
      <c r="G1462" s="426"/>
      <c r="H1462" s="426"/>
      <c r="I1462" s="448"/>
      <c r="J1462" s="444"/>
      <c r="K1462" s="372"/>
      <c r="L1462" s="424"/>
      <c r="M1462" s="372"/>
      <c r="N1462" s="372"/>
      <c r="O1462" s="372"/>
      <c r="P1462" s="372"/>
      <c r="R1462" s="372"/>
    </row>
    <row r="1463" spans="1:18" s="373" customFormat="1" x14ac:dyDescent="0.2">
      <c r="A1463" s="542"/>
      <c r="B1463" s="500"/>
      <c r="C1463" s="500"/>
      <c r="D1463" s="540"/>
      <c r="E1463" s="495"/>
      <c r="F1463" s="426"/>
      <c r="G1463" s="426"/>
      <c r="H1463" s="426"/>
      <c r="I1463" s="448"/>
      <c r="J1463" s="444"/>
      <c r="K1463" s="372"/>
      <c r="L1463" s="424"/>
      <c r="M1463" s="372"/>
      <c r="N1463" s="372"/>
      <c r="O1463" s="372"/>
      <c r="P1463" s="372"/>
      <c r="R1463" s="372"/>
    </row>
    <row r="1464" spans="1:18" s="373" customFormat="1" x14ac:dyDescent="0.2">
      <c r="A1464" s="542" t="s">
        <v>1164</v>
      </c>
      <c r="B1464" s="506" t="s">
        <v>45</v>
      </c>
      <c r="C1464" s="506">
        <v>73661</v>
      </c>
      <c r="D1464" s="554" t="s">
        <v>336</v>
      </c>
      <c r="E1464" s="494" t="s">
        <v>18</v>
      </c>
      <c r="F1464" s="426">
        <v>1</v>
      </c>
      <c r="G1464" s="426">
        <v>1752.73</v>
      </c>
      <c r="H1464" s="426">
        <f>G1464*(1+$L$16)</f>
        <v>2216.0762113261208</v>
      </c>
      <c r="I1464" s="448">
        <f t="shared" si="89"/>
        <v>2216.08</v>
      </c>
      <c r="J1464" s="444"/>
      <c r="K1464" s="372"/>
      <c r="L1464" s="424"/>
      <c r="M1464" s="372"/>
      <c r="N1464" s="372"/>
      <c r="O1464" s="372"/>
      <c r="P1464" s="372"/>
      <c r="R1464" s="372"/>
    </row>
    <row r="1465" spans="1:18" s="373" customFormat="1" x14ac:dyDescent="0.2">
      <c r="A1465" s="542"/>
      <c r="B1465" s="500"/>
      <c r="C1465" s="500"/>
      <c r="D1465" s="540"/>
      <c r="E1465" s="495"/>
      <c r="F1465" s="426"/>
      <c r="G1465" s="426"/>
      <c r="H1465" s="426"/>
      <c r="I1465" s="448"/>
      <c r="J1465" s="444"/>
      <c r="K1465" s="372"/>
      <c r="L1465" s="424"/>
      <c r="M1465" s="372"/>
      <c r="N1465" s="372"/>
      <c r="O1465" s="372"/>
      <c r="P1465" s="372"/>
      <c r="R1465" s="372"/>
    </row>
    <row r="1466" spans="1:18" s="373" customFormat="1" x14ac:dyDescent="0.2">
      <c r="A1466" s="542"/>
      <c r="B1466" s="500"/>
      <c r="C1466" s="500"/>
      <c r="D1466" s="540" t="s">
        <v>2280</v>
      </c>
      <c r="E1466" s="495"/>
      <c r="F1466" s="426"/>
      <c r="G1466" s="426"/>
      <c r="H1466" s="426"/>
      <c r="I1466" s="448"/>
      <c r="J1466" s="444"/>
      <c r="K1466" s="372"/>
      <c r="L1466" s="424"/>
      <c r="M1466" s="372"/>
      <c r="N1466" s="372"/>
      <c r="O1466" s="372"/>
      <c r="P1466" s="372"/>
      <c r="R1466" s="372"/>
    </row>
    <row r="1467" spans="1:18" s="373" customFormat="1" x14ac:dyDescent="0.2">
      <c r="A1467" s="542"/>
      <c r="B1467" s="500"/>
      <c r="C1467" s="500"/>
      <c r="D1467" s="540"/>
      <c r="E1467" s="495"/>
      <c r="F1467" s="426"/>
      <c r="G1467" s="426"/>
      <c r="H1467" s="426"/>
      <c r="I1467" s="448"/>
      <c r="J1467" s="444"/>
      <c r="K1467" s="372"/>
      <c r="L1467" s="424"/>
      <c r="M1467" s="372"/>
      <c r="N1467" s="372"/>
      <c r="O1467" s="372"/>
      <c r="P1467" s="372"/>
      <c r="R1467" s="372"/>
    </row>
    <row r="1468" spans="1:18" s="373" customFormat="1" ht="30" x14ac:dyDescent="0.2">
      <c r="A1468" s="542" t="s">
        <v>1165</v>
      </c>
      <c r="B1468" s="506" t="s">
        <v>335</v>
      </c>
      <c r="C1468" s="506" t="s">
        <v>372</v>
      </c>
      <c r="D1468" s="554" t="str">
        <f>COMPOSIÇÕES!D449</f>
        <v>PÓRTICO PARA RETIRADA DAS BOMBAS EM PERFIS METÁLICOS, CONFORME PROJETO- (ELEVATÓRIA RECIRCULAÇÃO)</v>
      </c>
      <c r="E1468" s="494" t="s">
        <v>18</v>
      </c>
      <c r="F1468" s="426">
        <v>1</v>
      </c>
      <c r="G1468" s="426">
        <f>COMPOSIÇÕES!I449</f>
        <v>6478.87</v>
      </c>
      <c r="H1468" s="426">
        <f>G1468*(1+$L$16)</f>
        <v>8191.6037742689768</v>
      </c>
      <c r="I1468" s="448">
        <f t="shared" si="89"/>
        <v>8191.6</v>
      </c>
      <c r="J1468" s="444"/>
      <c r="K1468" s="372"/>
      <c r="L1468" s="424"/>
      <c r="M1468" s="372"/>
      <c r="N1468" s="372"/>
      <c r="O1468" s="372"/>
      <c r="P1468" s="372"/>
      <c r="R1468" s="372"/>
    </row>
    <row r="1469" spans="1:18" s="373" customFormat="1" x14ac:dyDescent="0.2">
      <c r="A1469" s="542"/>
      <c r="B1469" s="500"/>
      <c r="C1469" s="500"/>
      <c r="D1469" s="540"/>
      <c r="E1469" s="495"/>
      <c r="F1469" s="426"/>
      <c r="G1469" s="426"/>
      <c r="H1469" s="426"/>
      <c r="I1469" s="448"/>
      <c r="J1469" s="444"/>
      <c r="K1469" s="372"/>
      <c r="L1469" s="424"/>
      <c r="M1469" s="372"/>
      <c r="N1469" s="372"/>
      <c r="O1469" s="372"/>
      <c r="P1469" s="372"/>
      <c r="R1469" s="372"/>
    </row>
    <row r="1470" spans="1:18" s="373" customFormat="1" x14ac:dyDescent="0.2">
      <c r="A1470" s="542"/>
      <c r="B1470" s="500"/>
      <c r="C1470" s="500"/>
      <c r="D1470" s="554" t="s">
        <v>2553</v>
      </c>
      <c r="E1470" s="495"/>
      <c r="F1470" s="426"/>
      <c r="G1470" s="426"/>
      <c r="H1470" s="426"/>
      <c r="I1470" s="448"/>
      <c r="J1470" s="444"/>
      <c r="K1470" s="372"/>
      <c r="L1470" s="424"/>
      <c r="M1470" s="372"/>
      <c r="N1470" s="372"/>
      <c r="O1470" s="372"/>
      <c r="P1470" s="372"/>
      <c r="R1470" s="372"/>
    </row>
    <row r="1471" spans="1:18" s="373" customFormat="1" x14ac:dyDescent="0.2">
      <c r="A1471" s="542"/>
      <c r="B1471" s="500"/>
      <c r="C1471" s="500"/>
      <c r="D1471" s="540"/>
      <c r="E1471" s="495"/>
      <c r="F1471" s="426"/>
      <c r="G1471" s="426"/>
      <c r="H1471" s="426"/>
      <c r="I1471" s="448"/>
      <c r="J1471" s="444"/>
      <c r="K1471" s="372"/>
      <c r="L1471" s="424"/>
      <c r="M1471" s="372"/>
      <c r="N1471" s="372"/>
      <c r="O1471" s="372"/>
      <c r="P1471" s="372"/>
      <c r="R1471" s="372"/>
    </row>
    <row r="1472" spans="1:18" s="373" customFormat="1" ht="30" x14ac:dyDescent="0.2">
      <c r="A1472" s="542" t="s">
        <v>1521</v>
      </c>
      <c r="B1472" s="506" t="s">
        <v>335</v>
      </c>
      <c r="C1472" s="506" t="s">
        <v>373</v>
      </c>
      <c r="D1472" s="554" t="str">
        <f>COMPOSIÇÕES!D456</f>
        <v>FORNECIMENTO E INSTALAÇÃO DA TAMPA  EM  CHAPA DE ALUMÍNIO, NAS DIMENSÕES (130X90)CM</v>
      </c>
      <c r="E1472" s="494" t="s">
        <v>18</v>
      </c>
      <c r="F1472" s="426">
        <v>4</v>
      </c>
      <c r="G1472" s="426">
        <f>COMPOSIÇÕES!I456</f>
        <v>488.22</v>
      </c>
      <c r="H1472" s="426">
        <f>G1472*(1+$L$16)</f>
        <v>617.28430955916701</v>
      </c>
      <c r="I1472" s="448">
        <f t="shared" si="89"/>
        <v>2469.14</v>
      </c>
      <c r="J1472" s="444"/>
      <c r="K1472" s="372"/>
      <c r="L1472" s="424"/>
      <c r="M1472" s="372"/>
      <c r="N1472" s="372"/>
      <c r="O1472" s="372"/>
      <c r="P1472" s="372"/>
      <c r="R1472" s="372"/>
    </row>
    <row r="1473" spans="1:22" s="373" customFormat="1" x14ac:dyDescent="0.2">
      <c r="A1473" s="542"/>
      <c r="B1473" s="500"/>
      <c r="C1473" s="500"/>
      <c r="D1473" s="540"/>
      <c r="E1473" s="495"/>
      <c r="F1473" s="426"/>
      <c r="G1473" s="426"/>
      <c r="H1473" s="426"/>
      <c r="I1473" s="448"/>
      <c r="J1473" s="444"/>
      <c r="K1473" s="372"/>
      <c r="L1473" s="424"/>
      <c r="M1473" s="372"/>
      <c r="N1473" s="372"/>
      <c r="O1473" s="372"/>
      <c r="P1473" s="372"/>
      <c r="R1473" s="372"/>
    </row>
    <row r="1474" spans="1:22" s="373" customFormat="1" x14ac:dyDescent="0.2">
      <c r="A1474" s="542"/>
      <c r="B1474" s="500"/>
      <c r="C1474" s="500"/>
      <c r="D1474" s="554" t="s">
        <v>2552</v>
      </c>
      <c r="E1474" s="495"/>
      <c r="F1474" s="426"/>
      <c r="G1474" s="426"/>
      <c r="H1474" s="426"/>
      <c r="I1474" s="448"/>
      <c r="J1474" s="444"/>
      <c r="K1474" s="372"/>
      <c r="L1474" s="424"/>
      <c r="M1474" s="372"/>
      <c r="N1474" s="372"/>
      <c r="O1474" s="372"/>
      <c r="P1474" s="372"/>
      <c r="R1474" s="372"/>
    </row>
    <row r="1475" spans="1:22" s="373" customFormat="1" x14ac:dyDescent="0.2">
      <c r="A1475" s="542"/>
      <c r="B1475" s="500"/>
      <c r="C1475" s="500"/>
      <c r="D1475" s="540"/>
      <c r="E1475" s="495"/>
      <c r="F1475" s="426"/>
      <c r="G1475" s="426"/>
      <c r="H1475" s="426"/>
      <c r="I1475" s="448"/>
      <c r="J1475" s="444"/>
      <c r="K1475" s="372"/>
      <c r="L1475" s="424"/>
      <c r="M1475" s="372"/>
      <c r="N1475" s="372"/>
      <c r="O1475" s="372"/>
      <c r="P1475" s="372"/>
      <c r="R1475" s="372"/>
    </row>
    <row r="1476" spans="1:22" s="373" customFormat="1" x14ac:dyDescent="0.2">
      <c r="A1476" s="542" t="s">
        <v>1522</v>
      </c>
      <c r="B1476" s="506" t="s">
        <v>45</v>
      </c>
      <c r="C1476" s="506" t="s">
        <v>401</v>
      </c>
      <c r="D1476" s="554" t="s">
        <v>402</v>
      </c>
      <c r="E1476" s="494" t="s">
        <v>18</v>
      </c>
      <c r="F1476" s="426">
        <v>2</v>
      </c>
      <c r="G1476" s="426">
        <v>199.94</v>
      </c>
      <c r="H1476" s="426">
        <f>G1476*(1+$L$16)</f>
        <v>252.79551196849749</v>
      </c>
      <c r="I1476" s="448">
        <f t="shared" si="89"/>
        <v>505.59</v>
      </c>
      <c r="J1476" s="437"/>
      <c r="K1476" s="372"/>
      <c r="L1476" s="430"/>
      <c r="M1476" s="372"/>
      <c r="N1476" s="372"/>
      <c r="O1476" s="372"/>
      <c r="P1476" s="372"/>
      <c r="R1476" s="372"/>
    </row>
    <row r="1477" spans="1:22" s="373" customFormat="1" x14ac:dyDescent="0.2">
      <c r="A1477" s="542"/>
      <c r="B1477" s="500"/>
      <c r="C1477" s="500"/>
      <c r="D1477" s="540"/>
      <c r="E1477" s="495"/>
      <c r="F1477" s="426"/>
      <c r="G1477" s="426"/>
      <c r="H1477" s="426"/>
      <c r="I1477" s="448"/>
      <c r="J1477" s="444"/>
      <c r="K1477" s="372"/>
      <c r="L1477" s="424"/>
      <c r="M1477" s="372"/>
      <c r="N1477" s="372"/>
      <c r="O1477" s="372"/>
      <c r="P1477" s="372"/>
      <c r="R1477" s="372"/>
    </row>
    <row r="1478" spans="1:22" s="373" customFormat="1" x14ac:dyDescent="0.2">
      <c r="A1478" s="542"/>
      <c r="B1478" s="500"/>
      <c r="C1478" s="500"/>
      <c r="D1478" s="540" t="s">
        <v>2279</v>
      </c>
      <c r="E1478" s="495"/>
      <c r="F1478" s="426"/>
      <c r="G1478" s="426"/>
      <c r="H1478" s="426"/>
      <c r="I1478" s="448"/>
      <c r="J1478" s="444"/>
      <c r="K1478" s="372"/>
      <c r="L1478" s="424"/>
      <c r="M1478" s="372"/>
      <c r="N1478" s="372"/>
      <c r="O1478" s="372"/>
      <c r="P1478" s="372"/>
      <c r="R1478" s="372"/>
    </row>
    <row r="1479" spans="1:22" s="373" customFormat="1" x14ac:dyDescent="0.2">
      <c r="A1479" s="542"/>
      <c r="B1479" s="500"/>
      <c r="C1479" s="500"/>
      <c r="D1479" s="540"/>
      <c r="E1479" s="495"/>
      <c r="F1479" s="426"/>
      <c r="G1479" s="426"/>
      <c r="H1479" s="426"/>
      <c r="I1479" s="448"/>
      <c r="J1479" s="444"/>
      <c r="K1479" s="372"/>
      <c r="L1479" s="424"/>
      <c r="M1479" s="372"/>
      <c r="N1479" s="372"/>
      <c r="O1479" s="372"/>
      <c r="P1479" s="372"/>
      <c r="R1479" s="372"/>
    </row>
    <row r="1480" spans="1:22" s="457" customFormat="1" x14ac:dyDescent="0.2">
      <c r="A1480" s="542" t="s">
        <v>1523</v>
      </c>
      <c r="B1480" s="500" t="s">
        <v>65</v>
      </c>
      <c r="C1480" s="500"/>
      <c r="D1480" s="540" t="s">
        <v>1426</v>
      </c>
      <c r="E1480" s="495" t="s">
        <v>18</v>
      </c>
      <c r="F1480" s="426">
        <v>2</v>
      </c>
      <c r="G1480" s="426">
        <v>13492</v>
      </c>
      <c r="H1480" s="426">
        <f>G1480*(1+$K$16)</f>
        <v>15758.709056521378</v>
      </c>
      <c r="I1480" s="448">
        <f t="shared" si="89"/>
        <v>31517.42</v>
      </c>
      <c r="J1480" s="437"/>
      <c r="K1480" s="456"/>
      <c r="L1480" s="456"/>
      <c r="M1480" s="456"/>
      <c r="N1480" s="372"/>
      <c r="O1480" s="372"/>
      <c r="P1480" s="372"/>
      <c r="Q1480" s="373"/>
      <c r="R1480" s="372"/>
      <c r="S1480" s="373"/>
      <c r="T1480" s="373"/>
      <c r="U1480" s="373"/>
      <c r="V1480" s="373"/>
    </row>
    <row r="1481" spans="1:22" s="373" customFormat="1" x14ac:dyDescent="0.2">
      <c r="A1481" s="542"/>
      <c r="B1481" s="500"/>
      <c r="C1481" s="500"/>
      <c r="D1481" s="540"/>
      <c r="E1481" s="495"/>
      <c r="F1481" s="426"/>
      <c r="G1481" s="426"/>
      <c r="H1481" s="426"/>
      <c r="I1481" s="448"/>
      <c r="J1481" s="444"/>
      <c r="K1481" s="372"/>
      <c r="L1481" s="424"/>
      <c r="M1481" s="372"/>
      <c r="N1481" s="372"/>
      <c r="O1481" s="372"/>
      <c r="P1481" s="372"/>
      <c r="R1481" s="372"/>
    </row>
    <row r="1482" spans="1:22" s="373" customFormat="1" x14ac:dyDescent="0.2">
      <c r="A1482" s="542"/>
      <c r="B1482" s="500"/>
      <c r="C1482" s="500"/>
      <c r="D1482" s="540" t="s">
        <v>2279</v>
      </c>
      <c r="E1482" s="495"/>
      <c r="F1482" s="426"/>
      <c r="G1482" s="426"/>
      <c r="H1482" s="426"/>
      <c r="I1482" s="448"/>
      <c r="J1482" s="444"/>
      <c r="K1482" s="372"/>
      <c r="L1482" s="424"/>
      <c r="M1482" s="372"/>
      <c r="N1482" s="372"/>
      <c r="O1482" s="372"/>
      <c r="P1482" s="372"/>
      <c r="R1482" s="372"/>
    </row>
    <row r="1483" spans="1:22" s="373" customFormat="1" x14ac:dyDescent="0.2">
      <c r="A1483" s="542"/>
      <c r="B1483" s="500"/>
      <c r="C1483" s="500"/>
      <c r="D1483" s="540"/>
      <c r="E1483" s="495"/>
      <c r="F1483" s="426"/>
      <c r="G1483" s="426"/>
      <c r="H1483" s="426"/>
      <c r="I1483" s="448"/>
      <c r="J1483" s="444"/>
      <c r="K1483" s="372"/>
      <c r="L1483" s="424"/>
      <c r="M1483" s="372"/>
      <c r="N1483" s="372"/>
      <c r="O1483" s="372"/>
      <c r="P1483" s="372"/>
      <c r="R1483" s="372"/>
    </row>
    <row r="1484" spans="1:22" s="447" customFormat="1" ht="30" x14ac:dyDescent="0.2">
      <c r="A1484" s="542" t="s">
        <v>1524</v>
      </c>
      <c r="B1484" s="505" t="s">
        <v>335</v>
      </c>
      <c r="C1484" s="505" t="s">
        <v>1731</v>
      </c>
      <c r="D1484" s="540" t="str">
        <f>COMPOSIÇÕES!D462</f>
        <v>ABRIGO PARA OS QCM'S DA ELEVATÓRIA DE RECIRCULAÇÃO</v>
      </c>
      <c r="E1484" s="495" t="s">
        <v>18</v>
      </c>
      <c r="F1484" s="426">
        <v>1</v>
      </c>
      <c r="G1484" s="426">
        <f>COMPOSIÇÕES!I462</f>
        <v>27498.780000000006</v>
      </c>
      <c r="H1484" s="426">
        <f>ROUND((1+$L$16)*G1484,2)</f>
        <v>34768.269999999997</v>
      </c>
      <c r="I1484" s="445">
        <f t="shared" ref="I1484" si="90">ROUND(F1484*H1484,2)</f>
        <v>34768.269999999997</v>
      </c>
      <c r="J1484" s="446"/>
      <c r="K1484" s="446"/>
      <c r="L1484" s="446"/>
      <c r="M1484" s="446"/>
      <c r="N1484" s="446"/>
      <c r="O1484" s="446"/>
    </row>
    <row r="1485" spans="1:22" s="373" customFormat="1" x14ac:dyDescent="0.2">
      <c r="A1485" s="542"/>
      <c r="B1485" s="500"/>
      <c r="C1485" s="500"/>
      <c r="D1485" s="540"/>
      <c r="E1485" s="495"/>
      <c r="F1485" s="426"/>
      <c r="G1485" s="426"/>
      <c r="H1485" s="426"/>
      <c r="I1485" s="448"/>
      <c r="J1485" s="444"/>
      <c r="K1485" s="372"/>
      <c r="L1485" s="424"/>
      <c r="M1485" s="372"/>
      <c r="N1485" s="372"/>
      <c r="O1485" s="372"/>
      <c r="P1485" s="372"/>
      <c r="R1485" s="372"/>
    </row>
    <row r="1486" spans="1:22" s="373" customFormat="1" x14ac:dyDescent="0.2">
      <c r="A1486" s="550"/>
      <c r="B1486" s="551"/>
      <c r="C1486" s="551"/>
      <c r="D1486" s="552" t="s">
        <v>2551</v>
      </c>
      <c r="E1486" s="495"/>
      <c r="F1486" s="426"/>
      <c r="G1486" s="426"/>
      <c r="H1486" s="426"/>
      <c r="I1486" s="448"/>
      <c r="J1486" s="444"/>
      <c r="K1486" s="372"/>
      <c r="L1486" s="424"/>
      <c r="M1486" s="372"/>
      <c r="N1486" s="372"/>
      <c r="O1486" s="372"/>
      <c r="P1486" s="372"/>
      <c r="R1486" s="372"/>
    </row>
    <row r="1487" spans="1:22" s="373" customFormat="1" x14ac:dyDescent="0.2">
      <c r="A1487" s="542"/>
      <c r="B1487" s="500"/>
      <c r="C1487" s="500"/>
      <c r="D1487" s="540"/>
      <c r="E1487" s="495"/>
      <c r="F1487" s="426"/>
      <c r="G1487" s="426"/>
      <c r="H1487" s="426"/>
      <c r="I1487" s="448"/>
      <c r="J1487" s="444"/>
      <c r="K1487" s="372"/>
      <c r="L1487" s="424"/>
      <c r="M1487" s="372"/>
      <c r="N1487" s="372"/>
      <c r="O1487" s="372"/>
      <c r="P1487" s="372"/>
      <c r="R1487" s="372"/>
    </row>
    <row r="1488" spans="1:22" s="457" customFormat="1" x14ac:dyDescent="0.2">
      <c r="A1488" s="542" t="s">
        <v>1525</v>
      </c>
      <c r="B1488" s="500" t="s">
        <v>335</v>
      </c>
      <c r="C1488" s="500" t="s">
        <v>443</v>
      </c>
      <c r="D1488" s="554" t="s">
        <v>1627</v>
      </c>
      <c r="E1488" s="495" t="s">
        <v>19</v>
      </c>
      <c r="F1488" s="426">
        <v>1</v>
      </c>
      <c r="G1488" s="426">
        <f>COMPOSIÇÕES!I495</f>
        <v>18897.900000000001</v>
      </c>
      <c r="H1488" s="426">
        <f>G1488*(1+$K$16)</f>
        <v>22072.821514915166</v>
      </c>
      <c r="I1488" s="448">
        <f>ROUND(F1488*H1488,2)</f>
        <v>22072.82</v>
      </c>
      <c r="J1488" s="437"/>
      <c r="K1488" s="456"/>
      <c r="L1488" s="456"/>
      <c r="M1488" s="456"/>
      <c r="N1488" s="372"/>
      <c r="O1488" s="372"/>
      <c r="P1488" s="372"/>
      <c r="Q1488" s="373"/>
      <c r="R1488" s="372"/>
      <c r="S1488" s="373"/>
      <c r="T1488" s="373"/>
      <c r="U1488" s="373"/>
      <c r="V1488" s="373"/>
    </row>
    <row r="1489" spans="1:63" s="373" customFormat="1" x14ac:dyDescent="0.2">
      <c r="A1489" s="542"/>
      <c r="B1489" s="500"/>
      <c r="C1489" s="500"/>
      <c r="D1489" s="540"/>
      <c r="E1489" s="495"/>
      <c r="F1489" s="426"/>
      <c r="G1489" s="426"/>
      <c r="H1489" s="426"/>
      <c r="I1489" s="448"/>
      <c r="J1489" s="444"/>
      <c r="K1489" s="372"/>
      <c r="L1489" s="424"/>
      <c r="M1489" s="372"/>
      <c r="N1489" s="372"/>
      <c r="O1489" s="372"/>
      <c r="P1489" s="372"/>
      <c r="R1489" s="372"/>
    </row>
    <row r="1490" spans="1:63" s="373" customFormat="1" x14ac:dyDescent="0.2">
      <c r="A1490" s="542"/>
      <c r="B1490" s="500"/>
      <c r="C1490" s="500"/>
      <c r="D1490" s="554" t="s">
        <v>2554</v>
      </c>
      <c r="E1490" s="495"/>
      <c r="F1490" s="426"/>
      <c r="G1490" s="426"/>
      <c r="H1490" s="426"/>
      <c r="I1490" s="448"/>
      <c r="J1490" s="444"/>
      <c r="K1490" s="372"/>
      <c r="L1490" s="424"/>
      <c r="M1490" s="372"/>
      <c r="N1490" s="372"/>
      <c r="O1490" s="372"/>
      <c r="P1490" s="372"/>
      <c r="R1490" s="372"/>
    </row>
    <row r="1491" spans="1:63" s="373" customFormat="1" x14ac:dyDescent="0.2">
      <c r="A1491" s="542"/>
      <c r="B1491" s="500"/>
      <c r="C1491" s="500"/>
      <c r="D1491" s="540"/>
      <c r="E1491" s="495"/>
      <c r="F1491" s="426"/>
      <c r="G1491" s="426"/>
      <c r="H1491" s="426"/>
      <c r="I1491" s="448"/>
      <c r="J1491" s="444"/>
      <c r="K1491" s="372"/>
      <c r="L1491" s="424"/>
      <c r="M1491" s="372"/>
      <c r="N1491" s="372"/>
      <c r="O1491" s="372"/>
      <c r="P1491" s="372"/>
      <c r="R1491" s="372"/>
    </row>
    <row r="1492" spans="1:63" s="478" customFormat="1" ht="15.75" x14ac:dyDescent="0.2">
      <c r="A1492" s="558" t="s">
        <v>324</v>
      </c>
      <c r="B1492" s="501"/>
      <c r="C1492" s="501"/>
      <c r="D1492" s="545" t="s">
        <v>1424</v>
      </c>
      <c r="E1492" s="491"/>
      <c r="F1492" s="404"/>
      <c r="G1492" s="405"/>
      <c r="H1492" s="406"/>
      <c r="I1492" s="407">
        <f>SUM(I1493:I1565)</f>
        <v>44247.89</v>
      </c>
      <c r="J1492" s="429"/>
      <c r="K1492" s="456"/>
      <c r="L1492" s="456"/>
      <c r="M1492" s="456"/>
      <c r="N1492" s="372"/>
      <c r="O1492" s="372"/>
      <c r="P1492" s="372"/>
      <c r="Q1492" s="373"/>
      <c r="R1492" s="372"/>
      <c r="S1492" s="373"/>
      <c r="T1492" s="373"/>
      <c r="U1492" s="373"/>
      <c r="V1492" s="373"/>
      <c r="W1492" s="457"/>
      <c r="X1492" s="457"/>
      <c r="Y1492" s="457"/>
      <c r="Z1492" s="457"/>
      <c r="AA1492" s="457"/>
      <c r="AB1492" s="457"/>
      <c r="AC1492" s="457"/>
      <c r="AD1492" s="457"/>
      <c r="AE1492" s="457"/>
      <c r="AF1492" s="457"/>
      <c r="AG1492" s="457"/>
      <c r="AH1492" s="457"/>
      <c r="AI1492" s="457"/>
      <c r="AJ1492" s="457"/>
      <c r="AK1492" s="457"/>
      <c r="AL1492" s="457"/>
      <c r="AM1492" s="457"/>
      <c r="AN1492" s="457"/>
      <c r="AO1492" s="457"/>
      <c r="AP1492" s="457"/>
      <c r="AQ1492" s="457"/>
      <c r="AR1492" s="457"/>
      <c r="AS1492" s="457"/>
      <c r="AT1492" s="457"/>
      <c r="AU1492" s="457"/>
      <c r="AV1492" s="457"/>
      <c r="AW1492" s="457"/>
      <c r="AX1492" s="457"/>
      <c r="AY1492" s="457"/>
      <c r="AZ1492" s="457"/>
      <c r="BA1492" s="457"/>
      <c r="BB1492" s="457"/>
      <c r="BC1492" s="457"/>
      <c r="BD1492" s="457"/>
      <c r="BE1492" s="457"/>
      <c r="BF1492" s="457"/>
      <c r="BG1492" s="457"/>
      <c r="BH1492" s="457"/>
      <c r="BI1492" s="457"/>
      <c r="BJ1492" s="457"/>
      <c r="BK1492" s="457"/>
    </row>
    <row r="1493" spans="1:63" s="373" customFormat="1" ht="30" x14ac:dyDescent="0.2">
      <c r="A1493" s="542" t="s">
        <v>1166</v>
      </c>
      <c r="B1493" s="500" t="s">
        <v>45</v>
      </c>
      <c r="C1493" s="506" t="s">
        <v>730</v>
      </c>
      <c r="D1493" s="554" t="s">
        <v>731</v>
      </c>
      <c r="E1493" s="495" t="s">
        <v>15</v>
      </c>
      <c r="F1493" s="426">
        <f>6.8*8</f>
        <v>54.4</v>
      </c>
      <c r="G1493" s="426">
        <v>8.3000000000000007</v>
      </c>
      <c r="H1493" s="426">
        <f>G1493*(1+$L$16)</f>
        <v>10.494161995291234</v>
      </c>
      <c r="I1493" s="448">
        <f>ROUND(F1493*H1493,2)</f>
        <v>570.88</v>
      </c>
      <c r="J1493" s="437"/>
      <c r="K1493" s="426">
        <f>4*2.8*2.8+1.6*1.6*2.37</f>
        <v>37.427199999999999</v>
      </c>
      <c r="L1493" s="430" t="s">
        <v>586</v>
      </c>
      <c r="M1493" s="372"/>
      <c r="N1493" s="372"/>
      <c r="O1493" s="372"/>
      <c r="P1493" s="372"/>
      <c r="R1493" s="372"/>
    </row>
    <row r="1494" spans="1:63" s="373" customFormat="1" x14ac:dyDescent="0.2">
      <c r="A1494" s="542"/>
      <c r="B1494" s="500"/>
      <c r="C1494" s="506"/>
      <c r="D1494" s="554"/>
      <c r="E1494" s="495"/>
      <c r="F1494" s="426"/>
      <c r="G1494" s="426"/>
      <c r="H1494" s="426"/>
      <c r="I1494" s="448"/>
      <c r="J1494" s="437"/>
      <c r="K1494" s="437"/>
      <c r="L1494" s="430"/>
      <c r="M1494" s="372"/>
      <c r="N1494" s="372"/>
      <c r="O1494" s="372"/>
      <c r="P1494" s="372"/>
      <c r="R1494" s="372"/>
    </row>
    <row r="1495" spans="1:63" s="373" customFormat="1" x14ac:dyDescent="0.2">
      <c r="A1495" s="542"/>
      <c r="B1495" s="500"/>
      <c r="C1495" s="506"/>
      <c r="D1495" s="554" t="s">
        <v>2555</v>
      </c>
      <c r="E1495" s="495"/>
      <c r="F1495" s="426"/>
      <c r="G1495" s="426"/>
      <c r="H1495" s="426"/>
      <c r="I1495" s="448"/>
      <c r="J1495" s="437"/>
      <c r="K1495" s="437"/>
      <c r="L1495" s="430"/>
      <c r="M1495" s="372"/>
      <c r="N1495" s="372"/>
      <c r="O1495" s="372"/>
      <c r="P1495" s="372"/>
      <c r="R1495" s="372"/>
    </row>
    <row r="1496" spans="1:63" s="373" customFormat="1" x14ac:dyDescent="0.2">
      <c r="A1496" s="542"/>
      <c r="B1496" s="500"/>
      <c r="C1496" s="506"/>
      <c r="D1496" s="554"/>
      <c r="E1496" s="495"/>
      <c r="F1496" s="426"/>
      <c r="G1496" s="426"/>
      <c r="H1496" s="426"/>
      <c r="I1496" s="448"/>
      <c r="J1496" s="437"/>
      <c r="K1496" s="437"/>
      <c r="L1496" s="430"/>
      <c r="M1496" s="372"/>
      <c r="N1496" s="372"/>
      <c r="O1496" s="372"/>
      <c r="P1496" s="372"/>
      <c r="R1496" s="372"/>
    </row>
    <row r="1497" spans="1:63" s="373" customFormat="1" ht="30" x14ac:dyDescent="0.2">
      <c r="A1497" s="542" t="s">
        <v>1167</v>
      </c>
      <c r="B1497" s="506" t="s">
        <v>45</v>
      </c>
      <c r="C1497" s="500">
        <v>83338</v>
      </c>
      <c r="D1497" s="540" t="s">
        <v>795</v>
      </c>
      <c r="E1497" s="494" t="s">
        <v>16</v>
      </c>
      <c r="F1497" s="426">
        <f>(4.8*6*2.8+2.6*2.6*2.37)*0.9</f>
        <v>86.995080000000002</v>
      </c>
      <c r="G1497" s="426">
        <v>2.41</v>
      </c>
      <c r="H1497" s="426">
        <f>G1497*(1+$L$16)</f>
        <v>3.0471000492351656</v>
      </c>
      <c r="I1497" s="448">
        <f>ROUND(F1497*H1497,2)</f>
        <v>265.08</v>
      </c>
      <c r="J1497" s="437"/>
      <c r="K1497" s="372"/>
      <c r="L1497" s="430"/>
      <c r="M1497" s="372"/>
      <c r="N1497" s="372"/>
      <c r="O1497" s="372"/>
      <c r="P1497" s="372"/>
      <c r="R1497" s="372"/>
    </row>
    <row r="1498" spans="1:63" s="373" customFormat="1" x14ac:dyDescent="0.2">
      <c r="A1498" s="542"/>
      <c r="B1498" s="506"/>
      <c r="C1498" s="500"/>
      <c r="D1498" s="540"/>
      <c r="E1498" s="494"/>
      <c r="F1498" s="426"/>
      <c r="G1498" s="426"/>
      <c r="H1498" s="426"/>
      <c r="I1498" s="448"/>
      <c r="J1498" s="437"/>
      <c r="K1498" s="372"/>
      <c r="L1498" s="430"/>
      <c r="M1498" s="372"/>
      <c r="N1498" s="372"/>
      <c r="O1498" s="372"/>
      <c r="P1498" s="372"/>
      <c r="R1498" s="372"/>
    </row>
    <row r="1499" spans="1:63" s="373" customFormat="1" ht="32.25" customHeight="1" x14ac:dyDescent="0.2">
      <c r="A1499" s="542"/>
      <c r="B1499" s="506"/>
      <c r="C1499" s="500"/>
      <c r="D1499" s="540" t="s">
        <v>2556</v>
      </c>
      <c r="E1499" s="494"/>
      <c r="F1499" s="426"/>
      <c r="G1499" s="426"/>
      <c r="H1499" s="426"/>
      <c r="I1499" s="448"/>
      <c r="J1499" s="437"/>
      <c r="K1499" s="372"/>
      <c r="L1499" s="430"/>
      <c r="M1499" s="372"/>
      <c r="N1499" s="372"/>
      <c r="O1499" s="372"/>
      <c r="P1499" s="372"/>
      <c r="R1499" s="372"/>
    </row>
    <row r="1500" spans="1:63" s="373" customFormat="1" x14ac:dyDescent="0.2">
      <c r="A1500" s="542"/>
      <c r="B1500" s="506"/>
      <c r="C1500" s="500"/>
      <c r="D1500" s="540"/>
      <c r="E1500" s="494"/>
      <c r="F1500" s="426"/>
      <c r="G1500" s="426"/>
      <c r="H1500" s="426"/>
      <c r="I1500" s="448"/>
      <c r="J1500" s="437"/>
      <c r="K1500" s="372"/>
      <c r="L1500" s="430"/>
      <c r="M1500" s="372"/>
      <c r="N1500" s="372"/>
      <c r="O1500" s="372"/>
      <c r="P1500" s="372"/>
      <c r="R1500" s="372"/>
    </row>
    <row r="1501" spans="1:63" s="457" customFormat="1" x14ac:dyDescent="0.2">
      <c r="A1501" s="542" t="s">
        <v>1428</v>
      </c>
      <c r="B1501" s="500" t="s">
        <v>45</v>
      </c>
      <c r="C1501" s="500">
        <v>93358</v>
      </c>
      <c r="D1501" s="540" t="s">
        <v>803</v>
      </c>
      <c r="E1501" s="495" t="s">
        <v>16</v>
      </c>
      <c r="F1501" s="426">
        <f>(4.8*6*2.8+2.6*2.6*2.37)*0.1</f>
        <v>9.6661199999999994</v>
      </c>
      <c r="G1501" s="426">
        <v>65.819999999999993</v>
      </c>
      <c r="H1501" s="426">
        <f>G1501*(1+$L$16)</f>
        <v>83.219968979526371</v>
      </c>
      <c r="I1501" s="448">
        <f>ROUND(F1501*H1501,2)</f>
        <v>804.41</v>
      </c>
      <c r="J1501" s="437"/>
      <c r="K1501" s="456"/>
      <c r="L1501" s="456"/>
      <c r="M1501" s="456"/>
      <c r="N1501" s="372"/>
      <c r="O1501" s="372"/>
      <c r="P1501" s="372"/>
      <c r="Q1501" s="373"/>
      <c r="R1501" s="372"/>
      <c r="S1501" s="373"/>
      <c r="T1501" s="373"/>
      <c r="U1501" s="373"/>
      <c r="V1501" s="373"/>
    </row>
    <row r="1502" spans="1:63" s="457" customFormat="1" x14ac:dyDescent="0.2">
      <c r="A1502" s="542"/>
      <c r="B1502" s="500"/>
      <c r="C1502" s="500"/>
      <c r="D1502" s="540"/>
      <c r="E1502" s="495"/>
      <c r="F1502" s="426"/>
      <c r="G1502" s="426"/>
      <c r="H1502" s="426"/>
      <c r="I1502" s="448"/>
      <c r="J1502" s="437"/>
      <c r="K1502" s="456"/>
      <c r="L1502" s="456"/>
      <c r="M1502" s="456"/>
      <c r="N1502" s="372"/>
      <c r="O1502" s="372"/>
      <c r="P1502" s="372"/>
      <c r="Q1502" s="373"/>
      <c r="R1502" s="372"/>
      <c r="S1502" s="373"/>
      <c r="T1502" s="373"/>
      <c r="U1502" s="373"/>
      <c r="V1502" s="373"/>
    </row>
    <row r="1503" spans="1:63" s="457" customFormat="1" ht="30" x14ac:dyDescent="0.2">
      <c r="A1503" s="542"/>
      <c r="B1503" s="500"/>
      <c r="C1503" s="500"/>
      <c r="D1503" s="540" t="s">
        <v>2557</v>
      </c>
      <c r="E1503" s="495"/>
      <c r="F1503" s="426"/>
      <c r="G1503" s="426"/>
      <c r="H1503" s="426"/>
      <c r="I1503" s="448"/>
      <c r="J1503" s="437"/>
      <c r="K1503" s="456"/>
      <c r="L1503" s="456"/>
      <c r="M1503" s="456"/>
      <c r="N1503" s="372"/>
      <c r="O1503" s="372"/>
      <c r="P1503" s="372"/>
      <c r="Q1503" s="373"/>
      <c r="R1503" s="372"/>
      <c r="S1503" s="373"/>
      <c r="T1503" s="373"/>
      <c r="U1503" s="373"/>
      <c r="V1503" s="373"/>
    </row>
    <row r="1504" spans="1:63" s="457" customFormat="1" x14ac:dyDescent="0.2">
      <c r="A1504" s="542"/>
      <c r="B1504" s="500"/>
      <c r="C1504" s="500"/>
      <c r="D1504" s="540"/>
      <c r="E1504" s="495"/>
      <c r="F1504" s="426"/>
      <c r="G1504" s="426"/>
      <c r="H1504" s="426"/>
      <c r="I1504" s="448"/>
      <c r="J1504" s="437"/>
      <c r="K1504" s="456"/>
      <c r="L1504" s="456"/>
      <c r="M1504" s="456"/>
      <c r="N1504" s="372"/>
      <c r="O1504" s="372"/>
      <c r="P1504" s="372"/>
      <c r="Q1504" s="373"/>
      <c r="R1504" s="372"/>
      <c r="S1504" s="373"/>
      <c r="T1504" s="373"/>
      <c r="U1504" s="373"/>
      <c r="V1504" s="373"/>
    </row>
    <row r="1505" spans="1:22" s="457" customFormat="1" x14ac:dyDescent="0.2">
      <c r="A1505" s="542" t="s">
        <v>1526</v>
      </c>
      <c r="B1505" s="500" t="s">
        <v>45</v>
      </c>
      <c r="C1505" s="500">
        <v>93382</v>
      </c>
      <c r="D1505" s="540" t="s">
        <v>732</v>
      </c>
      <c r="E1505" s="495" t="s">
        <v>16</v>
      </c>
      <c r="F1505" s="426">
        <f>F1497+F1501-K1493</f>
        <v>59.234000000000009</v>
      </c>
      <c r="G1505" s="426">
        <v>23.98</v>
      </c>
      <c r="H1505" s="426">
        <f>G1505*(1+$L$16)</f>
        <v>30.319277668323348</v>
      </c>
      <c r="I1505" s="448">
        <f>ROUND(F1505*H1505,2)</f>
        <v>1795.93</v>
      </c>
      <c r="J1505" s="437"/>
      <c r="K1505" s="456"/>
      <c r="L1505" s="456"/>
      <c r="M1505" s="456"/>
      <c r="N1505" s="372"/>
      <c r="O1505" s="372"/>
      <c r="P1505" s="372"/>
      <c r="Q1505" s="373"/>
      <c r="R1505" s="372"/>
      <c r="S1505" s="373"/>
      <c r="T1505" s="373"/>
      <c r="U1505" s="373"/>
      <c r="V1505" s="373"/>
    </row>
    <row r="1506" spans="1:22" s="457" customFormat="1" x14ac:dyDescent="0.2">
      <c r="A1506" s="542"/>
      <c r="B1506" s="500"/>
      <c r="C1506" s="500"/>
      <c r="D1506" s="540"/>
      <c r="E1506" s="495"/>
      <c r="F1506" s="426"/>
      <c r="G1506" s="426"/>
      <c r="H1506" s="426"/>
      <c r="I1506" s="448"/>
      <c r="J1506" s="437"/>
      <c r="K1506" s="456"/>
      <c r="L1506" s="456"/>
      <c r="M1506" s="456"/>
      <c r="N1506" s="372"/>
      <c r="O1506" s="372"/>
      <c r="P1506" s="372"/>
      <c r="Q1506" s="373"/>
      <c r="R1506" s="372"/>
      <c r="S1506" s="373"/>
      <c r="T1506" s="373"/>
      <c r="U1506" s="373"/>
      <c r="V1506" s="373"/>
    </row>
    <row r="1507" spans="1:22" s="457" customFormat="1" x14ac:dyDescent="0.2">
      <c r="A1507" s="542"/>
      <c r="B1507" s="500"/>
      <c r="C1507" s="500"/>
      <c r="D1507" s="540" t="s">
        <v>2558</v>
      </c>
      <c r="E1507" s="495"/>
      <c r="F1507" s="426"/>
      <c r="G1507" s="426"/>
      <c r="H1507" s="426"/>
      <c r="I1507" s="448"/>
      <c r="J1507" s="437"/>
      <c r="K1507" s="456"/>
      <c r="L1507" s="456"/>
      <c r="M1507" s="456"/>
      <c r="N1507" s="372"/>
      <c r="O1507" s="372"/>
      <c r="P1507" s="372"/>
      <c r="Q1507" s="373"/>
      <c r="R1507" s="372"/>
      <c r="S1507" s="373"/>
      <c r="T1507" s="373"/>
      <c r="U1507" s="373"/>
      <c r="V1507" s="373"/>
    </row>
    <row r="1508" spans="1:22" s="457" customFormat="1" x14ac:dyDescent="0.2">
      <c r="A1508" s="542"/>
      <c r="B1508" s="500"/>
      <c r="C1508" s="500"/>
      <c r="D1508" s="540"/>
      <c r="E1508" s="495"/>
      <c r="F1508" s="426"/>
      <c r="G1508" s="426"/>
      <c r="H1508" s="426"/>
      <c r="I1508" s="448"/>
      <c r="J1508" s="437"/>
      <c r="K1508" s="456"/>
      <c r="L1508" s="456"/>
      <c r="M1508" s="456"/>
      <c r="N1508" s="372"/>
      <c r="O1508" s="372"/>
      <c r="P1508" s="372"/>
      <c r="Q1508" s="373"/>
      <c r="R1508" s="372"/>
      <c r="S1508" s="373"/>
      <c r="T1508" s="373"/>
      <c r="U1508" s="373"/>
      <c r="V1508" s="373"/>
    </row>
    <row r="1509" spans="1:22" s="373" customFormat="1" x14ac:dyDescent="0.2">
      <c r="A1509" s="542" t="s">
        <v>1527</v>
      </c>
      <c r="B1509" s="500" t="s">
        <v>45</v>
      </c>
      <c r="C1509" s="500">
        <v>72898</v>
      </c>
      <c r="D1509" s="540" t="s">
        <v>770</v>
      </c>
      <c r="E1509" s="495" t="s">
        <v>16</v>
      </c>
      <c r="F1509" s="426">
        <f>F1497+F1501-F1505</f>
        <v>37.427199999999999</v>
      </c>
      <c r="G1509" s="426">
        <v>3.57</v>
      </c>
      <c r="H1509" s="426">
        <f>ROUND((1+$L$16)*G1509,2)</f>
        <v>4.51</v>
      </c>
      <c r="I1509" s="448">
        <f>ROUND(F1509*H1509,2)</f>
        <v>168.8</v>
      </c>
      <c r="J1509" s="444"/>
      <c r="K1509" s="372" t="s">
        <v>1213</v>
      </c>
      <c r="L1509" s="424">
        <v>21583.700000000004</v>
      </c>
      <c r="M1509" s="372"/>
      <c r="N1509" s="372">
        <v>170</v>
      </c>
      <c r="O1509" s="372"/>
      <c r="P1509" s="372"/>
      <c r="R1509" s="372"/>
    </row>
    <row r="1510" spans="1:22" s="373" customFormat="1" x14ac:dyDescent="0.2">
      <c r="A1510" s="542"/>
      <c r="B1510" s="500"/>
      <c r="C1510" s="500"/>
      <c r="D1510" s="540"/>
      <c r="E1510" s="495"/>
      <c r="F1510" s="426"/>
      <c r="G1510" s="426"/>
      <c r="H1510" s="426"/>
      <c r="I1510" s="448"/>
      <c r="J1510" s="444"/>
      <c r="K1510" s="372"/>
      <c r="L1510" s="424"/>
      <c r="M1510" s="372"/>
      <c r="N1510" s="372"/>
      <c r="O1510" s="372"/>
      <c r="P1510" s="372"/>
      <c r="R1510" s="372"/>
    </row>
    <row r="1511" spans="1:22" s="373" customFormat="1" x14ac:dyDescent="0.2">
      <c r="A1511" s="542"/>
      <c r="B1511" s="500"/>
      <c r="C1511" s="500"/>
      <c r="D1511" s="540" t="s">
        <v>2559</v>
      </c>
      <c r="E1511" s="495"/>
      <c r="F1511" s="426"/>
      <c r="G1511" s="426"/>
      <c r="H1511" s="426"/>
      <c r="I1511" s="448"/>
      <c r="J1511" s="444"/>
      <c r="K1511" s="372"/>
      <c r="L1511" s="424"/>
      <c r="M1511" s="372"/>
      <c r="N1511" s="372"/>
      <c r="O1511" s="372"/>
      <c r="P1511" s="372"/>
      <c r="R1511" s="372"/>
    </row>
    <row r="1512" spans="1:22" s="373" customFormat="1" x14ac:dyDescent="0.2">
      <c r="A1512" s="542"/>
      <c r="B1512" s="500"/>
      <c r="C1512" s="500"/>
      <c r="D1512" s="540"/>
      <c r="E1512" s="495"/>
      <c r="F1512" s="426"/>
      <c r="G1512" s="426"/>
      <c r="H1512" s="426"/>
      <c r="I1512" s="448"/>
      <c r="J1512" s="444"/>
      <c r="K1512" s="372"/>
      <c r="L1512" s="424"/>
      <c r="M1512" s="372"/>
      <c r="N1512" s="372"/>
      <c r="O1512" s="372"/>
      <c r="P1512" s="372"/>
      <c r="R1512" s="372"/>
    </row>
    <row r="1513" spans="1:22" s="457" customFormat="1" x14ac:dyDescent="0.2">
      <c r="A1513" s="542" t="s">
        <v>1528</v>
      </c>
      <c r="B1513" s="500" t="s">
        <v>45</v>
      </c>
      <c r="C1513" s="500">
        <v>72885</v>
      </c>
      <c r="D1513" s="540" t="s">
        <v>333</v>
      </c>
      <c r="E1513" s="495" t="s">
        <v>725</v>
      </c>
      <c r="F1513" s="426">
        <f>F1509*5</f>
        <v>187.136</v>
      </c>
      <c r="G1513" s="426">
        <v>1.36</v>
      </c>
      <c r="H1513" s="426">
        <f>ROUND((1+$L$16)*G1513,2)</f>
        <v>1.72</v>
      </c>
      <c r="I1513" s="448">
        <f t="shared" ref="I1513:I1517" si="91">ROUND(F1513*H1513,2)</f>
        <v>321.87</v>
      </c>
      <c r="J1513" s="437"/>
      <c r="K1513" s="456"/>
      <c r="L1513" s="456"/>
      <c r="M1513" s="456"/>
      <c r="N1513" s="372"/>
      <c r="O1513" s="372"/>
      <c r="P1513" s="372"/>
      <c r="Q1513" s="373"/>
      <c r="R1513" s="372"/>
      <c r="S1513" s="373"/>
      <c r="T1513" s="373"/>
      <c r="U1513" s="373"/>
      <c r="V1513" s="373"/>
    </row>
    <row r="1514" spans="1:22" s="457" customFormat="1" x14ac:dyDescent="0.2">
      <c r="A1514" s="542"/>
      <c r="B1514" s="500"/>
      <c r="C1514" s="500"/>
      <c r="D1514" s="540"/>
      <c r="E1514" s="495"/>
      <c r="F1514" s="426"/>
      <c r="G1514" s="426"/>
      <c r="H1514" s="426"/>
      <c r="I1514" s="448"/>
      <c r="J1514" s="437"/>
      <c r="K1514" s="456"/>
      <c r="L1514" s="456"/>
      <c r="M1514" s="456"/>
      <c r="N1514" s="372"/>
      <c r="O1514" s="372"/>
      <c r="P1514" s="372"/>
      <c r="Q1514" s="373"/>
      <c r="R1514" s="372"/>
      <c r="S1514" s="373"/>
      <c r="T1514" s="373"/>
      <c r="U1514" s="373"/>
      <c r="V1514" s="373"/>
    </row>
    <row r="1515" spans="1:22" s="457" customFormat="1" ht="30" x14ac:dyDescent="0.2">
      <c r="A1515" s="542"/>
      <c r="B1515" s="500"/>
      <c r="C1515" s="500"/>
      <c r="D1515" s="540" t="s">
        <v>2560</v>
      </c>
      <c r="E1515" s="495"/>
      <c r="F1515" s="426"/>
      <c r="G1515" s="426"/>
      <c r="H1515" s="426"/>
      <c r="I1515" s="448"/>
      <c r="J1515" s="437"/>
      <c r="K1515" s="456"/>
      <c r="L1515" s="456"/>
      <c r="M1515" s="456"/>
      <c r="N1515" s="372"/>
      <c r="O1515" s="372"/>
      <c r="P1515" s="372"/>
      <c r="Q1515" s="373"/>
      <c r="R1515" s="372"/>
      <c r="S1515" s="373"/>
      <c r="T1515" s="373"/>
      <c r="U1515" s="373"/>
      <c r="V1515" s="373"/>
    </row>
    <row r="1516" spans="1:22" s="457" customFormat="1" x14ac:dyDescent="0.2">
      <c r="A1516" s="542"/>
      <c r="B1516" s="500"/>
      <c r="C1516" s="500"/>
      <c r="D1516" s="540"/>
      <c r="E1516" s="495"/>
      <c r="F1516" s="426"/>
      <c r="G1516" s="426"/>
      <c r="H1516" s="426"/>
      <c r="I1516" s="448"/>
      <c r="J1516" s="437"/>
      <c r="K1516" s="456"/>
      <c r="L1516" s="456"/>
      <c r="M1516" s="456"/>
      <c r="N1516" s="372"/>
      <c r="O1516" s="372"/>
      <c r="P1516" s="372"/>
      <c r="Q1516" s="373"/>
      <c r="R1516" s="372"/>
      <c r="S1516" s="373"/>
      <c r="T1516" s="373"/>
      <c r="U1516" s="373"/>
      <c r="V1516" s="373"/>
    </row>
    <row r="1517" spans="1:22" s="373" customFormat="1" x14ac:dyDescent="0.2">
      <c r="A1517" s="542" t="s">
        <v>1168</v>
      </c>
      <c r="B1517" s="500" t="s">
        <v>45</v>
      </c>
      <c r="C1517" s="500" t="s">
        <v>57</v>
      </c>
      <c r="D1517" s="540" t="s">
        <v>726</v>
      </c>
      <c r="E1517" s="495" t="s">
        <v>16</v>
      </c>
      <c r="F1517" s="426">
        <f>F1509</f>
        <v>37.427199999999999</v>
      </c>
      <c r="G1517" s="426">
        <v>1.94</v>
      </c>
      <c r="H1517" s="426">
        <f>ROUND((1+$L$16)*G1517,2)</f>
        <v>2.4500000000000002</v>
      </c>
      <c r="I1517" s="448">
        <f t="shared" si="91"/>
        <v>91.7</v>
      </c>
      <c r="J1517" s="437"/>
      <c r="K1517" s="372"/>
      <c r="L1517" s="430"/>
      <c r="M1517" s="372"/>
      <c r="N1517" s="372"/>
      <c r="O1517" s="372"/>
      <c r="P1517" s="372"/>
      <c r="R1517" s="372"/>
    </row>
    <row r="1518" spans="1:22" s="373" customFormat="1" x14ac:dyDescent="0.2">
      <c r="A1518" s="542"/>
      <c r="B1518" s="500"/>
      <c r="C1518" s="500"/>
      <c r="D1518" s="540"/>
      <c r="E1518" s="495"/>
      <c r="F1518" s="426"/>
      <c r="G1518" s="426"/>
      <c r="H1518" s="426"/>
      <c r="I1518" s="448"/>
      <c r="J1518" s="437"/>
      <c r="K1518" s="372"/>
      <c r="L1518" s="430"/>
      <c r="M1518" s="372"/>
      <c r="N1518" s="372"/>
      <c r="O1518" s="372"/>
      <c r="P1518" s="372"/>
      <c r="R1518" s="372"/>
    </row>
    <row r="1519" spans="1:22" s="373" customFormat="1" x14ac:dyDescent="0.2">
      <c r="A1519" s="542"/>
      <c r="B1519" s="500"/>
      <c r="C1519" s="500"/>
      <c r="D1519" s="540" t="s">
        <v>2559</v>
      </c>
      <c r="E1519" s="495"/>
      <c r="F1519" s="426"/>
      <c r="G1519" s="426"/>
      <c r="H1519" s="426"/>
      <c r="I1519" s="448"/>
      <c r="J1519" s="437"/>
      <c r="K1519" s="372"/>
      <c r="L1519" s="430"/>
      <c r="M1519" s="372"/>
      <c r="N1519" s="372"/>
      <c r="O1519" s="372"/>
      <c r="P1519" s="372"/>
      <c r="R1519" s="372"/>
    </row>
    <row r="1520" spans="1:22" s="373" customFormat="1" x14ac:dyDescent="0.2">
      <c r="A1520" s="542"/>
      <c r="B1520" s="500"/>
      <c r="C1520" s="500"/>
      <c r="D1520" s="540"/>
      <c r="E1520" s="495"/>
      <c r="F1520" s="426"/>
      <c r="G1520" s="426"/>
      <c r="H1520" s="426"/>
      <c r="I1520" s="448"/>
      <c r="J1520" s="437"/>
      <c r="K1520" s="372"/>
      <c r="L1520" s="430"/>
      <c r="M1520" s="372"/>
      <c r="N1520" s="372"/>
      <c r="O1520" s="372"/>
      <c r="P1520" s="372"/>
      <c r="R1520" s="372"/>
    </row>
    <row r="1521" spans="1:18" s="373" customFormat="1" ht="29.25" customHeight="1" x14ac:dyDescent="0.2">
      <c r="A1521" s="542" t="s">
        <v>1169</v>
      </c>
      <c r="B1521" s="500" t="s">
        <v>45</v>
      </c>
      <c r="C1521" s="506">
        <v>95241</v>
      </c>
      <c r="D1521" s="554" t="s">
        <v>733</v>
      </c>
      <c r="E1521" s="495" t="s">
        <v>15</v>
      </c>
      <c r="F1521" s="426">
        <f>2.8*4+1.6*1.6</f>
        <v>13.76</v>
      </c>
      <c r="G1521" s="426">
        <v>19.88</v>
      </c>
      <c r="H1521" s="426">
        <f>G1521*(1+$L$16)</f>
        <v>25.135414514022855</v>
      </c>
      <c r="I1521" s="448">
        <f>ROUND(F1521*H1521,2)</f>
        <v>345.86</v>
      </c>
      <c r="J1521" s="437"/>
      <c r="K1521" s="372"/>
      <c r="L1521" s="430"/>
      <c r="M1521" s="372"/>
      <c r="N1521" s="372"/>
      <c r="O1521" s="372"/>
      <c r="P1521" s="372"/>
      <c r="R1521" s="372"/>
    </row>
    <row r="1522" spans="1:18" s="373" customFormat="1" x14ac:dyDescent="0.2">
      <c r="A1522" s="542"/>
      <c r="B1522" s="500"/>
      <c r="C1522" s="506"/>
      <c r="D1522" s="554"/>
      <c r="E1522" s="495"/>
      <c r="F1522" s="426"/>
      <c r="G1522" s="426"/>
      <c r="H1522" s="426"/>
      <c r="I1522" s="510"/>
      <c r="J1522" s="437"/>
      <c r="K1522" s="372"/>
      <c r="L1522" s="430"/>
      <c r="M1522" s="372"/>
      <c r="N1522" s="372"/>
      <c r="O1522" s="372"/>
      <c r="P1522" s="372"/>
      <c r="R1522" s="372"/>
    </row>
    <row r="1523" spans="1:18" s="373" customFormat="1" x14ac:dyDescent="0.2">
      <c r="A1523" s="542"/>
      <c r="B1523" s="500"/>
      <c r="C1523" s="506"/>
      <c r="D1523" s="554" t="s">
        <v>2561</v>
      </c>
      <c r="E1523" s="495"/>
      <c r="F1523" s="426"/>
      <c r="G1523" s="426"/>
      <c r="H1523" s="426"/>
      <c r="I1523" s="510"/>
      <c r="J1523" s="437"/>
      <c r="K1523" s="372"/>
      <c r="L1523" s="430"/>
      <c r="M1523" s="372"/>
      <c r="N1523" s="372"/>
      <c r="O1523" s="372"/>
      <c r="P1523" s="372"/>
      <c r="R1523" s="372"/>
    </row>
    <row r="1524" spans="1:18" s="373" customFormat="1" x14ac:dyDescent="0.2">
      <c r="A1524" s="542"/>
      <c r="B1524" s="500"/>
      <c r="C1524" s="506"/>
      <c r="D1524" s="554"/>
      <c r="E1524" s="495"/>
      <c r="F1524" s="426"/>
      <c r="G1524" s="426"/>
      <c r="H1524" s="426"/>
      <c r="I1524" s="510"/>
      <c r="J1524" s="437"/>
      <c r="K1524" s="372"/>
      <c r="L1524" s="430"/>
      <c r="M1524" s="372"/>
      <c r="N1524" s="372"/>
      <c r="O1524" s="372"/>
      <c r="P1524" s="372"/>
      <c r="R1524" s="372"/>
    </row>
    <row r="1525" spans="1:18" s="373" customFormat="1" ht="45" x14ac:dyDescent="0.2">
      <c r="A1525" s="542" t="s">
        <v>1170</v>
      </c>
      <c r="B1525" s="500" t="s">
        <v>335</v>
      </c>
      <c r="C1525" s="506" t="s">
        <v>1738</v>
      </c>
      <c r="D1525" s="554" t="s">
        <v>1812</v>
      </c>
      <c r="E1525" s="495" t="s">
        <v>18</v>
      </c>
      <c r="F1525" s="426">
        <v>1</v>
      </c>
      <c r="G1525" s="426">
        <v>4980.6400000000003</v>
      </c>
      <c r="H1525" s="426">
        <v>6297.3063855695582</v>
      </c>
      <c r="I1525" s="510">
        <v>6297.31</v>
      </c>
      <c r="J1525" s="437"/>
      <c r="K1525" s="372"/>
      <c r="L1525" s="430"/>
      <c r="M1525" s="372"/>
      <c r="N1525" s="372"/>
      <c r="O1525" s="372"/>
      <c r="P1525" s="372"/>
      <c r="R1525" s="372"/>
    </row>
    <row r="1526" spans="1:18" s="373" customFormat="1" x14ac:dyDescent="0.2">
      <c r="A1526" s="542"/>
      <c r="B1526" s="500"/>
      <c r="C1526" s="506"/>
      <c r="D1526" s="554"/>
      <c r="E1526" s="495"/>
      <c r="F1526" s="426"/>
      <c r="G1526" s="426"/>
      <c r="H1526" s="426"/>
      <c r="I1526" s="510"/>
      <c r="J1526" s="437"/>
      <c r="K1526" s="372"/>
      <c r="L1526" s="430"/>
      <c r="M1526" s="372"/>
      <c r="N1526" s="372"/>
      <c r="O1526" s="372"/>
      <c r="P1526" s="372"/>
      <c r="R1526" s="372"/>
    </row>
    <row r="1527" spans="1:18" s="373" customFormat="1" x14ac:dyDescent="0.2">
      <c r="A1527" s="542"/>
      <c r="B1527" s="500"/>
      <c r="C1527" s="506"/>
      <c r="D1527" s="554" t="s">
        <v>2566</v>
      </c>
      <c r="E1527" s="495"/>
      <c r="F1527" s="426"/>
      <c r="G1527" s="426"/>
      <c r="H1527" s="426"/>
      <c r="I1527" s="510"/>
      <c r="J1527" s="437"/>
      <c r="K1527" s="372"/>
      <c r="L1527" s="430"/>
      <c r="M1527" s="372"/>
      <c r="N1527" s="372"/>
      <c r="O1527" s="372"/>
      <c r="P1527" s="372"/>
      <c r="R1527" s="372"/>
    </row>
    <row r="1528" spans="1:18" s="373" customFormat="1" x14ac:dyDescent="0.2">
      <c r="A1528" s="542"/>
      <c r="B1528" s="500"/>
      <c r="C1528" s="506"/>
      <c r="D1528" s="554"/>
      <c r="E1528" s="495"/>
      <c r="F1528" s="426"/>
      <c r="G1528" s="426"/>
      <c r="H1528" s="426"/>
      <c r="I1528" s="510"/>
      <c r="J1528" s="437"/>
      <c r="K1528" s="372"/>
      <c r="L1528" s="430"/>
      <c r="M1528" s="372"/>
      <c r="N1528" s="372"/>
      <c r="O1528" s="372"/>
      <c r="P1528" s="372"/>
      <c r="R1528" s="372"/>
    </row>
    <row r="1529" spans="1:18" s="447" customFormat="1" ht="45" x14ac:dyDescent="0.2">
      <c r="A1529" s="542" t="s">
        <v>1171</v>
      </c>
      <c r="B1529" s="506" t="s">
        <v>45</v>
      </c>
      <c r="C1529" s="506">
        <v>92417</v>
      </c>
      <c r="D1529" s="540" t="s">
        <v>1388</v>
      </c>
      <c r="E1529" s="494" t="s">
        <v>15</v>
      </c>
      <c r="F1529" s="426">
        <v>51.8</v>
      </c>
      <c r="G1529" s="426">
        <v>96.25</v>
      </c>
      <c r="H1529" s="426">
        <v>121.69</v>
      </c>
      <c r="I1529" s="445">
        <v>6303.54</v>
      </c>
      <c r="J1529" s="446"/>
      <c r="K1529" s="446"/>
      <c r="L1529" s="446"/>
      <c r="M1529" s="446"/>
      <c r="N1529" s="446"/>
      <c r="O1529" s="446"/>
    </row>
    <row r="1530" spans="1:18" s="447" customFormat="1" x14ac:dyDescent="0.2">
      <c r="A1530" s="542"/>
      <c r="B1530" s="506"/>
      <c r="C1530" s="506"/>
      <c r="D1530" s="540"/>
      <c r="E1530" s="494"/>
      <c r="F1530" s="426"/>
      <c r="G1530" s="426"/>
      <c r="H1530" s="426"/>
      <c r="I1530" s="445"/>
      <c r="J1530" s="446"/>
      <c r="K1530" s="446"/>
      <c r="L1530" s="446"/>
      <c r="M1530" s="446"/>
      <c r="N1530" s="446"/>
      <c r="O1530" s="446"/>
    </row>
    <row r="1531" spans="1:18" s="447" customFormat="1" x14ac:dyDescent="0.2">
      <c r="A1531" s="542"/>
      <c r="B1531" s="506"/>
      <c r="C1531" s="506"/>
      <c r="D1531" s="554" t="s">
        <v>2562</v>
      </c>
      <c r="E1531" s="494"/>
      <c r="F1531" s="426"/>
      <c r="G1531" s="426"/>
      <c r="H1531" s="426"/>
      <c r="I1531" s="445"/>
      <c r="J1531" s="446"/>
      <c r="K1531" s="446"/>
      <c r="L1531" s="446"/>
      <c r="M1531" s="446"/>
      <c r="N1531" s="446"/>
      <c r="O1531" s="446"/>
    </row>
    <row r="1532" spans="1:18" s="447" customFormat="1" x14ac:dyDescent="0.2">
      <c r="A1532" s="542"/>
      <c r="B1532" s="506"/>
      <c r="C1532" s="506"/>
      <c r="D1532" s="540"/>
      <c r="E1532" s="494"/>
      <c r="F1532" s="426"/>
      <c r="G1532" s="426"/>
      <c r="H1532" s="426"/>
      <c r="I1532" s="445"/>
      <c r="J1532" s="446"/>
      <c r="K1532" s="446"/>
      <c r="L1532" s="446"/>
      <c r="M1532" s="446"/>
      <c r="N1532" s="446"/>
      <c r="O1532" s="446"/>
    </row>
    <row r="1533" spans="1:18" s="447" customFormat="1" x14ac:dyDescent="0.2">
      <c r="A1533" s="542" t="s">
        <v>1172</v>
      </c>
      <c r="B1533" s="506" t="s">
        <v>45</v>
      </c>
      <c r="C1533" s="506">
        <v>33</v>
      </c>
      <c r="D1533" s="540" t="s">
        <v>799</v>
      </c>
      <c r="E1533" s="494" t="s">
        <v>169</v>
      </c>
      <c r="F1533" s="426">
        <v>61</v>
      </c>
      <c r="G1533" s="426">
        <v>4.1900000000000004</v>
      </c>
      <c r="H1533" s="426">
        <v>4.8899999999999997</v>
      </c>
      <c r="I1533" s="445">
        <v>298.29000000000002</v>
      </c>
      <c r="J1533" s="446"/>
      <c r="K1533" s="446"/>
      <c r="L1533" s="446"/>
      <c r="M1533" s="446"/>
      <c r="N1533" s="446"/>
      <c r="O1533" s="446"/>
    </row>
    <row r="1534" spans="1:18" s="447" customFormat="1" x14ac:dyDescent="0.2">
      <c r="A1534" s="542"/>
      <c r="B1534" s="506"/>
      <c r="C1534" s="506"/>
      <c r="D1534" s="540"/>
      <c r="E1534" s="494"/>
      <c r="F1534" s="426"/>
      <c r="G1534" s="426"/>
      <c r="H1534" s="426"/>
      <c r="I1534" s="445"/>
      <c r="J1534" s="446"/>
      <c r="K1534" s="446"/>
      <c r="L1534" s="446"/>
      <c r="M1534" s="446"/>
      <c r="N1534" s="446"/>
      <c r="O1534" s="446"/>
    </row>
    <row r="1535" spans="1:18" s="447" customFormat="1" ht="17.25" customHeight="1" x14ac:dyDescent="0.2">
      <c r="A1535" s="542"/>
      <c r="B1535" s="506"/>
      <c r="C1535" s="506"/>
      <c r="D1535" s="554" t="s">
        <v>2563</v>
      </c>
      <c r="E1535" s="494"/>
      <c r="F1535" s="426"/>
      <c r="G1535" s="426"/>
      <c r="H1535" s="426"/>
      <c r="I1535" s="445"/>
      <c r="J1535" s="446"/>
      <c r="K1535" s="446"/>
      <c r="L1535" s="446"/>
      <c r="M1535" s="446"/>
      <c r="N1535" s="446"/>
      <c r="O1535" s="446"/>
    </row>
    <row r="1536" spans="1:18" s="447" customFormat="1" x14ac:dyDescent="0.2">
      <c r="A1536" s="542"/>
      <c r="B1536" s="506"/>
      <c r="C1536" s="506"/>
      <c r="D1536" s="540"/>
      <c r="E1536" s="494"/>
      <c r="F1536" s="426"/>
      <c r="G1536" s="426"/>
      <c r="H1536" s="426"/>
      <c r="I1536" s="445"/>
      <c r="J1536" s="446"/>
      <c r="K1536" s="446"/>
      <c r="L1536" s="446"/>
      <c r="M1536" s="446"/>
      <c r="N1536" s="446"/>
      <c r="O1536" s="446"/>
    </row>
    <row r="1537" spans="1:18" s="447" customFormat="1" x14ac:dyDescent="0.2">
      <c r="A1537" s="542" t="s">
        <v>1173</v>
      </c>
      <c r="B1537" s="506" t="s">
        <v>45</v>
      </c>
      <c r="C1537" s="506">
        <v>34439</v>
      </c>
      <c r="D1537" s="540" t="s">
        <v>798</v>
      </c>
      <c r="E1537" s="494" t="s">
        <v>169</v>
      </c>
      <c r="F1537" s="426">
        <v>1215</v>
      </c>
      <c r="G1537" s="426">
        <v>4</v>
      </c>
      <c r="H1537" s="426">
        <v>4.67</v>
      </c>
      <c r="I1537" s="445">
        <v>5674.05</v>
      </c>
      <c r="J1537" s="446"/>
      <c r="K1537" s="446"/>
      <c r="L1537" s="446"/>
      <c r="M1537" s="446"/>
      <c r="N1537" s="446"/>
      <c r="O1537" s="446"/>
    </row>
    <row r="1538" spans="1:18" s="447" customFormat="1" x14ac:dyDescent="0.2">
      <c r="A1538" s="542"/>
      <c r="B1538" s="506"/>
      <c r="C1538" s="506"/>
      <c r="D1538" s="540"/>
      <c r="E1538" s="494"/>
      <c r="F1538" s="426"/>
      <c r="G1538" s="426"/>
      <c r="H1538" s="426"/>
      <c r="I1538" s="455"/>
      <c r="J1538" s="446"/>
      <c r="K1538" s="446"/>
      <c r="L1538" s="446"/>
      <c r="M1538" s="446"/>
      <c r="N1538" s="446"/>
      <c r="O1538" s="446"/>
    </row>
    <row r="1539" spans="1:18" s="447" customFormat="1" x14ac:dyDescent="0.2">
      <c r="A1539" s="542"/>
      <c r="B1539" s="506"/>
      <c r="C1539" s="506"/>
      <c r="D1539" s="554" t="s">
        <v>2564</v>
      </c>
      <c r="E1539" s="494"/>
      <c r="F1539" s="426"/>
      <c r="G1539" s="426"/>
      <c r="H1539" s="426"/>
      <c r="I1539" s="455"/>
      <c r="J1539" s="446"/>
      <c r="K1539" s="446"/>
      <c r="L1539" s="446"/>
      <c r="M1539" s="446"/>
      <c r="N1539" s="446"/>
      <c r="O1539" s="446"/>
    </row>
    <row r="1540" spans="1:18" s="447" customFormat="1" x14ac:dyDescent="0.2">
      <c r="A1540" s="542"/>
      <c r="B1540" s="506"/>
      <c r="C1540" s="506"/>
      <c r="D1540" s="540"/>
      <c r="E1540" s="494"/>
      <c r="F1540" s="426"/>
      <c r="G1540" s="426"/>
      <c r="H1540" s="426"/>
      <c r="I1540" s="455"/>
      <c r="J1540" s="446"/>
      <c r="K1540" s="446"/>
      <c r="L1540" s="446"/>
      <c r="M1540" s="446"/>
      <c r="N1540" s="446"/>
      <c r="O1540" s="446"/>
    </row>
    <row r="1541" spans="1:18" s="373" customFormat="1" ht="30" x14ac:dyDescent="0.2">
      <c r="A1541" s="542" t="s">
        <v>1174</v>
      </c>
      <c r="B1541" s="500" t="s">
        <v>45</v>
      </c>
      <c r="C1541" s="500" t="s">
        <v>377</v>
      </c>
      <c r="D1541" s="540" t="s">
        <v>378</v>
      </c>
      <c r="E1541" s="495" t="s">
        <v>15</v>
      </c>
      <c r="F1541" s="426">
        <f>3.6*2.4+(3.6*2+2.4*2)*2.9+1.2*1.2+(1.2*2+1.2*2)*1.2</f>
        <v>50.639999999999993</v>
      </c>
      <c r="G1541" s="426">
        <v>31.05</v>
      </c>
      <c r="H1541" s="426">
        <f>G1541*(1+$L$16)</f>
        <v>39.258280717324432</v>
      </c>
      <c r="I1541" s="448">
        <f>ROUND(F1541*H1541,2)</f>
        <v>1988.04</v>
      </c>
      <c r="J1541" s="444"/>
      <c r="K1541" s="372"/>
      <c r="L1541" s="424"/>
      <c r="M1541" s="372"/>
      <c r="N1541" s="372"/>
      <c r="O1541" s="372"/>
      <c r="P1541" s="372"/>
      <c r="R1541" s="372"/>
    </row>
    <row r="1542" spans="1:18" s="373" customFormat="1" x14ac:dyDescent="0.2">
      <c r="A1542" s="542"/>
      <c r="B1542" s="500"/>
      <c r="C1542" s="500"/>
      <c r="D1542" s="540"/>
      <c r="E1542" s="495"/>
      <c r="F1542" s="426"/>
      <c r="G1542" s="426"/>
      <c r="H1542" s="426"/>
      <c r="I1542" s="448"/>
      <c r="J1542" s="444"/>
      <c r="K1542" s="372"/>
      <c r="L1542" s="424"/>
      <c r="M1542" s="372"/>
      <c r="N1542" s="372"/>
      <c r="O1542" s="372"/>
      <c r="P1542" s="372"/>
      <c r="R1542" s="372"/>
    </row>
    <row r="1543" spans="1:18" s="373" customFormat="1" x14ac:dyDescent="0.2">
      <c r="A1543" s="542"/>
      <c r="B1543" s="500"/>
      <c r="C1543" s="500"/>
      <c r="D1543" s="540" t="s">
        <v>2565</v>
      </c>
      <c r="E1543" s="495"/>
      <c r="F1543" s="426"/>
      <c r="G1543" s="426"/>
      <c r="H1543" s="426"/>
      <c r="I1543" s="448"/>
      <c r="J1543" s="444"/>
      <c r="K1543" s="372"/>
      <c r="L1543" s="424"/>
      <c r="M1543" s="372"/>
      <c r="N1543" s="372"/>
      <c r="O1543" s="372"/>
      <c r="P1543" s="372"/>
      <c r="R1543" s="372"/>
    </row>
    <row r="1544" spans="1:18" s="373" customFormat="1" x14ac:dyDescent="0.2">
      <c r="A1544" s="542"/>
      <c r="B1544" s="500"/>
      <c r="C1544" s="500"/>
      <c r="D1544" s="540"/>
      <c r="E1544" s="495"/>
      <c r="F1544" s="426"/>
      <c r="G1544" s="426"/>
      <c r="H1544" s="426"/>
      <c r="I1544" s="448"/>
      <c r="J1544" s="444"/>
      <c r="K1544" s="372"/>
      <c r="L1544" s="424"/>
      <c r="M1544" s="372"/>
      <c r="N1544" s="372"/>
      <c r="O1544" s="372"/>
      <c r="P1544" s="372"/>
      <c r="R1544" s="372"/>
    </row>
    <row r="1545" spans="1:18" s="373" customFormat="1" x14ac:dyDescent="0.2">
      <c r="A1545" s="542" t="s">
        <v>1175</v>
      </c>
      <c r="B1545" s="506" t="s">
        <v>45</v>
      </c>
      <c r="C1545" s="506">
        <v>73661</v>
      </c>
      <c r="D1545" s="554" t="s">
        <v>336</v>
      </c>
      <c r="E1545" s="494" t="s">
        <v>18</v>
      </c>
      <c r="F1545" s="426">
        <v>1</v>
      </c>
      <c r="G1545" s="426">
        <v>1752.73</v>
      </c>
      <c r="H1545" s="426">
        <f>G1545*(1+$L$16)</f>
        <v>2216.0762113261208</v>
      </c>
      <c r="I1545" s="448">
        <f>ROUND(F1545*H1545,2)</f>
        <v>2216.08</v>
      </c>
      <c r="J1545" s="444"/>
      <c r="K1545" s="372"/>
      <c r="L1545" s="424"/>
      <c r="M1545" s="372"/>
      <c r="N1545" s="372"/>
      <c r="O1545" s="372"/>
      <c r="P1545" s="372"/>
      <c r="R1545" s="372"/>
    </row>
    <row r="1546" spans="1:18" s="373" customFormat="1" x14ac:dyDescent="0.2">
      <c r="A1546" s="550"/>
      <c r="B1546" s="551"/>
      <c r="C1546" s="551"/>
      <c r="D1546" s="552"/>
      <c r="E1546" s="494"/>
      <c r="F1546" s="426"/>
      <c r="G1546" s="426"/>
      <c r="H1546" s="426"/>
      <c r="I1546" s="448"/>
      <c r="J1546" s="444"/>
      <c r="K1546" s="372"/>
      <c r="L1546" s="424"/>
      <c r="M1546" s="372"/>
      <c r="N1546" s="372"/>
      <c r="O1546" s="372"/>
      <c r="P1546" s="372"/>
      <c r="R1546" s="372"/>
    </row>
    <row r="1547" spans="1:18" s="373" customFormat="1" x14ac:dyDescent="0.2">
      <c r="A1547" s="542"/>
      <c r="B1547" s="506"/>
      <c r="C1547" s="506"/>
      <c r="D1547" s="554" t="s">
        <v>2567</v>
      </c>
      <c r="E1547" s="494"/>
      <c r="F1547" s="426"/>
      <c r="G1547" s="426"/>
      <c r="H1547" s="426"/>
      <c r="I1547" s="448"/>
      <c r="J1547" s="444"/>
      <c r="K1547" s="372"/>
      <c r="L1547" s="424"/>
      <c r="M1547" s="372"/>
      <c r="N1547" s="372"/>
      <c r="O1547" s="372"/>
      <c r="P1547" s="372"/>
      <c r="R1547" s="372"/>
    </row>
    <row r="1548" spans="1:18" s="373" customFormat="1" x14ac:dyDescent="0.2">
      <c r="A1548" s="542"/>
      <c r="B1548" s="506"/>
      <c r="C1548" s="506"/>
      <c r="D1548" s="554"/>
      <c r="E1548" s="494"/>
      <c r="F1548" s="426"/>
      <c r="G1548" s="426"/>
      <c r="H1548" s="426"/>
      <c r="I1548" s="448"/>
      <c r="J1548" s="444"/>
      <c r="K1548" s="372"/>
      <c r="L1548" s="424"/>
      <c r="M1548" s="372"/>
      <c r="N1548" s="372"/>
      <c r="O1548" s="372"/>
      <c r="P1548" s="372"/>
      <c r="R1548" s="372"/>
    </row>
    <row r="1549" spans="1:18" s="373" customFormat="1" ht="17.25" customHeight="1" x14ac:dyDescent="0.2">
      <c r="A1549" s="542" t="s">
        <v>1176</v>
      </c>
      <c r="B1549" s="506" t="s">
        <v>335</v>
      </c>
      <c r="C1549" s="506" t="s">
        <v>1745</v>
      </c>
      <c r="D1549" s="554" t="s">
        <v>1429</v>
      </c>
      <c r="E1549" s="494" t="s">
        <v>18</v>
      </c>
      <c r="F1549" s="426">
        <v>1</v>
      </c>
      <c r="G1549" s="426">
        <f>COMPOSIÇÕES!I519</f>
        <v>9217.5099999999984</v>
      </c>
      <c r="H1549" s="426">
        <f>G1549*(1+$L$16)</f>
        <v>11654.222064242997</v>
      </c>
      <c r="I1549" s="448">
        <f>ROUND(F1549*H1549,2)</f>
        <v>11654.22</v>
      </c>
      <c r="J1549" s="444"/>
      <c r="K1549" s="372"/>
      <c r="L1549" s="424"/>
      <c r="M1549" s="372"/>
      <c r="N1549" s="372"/>
      <c r="O1549" s="372"/>
      <c r="P1549" s="372"/>
      <c r="R1549" s="372"/>
    </row>
    <row r="1550" spans="1:18" s="373" customFormat="1" x14ac:dyDescent="0.2">
      <c r="A1550" s="542"/>
      <c r="B1550" s="506"/>
      <c r="C1550" s="506"/>
      <c r="D1550" s="554"/>
      <c r="E1550" s="494"/>
      <c r="F1550" s="426"/>
      <c r="G1550" s="426"/>
      <c r="H1550" s="426"/>
      <c r="I1550" s="448"/>
      <c r="J1550" s="444"/>
      <c r="K1550" s="372"/>
      <c r="L1550" s="424"/>
      <c r="M1550" s="372"/>
      <c r="N1550" s="372"/>
      <c r="O1550" s="372"/>
      <c r="P1550" s="372"/>
      <c r="R1550" s="372"/>
    </row>
    <row r="1551" spans="1:18" s="373" customFormat="1" x14ac:dyDescent="0.2">
      <c r="A1551" s="542"/>
      <c r="B1551" s="506"/>
      <c r="C1551" s="506"/>
      <c r="D1551" s="554" t="s">
        <v>2570</v>
      </c>
      <c r="E1551" s="494"/>
      <c r="F1551" s="426"/>
      <c r="G1551" s="426"/>
      <c r="H1551" s="426"/>
      <c r="I1551" s="448"/>
      <c r="J1551" s="444"/>
      <c r="K1551" s="372"/>
      <c r="L1551" s="424"/>
      <c r="M1551" s="372"/>
      <c r="N1551" s="372"/>
      <c r="O1551" s="372"/>
      <c r="P1551" s="372"/>
      <c r="R1551" s="372"/>
    </row>
    <row r="1552" spans="1:18" s="373" customFormat="1" x14ac:dyDescent="0.2">
      <c r="A1552" s="542"/>
      <c r="B1552" s="506"/>
      <c r="C1552" s="506"/>
      <c r="D1552" s="554"/>
      <c r="E1552" s="494"/>
      <c r="F1552" s="426"/>
      <c r="G1552" s="426"/>
      <c r="H1552" s="426"/>
      <c r="I1552" s="448"/>
      <c r="J1552" s="444"/>
      <c r="K1552" s="372"/>
      <c r="L1552" s="424"/>
      <c r="M1552" s="372"/>
      <c r="N1552" s="372"/>
      <c r="O1552" s="372"/>
      <c r="P1552" s="372"/>
      <c r="R1552" s="372"/>
    </row>
    <row r="1553" spans="1:22" s="457" customFormat="1" ht="45" x14ac:dyDescent="0.2">
      <c r="A1553" s="542" t="s">
        <v>1177</v>
      </c>
      <c r="B1553" s="506" t="s">
        <v>45</v>
      </c>
      <c r="C1553" s="506">
        <v>72110</v>
      </c>
      <c r="D1553" s="554" t="s">
        <v>1430</v>
      </c>
      <c r="E1553" s="495" t="s">
        <v>15</v>
      </c>
      <c r="F1553" s="426">
        <f>6.05*4.8</f>
        <v>29.04</v>
      </c>
      <c r="G1553" s="426">
        <v>64</v>
      </c>
      <c r="H1553" s="426">
        <f>G1553*(1+$L$16)</f>
        <v>80.918839481763726</v>
      </c>
      <c r="I1553" s="448">
        <f t="shared" ref="I1553:I1557" si="92">ROUND(F1553*H1553,2)</f>
        <v>2349.88</v>
      </c>
      <c r="J1553" s="437"/>
      <c r="K1553" s="456"/>
      <c r="L1553" s="456"/>
      <c r="M1553" s="456"/>
      <c r="N1553" s="372"/>
      <c r="O1553" s="372"/>
      <c r="P1553" s="372"/>
      <c r="Q1553" s="373"/>
      <c r="R1553" s="372"/>
      <c r="S1553" s="373"/>
      <c r="T1553" s="373"/>
      <c r="U1553" s="373"/>
      <c r="V1553" s="373"/>
    </row>
    <row r="1554" spans="1:22" s="457" customFormat="1" x14ac:dyDescent="0.2">
      <c r="A1554" s="542"/>
      <c r="B1554" s="506"/>
      <c r="C1554" s="506"/>
      <c r="D1554" s="554"/>
      <c r="E1554" s="495"/>
      <c r="F1554" s="426"/>
      <c r="G1554" s="426"/>
      <c r="H1554" s="426"/>
      <c r="I1554" s="448"/>
      <c r="J1554" s="437"/>
      <c r="K1554" s="456"/>
      <c r="L1554" s="456"/>
      <c r="M1554" s="456"/>
      <c r="N1554" s="372"/>
      <c r="O1554" s="372"/>
      <c r="P1554" s="372"/>
      <c r="Q1554" s="373"/>
      <c r="R1554" s="372"/>
      <c r="S1554" s="373"/>
      <c r="T1554" s="373"/>
      <c r="U1554" s="373"/>
      <c r="V1554" s="373"/>
    </row>
    <row r="1555" spans="1:22" s="457" customFormat="1" x14ac:dyDescent="0.2">
      <c r="A1555" s="542"/>
      <c r="B1555" s="506"/>
      <c r="C1555" s="506"/>
      <c r="D1555" s="554" t="s">
        <v>2568</v>
      </c>
      <c r="E1555" s="495"/>
      <c r="F1555" s="426"/>
      <c r="G1555" s="426"/>
      <c r="H1555" s="426"/>
      <c r="I1555" s="448"/>
      <c r="J1555" s="437"/>
      <c r="K1555" s="456"/>
      <c r="L1555" s="456"/>
      <c r="M1555" s="456"/>
      <c r="N1555" s="372"/>
      <c r="O1555" s="372"/>
      <c r="P1555" s="372"/>
      <c r="Q1555" s="373"/>
      <c r="R1555" s="372"/>
      <c r="S1555" s="373"/>
      <c r="T1555" s="373"/>
      <c r="U1555" s="373"/>
      <c r="V1555" s="373"/>
    </row>
    <row r="1556" spans="1:22" s="457" customFormat="1" x14ac:dyDescent="0.2">
      <c r="A1556" s="542"/>
      <c r="B1556" s="506"/>
      <c r="C1556" s="506"/>
      <c r="D1556" s="554"/>
      <c r="E1556" s="495"/>
      <c r="F1556" s="426"/>
      <c r="G1556" s="426"/>
      <c r="H1556" s="426"/>
      <c r="I1556" s="448"/>
      <c r="J1556" s="437"/>
      <c r="K1556" s="456"/>
      <c r="L1556" s="456"/>
      <c r="M1556" s="456"/>
      <c r="N1556" s="372"/>
      <c r="O1556" s="372"/>
      <c r="P1556" s="372"/>
      <c r="Q1556" s="373"/>
      <c r="R1556" s="372"/>
      <c r="S1556" s="373"/>
      <c r="T1556" s="373"/>
      <c r="U1556" s="373"/>
      <c r="V1556" s="373"/>
    </row>
    <row r="1557" spans="1:22" s="457" customFormat="1" ht="30" x14ac:dyDescent="0.2">
      <c r="A1557" s="542" t="s">
        <v>1178</v>
      </c>
      <c r="B1557" s="506" t="s">
        <v>45</v>
      </c>
      <c r="C1557" s="506">
        <v>94213</v>
      </c>
      <c r="D1557" s="554" t="s">
        <v>1431</v>
      </c>
      <c r="E1557" s="495" t="s">
        <v>15</v>
      </c>
      <c r="F1557" s="426">
        <f>6.05*4.8</f>
        <v>29.04</v>
      </c>
      <c r="G1557" s="426">
        <v>38.15</v>
      </c>
      <c r="H1557" s="426">
        <f>G1557*(1+$L$16)</f>
        <v>48.235214472332594</v>
      </c>
      <c r="I1557" s="448">
        <f t="shared" si="92"/>
        <v>1400.75</v>
      </c>
      <c r="J1557" s="437"/>
      <c r="K1557" s="456"/>
      <c r="L1557" s="456"/>
      <c r="M1557" s="456"/>
      <c r="N1557" s="372"/>
      <c r="O1557" s="372"/>
      <c r="P1557" s="372"/>
      <c r="Q1557" s="373"/>
      <c r="R1557" s="372"/>
      <c r="S1557" s="373"/>
      <c r="T1557" s="373"/>
      <c r="U1557" s="373"/>
      <c r="V1557" s="373"/>
    </row>
    <row r="1558" spans="1:22" s="457" customFormat="1" x14ac:dyDescent="0.2">
      <c r="A1558" s="542"/>
      <c r="B1558" s="506"/>
      <c r="C1558" s="506"/>
      <c r="D1558" s="554"/>
      <c r="E1558" s="495"/>
      <c r="F1558" s="426"/>
      <c r="G1558" s="426"/>
      <c r="H1558" s="426"/>
      <c r="I1558" s="448"/>
      <c r="J1558" s="437"/>
      <c r="K1558" s="456"/>
      <c r="L1558" s="456"/>
      <c r="M1558" s="456"/>
      <c r="N1558" s="372"/>
      <c r="O1558" s="372"/>
      <c r="P1558" s="372"/>
      <c r="Q1558" s="373"/>
      <c r="R1558" s="372"/>
      <c r="S1558" s="373"/>
      <c r="T1558" s="373"/>
      <c r="U1558" s="373"/>
      <c r="V1558" s="373"/>
    </row>
    <row r="1559" spans="1:22" s="457" customFormat="1" x14ac:dyDescent="0.2">
      <c r="A1559" s="542"/>
      <c r="B1559" s="506"/>
      <c r="C1559" s="506"/>
      <c r="D1559" s="554" t="s">
        <v>2568</v>
      </c>
      <c r="E1559" s="495"/>
      <c r="F1559" s="426"/>
      <c r="G1559" s="426"/>
      <c r="H1559" s="426"/>
      <c r="I1559" s="448"/>
      <c r="J1559" s="437"/>
      <c r="K1559" s="456"/>
      <c r="L1559" s="456"/>
      <c r="M1559" s="456"/>
      <c r="N1559" s="372"/>
      <c r="O1559" s="372"/>
      <c r="P1559" s="372"/>
      <c r="Q1559" s="373"/>
      <c r="R1559" s="372"/>
      <c r="S1559" s="373"/>
      <c r="T1559" s="373"/>
      <c r="U1559" s="373"/>
      <c r="V1559" s="373"/>
    </row>
    <row r="1560" spans="1:22" s="457" customFormat="1" x14ac:dyDescent="0.2">
      <c r="A1560" s="542"/>
      <c r="B1560" s="506"/>
      <c r="C1560" s="506"/>
      <c r="D1560" s="554"/>
      <c r="E1560" s="495"/>
      <c r="F1560" s="426"/>
      <c r="G1560" s="426"/>
      <c r="H1560" s="426"/>
      <c r="I1560" s="448"/>
      <c r="J1560" s="437"/>
      <c r="K1560" s="456"/>
      <c r="L1560" s="456"/>
      <c r="M1560" s="456"/>
      <c r="N1560" s="372"/>
      <c r="O1560" s="372"/>
      <c r="P1560" s="372"/>
      <c r="Q1560" s="373"/>
      <c r="R1560" s="372"/>
      <c r="S1560" s="373"/>
      <c r="T1560" s="373"/>
      <c r="U1560" s="373"/>
      <c r="V1560" s="373"/>
    </row>
    <row r="1561" spans="1:22" s="457" customFormat="1" ht="30" x14ac:dyDescent="0.2">
      <c r="A1561" s="542" t="s">
        <v>1179</v>
      </c>
      <c r="B1561" s="506" t="s">
        <v>45</v>
      </c>
      <c r="C1561" s="506">
        <v>11296</v>
      </c>
      <c r="D1561" s="554" t="s">
        <v>1432</v>
      </c>
      <c r="E1561" s="495" t="s">
        <v>15</v>
      </c>
      <c r="F1561" s="426">
        <v>1</v>
      </c>
      <c r="G1561" s="426">
        <v>1286.67</v>
      </c>
      <c r="H1561" s="426">
        <f>G1561*(1+$K$16)</f>
        <v>1502.8356197564754</v>
      </c>
      <c r="I1561" s="448">
        <f t="shared" ref="I1561" si="93">ROUND(F1561*H1561,2)</f>
        <v>1502.84</v>
      </c>
      <c r="J1561" s="437"/>
      <c r="K1561" s="456"/>
      <c r="L1561" s="456"/>
      <c r="M1561" s="456"/>
      <c r="N1561" s="372"/>
      <c r="O1561" s="372"/>
      <c r="P1561" s="372"/>
      <c r="Q1561" s="373"/>
      <c r="R1561" s="372"/>
      <c r="S1561" s="373"/>
      <c r="T1561" s="373"/>
      <c r="U1561" s="373"/>
      <c r="V1561" s="373"/>
    </row>
    <row r="1562" spans="1:22" s="457" customFormat="1" x14ac:dyDescent="0.2">
      <c r="A1562" s="542"/>
      <c r="B1562" s="506"/>
      <c r="C1562" s="506"/>
      <c r="D1562" s="554"/>
      <c r="E1562" s="495"/>
      <c r="F1562" s="426"/>
      <c r="G1562" s="426"/>
      <c r="H1562" s="426"/>
      <c r="I1562" s="448"/>
      <c r="J1562" s="437"/>
      <c r="K1562" s="456"/>
      <c r="L1562" s="456"/>
      <c r="M1562" s="456"/>
      <c r="N1562" s="372"/>
      <c r="O1562" s="372"/>
      <c r="P1562" s="372"/>
      <c r="Q1562" s="373"/>
      <c r="R1562" s="372"/>
      <c r="S1562" s="373"/>
      <c r="T1562" s="373"/>
      <c r="U1562" s="373"/>
      <c r="V1562" s="373"/>
    </row>
    <row r="1563" spans="1:22" s="457" customFormat="1" x14ac:dyDescent="0.2">
      <c r="A1563" s="542"/>
      <c r="B1563" s="506"/>
      <c r="C1563" s="506"/>
      <c r="D1563" s="554" t="s">
        <v>2280</v>
      </c>
      <c r="E1563" s="495"/>
      <c r="F1563" s="426"/>
      <c r="G1563" s="426"/>
      <c r="H1563" s="426"/>
      <c r="I1563" s="448"/>
      <c r="J1563" s="437"/>
      <c r="K1563" s="456"/>
      <c r="L1563" s="456"/>
      <c r="M1563" s="456"/>
      <c r="N1563" s="372"/>
      <c r="O1563" s="372"/>
      <c r="P1563" s="372"/>
      <c r="Q1563" s="373"/>
      <c r="R1563" s="372"/>
      <c r="S1563" s="373"/>
      <c r="T1563" s="373"/>
      <c r="U1563" s="373"/>
      <c r="V1563" s="373"/>
    </row>
    <row r="1564" spans="1:22" s="457" customFormat="1" x14ac:dyDescent="0.2">
      <c r="A1564" s="542"/>
      <c r="B1564" s="506"/>
      <c r="C1564" s="506"/>
      <c r="D1564" s="554"/>
      <c r="E1564" s="495"/>
      <c r="F1564" s="426"/>
      <c r="G1564" s="426"/>
      <c r="H1564" s="426"/>
      <c r="I1564" s="448"/>
      <c r="J1564" s="437"/>
      <c r="K1564" s="456"/>
      <c r="L1564" s="456"/>
      <c r="M1564" s="456"/>
      <c r="N1564" s="372"/>
      <c r="O1564" s="372"/>
      <c r="P1564" s="372"/>
      <c r="Q1564" s="373"/>
      <c r="R1564" s="372"/>
      <c r="S1564" s="373"/>
      <c r="T1564" s="373"/>
      <c r="U1564" s="373"/>
      <c r="V1564" s="373"/>
    </row>
    <row r="1565" spans="1:22" s="457" customFormat="1" ht="30" x14ac:dyDescent="0.2">
      <c r="A1565" s="542" t="s">
        <v>1180</v>
      </c>
      <c r="B1565" s="506" t="s">
        <v>45</v>
      </c>
      <c r="C1565" s="506">
        <v>73665</v>
      </c>
      <c r="D1565" s="554" t="s">
        <v>1433</v>
      </c>
      <c r="E1565" s="494" t="s">
        <v>17</v>
      </c>
      <c r="F1565" s="426">
        <v>2.9</v>
      </c>
      <c r="G1565" s="426">
        <v>58.56</v>
      </c>
      <c r="H1565" s="426">
        <f>G1565*(1+$K$16)</f>
        <v>68.398310283863921</v>
      </c>
      <c r="I1565" s="448">
        <f t="shared" ref="I1565" si="94">ROUND(F1565*H1565,2)</f>
        <v>198.36</v>
      </c>
      <c r="J1565" s="437"/>
      <c r="K1565" s="456"/>
      <c r="L1565" s="456"/>
      <c r="M1565" s="456"/>
      <c r="N1565" s="372"/>
      <c r="O1565" s="372"/>
      <c r="P1565" s="372"/>
      <c r="Q1565" s="373"/>
      <c r="R1565" s="372"/>
      <c r="S1565" s="373"/>
      <c r="T1565" s="373"/>
      <c r="U1565" s="373"/>
      <c r="V1565" s="373"/>
    </row>
    <row r="1566" spans="1:22" s="457" customFormat="1" x14ac:dyDescent="0.2">
      <c r="A1566" s="542"/>
      <c r="B1566" s="506"/>
      <c r="C1566" s="506"/>
      <c r="D1566" s="554"/>
      <c r="E1566" s="494"/>
      <c r="F1566" s="426"/>
      <c r="G1566" s="426"/>
      <c r="H1566" s="426"/>
      <c r="I1566" s="448"/>
      <c r="J1566" s="437"/>
      <c r="K1566" s="456"/>
      <c r="L1566" s="456"/>
      <c r="M1566" s="456"/>
      <c r="N1566" s="372"/>
      <c r="O1566" s="372"/>
      <c r="P1566" s="372"/>
      <c r="Q1566" s="373"/>
      <c r="R1566" s="372"/>
      <c r="S1566" s="373"/>
      <c r="T1566" s="373"/>
      <c r="U1566" s="373"/>
      <c r="V1566" s="373"/>
    </row>
    <row r="1567" spans="1:22" s="457" customFormat="1" x14ac:dyDescent="0.2">
      <c r="A1567" s="542"/>
      <c r="B1567" s="506"/>
      <c r="C1567" s="506"/>
      <c r="D1567" s="554" t="s">
        <v>2569</v>
      </c>
      <c r="E1567" s="494"/>
      <c r="F1567" s="426"/>
      <c r="G1567" s="426"/>
      <c r="H1567" s="426"/>
      <c r="I1567" s="448"/>
      <c r="J1567" s="437"/>
      <c r="K1567" s="456"/>
      <c r="L1567" s="456"/>
      <c r="M1567" s="456"/>
      <c r="N1567" s="372"/>
      <c r="O1567" s="372"/>
      <c r="P1567" s="372"/>
      <c r="Q1567" s="373"/>
      <c r="R1567" s="372"/>
      <c r="S1567" s="373"/>
      <c r="T1567" s="373"/>
      <c r="U1567" s="373"/>
      <c r="V1567" s="373"/>
    </row>
    <row r="1568" spans="1:22" s="457" customFormat="1" x14ac:dyDescent="0.2">
      <c r="A1568" s="542"/>
      <c r="B1568" s="506"/>
      <c r="C1568" s="506"/>
      <c r="D1568" s="554"/>
      <c r="E1568" s="494"/>
      <c r="F1568" s="426"/>
      <c r="G1568" s="426"/>
      <c r="H1568" s="426"/>
      <c r="I1568" s="448"/>
      <c r="J1568" s="437"/>
      <c r="K1568" s="456"/>
      <c r="L1568" s="456"/>
      <c r="M1568" s="456"/>
      <c r="N1568" s="372"/>
      <c r="O1568" s="372"/>
      <c r="P1568" s="372"/>
      <c r="Q1568" s="373"/>
      <c r="R1568" s="372"/>
      <c r="S1568" s="373"/>
      <c r="T1568" s="373"/>
      <c r="U1568" s="373"/>
      <c r="V1568" s="373"/>
    </row>
    <row r="1569" spans="1:63" s="457" customFormat="1" x14ac:dyDescent="0.2">
      <c r="A1569" s="542" t="s">
        <v>1181</v>
      </c>
      <c r="B1569" s="506"/>
      <c r="C1569" s="506"/>
      <c r="D1569" s="554" t="s">
        <v>2246</v>
      </c>
      <c r="E1569" s="494" t="s">
        <v>18</v>
      </c>
      <c r="F1569" s="426">
        <v>1</v>
      </c>
      <c r="G1569" s="426"/>
      <c r="H1569" s="426"/>
      <c r="I1569" s="448"/>
      <c r="J1569" s="437"/>
      <c r="K1569" s="456"/>
      <c r="L1569" s="456"/>
      <c r="M1569" s="456"/>
      <c r="N1569" s="372"/>
      <c r="O1569" s="372"/>
      <c r="P1569" s="372"/>
      <c r="Q1569" s="373"/>
      <c r="R1569" s="372"/>
      <c r="S1569" s="373"/>
      <c r="T1569" s="373"/>
      <c r="U1569" s="373"/>
      <c r="V1569" s="373"/>
    </row>
    <row r="1570" spans="1:63" s="457" customFormat="1" x14ac:dyDescent="0.2">
      <c r="A1570" s="542"/>
      <c r="B1570" s="506"/>
      <c r="C1570" s="506"/>
      <c r="D1570" s="554"/>
      <c r="E1570" s="494"/>
      <c r="F1570" s="426"/>
      <c r="G1570" s="426"/>
      <c r="H1570" s="426"/>
      <c r="I1570" s="448"/>
      <c r="J1570" s="437"/>
      <c r="K1570" s="456"/>
      <c r="L1570" s="456"/>
      <c r="M1570" s="456"/>
      <c r="N1570" s="372"/>
      <c r="O1570" s="372"/>
      <c r="P1570" s="372"/>
      <c r="Q1570" s="373"/>
      <c r="R1570" s="372"/>
      <c r="S1570" s="373"/>
      <c r="T1570" s="373"/>
      <c r="U1570" s="373"/>
      <c r="V1570" s="373"/>
    </row>
    <row r="1571" spans="1:63" s="457" customFormat="1" x14ac:dyDescent="0.2">
      <c r="A1571" s="542"/>
      <c r="B1571" s="506"/>
      <c r="C1571" s="506"/>
      <c r="D1571" s="554" t="s">
        <v>2532</v>
      </c>
      <c r="E1571" s="494"/>
      <c r="F1571" s="426"/>
      <c r="G1571" s="426"/>
      <c r="H1571" s="426"/>
      <c r="I1571" s="448"/>
      <c r="J1571" s="437"/>
      <c r="K1571" s="456"/>
      <c r="L1571" s="456"/>
      <c r="M1571" s="456"/>
      <c r="N1571" s="372"/>
      <c r="O1571" s="372"/>
      <c r="P1571" s="372"/>
      <c r="Q1571" s="373"/>
      <c r="R1571" s="372"/>
      <c r="S1571" s="373"/>
      <c r="T1571" s="373"/>
      <c r="U1571" s="373"/>
      <c r="V1571" s="373"/>
    </row>
    <row r="1572" spans="1:63" s="457" customFormat="1" x14ac:dyDescent="0.2">
      <c r="A1572" s="542"/>
      <c r="B1572" s="506"/>
      <c r="C1572" s="506"/>
      <c r="D1572" s="554"/>
      <c r="E1572" s="494"/>
      <c r="F1572" s="426"/>
      <c r="G1572" s="426"/>
      <c r="H1572" s="426"/>
      <c r="I1572" s="448"/>
      <c r="J1572" s="437"/>
      <c r="K1572" s="456"/>
      <c r="L1572" s="456"/>
      <c r="M1572" s="456"/>
      <c r="N1572" s="372"/>
      <c r="O1572" s="372"/>
      <c r="P1572" s="372"/>
      <c r="Q1572" s="373"/>
      <c r="R1572" s="372"/>
      <c r="S1572" s="373"/>
      <c r="T1572" s="373"/>
      <c r="U1572" s="373"/>
      <c r="V1572" s="373"/>
    </row>
    <row r="1573" spans="1:63" s="373" customFormat="1" ht="30" x14ac:dyDescent="0.2">
      <c r="A1573" s="542" t="s">
        <v>1182</v>
      </c>
      <c r="B1573" s="506" t="s">
        <v>335</v>
      </c>
      <c r="C1573" s="506" t="s">
        <v>1750</v>
      </c>
      <c r="D1573" s="554" t="str">
        <f>COMPOSIÇÕES!D526</f>
        <v>FORNECIMENTO E APLICAÇÃO DO MATERIAL HIDRÁULICO DA SANITIZAÇÃO</v>
      </c>
      <c r="E1573" s="494" t="s">
        <v>18</v>
      </c>
      <c r="F1573" s="426">
        <v>1</v>
      </c>
      <c r="G1573" s="426">
        <f>COMPOSIÇÕES!I526</f>
        <v>21249.200000000001</v>
      </c>
      <c r="H1573" s="426">
        <f>G1573*(1+$L$16)</f>
        <v>26866.571936185843</v>
      </c>
      <c r="I1573" s="448">
        <f>ROUND(F1573*H1573,2)</f>
        <v>26866.57</v>
      </c>
      <c r="J1573" s="444"/>
      <c r="K1573" s="372"/>
      <c r="L1573" s="424"/>
      <c r="M1573" s="372"/>
      <c r="N1573" s="372"/>
      <c r="O1573" s="372"/>
      <c r="P1573" s="372"/>
      <c r="R1573" s="372"/>
    </row>
    <row r="1574" spans="1:63" s="478" customFormat="1" x14ac:dyDescent="0.2">
      <c r="A1574" s="557"/>
      <c r="B1574" s="506"/>
      <c r="C1574" s="506"/>
      <c r="D1574" s="554"/>
      <c r="E1574" s="494"/>
      <c r="F1574" s="426"/>
      <c r="G1574" s="426"/>
      <c r="H1574" s="426"/>
      <c r="I1574" s="448"/>
      <c r="J1574" s="429"/>
      <c r="K1574" s="456"/>
      <c r="L1574" s="456"/>
      <c r="M1574" s="456"/>
      <c r="N1574" s="372"/>
      <c r="O1574" s="372"/>
      <c r="P1574" s="372"/>
      <c r="Q1574" s="373"/>
      <c r="R1574" s="372"/>
      <c r="S1574" s="373"/>
      <c r="T1574" s="373"/>
      <c r="U1574" s="373"/>
      <c r="V1574" s="373"/>
      <c r="W1574" s="457"/>
      <c r="X1574" s="457"/>
      <c r="Y1574" s="457"/>
      <c r="Z1574" s="457"/>
      <c r="AA1574" s="457"/>
      <c r="AB1574" s="457"/>
      <c r="AC1574" s="457"/>
      <c r="AD1574" s="457"/>
      <c r="AE1574" s="457"/>
      <c r="AF1574" s="457"/>
      <c r="AG1574" s="457"/>
      <c r="AH1574" s="457"/>
      <c r="AI1574" s="457"/>
      <c r="AJ1574" s="457"/>
      <c r="AK1574" s="457"/>
      <c r="AL1574" s="457"/>
      <c r="AM1574" s="457"/>
      <c r="AN1574" s="457"/>
      <c r="AO1574" s="457"/>
      <c r="AP1574" s="457"/>
      <c r="AQ1574" s="457"/>
      <c r="AR1574" s="457"/>
      <c r="AS1574" s="457"/>
      <c r="AT1574" s="457"/>
      <c r="AU1574" s="457"/>
      <c r="AV1574" s="457"/>
      <c r="AW1574" s="457"/>
      <c r="AX1574" s="457"/>
      <c r="AY1574" s="457"/>
      <c r="AZ1574" s="457"/>
      <c r="BA1574" s="457"/>
      <c r="BB1574" s="457"/>
      <c r="BC1574" s="457"/>
      <c r="BD1574" s="457"/>
      <c r="BE1574" s="457"/>
      <c r="BF1574" s="457"/>
      <c r="BG1574" s="457"/>
      <c r="BH1574" s="457"/>
      <c r="BI1574" s="457"/>
      <c r="BJ1574" s="457"/>
      <c r="BK1574" s="457"/>
    </row>
    <row r="1575" spans="1:63" s="478" customFormat="1" x14ac:dyDescent="0.2">
      <c r="A1575" s="557"/>
      <c r="B1575" s="506"/>
      <c r="C1575" s="506"/>
      <c r="D1575" s="554" t="s">
        <v>2571</v>
      </c>
      <c r="E1575" s="494"/>
      <c r="F1575" s="426"/>
      <c r="G1575" s="426"/>
      <c r="H1575" s="426"/>
      <c r="I1575" s="448"/>
      <c r="J1575" s="429"/>
      <c r="K1575" s="456"/>
      <c r="L1575" s="456"/>
      <c r="M1575" s="456"/>
      <c r="N1575" s="372"/>
      <c r="O1575" s="372"/>
      <c r="P1575" s="372"/>
      <c r="Q1575" s="373"/>
      <c r="R1575" s="372"/>
      <c r="S1575" s="373"/>
      <c r="T1575" s="373"/>
      <c r="U1575" s="373"/>
      <c r="V1575" s="373"/>
      <c r="W1575" s="457"/>
      <c r="X1575" s="457"/>
      <c r="Y1575" s="457"/>
      <c r="Z1575" s="457"/>
      <c r="AA1575" s="457"/>
      <c r="AB1575" s="457"/>
      <c r="AC1575" s="457"/>
      <c r="AD1575" s="457"/>
      <c r="AE1575" s="457"/>
      <c r="AF1575" s="457"/>
      <c r="AG1575" s="457"/>
      <c r="AH1575" s="457"/>
      <c r="AI1575" s="457"/>
      <c r="AJ1575" s="457"/>
      <c r="AK1575" s="457"/>
      <c r="AL1575" s="457"/>
      <c r="AM1575" s="457"/>
      <c r="AN1575" s="457"/>
      <c r="AO1575" s="457"/>
      <c r="AP1575" s="457"/>
      <c r="AQ1575" s="457"/>
      <c r="AR1575" s="457"/>
      <c r="AS1575" s="457"/>
      <c r="AT1575" s="457"/>
      <c r="AU1575" s="457"/>
      <c r="AV1575" s="457"/>
      <c r="AW1575" s="457"/>
      <c r="AX1575" s="457"/>
      <c r="AY1575" s="457"/>
      <c r="AZ1575" s="457"/>
      <c r="BA1575" s="457"/>
      <c r="BB1575" s="457"/>
      <c r="BC1575" s="457"/>
      <c r="BD1575" s="457"/>
      <c r="BE1575" s="457"/>
      <c r="BF1575" s="457"/>
      <c r="BG1575" s="457"/>
      <c r="BH1575" s="457"/>
      <c r="BI1575" s="457"/>
      <c r="BJ1575" s="457"/>
      <c r="BK1575" s="457"/>
    </row>
    <row r="1576" spans="1:63" s="457" customFormat="1" x14ac:dyDescent="0.2">
      <c r="A1576" s="538"/>
      <c r="B1576" s="499"/>
      <c r="C1576" s="499"/>
      <c r="D1576" s="539"/>
      <c r="E1576" s="492"/>
      <c r="F1576" s="427"/>
      <c r="G1576" s="427"/>
      <c r="H1576" s="427"/>
      <c r="I1576" s="428"/>
      <c r="J1576" s="429"/>
      <c r="K1576" s="456"/>
      <c r="L1576" s="456"/>
      <c r="M1576" s="456"/>
      <c r="N1576" s="372"/>
      <c r="O1576" s="372"/>
      <c r="P1576" s="372"/>
      <c r="Q1576" s="373"/>
      <c r="R1576" s="372"/>
      <c r="S1576" s="373"/>
      <c r="T1576" s="373"/>
      <c r="U1576" s="373"/>
      <c r="V1576" s="373"/>
    </row>
    <row r="1577" spans="1:63" s="457" customFormat="1" ht="15.75" x14ac:dyDescent="0.2">
      <c r="A1577" s="558" t="s">
        <v>325</v>
      </c>
      <c r="B1577" s="501"/>
      <c r="C1577" s="501"/>
      <c r="D1577" s="545" t="s">
        <v>186</v>
      </c>
      <c r="E1577" s="491"/>
      <c r="F1577" s="404"/>
      <c r="G1577" s="405"/>
      <c r="H1577" s="406"/>
      <c r="I1577" s="407">
        <f>SUM(I1578:I1602)</f>
        <v>12185.630000000001</v>
      </c>
      <c r="J1577" s="429"/>
      <c r="K1577" s="456"/>
      <c r="L1577" s="456"/>
      <c r="M1577" s="456"/>
      <c r="N1577" s="372"/>
      <c r="O1577" s="372"/>
      <c r="P1577" s="372"/>
      <c r="Q1577" s="373"/>
      <c r="R1577" s="372"/>
      <c r="S1577" s="373"/>
      <c r="T1577" s="373"/>
      <c r="U1577" s="373"/>
      <c r="V1577" s="373"/>
    </row>
    <row r="1578" spans="1:63" s="457" customFormat="1" ht="30" x14ac:dyDescent="0.2">
      <c r="A1578" s="542" t="s">
        <v>1183</v>
      </c>
      <c r="B1578" s="500" t="s">
        <v>45</v>
      </c>
      <c r="C1578" s="506" t="s">
        <v>730</v>
      </c>
      <c r="D1578" s="554" t="s">
        <v>731</v>
      </c>
      <c r="E1578" s="495" t="s">
        <v>15</v>
      </c>
      <c r="F1578" s="426">
        <f>(1.5+4)*(1+4)</f>
        <v>27.5</v>
      </c>
      <c r="G1578" s="426">
        <v>8.3000000000000007</v>
      </c>
      <c r="H1578" s="426">
        <f t="shared" ref="H1578:H1598" si="95">G1578*(1+$L$16)</f>
        <v>10.494161995291234</v>
      </c>
      <c r="I1578" s="448">
        <f>ROUND(F1578*H1578,2)</f>
        <v>288.58999999999997</v>
      </c>
      <c r="J1578" s="437"/>
      <c r="K1578" s="456"/>
      <c r="L1578" s="456"/>
      <c r="M1578" s="456"/>
      <c r="N1578" s="372"/>
      <c r="O1578" s="372"/>
      <c r="P1578" s="372"/>
      <c r="Q1578" s="373"/>
      <c r="R1578" s="372"/>
      <c r="S1578" s="373"/>
      <c r="T1578" s="373"/>
      <c r="U1578" s="373"/>
      <c r="V1578" s="373"/>
    </row>
    <row r="1579" spans="1:63" s="457" customFormat="1" x14ac:dyDescent="0.2">
      <c r="A1579" s="542"/>
      <c r="B1579" s="500"/>
      <c r="C1579" s="506"/>
      <c r="D1579" s="554"/>
      <c r="E1579" s="495"/>
      <c r="F1579" s="426"/>
      <c r="G1579" s="426"/>
      <c r="H1579" s="426"/>
      <c r="I1579" s="448"/>
      <c r="J1579" s="437"/>
      <c r="K1579" s="456"/>
      <c r="L1579" s="456"/>
      <c r="M1579" s="456"/>
      <c r="N1579" s="372"/>
      <c r="O1579" s="372"/>
      <c r="P1579" s="372"/>
      <c r="Q1579" s="373"/>
      <c r="R1579" s="372"/>
      <c r="S1579" s="373"/>
      <c r="T1579" s="373"/>
      <c r="U1579" s="373"/>
      <c r="V1579" s="373"/>
    </row>
    <row r="1580" spans="1:63" s="457" customFormat="1" x14ac:dyDescent="0.2">
      <c r="A1580" s="542"/>
      <c r="B1580" s="500"/>
      <c r="C1580" s="506"/>
      <c r="D1580" s="554" t="s">
        <v>2572</v>
      </c>
      <c r="E1580" s="495"/>
      <c r="F1580" s="426"/>
      <c r="G1580" s="426"/>
      <c r="H1580" s="426"/>
      <c r="I1580" s="448"/>
      <c r="J1580" s="437"/>
      <c r="K1580" s="456"/>
      <c r="L1580" s="456"/>
      <c r="M1580" s="456"/>
      <c r="N1580" s="372"/>
      <c r="O1580" s="372"/>
      <c r="P1580" s="372"/>
      <c r="Q1580" s="373"/>
      <c r="R1580" s="372"/>
      <c r="S1580" s="373"/>
      <c r="T1580" s="373"/>
      <c r="U1580" s="373"/>
      <c r="V1580" s="373"/>
    </row>
    <row r="1581" spans="1:63" s="457" customFormat="1" x14ac:dyDescent="0.2">
      <c r="A1581" s="542"/>
      <c r="B1581" s="500"/>
      <c r="C1581" s="506"/>
      <c r="D1581" s="554"/>
      <c r="E1581" s="495"/>
      <c r="F1581" s="426"/>
      <c r="G1581" s="426"/>
      <c r="H1581" s="426"/>
      <c r="I1581" s="448"/>
      <c r="J1581" s="437"/>
      <c r="K1581" s="456"/>
      <c r="L1581" s="456"/>
      <c r="M1581" s="456"/>
      <c r="N1581" s="372"/>
      <c r="O1581" s="372"/>
      <c r="P1581" s="372"/>
      <c r="Q1581" s="373"/>
      <c r="R1581" s="372"/>
      <c r="S1581" s="373"/>
      <c r="T1581" s="373"/>
      <c r="U1581" s="373"/>
      <c r="V1581" s="373"/>
    </row>
    <row r="1582" spans="1:63" s="457" customFormat="1" x14ac:dyDescent="0.2">
      <c r="A1582" s="542" t="s">
        <v>1184</v>
      </c>
      <c r="B1582" s="500" t="s">
        <v>45</v>
      </c>
      <c r="C1582" s="500">
        <v>93358</v>
      </c>
      <c r="D1582" s="540" t="s">
        <v>803</v>
      </c>
      <c r="E1582" s="495" t="s">
        <v>16</v>
      </c>
      <c r="F1582" s="426">
        <v>0.5</v>
      </c>
      <c r="G1582" s="426">
        <v>65.819999999999993</v>
      </c>
      <c r="H1582" s="426">
        <f t="shared" si="95"/>
        <v>83.219968979526371</v>
      </c>
      <c r="I1582" s="448">
        <f t="shared" ref="I1582:I1602" si="96">ROUND(F1582*H1582,2)</f>
        <v>41.61</v>
      </c>
      <c r="J1582" s="437"/>
      <c r="K1582" s="456"/>
      <c r="L1582" s="456"/>
      <c r="M1582" s="456"/>
      <c r="N1582" s="372"/>
      <c r="O1582" s="372"/>
      <c r="P1582" s="372"/>
      <c r="Q1582" s="373"/>
      <c r="R1582" s="372"/>
      <c r="S1582" s="373"/>
      <c r="T1582" s="373"/>
      <c r="U1582" s="373"/>
      <c r="V1582" s="373"/>
    </row>
    <row r="1583" spans="1:63" s="457" customFormat="1" x14ac:dyDescent="0.2">
      <c r="A1583" s="542"/>
      <c r="B1583" s="500"/>
      <c r="C1583" s="500"/>
      <c r="D1583" s="540"/>
      <c r="E1583" s="495"/>
      <c r="F1583" s="426"/>
      <c r="G1583" s="426"/>
      <c r="H1583" s="426"/>
      <c r="I1583" s="448"/>
      <c r="J1583" s="437"/>
      <c r="K1583" s="456"/>
      <c r="L1583" s="456"/>
      <c r="M1583" s="456"/>
      <c r="N1583" s="372"/>
      <c r="O1583" s="372"/>
      <c r="P1583" s="372"/>
      <c r="Q1583" s="373"/>
      <c r="R1583" s="372"/>
      <c r="S1583" s="373"/>
      <c r="T1583" s="373"/>
      <c r="U1583" s="373"/>
      <c r="V1583" s="373"/>
    </row>
    <row r="1584" spans="1:63" s="457" customFormat="1" x14ac:dyDescent="0.2">
      <c r="A1584" s="542"/>
      <c r="B1584" s="500"/>
      <c r="C1584" s="500"/>
      <c r="D1584" s="562" t="s">
        <v>2573</v>
      </c>
      <c r="E1584" s="495"/>
      <c r="F1584" s="426"/>
      <c r="G1584" s="426"/>
      <c r="H1584" s="426"/>
      <c r="I1584" s="448"/>
      <c r="J1584" s="437"/>
      <c r="K1584" s="456"/>
      <c r="L1584" s="456"/>
      <c r="M1584" s="456"/>
      <c r="N1584" s="372"/>
      <c r="O1584" s="372"/>
      <c r="P1584" s="372"/>
      <c r="Q1584" s="373"/>
      <c r="R1584" s="372"/>
      <c r="S1584" s="373"/>
      <c r="T1584" s="373"/>
      <c r="U1584" s="373"/>
      <c r="V1584" s="373"/>
    </row>
    <row r="1585" spans="1:22" s="457" customFormat="1" x14ac:dyDescent="0.2">
      <c r="A1585" s="542"/>
      <c r="B1585" s="500"/>
      <c r="C1585" s="500"/>
      <c r="D1585" s="540"/>
      <c r="E1585" s="495"/>
      <c r="F1585" s="426"/>
      <c r="G1585" s="426"/>
      <c r="H1585" s="426"/>
      <c r="I1585" s="448"/>
      <c r="J1585" s="437"/>
      <c r="K1585" s="456"/>
      <c r="L1585" s="456"/>
      <c r="M1585" s="456"/>
      <c r="N1585" s="372"/>
      <c r="O1585" s="372"/>
      <c r="P1585" s="372"/>
      <c r="Q1585" s="373"/>
      <c r="R1585" s="372"/>
      <c r="S1585" s="373"/>
      <c r="T1585" s="373"/>
      <c r="U1585" s="373"/>
      <c r="V1585" s="373"/>
    </row>
    <row r="1586" spans="1:22" s="457" customFormat="1" x14ac:dyDescent="0.2">
      <c r="A1586" s="542" t="s">
        <v>1529</v>
      </c>
      <c r="B1586" s="506" t="s">
        <v>45</v>
      </c>
      <c r="C1586" s="506">
        <v>83683</v>
      </c>
      <c r="D1586" s="554" t="s">
        <v>853</v>
      </c>
      <c r="E1586" s="494" t="s">
        <v>16</v>
      </c>
      <c r="F1586" s="426">
        <v>0.18</v>
      </c>
      <c r="G1586" s="426">
        <v>104.94</v>
      </c>
      <c r="H1586" s="426">
        <f t="shared" si="95"/>
        <v>132.68160961275444</v>
      </c>
      <c r="I1586" s="448">
        <f t="shared" si="96"/>
        <v>23.88</v>
      </c>
      <c r="J1586" s="437"/>
      <c r="K1586" s="456"/>
      <c r="L1586" s="456"/>
      <c r="M1586" s="456"/>
      <c r="N1586" s="372"/>
      <c r="O1586" s="372"/>
      <c r="P1586" s="372"/>
      <c r="Q1586" s="373"/>
      <c r="R1586" s="372"/>
      <c r="S1586" s="373"/>
      <c r="T1586" s="373"/>
      <c r="U1586" s="373"/>
      <c r="V1586" s="373"/>
    </row>
    <row r="1587" spans="1:22" s="457" customFormat="1" x14ac:dyDescent="0.2">
      <c r="A1587" s="542"/>
      <c r="B1587" s="506"/>
      <c r="C1587" s="506"/>
      <c r="D1587" s="554"/>
      <c r="E1587" s="494"/>
      <c r="F1587" s="426"/>
      <c r="G1587" s="426"/>
      <c r="H1587" s="426"/>
      <c r="I1587" s="448"/>
      <c r="J1587" s="437"/>
      <c r="K1587" s="456"/>
      <c r="L1587" s="456"/>
      <c r="M1587" s="456"/>
      <c r="N1587" s="372"/>
      <c r="O1587" s="372"/>
      <c r="P1587" s="372"/>
      <c r="Q1587" s="373"/>
      <c r="R1587" s="372"/>
      <c r="S1587" s="373"/>
      <c r="T1587" s="373"/>
      <c r="U1587" s="373"/>
      <c r="V1587" s="373"/>
    </row>
    <row r="1588" spans="1:22" s="457" customFormat="1" x14ac:dyDescent="0.2">
      <c r="A1588" s="542"/>
      <c r="B1588" s="506"/>
      <c r="C1588" s="506"/>
      <c r="D1588" s="562" t="s">
        <v>2574</v>
      </c>
      <c r="E1588" s="494"/>
      <c r="F1588" s="426"/>
      <c r="G1588" s="426"/>
      <c r="H1588" s="426"/>
      <c r="I1588" s="448"/>
      <c r="J1588" s="437"/>
      <c r="K1588" s="456"/>
      <c r="L1588" s="456"/>
      <c r="M1588" s="456"/>
      <c r="N1588" s="372"/>
      <c r="O1588" s="372"/>
      <c r="P1588" s="372"/>
      <c r="Q1588" s="373"/>
      <c r="R1588" s="372"/>
      <c r="S1588" s="373"/>
      <c r="T1588" s="373"/>
      <c r="U1588" s="373"/>
      <c r="V1588" s="373"/>
    </row>
    <row r="1589" spans="1:22" s="457" customFormat="1" x14ac:dyDescent="0.2">
      <c r="A1589" s="542"/>
      <c r="B1589" s="506"/>
      <c r="C1589" s="506"/>
      <c r="D1589" s="554"/>
      <c r="E1589" s="494"/>
      <c r="F1589" s="426"/>
      <c r="G1589" s="426"/>
      <c r="H1589" s="426"/>
      <c r="I1589" s="448"/>
      <c r="J1589" s="437"/>
      <c r="K1589" s="456"/>
      <c r="L1589" s="456"/>
      <c r="M1589" s="456"/>
      <c r="N1589" s="372"/>
      <c r="O1589" s="372"/>
      <c r="P1589" s="372"/>
      <c r="Q1589" s="373"/>
      <c r="R1589" s="372"/>
      <c r="S1589" s="373"/>
      <c r="T1589" s="373"/>
      <c r="U1589" s="373"/>
      <c r="V1589" s="373"/>
    </row>
    <row r="1590" spans="1:22" s="457" customFormat="1" ht="30" x14ac:dyDescent="0.2">
      <c r="A1590" s="542" t="s">
        <v>1185</v>
      </c>
      <c r="B1590" s="506" t="s">
        <v>45</v>
      </c>
      <c r="C1590" s="506">
        <v>95241</v>
      </c>
      <c r="D1590" s="549" t="s">
        <v>733</v>
      </c>
      <c r="E1590" s="494" t="s">
        <v>16</v>
      </c>
      <c r="F1590" s="426">
        <f>0.02/0.05</f>
        <v>0.39999999999999997</v>
      </c>
      <c r="G1590" s="426">
        <v>19.88</v>
      </c>
      <c r="H1590" s="426">
        <f t="shared" si="95"/>
        <v>25.135414514022855</v>
      </c>
      <c r="I1590" s="448">
        <f t="shared" si="96"/>
        <v>10.050000000000001</v>
      </c>
      <c r="J1590" s="437"/>
      <c r="K1590" s="456"/>
      <c r="L1590" s="456"/>
      <c r="M1590" s="456"/>
      <c r="N1590" s="372"/>
      <c r="O1590" s="372"/>
      <c r="P1590" s="372"/>
      <c r="Q1590" s="373"/>
      <c r="R1590" s="372"/>
      <c r="S1590" s="373"/>
      <c r="T1590" s="373"/>
      <c r="U1590" s="373"/>
      <c r="V1590" s="373"/>
    </row>
    <row r="1591" spans="1:22" s="457" customFormat="1" x14ac:dyDescent="0.2">
      <c r="A1591" s="542"/>
      <c r="B1591" s="506"/>
      <c r="C1591" s="506"/>
      <c r="D1591" s="549"/>
      <c r="E1591" s="494"/>
      <c r="F1591" s="426"/>
      <c r="G1591" s="426"/>
      <c r="H1591" s="426"/>
      <c r="I1591" s="448"/>
      <c r="J1591" s="437"/>
      <c r="K1591" s="456"/>
      <c r="L1591" s="456"/>
      <c r="M1591" s="456"/>
      <c r="N1591" s="372"/>
      <c r="O1591" s="372"/>
      <c r="P1591" s="372"/>
      <c r="Q1591" s="373"/>
      <c r="R1591" s="372"/>
      <c r="S1591" s="373"/>
      <c r="T1591" s="373"/>
      <c r="U1591" s="373"/>
      <c r="V1591" s="373"/>
    </row>
    <row r="1592" spans="1:22" s="457" customFormat="1" x14ac:dyDescent="0.2">
      <c r="A1592" s="542"/>
      <c r="B1592" s="506"/>
      <c r="C1592" s="506"/>
      <c r="D1592" s="562" t="s">
        <v>2575</v>
      </c>
      <c r="E1592" s="494"/>
      <c r="F1592" s="426"/>
      <c r="G1592" s="426"/>
      <c r="H1592" s="426"/>
      <c r="I1592" s="448"/>
      <c r="J1592" s="437"/>
      <c r="K1592" s="456"/>
      <c r="L1592" s="456"/>
      <c r="M1592" s="456"/>
      <c r="N1592" s="372"/>
      <c r="O1592" s="372"/>
      <c r="P1592" s="372"/>
      <c r="Q1592" s="373"/>
      <c r="R1592" s="372"/>
      <c r="S1592" s="373"/>
      <c r="T1592" s="373"/>
      <c r="U1592" s="373"/>
      <c r="V1592" s="373"/>
    </row>
    <row r="1593" spans="1:22" s="457" customFormat="1" x14ac:dyDescent="0.2">
      <c r="A1593" s="542"/>
      <c r="B1593" s="506"/>
      <c r="C1593" s="506"/>
      <c r="D1593" s="549"/>
      <c r="E1593" s="494"/>
      <c r="F1593" s="426"/>
      <c r="G1593" s="426"/>
      <c r="H1593" s="426"/>
      <c r="I1593" s="448"/>
      <c r="J1593" s="437"/>
      <c r="K1593" s="456"/>
      <c r="L1593" s="456"/>
      <c r="M1593" s="456"/>
      <c r="N1593" s="372"/>
      <c r="O1593" s="372"/>
      <c r="P1593" s="372"/>
      <c r="Q1593" s="373"/>
      <c r="R1593" s="372"/>
      <c r="S1593" s="373"/>
      <c r="T1593" s="373"/>
      <c r="U1593" s="373"/>
      <c r="V1593" s="373"/>
    </row>
    <row r="1594" spans="1:22" s="457" customFormat="1" ht="45" x14ac:dyDescent="0.2">
      <c r="A1594" s="542" t="s">
        <v>1186</v>
      </c>
      <c r="B1594" s="500" t="s">
        <v>45</v>
      </c>
      <c r="C1594" s="506">
        <v>92417</v>
      </c>
      <c r="D1594" s="540" t="s">
        <v>1388</v>
      </c>
      <c r="E1594" s="495" t="s">
        <v>15</v>
      </c>
      <c r="F1594" s="426">
        <v>3.28</v>
      </c>
      <c r="G1594" s="426">
        <v>96.25</v>
      </c>
      <c r="H1594" s="426">
        <f t="shared" si="95"/>
        <v>121.69434843937123</v>
      </c>
      <c r="I1594" s="448">
        <f t="shared" si="96"/>
        <v>399.16</v>
      </c>
      <c r="J1594" s="437"/>
      <c r="K1594" s="456"/>
      <c r="L1594" s="456"/>
      <c r="M1594" s="456"/>
      <c r="N1594" s="372"/>
      <c r="O1594" s="372"/>
      <c r="P1594" s="372"/>
      <c r="Q1594" s="373"/>
      <c r="R1594" s="372"/>
      <c r="S1594" s="373"/>
      <c r="T1594" s="373"/>
      <c r="U1594" s="373"/>
      <c r="V1594" s="373"/>
    </row>
    <row r="1595" spans="1:22" s="457" customFormat="1" x14ac:dyDescent="0.2">
      <c r="A1595" s="542"/>
      <c r="B1595" s="500"/>
      <c r="C1595" s="506"/>
      <c r="D1595" s="540"/>
      <c r="E1595" s="495"/>
      <c r="F1595" s="426"/>
      <c r="G1595" s="426"/>
      <c r="H1595" s="426"/>
      <c r="I1595" s="448"/>
      <c r="J1595" s="437"/>
      <c r="K1595" s="456"/>
      <c r="L1595" s="456"/>
      <c r="M1595" s="456"/>
      <c r="N1595" s="372"/>
      <c r="O1595" s="372"/>
      <c r="P1595" s="372"/>
      <c r="Q1595" s="373"/>
      <c r="R1595" s="372"/>
      <c r="S1595" s="373"/>
      <c r="T1595" s="373"/>
      <c r="U1595" s="373"/>
      <c r="V1595" s="373"/>
    </row>
    <row r="1596" spans="1:22" s="457" customFormat="1" x14ac:dyDescent="0.2">
      <c r="A1596" s="542"/>
      <c r="B1596" s="500"/>
      <c r="C1596" s="506"/>
      <c r="D1596" s="562" t="s">
        <v>2576</v>
      </c>
      <c r="E1596" s="495"/>
      <c r="F1596" s="426"/>
      <c r="G1596" s="426"/>
      <c r="H1596" s="426"/>
      <c r="I1596" s="448"/>
      <c r="J1596" s="437"/>
      <c r="K1596" s="456"/>
      <c r="L1596" s="456"/>
      <c r="M1596" s="456"/>
      <c r="N1596" s="372"/>
      <c r="O1596" s="372"/>
      <c r="P1596" s="372"/>
      <c r="Q1596" s="373"/>
      <c r="R1596" s="372"/>
      <c r="S1596" s="373"/>
      <c r="T1596" s="373"/>
      <c r="U1596" s="373"/>
      <c r="V1596" s="373"/>
    </row>
    <row r="1597" spans="1:22" s="457" customFormat="1" x14ac:dyDescent="0.2">
      <c r="A1597" s="542"/>
      <c r="B1597" s="500"/>
      <c r="C1597" s="506"/>
      <c r="D1597" s="540"/>
      <c r="E1597" s="495"/>
      <c r="F1597" s="426"/>
      <c r="G1597" s="426"/>
      <c r="H1597" s="426"/>
      <c r="I1597" s="448"/>
      <c r="J1597" s="437"/>
      <c r="K1597" s="456"/>
      <c r="L1597" s="456"/>
      <c r="M1597" s="456"/>
      <c r="N1597" s="372"/>
      <c r="O1597" s="372"/>
      <c r="P1597" s="372"/>
      <c r="Q1597" s="373"/>
      <c r="R1597" s="372"/>
      <c r="S1597" s="373"/>
      <c r="T1597" s="373"/>
      <c r="U1597" s="373"/>
      <c r="V1597" s="373"/>
    </row>
    <row r="1598" spans="1:22" s="457" customFormat="1" ht="30" x14ac:dyDescent="0.2">
      <c r="A1598" s="542" t="s">
        <v>1187</v>
      </c>
      <c r="B1598" s="500" t="s">
        <v>45</v>
      </c>
      <c r="C1598" s="506">
        <v>94967</v>
      </c>
      <c r="D1598" s="554" t="s">
        <v>1351</v>
      </c>
      <c r="E1598" s="495" t="s">
        <v>16</v>
      </c>
      <c r="F1598" s="426">
        <v>0.5</v>
      </c>
      <c r="G1598" s="426">
        <v>331.4</v>
      </c>
      <c r="H1598" s="426">
        <f t="shared" si="95"/>
        <v>419.00786569150779</v>
      </c>
      <c r="I1598" s="448">
        <f t="shared" si="96"/>
        <v>209.5</v>
      </c>
      <c r="J1598" s="437"/>
      <c r="K1598" s="456"/>
      <c r="L1598" s="456"/>
      <c r="M1598" s="456"/>
      <c r="N1598" s="372"/>
      <c r="O1598" s="372"/>
      <c r="P1598" s="372"/>
      <c r="Q1598" s="373"/>
      <c r="R1598" s="372"/>
      <c r="S1598" s="373"/>
      <c r="T1598" s="373"/>
      <c r="U1598" s="373"/>
      <c r="V1598" s="373"/>
    </row>
    <row r="1599" spans="1:22" s="457" customFormat="1" x14ac:dyDescent="0.2">
      <c r="A1599" s="542"/>
      <c r="B1599" s="500"/>
      <c r="C1599" s="506"/>
      <c r="D1599" s="554"/>
      <c r="E1599" s="495"/>
      <c r="F1599" s="426"/>
      <c r="G1599" s="426"/>
      <c r="H1599" s="426"/>
      <c r="I1599" s="448"/>
      <c r="J1599" s="437"/>
      <c r="K1599" s="456"/>
      <c r="L1599" s="456"/>
      <c r="M1599" s="456"/>
      <c r="N1599" s="372"/>
      <c r="O1599" s="372"/>
      <c r="P1599" s="372"/>
      <c r="Q1599" s="373"/>
      <c r="R1599" s="372"/>
      <c r="S1599" s="373"/>
      <c r="T1599" s="373"/>
      <c r="U1599" s="373"/>
      <c r="V1599" s="373"/>
    </row>
    <row r="1600" spans="1:22" s="457" customFormat="1" x14ac:dyDescent="0.2">
      <c r="A1600" s="542"/>
      <c r="B1600" s="500"/>
      <c r="C1600" s="506"/>
      <c r="D1600" s="554" t="s">
        <v>2577</v>
      </c>
      <c r="E1600" s="495"/>
      <c r="F1600" s="426"/>
      <c r="G1600" s="426"/>
      <c r="H1600" s="426"/>
      <c r="I1600" s="448"/>
      <c r="J1600" s="437"/>
      <c r="K1600" s="456"/>
      <c r="L1600" s="456"/>
      <c r="M1600" s="456"/>
      <c r="N1600" s="372"/>
      <c r="O1600" s="372"/>
      <c r="P1600" s="372"/>
      <c r="Q1600" s="373"/>
      <c r="R1600" s="372"/>
      <c r="S1600" s="373"/>
      <c r="T1600" s="373"/>
      <c r="U1600" s="373"/>
      <c r="V1600" s="373"/>
    </row>
    <row r="1601" spans="1:22" s="457" customFormat="1" x14ac:dyDescent="0.2">
      <c r="A1601" s="542"/>
      <c r="B1601" s="500"/>
      <c r="C1601" s="506"/>
      <c r="D1601" s="554"/>
      <c r="E1601" s="495"/>
      <c r="F1601" s="426"/>
      <c r="G1601" s="426"/>
      <c r="H1601" s="426"/>
      <c r="I1601" s="448"/>
      <c r="J1601" s="437"/>
      <c r="K1601" s="456"/>
      <c r="L1601" s="456"/>
      <c r="M1601" s="456"/>
      <c r="N1601" s="372"/>
      <c r="O1601" s="372"/>
      <c r="P1601" s="372"/>
      <c r="Q1601" s="373"/>
      <c r="R1601" s="372"/>
      <c r="S1601" s="373"/>
      <c r="T1601" s="373"/>
      <c r="U1601" s="373"/>
      <c r="V1601" s="373"/>
    </row>
    <row r="1602" spans="1:22" s="457" customFormat="1" ht="30" x14ac:dyDescent="0.2">
      <c r="A1602" s="542" t="s">
        <v>1188</v>
      </c>
      <c r="B1602" s="500" t="s">
        <v>65</v>
      </c>
      <c r="C1602" s="500"/>
      <c r="D1602" s="540" t="s">
        <v>2578</v>
      </c>
      <c r="E1602" s="495" t="s">
        <v>19</v>
      </c>
      <c r="F1602" s="426">
        <v>1</v>
      </c>
      <c r="G1602" s="426">
        <v>9600</v>
      </c>
      <c r="H1602" s="426">
        <f>G1602*(1+$K$16)</f>
        <v>11212.8377514531</v>
      </c>
      <c r="I1602" s="448">
        <f t="shared" si="96"/>
        <v>11212.84</v>
      </c>
      <c r="J1602" s="437"/>
      <c r="K1602" s="456"/>
      <c r="L1602" s="456"/>
      <c r="M1602" s="456"/>
      <c r="N1602" s="372"/>
      <c r="O1602" s="372"/>
      <c r="P1602" s="372"/>
      <c r="Q1602" s="373"/>
      <c r="R1602" s="372"/>
      <c r="S1602" s="373"/>
      <c r="T1602" s="373"/>
      <c r="U1602" s="373"/>
      <c r="V1602" s="373"/>
    </row>
    <row r="1603" spans="1:22" s="457" customFormat="1" x14ac:dyDescent="0.2">
      <c r="A1603" s="542"/>
      <c r="B1603" s="500"/>
      <c r="C1603" s="500"/>
      <c r="D1603" s="540"/>
      <c r="E1603" s="495"/>
      <c r="F1603" s="426"/>
      <c r="G1603" s="426"/>
      <c r="H1603" s="426"/>
      <c r="I1603" s="448"/>
      <c r="J1603" s="437"/>
      <c r="K1603" s="456"/>
      <c r="L1603" s="456"/>
      <c r="M1603" s="456"/>
      <c r="N1603" s="372"/>
      <c r="O1603" s="372"/>
      <c r="P1603" s="372"/>
      <c r="Q1603" s="373"/>
      <c r="R1603" s="372"/>
      <c r="S1603" s="373"/>
      <c r="T1603" s="373"/>
      <c r="U1603" s="373"/>
      <c r="V1603" s="373"/>
    </row>
    <row r="1604" spans="1:22" s="457" customFormat="1" x14ac:dyDescent="0.2">
      <c r="A1604" s="542"/>
      <c r="B1604" s="500"/>
      <c r="C1604" s="500"/>
      <c r="D1604" s="554" t="s">
        <v>2532</v>
      </c>
      <c r="E1604" s="495"/>
      <c r="F1604" s="426"/>
      <c r="G1604" s="426"/>
      <c r="H1604" s="426"/>
      <c r="I1604" s="448"/>
      <c r="J1604" s="437"/>
      <c r="K1604" s="456"/>
      <c r="L1604" s="456"/>
      <c r="M1604" s="456"/>
      <c r="N1604" s="372"/>
      <c r="O1604" s="372"/>
      <c r="P1604" s="372"/>
      <c r="Q1604" s="373"/>
      <c r="R1604" s="372"/>
      <c r="S1604" s="373"/>
      <c r="T1604" s="373"/>
      <c r="U1604" s="373"/>
      <c r="V1604" s="373"/>
    </row>
    <row r="1605" spans="1:22" s="457" customFormat="1" x14ac:dyDescent="0.2">
      <c r="A1605" s="550"/>
      <c r="B1605" s="551"/>
      <c r="C1605" s="551"/>
      <c r="D1605" s="552"/>
      <c r="E1605" s="492"/>
      <c r="F1605" s="432"/>
      <c r="G1605" s="433"/>
      <c r="H1605" s="432"/>
      <c r="I1605" s="434"/>
      <c r="J1605" s="429"/>
      <c r="K1605" s="456"/>
      <c r="L1605" s="456"/>
      <c r="M1605" s="456"/>
      <c r="N1605" s="372"/>
      <c r="O1605" s="372"/>
      <c r="P1605" s="372"/>
      <c r="Q1605" s="373"/>
      <c r="R1605" s="372"/>
      <c r="S1605" s="373"/>
      <c r="T1605" s="373"/>
      <c r="U1605" s="373"/>
      <c r="V1605" s="373"/>
    </row>
    <row r="1606" spans="1:22" ht="15.75" x14ac:dyDescent="0.2">
      <c r="A1606" s="558" t="s">
        <v>326</v>
      </c>
      <c r="B1606" s="501"/>
      <c r="C1606" s="501"/>
      <c r="D1606" s="545" t="s">
        <v>87</v>
      </c>
      <c r="E1606" s="491"/>
      <c r="F1606" s="404"/>
      <c r="G1606" s="405"/>
      <c r="H1606" s="406"/>
      <c r="I1606" s="407">
        <f>SUM(I1607:I1707)</f>
        <v>209283.28000000003</v>
      </c>
      <c r="J1606" s="429"/>
      <c r="K1606" s="372"/>
      <c r="L1606" s="430"/>
      <c r="M1606" s="372"/>
      <c r="N1606" s="372"/>
      <c r="O1606" s="372"/>
      <c r="P1606" s="372"/>
      <c r="R1606" s="372"/>
    </row>
    <row r="1607" spans="1:22" s="373" customFormat="1" ht="30" x14ac:dyDescent="0.2">
      <c r="A1607" s="542" t="s">
        <v>1189</v>
      </c>
      <c r="B1607" s="500" t="s">
        <v>45</v>
      </c>
      <c r="C1607" s="506" t="s">
        <v>730</v>
      </c>
      <c r="D1607" s="554" t="s">
        <v>731</v>
      </c>
      <c r="E1607" s="495" t="s">
        <v>15</v>
      </c>
      <c r="F1607" s="426">
        <f>17.4*37.2</f>
        <v>647.28</v>
      </c>
      <c r="G1607" s="426">
        <v>8.3000000000000007</v>
      </c>
      <c r="H1607" s="426">
        <f t="shared" ref="H1607:H1643" si="97">G1607*(1+$L$16)</f>
        <v>10.494161995291234</v>
      </c>
      <c r="I1607" s="448">
        <f t="shared" ref="I1607:I1707" si="98">ROUND(F1607*H1607,2)</f>
        <v>6792.66</v>
      </c>
      <c r="J1607" s="437"/>
      <c r="K1607" s="372"/>
      <c r="L1607" s="430"/>
      <c r="M1607" s="372"/>
      <c r="N1607" s="372"/>
      <c r="O1607" s="372"/>
      <c r="P1607" s="372"/>
      <c r="R1607" s="372"/>
    </row>
    <row r="1608" spans="1:22" s="373" customFormat="1" x14ac:dyDescent="0.2">
      <c r="A1608" s="542"/>
      <c r="B1608" s="500"/>
      <c r="C1608" s="506"/>
      <c r="D1608" s="554"/>
      <c r="E1608" s="495"/>
      <c r="F1608" s="426"/>
      <c r="G1608" s="426"/>
      <c r="H1608" s="426"/>
      <c r="I1608" s="448"/>
      <c r="J1608" s="437"/>
      <c r="K1608" s="372"/>
      <c r="L1608" s="430"/>
      <c r="M1608" s="372"/>
      <c r="N1608" s="372"/>
      <c r="O1608" s="372"/>
      <c r="P1608" s="372"/>
      <c r="R1608" s="372"/>
    </row>
    <row r="1609" spans="1:22" s="373" customFormat="1" x14ac:dyDescent="0.2">
      <c r="A1609" s="542"/>
      <c r="B1609" s="500"/>
      <c r="C1609" s="506"/>
      <c r="D1609" s="554" t="s">
        <v>2579</v>
      </c>
      <c r="E1609" s="495"/>
      <c r="F1609" s="426"/>
      <c r="G1609" s="426"/>
      <c r="H1609" s="426"/>
      <c r="I1609" s="448"/>
      <c r="J1609" s="437"/>
      <c r="K1609" s="372"/>
      <c r="L1609" s="430"/>
      <c r="M1609" s="372"/>
      <c r="N1609" s="372"/>
      <c r="O1609" s="372"/>
      <c r="P1609" s="372"/>
      <c r="R1609" s="372"/>
    </row>
    <row r="1610" spans="1:22" s="373" customFormat="1" x14ac:dyDescent="0.2">
      <c r="A1610" s="542"/>
      <c r="B1610" s="500"/>
      <c r="C1610" s="506"/>
      <c r="D1610" s="554"/>
      <c r="E1610" s="495"/>
      <c r="F1610" s="426"/>
      <c r="G1610" s="426"/>
      <c r="H1610" s="426"/>
      <c r="I1610" s="448"/>
      <c r="J1610" s="437"/>
      <c r="K1610" s="372"/>
      <c r="L1610" s="430"/>
      <c r="M1610" s="372"/>
      <c r="N1610" s="372"/>
      <c r="O1610" s="372"/>
      <c r="P1610" s="372"/>
      <c r="R1610" s="372"/>
    </row>
    <row r="1611" spans="1:22" s="457" customFormat="1" x14ac:dyDescent="0.2">
      <c r="A1611" s="542" t="s">
        <v>1190</v>
      </c>
      <c r="B1611" s="500" t="s">
        <v>45</v>
      </c>
      <c r="C1611" s="500" t="s">
        <v>50</v>
      </c>
      <c r="D1611" s="540" t="s">
        <v>96</v>
      </c>
      <c r="E1611" s="495" t="s">
        <v>16</v>
      </c>
      <c r="F1611" s="426">
        <f>15.4*35.2*1.5*0.9</f>
        <v>731.80800000000011</v>
      </c>
      <c r="G1611" s="426">
        <v>3.32</v>
      </c>
      <c r="H1611" s="426">
        <f t="shared" si="97"/>
        <v>4.1976647981164934</v>
      </c>
      <c r="I1611" s="448">
        <f t="shared" si="98"/>
        <v>3071.88</v>
      </c>
      <c r="J1611" s="437"/>
      <c r="K1611" s="456"/>
      <c r="L1611" s="456"/>
      <c r="M1611" s="456"/>
      <c r="N1611" s="372"/>
      <c r="O1611" s="372"/>
      <c r="P1611" s="372"/>
      <c r="Q1611" s="373"/>
      <c r="R1611" s="372"/>
      <c r="S1611" s="373"/>
      <c r="T1611" s="373"/>
      <c r="U1611" s="373"/>
      <c r="V1611" s="373"/>
    </row>
    <row r="1612" spans="1:22" s="457" customFormat="1" x14ac:dyDescent="0.2">
      <c r="A1612" s="542"/>
      <c r="B1612" s="500"/>
      <c r="C1612" s="500"/>
      <c r="D1612" s="540"/>
      <c r="E1612" s="495"/>
      <c r="F1612" s="426"/>
      <c r="G1612" s="426"/>
      <c r="H1612" s="426"/>
      <c r="I1612" s="448"/>
      <c r="J1612" s="437"/>
      <c r="K1612" s="456"/>
      <c r="L1612" s="456"/>
      <c r="M1612" s="456"/>
      <c r="N1612" s="372"/>
      <c r="O1612" s="372"/>
      <c r="P1612" s="372"/>
      <c r="Q1612" s="373"/>
      <c r="R1612" s="372"/>
      <c r="S1612" s="373"/>
      <c r="T1612" s="373"/>
      <c r="U1612" s="373"/>
      <c r="V1612" s="373"/>
    </row>
    <row r="1613" spans="1:22" s="457" customFormat="1" ht="30" x14ac:dyDescent="0.2">
      <c r="A1613" s="542"/>
      <c r="B1613" s="500"/>
      <c r="C1613" s="500"/>
      <c r="D1613" s="540" t="s">
        <v>2584</v>
      </c>
      <c r="E1613" s="495"/>
      <c r="F1613" s="426"/>
      <c r="G1613" s="426"/>
      <c r="H1613" s="426"/>
      <c r="I1613" s="448"/>
      <c r="J1613" s="437"/>
      <c r="K1613" s="456"/>
      <c r="L1613" s="456"/>
      <c r="M1613" s="456"/>
      <c r="N1613" s="372"/>
      <c r="O1613" s="372"/>
      <c r="P1613" s="372"/>
      <c r="Q1613" s="373"/>
      <c r="R1613" s="372"/>
      <c r="S1613" s="373"/>
      <c r="T1613" s="373"/>
      <c r="U1613" s="373"/>
      <c r="V1613" s="373"/>
    </row>
    <row r="1614" spans="1:22" s="457" customFormat="1" x14ac:dyDescent="0.2">
      <c r="A1614" s="542"/>
      <c r="B1614" s="500"/>
      <c r="C1614" s="500"/>
      <c r="D1614" s="540"/>
      <c r="E1614" s="495"/>
      <c r="F1614" s="426"/>
      <c r="G1614" s="426"/>
      <c r="H1614" s="426"/>
      <c r="I1614" s="448"/>
      <c r="J1614" s="437"/>
      <c r="K1614" s="456"/>
      <c r="L1614" s="456"/>
      <c r="M1614" s="456"/>
      <c r="N1614" s="372"/>
      <c r="O1614" s="372"/>
      <c r="P1614" s="372"/>
      <c r="Q1614" s="373"/>
      <c r="R1614" s="372"/>
      <c r="S1614" s="373"/>
      <c r="T1614" s="373"/>
      <c r="U1614" s="373"/>
      <c r="V1614" s="373"/>
    </row>
    <row r="1615" spans="1:22" s="457" customFormat="1" x14ac:dyDescent="0.2">
      <c r="A1615" s="542" t="s">
        <v>1530</v>
      </c>
      <c r="B1615" s="500" t="s">
        <v>45</v>
      </c>
      <c r="C1615" s="500">
        <v>93358</v>
      </c>
      <c r="D1615" s="540" t="s">
        <v>803</v>
      </c>
      <c r="E1615" s="495" t="s">
        <v>16</v>
      </c>
      <c r="F1615" s="426">
        <f>15.4*35.2*1.5*0.1</f>
        <v>81.312000000000012</v>
      </c>
      <c r="G1615" s="426">
        <v>65.819999999999993</v>
      </c>
      <c r="H1615" s="426">
        <f t="shared" si="97"/>
        <v>83.219968979526371</v>
      </c>
      <c r="I1615" s="448">
        <f t="shared" si="98"/>
        <v>6766.78</v>
      </c>
      <c r="J1615" s="437"/>
      <c r="K1615" s="456"/>
      <c r="L1615" s="456"/>
      <c r="M1615" s="456"/>
      <c r="N1615" s="372"/>
      <c r="O1615" s="372"/>
      <c r="P1615" s="372"/>
      <c r="Q1615" s="373"/>
      <c r="R1615" s="372"/>
      <c r="S1615" s="373"/>
      <c r="T1615" s="373"/>
      <c r="U1615" s="373"/>
      <c r="V1615" s="373"/>
    </row>
    <row r="1616" spans="1:22" s="457" customFormat="1" x14ac:dyDescent="0.2">
      <c r="A1616" s="542"/>
      <c r="B1616" s="500"/>
      <c r="C1616" s="500"/>
      <c r="D1616" s="540"/>
      <c r="E1616" s="495"/>
      <c r="F1616" s="426"/>
      <c r="G1616" s="426"/>
      <c r="H1616" s="426"/>
      <c r="I1616" s="448"/>
      <c r="J1616" s="437"/>
      <c r="K1616" s="456"/>
      <c r="L1616" s="456"/>
      <c r="M1616" s="456"/>
      <c r="N1616" s="372"/>
      <c r="O1616" s="372"/>
      <c r="P1616" s="372"/>
      <c r="Q1616" s="373"/>
      <c r="R1616" s="372"/>
      <c r="S1616" s="373"/>
      <c r="T1616" s="373"/>
      <c r="U1616" s="373"/>
      <c r="V1616" s="373"/>
    </row>
    <row r="1617" spans="1:22" s="457" customFormat="1" ht="30" x14ac:dyDescent="0.2">
      <c r="A1617" s="542"/>
      <c r="B1617" s="500"/>
      <c r="C1617" s="500"/>
      <c r="D1617" s="540" t="s">
        <v>2585</v>
      </c>
      <c r="E1617" s="495"/>
      <c r="F1617" s="426"/>
      <c r="G1617" s="426"/>
      <c r="H1617" s="426"/>
      <c r="I1617" s="448"/>
      <c r="J1617" s="437"/>
      <c r="K1617" s="456"/>
      <c r="L1617" s="456"/>
      <c r="M1617" s="456"/>
      <c r="N1617" s="372"/>
      <c r="O1617" s="372"/>
      <c r="P1617" s="372"/>
      <c r="Q1617" s="373"/>
      <c r="R1617" s="372"/>
      <c r="S1617" s="373"/>
      <c r="T1617" s="373"/>
      <c r="U1617" s="373"/>
      <c r="V1617" s="373"/>
    </row>
    <row r="1618" spans="1:22" s="457" customFormat="1" x14ac:dyDescent="0.2">
      <c r="A1618" s="542"/>
      <c r="B1618" s="500"/>
      <c r="C1618" s="500"/>
      <c r="D1618" s="540"/>
      <c r="E1618" s="495"/>
      <c r="F1618" s="426"/>
      <c r="G1618" s="426"/>
      <c r="H1618" s="426"/>
      <c r="I1618" s="448"/>
      <c r="J1618" s="437"/>
      <c r="K1618" s="456"/>
      <c r="L1618" s="456"/>
      <c r="M1618" s="456"/>
      <c r="N1618" s="372"/>
      <c r="O1618" s="372"/>
      <c r="P1618" s="372"/>
      <c r="Q1618" s="373"/>
      <c r="R1618" s="372"/>
      <c r="S1618" s="373"/>
      <c r="T1618" s="373"/>
      <c r="U1618" s="373"/>
      <c r="V1618" s="373"/>
    </row>
    <row r="1619" spans="1:22" s="373" customFormat="1" x14ac:dyDescent="0.2">
      <c r="A1619" s="542" t="s">
        <v>1531</v>
      </c>
      <c r="B1619" s="500" t="s">
        <v>45</v>
      </c>
      <c r="C1619" s="500" t="s">
        <v>1413</v>
      </c>
      <c r="D1619" s="540" t="s">
        <v>1414</v>
      </c>
      <c r="E1619" s="495" t="s">
        <v>16</v>
      </c>
      <c r="F1619" s="426">
        <f>1*15.4</f>
        <v>15.4</v>
      </c>
      <c r="G1619" s="426">
        <v>49.92</v>
      </c>
      <c r="H1619" s="426">
        <f t="shared" si="97"/>
        <v>63.116694795775707</v>
      </c>
      <c r="I1619" s="448">
        <f t="shared" si="98"/>
        <v>972</v>
      </c>
      <c r="J1619" s="437"/>
      <c r="K1619" s="372"/>
      <c r="L1619" s="430"/>
      <c r="M1619" s="372"/>
      <c r="N1619" s="372"/>
      <c r="O1619" s="372"/>
      <c r="P1619" s="372"/>
      <c r="R1619" s="372"/>
    </row>
    <row r="1620" spans="1:22" s="373" customFormat="1" x14ac:dyDescent="0.2">
      <c r="A1620" s="542"/>
      <c r="B1620" s="500"/>
      <c r="C1620" s="500"/>
      <c r="D1620" s="540"/>
      <c r="E1620" s="495"/>
      <c r="F1620" s="426"/>
      <c r="G1620" s="426"/>
      <c r="H1620" s="426"/>
      <c r="I1620" s="448"/>
      <c r="J1620" s="437"/>
      <c r="K1620" s="372"/>
      <c r="L1620" s="430"/>
      <c r="M1620" s="372"/>
      <c r="N1620" s="372"/>
      <c r="O1620" s="372"/>
      <c r="P1620" s="372"/>
      <c r="R1620" s="372"/>
    </row>
    <row r="1621" spans="1:22" s="373" customFormat="1" x14ac:dyDescent="0.2">
      <c r="A1621" s="542"/>
      <c r="B1621" s="500"/>
      <c r="C1621" s="500"/>
      <c r="D1621" s="540" t="s">
        <v>2586</v>
      </c>
      <c r="E1621" s="495"/>
      <c r="F1621" s="426"/>
      <c r="G1621" s="426"/>
      <c r="H1621" s="426"/>
      <c r="I1621" s="448"/>
      <c r="J1621" s="437"/>
      <c r="K1621" s="372"/>
      <c r="L1621" s="430"/>
      <c r="M1621" s="372"/>
      <c r="N1621" s="372"/>
      <c r="O1621" s="372"/>
      <c r="P1621" s="372"/>
      <c r="R1621" s="372"/>
    </row>
    <row r="1622" spans="1:22" s="373" customFormat="1" x14ac:dyDescent="0.2">
      <c r="A1622" s="542"/>
      <c r="B1622" s="500"/>
      <c r="C1622" s="500"/>
      <c r="D1622" s="540"/>
      <c r="E1622" s="495"/>
      <c r="F1622" s="426"/>
      <c r="G1622" s="426"/>
      <c r="H1622" s="426"/>
      <c r="I1622" s="448"/>
      <c r="J1622" s="437"/>
      <c r="K1622" s="372"/>
      <c r="L1622" s="430"/>
      <c r="M1622" s="372"/>
      <c r="N1622" s="372"/>
      <c r="O1622" s="372"/>
      <c r="P1622" s="372"/>
      <c r="R1622" s="372"/>
    </row>
    <row r="1623" spans="1:22" s="373" customFormat="1" x14ac:dyDescent="0.2">
      <c r="A1623" s="542" t="s">
        <v>1532</v>
      </c>
      <c r="B1623" s="500" t="s">
        <v>45</v>
      </c>
      <c r="C1623" s="500">
        <v>72898</v>
      </c>
      <c r="D1623" s="540" t="s">
        <v>770</v>
      </c>
      <c r="E1623" s="494" t="s">
        <v>16</v>
      </c>
      <c r="F1623" s="426">
        <f>F1611+F1615-F1619</f>
        <v>797.72000000000014</v>
      </c>
      <c r="G1623" s="426">
        <v>3.57</v>
      </c>
      <c r="H1623" s="426">
        <f t="shared" si="97"/>
        <v>4.5137540148421325</v>
      </c>
      <c r="I1623" s="448">
        <f t="shared" si="98"/>
        <v>3600.71</v>
      </c>
      <c r="J1623" s="437"/>
      <c r="K1623" s="372"/>
      <c r="L1623" s="430"/>
      <c r="M1623" s="372"/>
      <c r="N1623" s="372"/>
      <c r="O1623" s="372"/>
      <c r="P1623" s="372"/>
      <c r="R1623" s="372"/>
    </row>
    <row r="1624" spans="1:22" s="457" customFormat="1" x14ac:dyDescent="0.2">
      <c r="A1624" s="542"/>
      <c r="B1624" s="500"/>
      <c r="C1624" s="500"/>
      <c r="D1624" s="540"/>
      <c r="E1624" s="495"/>
      <c r="F1624" s="426"/>
      <c r="G1624" s="426"/>
      <c r="H1624" s="426"/>
      <c r="I1624" s="448"/>
      <c r="J1624" s="437"/>
      <c r="K1624" s="456"/>
      <c r="L1624" s="456"/>
      <c r="M1624" s="456"/>
      <c r="N1624" s="372"/>
      <c r="O1624" s="372"/>
      <c r="P1624" s="372"/>
      <c r="Q1624" s="373"/>
      <c r="R1624" s="372"/>
      <c r="S1624" s="373"/>
      <c r="T1624" s="373"/>
      <c r="U1624" s="373"/>
      <c r="V1624" s="373"/>
    </row>
    <row r="1625" spans="1:22" s="457" customFormat="1" x14ac:dyDescent="0.2">
      <c r="A1625" s="542"/>
      <c r="B1625" s="500"/>
      <c r="C1625" s="500"/>
      <c r="D1625" s="540" t="s">
        <v>2587</v>
      </c>
      <c r="E1625" s="495"/>
      <c r="F1625" s="426"/>
      <c r="G1625" s="426"/>
      <c r="H1625" s="426"/>
      <c r="I1625" s="448"/>
      <c r="J1625" s="437"/>
      <c r="K1625" s="456"/>
      <c r="L1625" s="456"/>
      <c r="M1625" s="456"/>
      <c r="N1625" s="372"/>
      <c r="O1625" s="372"/>
      <c r="P1625" s="372"/>
      <c r="Q1625" s="373"/>
      <c r="R1625" s="372"/>
      <c r="S1625" s="373"/>
      <c r="T1625" s="373"/>
      <c r="U1625" s="373"/>
      <c r="V1625" s="373"/>
    </row>
    <row r="1626" spans="1:22" s="457" customFormat="1" x14ac:dyDescent="0.2">
      <c r="A1626" s="542"/>
      <c r="B1626" s="500"/>
      <c r="C1626" s="500"/>
      <c r="D1626" s="540"/>
      <c r="E1626" s="495"/>
      <c r="F1626" s="426"/>
      <c r="G1626" s="426"/>
      <c r="H1626" s="426"/>
      <c r="I1626" s="448"/>
      <c r="J1626" s="437"/>
      <c r="K1626" s="456"/>
      <c r="L1626" s="456"/>
      <c r="M1626" s="456"/>
      <c r="N1626" s="372"/>
      <c r="O1626" s="372"/>
      <c r="P1626" s="372"/>
      <c r="Q1626" s="373"/>
      <c r="R1626" s="372"/>
      <c r="S1626" s="373"/>
      <c r="T1626" s="373"/>
      <c r="U1626" s="373"/>
      <c r="V1626" s="373"/>
    </row>
    <row r="1627" spans="1:22" s="373" customFormat="1" x14ac:dyDescent="0.2">
      <c r="A1627" s="542" t="s">
        <v>1533</v>
      </c>
      <c r="B1627" s="500" t="s">
        <v>45</v>
      </c>
      <c r="C1627" s="500">
        <v>72841</v>
      </c>
      <c r="D1627" s="540" t="s">
        <v>333</v>
      </c>
      <c r="E1627" s="495" t="s">
        <v>334</v>
      </c>
      <c r="F1627" s="426">
        <f>F1623*1.3*5</f>
        <v>5185.1800000000012</v>
      </c>
      <c r="G1627" s="426">
        <v>0.91</v>
      </c>
      <c r="H1627" s="426">
        <f t="shared" si="97"/>
        <v>1.150564748881328</v>
      </c>
      <c r="I1627" s="448">
        <f t="shared" si="98"/>
        <v>5965.89</v>
      </c>
      <c r="J1627" s="437"/>
      <c r="K1627" s="372"/>
      <c r="L1627" s="430"/>
      <c r="M1627" s="372"/>
      <c r="N1627" s="372"/>
      <c r="O1627" s="372"/>
      <c r="P1627" s="372"/>
      <c r="R1627" s="372"/>
    </row>
    <row r="1628" spans="1:22" s="457" customFormat="1" x14ac:dyDescent="0.2">
      <c r="A1628" s="542"/>
      <c r="B1628" s="500"/>
      <c r="C1628" s="500"/>
      <c r="D1628" s="540"/>
      <c r="E1628" s="495"/>
      <c r="F1628" s="426"/>
      <c r="G1628" s="426"/>
      <c r="H1628" s="426"/>
      <c r="I1628" s="448"/>
      <c r="J1628" s="437"/>
      <c r="K1628" s="456"/>
      <c r="L1628" s="456"/>
      <c r="M1628" s="456"/>
      <c r="N1628" s="372"/>
      <c r="O1628" s="372"/>
      <c r="P1628" s="372"/>
      <c r="Q1628" s="373"/>
      <c r="R1628" s="372"/>
      <c r="S1628" s="373"/>
      <c r="T1628" s="373"/>
      <c r="U1628" s="373"/>
      <c r="V1628" s="373"/>
    </row>
    <row r="1629" spans="1:22" s="457" customFormat="1" ht="30" x14ac:dyDescent="0.2">
      <c r="A1629" s="542"/>
      <c r="B1629" s="500"/>
      <c r="C1629" s="500"/>
      <c r="D1629" s="540" t="s">
        <v>2588</v>
      </c>
      <c r="E1629" s="495"/>
      <c r="F1629" s="426"/>
      <c r="G1629" s="426"/>
      <c r="H1629" s="426"/>
      <c r="I1629" s="448"/>
      <c r="J1629" s="437"/>
      <c r="K1629" s="456"/>
      <c r="L1629" s="456"/>
      <c r="M1629" s="456"/>
      <c r="N1629" s="372"/>
      <c r="O1629" s="372"/>
      <c r="P1629" s="372"/>
      <c r="Q1629" s="373"/>
      <c r="R1629" s="372"/>
      <c r="S1629" s="373"/>
      <c r="T1629" s="373"/>
      <c r="U1629" s="373"/>
      <c r="V1629" s="373"/>
    </row>
    <row r="1630" spans="1:22" s="457" customFormat="1" x14ac:dyDescent="0.2">
      <c r="A1630" s="542"/>
      <c r="B1630" s="500"/>
      <c r="C1630" s="500"/>
      <c r="D1630" s="540"/>
      <c r="E1630" s="495"/>
      <c r="F1630" s="426"/>
      <c r="G1630" s="426"/>
      <c r="H1630" s="426"/>
      <c r="I1630" s="448"/>
      <c r="J1630" s="437"/>
      <c r="K1630" s="456"/>
      <c r="L1630" s="456"/>
      <c r="M1630" s="456"/>
      <c r="N1630" s="372"/>
      <c r="O1630" s="372"/>
      <c r="P1630" s="372"/>
      <c r="Q1630" s="373"/>
      <c r="R1630" s="372"/>
      <c r="S1630" s="373"/>
      <c r="T1630" s="373"/>
      <c r="U1630" s="373"/>
      <c r="V1630" s="373"/>
    </row>
    <row r="1631" spans="1:22" s="373" customFormat="1" ht="30" customHeight="1" x14ac:dyDescent="0.2">
      <c r="A1631" s="542" t="s">
        <v>1534</v>
      </c>
      <c r="B1631" s="500" t="s">
        <v>45</v>
      </c>
      <c r="C1631" s="500" t="s">
        <v>57</v>
      </c>
      <c r="D1631" s="540" t="s">
        <v>58</v>
      </c>
      <c r="E1631" s="495" t="s">
        <v>16</v>
      </c>
      <c r="F1631" s="426">
        <f>F1623</f>
        <v>797.72000000000014</v>
      </c>
      <c r="G1631" s="426">
        <v>1.94</v>
      </c>
      <c r="H1631" s="426">
        <f t="shared" si="97"/>
        <v>2.4528523217909628</v>
      </c>
      <c r="I1631" s="448">
        <f t="shared" si="98"/>
        <v>1956.69</v>
      </c>
      <c r="J1631" s="437"/>
      <c r="K1631" s="372"/>
      <c r="L1631" s="430"/>
      <c r="M1631" s="372"/>
      <c r="N1631" s="372"/>
      <c r="O1631" s="372"/>
      <c r="P1631" s="372"/>
      <c r="R1631" s="372"/>
    </row>
    <row r="1632" spans="1:22" s="457" customFormat="1" x14ac:dyDescent="0.2">
      <c r="A1632" s="542"/>
      <c r="B1632" s="500"/>
      <c r="C1632" s="500"/>
      <c r="D1632" s="540"/>
      <c r="E1632" s="495"/>
      <c r="F1632" s="426"/>
      <c r="G1632" s="426"/>
      <c r="H1632" s="426"/>
      <c r="I1632" s="448"/>
      <c r="J1632" s="437"/>
      <c r="K1632" s="456"/>
      <c r="L1632" s="456"/>
      <c r="M1632" s="456"/>
      <c r="N1632" s="372"/>
      <c r="O1632" s="372"/>
      <c r="P1632" s="372"/>
      <c r="Q1632" s="373"/>
      <c r="R1632" s="372"/>
      <c r="S1632" s="373"/>
      <c r="T1632" s="373"/>
      <c r="U1632" s="373"/>
      <c r="V1632" s="373"/>
    </row>
    <row r="1633" spans="1:22" s="457" customFormat="1" x14ac:dyDescent="0.2">
      <c r="A1633" s="542"/>
      <c r="B1633" s="500"/>
      <c r="C1633" s="500"/>
      <c r="D1633" s="540" t="s">
        <v>2587</v>
      </c>
      <c r="E1633" s="495"/>
      <c r="F1633" s="426"/>
      <c r="G1633" s="426"/>
      <c r="H1633" s="426"/>
      <c r="I1633" s="448"/>
      <c r="J1633" s="437"/>
      <c r="K1633" s="456"/>
      <c r="L1633" s="456"/>
      <c r="M1633" s="456"/>
      <c r="N1633" s="372"/>
      <c r="O1633" s="372"/>
      <c r="P1633" s="372"/>
      <c r="Q1633" s="373"/>
      <c r="R1633" s="372"/>
      <c r="S1633" s="373"/>
      <c r="T1633" s="373"/>
      <c r="U1633" s="373"/>
      <c r="V1633" s="373"/>
    </row>
    <row r="1634" spans="1:22" s="457" customFormat="1" x14ac:dyDescent="0.2">
      <c r="A1634" s="542"/>
      <c r="B1634" s="500"/>
      <c r="C1634" s="500"/>
      <c r="D1634" s="540"/>
      <c r="E1634" s="495"/>
      <c r="F1634" s="426"/>
      <c r="G1634" s="426"/>
      <c r="H1634" s="426"/>
      <c r="I1634" s="448"/>
      <c r="J1634" s="437"/>
      <c r="K1634" s="456"/>
      <c r="L1634" s="456"/>
      <c r="M1634" s="456"/>
      <c r="N1634" s="372"/>
      <c r="O1634" s="372"/>
      <c r="P1634" s="372"/>
      <c r="Q1634" s="373"/>
      <c r="R1634" s="372"/>
      <c r="S1634" s="373"/>
      <c r="T1634" s="373"/>
      <c r="U1634" s="373"/>
      <c r="V1634" s="373"/>
    </row>
    <row r="1635" spans="1:22" s="373" customFormat="1" ht="30" customHeight="1" x14ac:dyDescent="0.2">
      <c r="A1635" s="542" t="s">
        <v>1535</v>
      </c>
      <c r="B1635" s="500" t="s">
        <v>45</v>
      </c>
      <c r="C1635" s="500" t="s">
        <v>1755</v>
      </c>
      <c r="D1635" s="540" t="str">
        <f>COMPOSIÇÕES!D542</f>
        <v xml:space="preserve">CRAVAMENTO DE ESTACAS PRÉ-MOLDADA DE CONCRETO, SEÇÃO QUADRADA, CAPACIDADE DE 25 TONELADAS, COMPRIMENTO TOTAL CRAVADO ATÉ 5,00M, BATE-ESTACAS POR GRAVIDADE SOBRE ROLOS </v>
      </c>
      <c r="E1635" s="495" t="s">
        <v>19</v>
      </c>
      <c r="F1635" s="426">
        <v>1</v>
      </c>
      <c r="G1635" s="426">
        <f>COMPOSIÇÕES!I542</f>
        <v>8154.74</v>
      </c>
      <c r="H1635" s="426">
        <f t="shared" si="97"/>
        <v>10310.501516804967</v>
      </c>
      <c r="I1635" s="448">
        <f t="shared" ref="I1635" si="99">ROUND(F1635*H1635,2)</f>
        <v>10310.5</v>
      </c>
      <c r="J1635" s="437"/>
      <c r="K1635" s="372"/>
      <c r="L1635" s="430"/>
      <c r="M1635" s="372"/>
      <c r="N1635" s="372"/>
      <c r="O1635" s="372"/>
      <c r="P1635" s="372"/>
      <c r="R1635" s="372"/>
    </row>
    <row r="1636" spans="1:22" s="457" customFormat="1" x14ac:dyDescent="0.2">
      <c r="A1636" s="542"/>
      <c r="B1636" s="500"/>
      <c r="C1636" s="500"/>
      <c r="D1636" s="540"/>
      <c r="E1636" s="495"/>
      <c r="F1636" s="426"/>
      <c r="G1636" s="426"/>
      <c r="H1636" s="426"/>
      <c r="I1636" s="448"/>
      <c r="J1636" s="437"/>
      <c r="K1636" s="456"/>
      <c r="L1636" s="456"/>
      <c r="M1636" s="456"/>
      <c r="N1636" s="372"/>
      <c r="O1636" s="372"/>
      <c r="P1636" s="372"/>
      <c r="Q1636" s="373"/>
      <c r="R1636" s="372"/>
      <c r="S1636" s="373"/>
      <c r="T1636" s="373"/>
      <c r="U1636" s="373"/>
      <c r="V1636" s="373"/>
    </row>
    <row r="1637" spans="1:22" s="457" customFormat="1" x14ac:dyDescent="0.2">
      <c r="A1637" s="542"/>
      <c r="B1637" s="500"/>
      <c r="C1637" s="500"/>
      <c r="D1637" s="554" t="s">
        <v>2589</v>
      </c>
      <c r="E1637" s="495"/>
      <c r="F1637" s="426"/>
      <c r="G1637" s="426"/>
      <c r="H1637" s="426"/>
      <c r="I1637" s="448"/>
      <c r="J1637" s="437"/>
      <c r="K1637" s="456"/>
      <c r="L1637" s="456"/>
      <c r="M1637" s="456"/>
      <c r="N1637" s="372"/>
      <c r="O1637" s="372"/>
      <c r="P1637" s="372"/>
      <c r="Q1637" s="373"/>
      <c r="R1637" s="372"/>
      <c r="S1637" s="373"/>
      <c r="T1637" s="373"/>
      <c r="U1637" s="373"/>
      <c r="V1637" s="373"/>
    </row>
    <row r="1638" spans="1:22" s="457" customFormat="1" x14ac:dyDescent="0.2">
      <c r="A1638" s="542"/>
      <c r="B1638" s="500"/>
      <c r="C1638" s="500"/>
      <c r="D1638" s="540"/>
      <c r="E1638" s="495"/>
      <c r="F1638" s="426"/>
      <c r="G1638" s="426"/>
      <c r="H1638" s="426"/>
      <c r="I1638" s="448"/>
      <c r="J1638" s="437"/>
      <c r="K1638" s="456"/>
      <c r="L1638" s="456"/>
      <c r="M1638" s="456"/>
      <c r="N1638" s="372"/>
      <c r="O1638" s="372"/>
      <c r="P1638" s="372"/>
      <c r="Q1638" s="373"/>
      <c r="R1638" s="372"/>
      <c r="S1638" s="373"/>
      <c r="T1638" s="373"/>
      <c r="U1638" s="373"/>
      <c r="V1638" s="373"/>
    </row>
    <row r="1639" spans="1:22" s="373" customFormat="1" ht="30" x14ac:dyDescent="0.2">
      <c r="A1639" s="542" t="s">
        <v>1536</v>
      </c>
      <c r="B1639" s="500" t="s">
        <v>45</v>
      </c>
      <c r="C1639" s="506">
        <v>95241</v>
      </c>
      <c r="D1639" s="554" t="s">
        <v>733</v>
      </c>
      <c r="E1639" s="495" t="s">
        <v>15</v>
      </c>
      <c r="F1639" s="426">
        <f>15.4*35.2</f>
        <v>542.08000000000004</v>
      </c>
      <c r="G1639" s="426">
        <v>19.88</v>
      </c>
      <c r="H1639" s="426">
        <f t="shared" si="97"/>
        <v>25.135414514022855</v>
      </c>
      <c r="I1639" s="448">
        <f t="shared" si="98"/>
        <v>13625.41</v>
      </c>
      <c r="J1639" s="437"/>
      <c r="K1639" s="372"/>
      <c r="L1639" s="430"/>
      <c r="M1639" s="372"/>
      <c r="N1639" s="372"/>
      <c r="O1639" s="372"/>
      <c r="P1639" s="372"/>
      <c r="R1639" s="372"/>
    </row>
    <row r="1640" spans="1:22" s="457" customFormat="1" x14ac:dyDescent="0.2">
      <c r="A1640" s="542"/>
      <c r="B1640" s="500"/>
      <c r="C1640" s="500"/>
      <c r="D1640" s="540"/>
      <c r="E1640" s="495"/>
      <c r="F1640" s="426"/>
      <c r="G1640" s="426"/>
      <c r="H1640" s="426"/>
      <c r="I1640" s="448"/>
      <c r="J1640" s="437"/>
      <c r="K1640" s="456"/>
      <c r="L1640" s="456"/>
      <c r="M1640" s="456"/>
      <c r="N1640" s="372"/>
      <c r="O1640" s="372"/>
      <c r="P1640" s="372"/>
      <c r="Q1640" s="373"/>
      <c r="R1640" s="372"/>
      <c r="S1640" s="373"/>
      <c r="T1640" s="373"/>
      <c r="U1640" s="373"/>
      <c r="V1640" s="373"/>
    </row>
    <row r="1641" spans="1:22" s="457" customFormat="1" x14ac:dyDescent="0.2">
      <c r="A1641" s="542"/>
      <c r="B1641" s="500"/>
      <c r="C1641" s="500"/>
      <c r="D1641" s="540" t="s">
        <v>2590</v>
      </c>
      <c r="E1641" s="495"/>
      <c r="F1641" s="426"/>
      <c r="G1641" s="426"/>
      <c r="H1641" s="426"/>
      <c r="I1641" s="448"/>
      <c r="J1641" s="437"/>
      <c r="K1641" s="456"/>
      <c r="L1641" s="456"/>
      <c r="M1641" s="456"/>
      <c r="N1641" s="372"/>
      <c r="O1641" s="372"/>
      <c r="P1641" s="372"/>
      <c r="Q1641" s="373"/>
      <c r="R1641" s="372"/>
      <c r="S1641" s="373"/>
      <c r="T1641" s="373"/>
      <c r="U1641" s="373"/>
      <c r="V1641" s="373"/>
    </row>
    <row r="1642" spans="1:22" s="457" customFormat="1" x14ac:dyDescent="0.2">
      <c r="A1642" s="542"/>
      <c r="B1642" s="500"/>
      <c r="C1642" s="500"/>
      <c r="D1642" s="540"/>
      <c r="E1642" s="495"/>
      <c r="F1642" s="426"/>
      <c r="G1642" s="426"/>
      <c r="H1642" s="426"/>
      <c r="I1642" s="448"/>
      <c r="J1642" s="437"/>
      <c r="K1642" s="456"/>
      <c r="L1642" s="456"/>
      <c r="M1642" s="456"/>
      <c r="N1642" s="372"/>
      <c r="O1642" s="372"/>
      <c r="P1642" s="372"/>
      <c r="Q1642" s="373"/>
      <c r="R1642" s="372"/>
      <c r="S1642" s="373"/>
      <c r="T1642" s="373"/>
      <c r="U1642" s="373"/>
      <c r="V1642" s="373"/>
    </row>
    <row r="1643" spans="1:22" s="373" customFormat="1" ht="45" x14ac:dyDescent="0.2">
      <c r="A1643" s="542" t="s">
        <v>1537</v>
      </c>
      <c r="B1643" s="500" t="s">
        <v>45</v>
      </c>
      <c r="C1643" s="506">
        <v>92417</v>
      </c>
      <c r="D1643" s="540" t="s">
        <v>1388</v>
      </c>
      <c r="E1643" s="495" t="s">
        <v>15</v>
      </c>
      <c r="F1643" s="426">
        <v>71.3</v>
      </c>
      <c r="G1643" s="426">
        <v>96.25</v>
      </c>
      <c r="H1643" s="426">
        <f t="shared" si="97"/>
        <v>121.69434843937123</v>
      </c>
      <c r="I1643" s="448">
        <f t="shared" ref="I1643" si="100">ROUND(F1643*H1643,2)</f>
        <v>8676.81</v>
      </c>
      <c r="J1643" s="437"/>
      <c r="K1643" s="372"/>
      <c r="L1643" s="430"/>
      <c r="M1643" s="372"/>
      <c r="N1643" s="372"/>
      <c r="O1643" s="372"/>
      <c r="P1643" s="372"/>
      <c r="R1643" s="372"/>
    </row>
    <row r="1644" spans="1:22" s="457" customFormat="1" x14ac:dyDescent="0.2">
      <c r="A1644" s="542"/>
      <c r="B1644" s="500"/>
      <c r="C1644" s="500"/>
      <c r="D1644" s="540"/>
      <c r="E1644" s="495"/>
      <c r="F1644" s="426"/>
      <c r="G1644" s="426"/>
      <c r="H1644" s="426"/>
      <c r="I1644" s="448"/>
      <c r="J1644" s="437"/>
      <c r="K1644" s="456"/>
      <c r="L1644" s="456"/>
      <c r="M1644" s="456"/>
      <c r="N1644" s="372"/>
      <c r="O1644" s="372"/>
      <c r="P1644" s="372"/>
      <c r="Q1644" s="373"/>
      <c r="R1644" s="372"/>
      <c r="S1644" s="373"/>
      <c r="T1644" s="373"/>
      <c r="U1644" s="373"/>
      <c r="V1644" s="373"/>
    </row>
    <row r="1645" spans="1:22" s="457" customFormat="1" x14ac:dyDescent="0.2">
      <c r="A1645" s="542"/>
      <c r="B1645" s="500"/>
      <c r="C1645" s="500"/>
      <c r="D1645" s="540" t="s">
        <v>2591</v>
      </c>
      <c r="E1645" s="495"/>
      <c r="F1645" s="426"/>
      <c r="G1645" s="426"/>
      <c r="H1645" s="426"/>
      <c r="I1645" s="448"/>
      <c r="J1645" s="437"/>
      <c r="K1645" s="456"/>
      <c r="L1645" s="456"/>
      <c r="M1645" s="456"/>
      <c r="N1645" s="372"/>
      <c r="O1645" s="372"/>
      <c r="P1645" s="372"/>
      <c r="Q1645" s="373"/>
      <c r="R1645" s="372"/>
      <c r="S1645" s="373"/>
      <c r="T1645" s="373"/>
      <c r="U1645" s="373"/>
      <c r="V1645" s="373"/>
    </row>
    <row r="1646" spans="1:22" s="457" customFormat="1" x14ac:dyDescent="0.2">
      <c r="A1646" s="542"/>
      <c r="B1646" s="500"/>
      <c r="C1646" s="500"/>
      <c r="D1646" s="540"/>
      <c r="E1646" s="495"/>
      <c r="F1646" s="426"/>
      <c r="G1646" s="426"/>
      <c r="H1646" s="426"/>
      <c r="I1646" s="448"/>
      <c r="J1646" s="437"/>
      <c r="K1646" s="456"/>
      <c r="L1646" s="456"/>
      <c r="M1646" s="456"/>
      <c r="N1646" s="372"/>
      <c r="O1646" s="372"/>
      <c r="P1646" s="372"/>
      <c r="Q1646" s="373"/>
      <c r="R1646" s="372"/>
      <c r="S1646" s="373"/>
      <c r="T1646" s="373"/>
      <c r="U1646" s="373"/>
      <c r="V1646" s="373"/>
    </row>
    <row r="1647" spans="1:22" s="447" customFormat="1" x14ac:dyDescent="0.2">
      <c r="A1647" s="542" t="s">
        <v>1538</v>
      </c>
      <c r="B1647" s="500" t="s">
        <v>45</v>
      </c>
      <c r="C1647" s="506">
        <v>34456</v>
      </c>
      <c r="D1647" s="540" t="s">
        <v>1358</v>
      </c>
      <c r="E1647" s="494" t="s">
        <v>169</v>
      </c>
      <c r="F1647" s="426">
        <v>292</v>
      </c>
      <c r="G1647" s="426">
        <v>3.7</v>
      </c>
      <c r="H1647" s="426">
        <v>4.32</v>
      </c>
      <c r="I1647" s="445">
        <v>1261.44</v>
      </c>
      <c r="J1647" s="446"/>
      <c r="K1647" s="446"/>
      <c r="L1647" s="446"/>
      <c r="M1647" s="446"/>
      <c r="N1647" s="446"/>
      <c r="O1647" s="446"/>
    </row>
    <row r="1648" spans="1:22" s="447" customFormat="1" x14ac:dyDescent="0.2">
      <c r="A1648" s="542"/>
      <c r="B1648" s="500"/>
      <c r="C1648" s="506"/>
      <c r="D1648" s="540"/>
      <c r="E1648" s="494"/>
      <c r="F1648" s="426"/>
      <c r="G1648" s="426"/>
      <c r="H1648" s="426"/>
      <c r="I1648" s="455"/>
      <c r="J1648" s="446"/>
      <c r="K1648" s="446"/>
      <c r="L1648" s="446"/>
      <c r="M1648" s="446"/>
      <c r="N1648" s="446"/>
      <c r="O1648" s="446"/>
    </row>
    <row r="1649" spans="1:22" s="447" customFormat="1" x14ac:dyDescent="0.2">
      <c r="A1649" s="542"/>
      <c r="B1649" s="500"/>
      <c r="C1649" s="506"/>
      <c r="D1649" s="540" t="s">
        <v>2592</v>
      </c>
      <c r="E1649" s="494"/>
      <c r="F1649" s="426"/>
      <c r="G1649" s="426"/>
      <c r="H1649" s="426"/>
      <c r="I1649" s="455"/>
      <c r="J1649" s="446"/>
      <c r="K1649" s="446"/>
      <c r="L1649" s="446"/>
      <c r="M1649" s="446"/>
      <c r="N1649" s="446"/>
      <c r="O1649" s="446"/>
    </row>
    <row r="1650" spans="1:22" s="447" customFormat="1" x14ac:dyDescent="0.2">
      <c r="A1650" s="542"/>
      <c r="B1650" s="500"/>
      <c r="C1650" s="506"/>
      <c r="D1650" s="540"/>
      <c r="E1650" s="494"/>
      <c r="F1650" s="426"/>
      <c r="G1650" s="426"/>
      <c r="H1650" s="426"/>
      <c r="I1650" s="455"/>
      <c r="J1650" s="446"/>
      <c r="K1650" s="446"/>
      <c r="L1650" s="446"/>
      <c r="M1650" s="446"/>
      <c r="N1650" s="446"/>
      <c r="O1650" s="446"/>
    </row>
    <row r="1651" spans="1:22" s="457" customFormat="1" x14ac:dyDescent="0.2">
      <c r="A1651" s="542" t="s">
        <v>1191</v>
      </c>
      <c r="B1651" s="500" t="s">
        <v>45</v>
      </c>
      <c r="C1651" s="500">
        <v>34449</v>
      </c>
      <c r="D1651" s="540" t="s">
        <v>1391</v>
      </c>
      <c r="E1651" s="495" t="s">
        <v>169</v>
      </c>
      <c r="F1651" s="426">
        <v>197</v>
      </c>
      <c r="G1651" s="426">
        <v>4.18</v>
      </c>
      <c r="H1651" s="426">
        <v>4.88</v>
      </c>
      <c r="I1651" s="448">
        <v>961.36</v>
      </c>
      <c r="J1651" s="437"/>
      <c r="K1651" s="456"/>
      <c r="L1651" s="456"/>
      <c r="M1651" s="456"/>
      <c r="N1651" s="372"/>
      <c r="O1651" s="372"/>
      <c r="P1651" s="372"/>
      <c r="Q1651" s="373"/>
      <c r="R1651" s="372"/>
      <c r="S1651" s="373"/>
      <c r="T1651" s="373"/>
      <c r="U1651" s="373"/>
      <c r="V1651" s="373"/>
    </row>
    <row r="1652" spans="1:22" s="447" customFormat="1" x14ac:dyDescent="0.2">
      <c r="A1652" s="542"/>
      <c r="B1652" s="500"/>
      <c r="C1652" s="506"/>
      <c r="D1652" s="540"/>
      <c r="E1652" s="494"/>
      <c r="F1652" s="426"/>
      <c r="G1652" s="426"/>
      <c r="H1652" s="426"/>
      <c r="I1652" s="455"/>
      <c r="J1652" s="446"/>
      <c r="K1652" s="446"/>
      <c r="L1652" s="446"/>
      <c r="M1652" s="446"/>
      <c r="N1652" s="446"/>
      <c r="O1652" s="446"/>
    </row>
    <row r="1653" spans="1:22" s="447" customFormat="1" x14ac:dyDescent="0.2">
      <c r="A1653" s="542"/>
      <c r="B1653" s="500"/>
      <c r="C1653" s="506"/>
      <c r="D1653" s="540" t="s">
        <v>2593</v>
      </c>
      <c r="E1653" s="494"/>
      <c r="F1653" s="426"/>
      <c r="G1653" s="426"/>
      <c r="H1653" s="426"/>
      <c r="I1653" s="455"/>
      <c r="J1653" s="446"/>
      <c r="K1653" s="446"/>
      <c r="L1653" s="446"/>
      <c r="M1653" s="446"/>
      <c r="N1653" s="446"/>
      <c r="O1653" s="446"/>
    </row>
    <row r="1654" spans="1:22" s="447" customFormat="1" x14ac:dyDescent="0.2">
      <c r="A1654" s="542"/>
      <c r="B1654" s="500"/>
      <c r="C1654" s="506"/>
      <c r="D1654" s="540"/>
      <c r="E1654" s="494"/>
      <c r="F1654" s="426"/>
      <c r="G1654" s="426"/>
      <c r="H1654" s="426"/>
      <c r="I1654" s="455"/>
      <c r="J1654" s="446"/>
      <c r="K1654" s="446"/>
      <c r="L1654" s="446"/>
      <c r="M1654" s="446"/>
      <c r="N1654" s="446"/>
      <c r="O1654" s="446"/>
    </row>
    <row r="1655" spans="1:22" s="457" customFormat="1" x14ac:dyDescent="0.2">
      <c r="A1655" s="542" t="s">
        <v>1539</v>
      </c>
      <c r="B1655" s="500" t="s">
        <v>45</v>
      </c>
      <c r="C1655" s="500">
        <v>33</v>
      </c>
      <c r="D1655" s="540" t="s">
        <v>799</v>
      </c>
      <c r="E1655" s="495" t="s">
        <v>169</v>
      </c>
      <c r="F1655" s="426">
        <v>1002</v>
      </c>
      <c r="G1655" s="426">
        <v>4.1900000000000004</v>
      </c>
      <c r="H1655" s="426">
        <v>4.8899999999999997</v>
      </c>
      <c r="I1655" s="448">
        <v>4899.78</v>
      </c>
      <c r="J1655" s="437"/>
      <c r="K1655" s="456"/>
      <c r="L1655" s="456"/>
      <c r="M1655" s="456"/>
      <c r="N1655" s="372"/>
      <c r="O1655" s="372"/>
      <c r="P1655" s="372"/>
      <c r="Q1655" s="373"/>
      <c r="R1655" s="372"/>
      <c r="S1655" s="373"/>
      <c r="T1655" s="373"/>
      <c r="U1655" s="373"/>
      <c r="V1655" s="373"/>
    </row>
    <row r="1656" spans="1:22" s="447" customFormat="1" x14ac:dyDescent="0.2">
      <c r="A1656" s="542"/>
      <c r="B1656" s="500"/>
      <c r="C1656" s="506"/>
      <c r="D1656" s="540"/>
      <c r="E1656" s="494"/>
      <c r="F1656" s="426"/>
      <c r="G1656" s="426"/>
      <c r="H1656" s="426"/>
      <c r="I1656" s="455"/>
      <c r="J1656" s="446"/>
      <c r="K1656" s="446"/>
      <c r="L1656" s="446"/>
      <c r="M1656" s="446"/>
      <c r="N1656" s="446"/>
      <c r="O1656" s="446"/>
    </row>
    <row r="1657" spans="1:22" s="447" customFormat="1" x14ac:dyDescent="0.2">
      <c r="A1657" s="542"/>
      <c r="B1657" s="500"/>
      <c r="C1657" s="506"/>
      <c r="D1657" s="540" t="s">
        <v>2594</v>
      </c>
      <c r="E1657" s="494"/>
      <c r="F1657" s="426"/>
      <c r="G1657" s="426"/>
      <c r="H1657" s="426"/>
      <c r="I1657" s="455"/>
      <c r="J1657" s="446"/>
      <c r="K1657" s="446"/>
      <c r="L1657" s="446"/>
      <c r="M1657" s="446"/>
      <c r="N1657" s="446"/>
      <c r="O1657" s="446"/>
    </row>
    <row r="1658" spans="1:22" s="447" customFormat="1" x14ac:dyDescent="0.2">
      <c r="A1658" s="542"/>
      <c r="B1658" s="500"/>
      <c r="C1658" s="506"/>
      <c r="D1658" s="540"/>
      <c r="E1658" s="494"/>
      <c r="F1658" s="426"/>
      <c r="G1658" s="426"/>
      <c r="H1658" s="426"/>
      <c r="I1658" s="455"/>
      <c r="J1658" s="446"/>
      <c r="K1658" s="446"/>
      <c r="L1658" s="446"/>
      <c r="M1658" s="446"/>
      <c r="N1658" s="446"/>
      <c r="O1658" s="446"/>
    </row>
    <row r="1659" spans="1:22" s="457" customFormat="1" x14ac:dyDescent="0.2">
      <c r="A1659" s="542" t="s">
        <v>1540</v>
      </c>
      <c r="B1659" s="500" t="s">
        <v>45</v>
      </c>
      <c r="C1659" s="500">
        <v>34439</v>
      </c>
      <c r="D1659" s="540" t="s">
        <v>798</v>
      </c>
      <c r="E1659" s="495" t="s">
        <v>169</v>
      </c>
      <c r="F1659" s="426">
        <v>454</v>
      </c>
      <c r="G1659" s="426">
        <v>4</v>
      </c>
      <c r="H1659" s="426">
        <v>4.67</v>
      </c>
      <c r="I1659" s="448">
        <v>2120.1799999999998</v>
      </c>
      <c r="J1659" s="437"/>
      <c r="K1659" s="456"/>
      <c r="L1659" s="456"/>
      <c r="M1659" s="456"/>
      <c r="N1659" s="372"/>
      <c r="O1659" s="372"/>
      <c r="P1659" s="372"/>
      <c r="Q1659" s="373"/>
      <c r="R1659" s="372"/>
      <c r="S1659" s="373"/>
      <c r="T1659" s="373"/>
      <c r="U1659" s="373"/>
      <c r="V1659" s="373"/>
    </row>
    <row r="1660" spans="1:22" s="447" customFormat="1" x14ac:dyDescent="0.2">
      <c r="A1660" s="542"/>
      <c r="B1660" s="500"/>
      <c r="C1660" s="506"/>
      <c r="D1660" s="540"/>
      <c r="E1660" s="494"/>
      <c r="F1660" s="426"/>
      <c r="G1660" s="426"/>
      <c r="H1660" s="426"/>
      <c r="I1660" s="455"/>
      <c r="J1660" s="446"/>
      <c r="K1660" s="446"/>
      <c r="L1660" s="446"/>
      <c r="M1660" s="446"/>
      <c r="N1660" s="446"/>
      <c r="O1660" s="446"/>
    </row>
    <row r="1661" spans="1:22" s="447" customFormat="1" x14ac:dyDescent="0.2">
      <c r="A1661" s="542"/>
      <c r="B1661" s="500"/>
      <c r="C1661" s="506"/>
      <c r="D1661" s="540" t="s">
        <v>2595</v>
      </c>
      <c r="E1661" s="494"/>
      <c r="F1661" s="426"/>
      <c r="G1661" s="426"/>
      <c r="H1661" s="426"/>
      <c r="I1661" s="455"/>
      <c r="J1661" s="446"/>
      <c r="K1661" s="446"/>
      <c r="L1661" s="446"/>
      <c r="M1661" s="446"/>
      <c r="N1661" s="446"/>
      <c r="O1661" s="446"/>
    </row>
    <row r="1662" spans="1:22" s="447" customFormat="1" x14ac:dyDescent="0.2">
      <c r="A1662" s="542"/>
      <c r="B1662" s="500"/>
      <c r="C1662" s="506"/>
      <c r="D1662" s="540"/>
      <c r="E1662" s="494"/>
      <c r="F1662" s="426"/>
      <c r="G1662" s="426"/>
      <c r="H1662" s="426"/>
      <c r="I1662" s="455"/>
      <c r="J1662" s="446"/>
      <c r="K1662" s="446"/>
      <c r="L1662" s="446"/>
      <c r="M1662" s="446"/>
      <c r="N1662" s="446"/>
      <c r="O1662" s="446"/>
    </row>
    <row r="1663" spans="1:22" s="447" customFormat="1" x14ac:dyDescent="0.2">
      <c r="A1663" s="542" t="s">
        <v>1541</v>
      </c>
      <c r="B1663" s="500" t="s">
        <v>45</v>
      </c>
      <c r="C1663" s="506">
        <v>34441</v>
      </c>
      <c r="D1663" s="540" t="s">
        <v>1389</v>
      </c>
      <c r="E1663" s="494" t="s">
        <v>169</v>
      </c>
      <c r="F1663" s="426">
        <v>331</v>
      </c>
      <c r="G1663" s="426">
        <v>3.8</v>
      </c>
      <c r="H1663" s="426">
        <v>4.4400000000000004</v>
      </c>
      <c r="I1663" s="445">
        <v>1469.64</v>
      </c>
      <c r="J1663" s="446"/>
      <c r="K1663" s="446"/>
      <c r="L1663" s="446"/>
      <c r="M1663" s="446"/>
      <c r="N1663" s="446"/>
      <c r="O1663" s="446"/>
    </row>
    <row r="1664" spans="1:22" s="447" customFormat="1" x14ac:dyDescent="0.2">
      <c r="A1664" s="542"/>
      <c r="B1664" s="500"/>
      <c r="C1664" s="506"/>
      <c r="D1664" s="540"/>
      <c r="E1664" s="494"/>
      <c r="F1664" s="426"/>
      <c r="G1664" s="426"/>
      <c r="H1664" s="426"/>
      <c r="I1664" s="455"/>
      <c r="J1664" s="446"/>
      <c r="K1664" s="446"/>
      <c r="L1664" s="446"/>
      <c r="M1664" s="446"/>
      <c r="N1664" s="446"/>
      <c r="O1664" s="446"/>
    </row>
    <row r="1665" spans="1:22" s="447" customFormat="1" x14ac:dyDescent="0.2">
      <c r="A1665" s="542"/>
      <c r="B1665" s="500"/>
      <c r="C1665" s="506"/>
      <c r="D1665" s="540" t="s">
        <v>2596</v>
      </c>
      <c r="E1665" s="494"/>
      <c r="F1665" s="426"/>
      <c r="G1665" s="426"/>
      <c r="H1665" s="426"/>
      <c r="I1665" s="455"/>
      <c r="J1665" s="446"/>
      <c r="K1665" s="446"/>
      <c r="L1665" s="446"/>
      <c r="M1665" s="446"/>
      <c r="N1665" s="446"/>
      <c r="O1665" s="446"/>
    </row>
    <row r="1666" spans="1:22" s="447" customFormat="1" x14ac:dyDescent="0.2">
      <c r="A1666" s="542"/>
      <c r="B1666" s="500"/>
      <c r="C1666" s="506"/>
      <c r="D1666" s="540"/>
      <c r="E1666" s="494"/>
      <c r="F1666" s="426"/>
      <c r="G1666" s="426"/>
      <c r="H1666" s="426"/>
      <c r="I1666" s="455"/>
      <c r="J1666" s="446"/>
      <c r="K1666" s="446"/>
      <c r="L1666" s="446"/>
      <c r="M1666" s="446"/>
      <c r="N1666" s="446"/>
      <c r="O1666" s="446"/>
    </row>
    <row r="1667" spans="1:22" s="457" customFormat="1" x14ac:dyDescent="0.2">
      <c r="A1667" s="550" t="s">
        <v>1542</v>
      </c>
      <c r="B1667" s="551" t="s">
        <v>45</v>
      </c>
      <c r="C1667" s="551">
        <v>34443</v>
      </c>
      <c r="D1667" s="552" t="s">
        <v>1390</v>
      </c>
      <c r="E1667" s="495" t="s">
        <v>169</v>
      </c>
      <c r="F1667" s="426">
        <v>228</v>
      </c>
      <c r="G1667" s="426">
        <v>3.8</v>
      </c>
      <c r="H1667" s="426">
        <v>4.4400000000000004</v>
      </c>
      <c r="I1667" s="448">
        <v>1012.32</v>
      </c>
      <c r="J1667" s="437"/>
      <c r="K1667" s="456"/>
      <c r="L1667" s="456"/>
      <c r="M1667" s="456"/>
      <c r="N1667" s="372"/>
      <c r="O1667" s="372"/>
      <c r="P1667" s="372"/>
      <c r="Q1667" s="373"/>
      <c r="R1667" s="372"/>
      <c r="S1667" s="373"/>
      <c r="T1667" s="373"/>
      <c r="U1667" s="373"/>
      <c r="V1667" s="373"/>
    </row>
    <row r="1668" spans="1:22" s="457" customFormat="1" x14ac:dyDescent="0.2">
      <c r="A1668" s="542"/>
      <c r="B1668" s="500"/>
      <c r="C1668" s="500"/>
      <c r="D1668" s="540"/>
      <c r="E1668" s="495"/>
      <c r="F1668" s="426"/>
      <c r="G1668" s="426"/>
      <c r="H1668" s="426"/>
      <c r="I1668" s="448"/>
      <c r="J1668" s="437"/>
      <c r="K1668" s="456"/>
      <c r="L1668" s="456"/>
      <c r="M1668" s="456"/>
      <c r="N1668" s="372"/>
      <c r="O1668" s="372"/>
      <c r="P1668" s="372"/>
      <c r="Q1668" s="373"/>
      <c r="R1668" s="372"/>
      <c r="S1668" s="373"/>
      <c r="T1668" s="373"/>
      <c r="U1668" s="373"/>
      <c r="V1668" s="373"/>
    </row>
    <row r="1669" spans="1:22" s="457" customFormat="1" x14ac:dyDescent="0.2">
      <c r="A1669" s="542"/>
      <c r="B1669" s="500"/>
      <c r="C1669" s="500"/>
      <c r="D1669" s="540" t="s">
        <v>2597</v>
      </c>
      <c r="E1669" s="495"/>
      <c r="F1669" s="426"/>
      <c r="G1669" s="426"/>
      <c r="H1669" s="426"/>
      <c r="I1669" s="448"/>
      <c r="J1669" s="437"/>
      <c r="K1669" s="456"/>
      <c r="L1669" s="456"/>
      <c r="M1669" s="456"/>
      <c r="N1669" s="372"/>
      <c r="O1669" s="372"/>
      <c r="P1669" s="372"/>
      <c r="Q1669" s="373"/>
      <c r="R1669" s="372"/>
      <c r="S1669" s="373"/>
      <c r="T1669" s="373"/>
      <c r="U1669" s="373"/>
      <c r="V1669" s="373"/>
    </row>
    <row r="1670" spans="1:22" s="457" customFormat="1" x14ac:dyDescent="0.2">
      <c r="A1670" s="542"/>
      <c r="B1670" s="500"/>
      <c r="C1670" s="500"/>
      <c r="D1670" s="540"/>
      <c r="E1670" s="495"/>
      <c r="F1670" s="426"/>
      <c r="G1670" s="426"/>
      <c r="H1670" s="426"/>
      <c r="I1670" s="448"/>
      <c r="J1670" s="437"/>
      <c r="K1670" s="456"/>
      <c r="L1670" s="456"/>
      <c r="M1670" s="456"/>
      <c r="N1670" s="372"/>
      <c r="O1670" s="372"/>
      <c r="P1670" s="372"/>
      <c r="Q1670" s="373"/>
      <c r="R1670" s="372"/>
      <c r="S1670" s="373"/>
      <c r="T1670" s="373"/>
      <c r="U1670" s="373"/>
      <c r="V1670" s="373"/>
    </row>
    <row r="1671" spans="1:22" s="373" customFormat="1" ht="30" x14ac:dyDescent="0.2">
      <c r="A1671" s="542" t="s">
        <v>1543</v>
      </c>
      <c r="B1671" s="500" t="s">
        <v>45</v>
      </c>
      <c r="C1671" s="506">
        <v>94967</v>
      </c>
      <c r="D1671" s="554" t="s">
        <v>1351</v>
      </c>
      <c r="E1671" s="495" t="s">
        <v>16</v>
      </c>
      <c r="F1671" s="426">
        <v>36</v>
      </c>
      <c r="G1671" s="426">
        <v>331.4</v>
      </c>
      <c r="H1671" s="426">
        <f t="shared" ref="H1671:H1703" si="101">G1671*(1+$L$16)</f>
        <v>419.00786569150779</v>
      </c>
      <c r="I1671" s="448">
        <f t="shared" si="98"/>
        <v>15084.28</v>
      </c>
      <c r="J1671" s="437"/>
      <c r="K1671" s="372"/>
      <c r="L1671" s="430"/>
      <c r="M1671" s="372"/>
      <c r="N1671" s="372"/>
      <c r="O1671" s="372"/>
      <c r="P1671" s="372"/>
      <c r="R1671" s="372"/>
    </row>
    <row r="1672" spans="1:22" s="457" customFormat="1" x14ac:dyDescent="0.2">
      <c r="A1672" s="542"/>
      <c r="B1672" s="500"/>
      <c r="C1672" s="500"/>
      <c r="D1672" s="540"/>
      <c r="E1672" s="495"/>
      <c r="F1672" s="426"/>
      <c r="G1672" s="426"/>
      <c r="H1672" s="426"/>
      <c r="I1672" s="448"/>
      <c r="J1672" s="437"/>
      <c r="K1672" s="456"/>
      <c r="L1672" s="456"/>
      <c r="M1672" s="456"/>
      <c r="N1672" s="372"/>
      <c r="O1672" s="372"/>
      <c r="P1672" s="372"/>
      <c r="Q1672" s="373"/>
      <c r="R1672" s="372"/>
      <c r="S1672" s="373"/>
      <c r="T1672" s="373"/>
      <c r="U1672" s="373"/>
      <c r="V1672" s="373"/>
    </row>
    <row r="1673" spans="1:22" s="457" customFormat="1" x14ac:dyDescent="0.2">
      <c r="A1673" s="542"/>
      <c r="B1673" s="500"/>
      <c r="C1673" s="500"/>
      <c r="D1673" s="540" t="s">
        <v>2598</v>
      </c>
      <c r="E1673" s="495"/>
      <c r="F1673" s="426"/>
      <c r="G1673" s="426"/>
      <c r="H1673" s="426"/>
      <c r="I1673" s="448"/>
      <c r="J1673" s="437"/>
      <c r="K1673" s="456"/>
      <c r="L1673" s="456"/>
      <c r="M1673" s="456"/>
      <c r="N1673" s="372"/>
      <c r="O1673" s="372"/>
      <c r="P1673" s="372"/>
      <c r="Q1673" s="373"/>
      <c r="R1673" s="372"/>
      <c r="S1673" s="373"/>
      <c r="T1673" s="373"/>
      <c r="U1673" s="373"/>
      <c r="V1673" s="373"/>
    </row>
    <row r="1674" spans="1:22" s="457" customFormat="1" x14ac:dyDescent="0.2">
      <c r="A1674" s="542"/>
      <c r="B1674" s="500"/>
      <c r="C1674" s="500"/>
      <c r="D1674" s="540"/>
      <c r="E1674" s="495"/>
      <c r="F1674" s="426"/>
      <c r="G1674" s="426"/>
      <c r="H1674" s="426"/>
      <c r="I1674" s="448"/>
      <c r="J1674" s="437"/>
      <c r="K1674" s="456"/>
      <c r="L1674" s="456"/>
      <c r="M1674" s="456"/>
      <c r="N1674" s="372"/>
      <c r="O1674" s="372"/>
      <c r="P1674" s="372"/>
      <c r="Q1674" s="373"/>
      <c r="R1674" s="372"/>
      <c r="S1674" s="373"/>
      <c r="T1674" s="373"/>
      <c r="U1674" s="373"/>
      <c r="V1674" s="373"/>
    </row>
    <row r="1675" spans="1:22" s="373" customFormat="1" ht="30" x14ac:dyDescent="0.2">
      <c r="A1675" s="542" t="s">
        <v>1544</v>
      </c>
      <c r="B1675" s="500" t="s">
        <v>45</v>
      </c>
      <c r="C1675" s="500">
        <v>92874</v>
      </c>
      <c r="D1675" s="540" t="s">
        <v>800</v>
      </c>
      <c r="E1675" s="495" t="s">
        <v>15</v>
      </c>
      <c r="F1675" s="426">
        <f>F1671</f>
        <v>36</v>
      </c>
      <c r="G1675" s="426">
        <v>27.56</v>
      </c>
      <c r="H1675" s="426">
        <f t="shared" si="101"/>
        <v>34.8456752518345</v>
      </c>
      <c r="I1675" s="448">
        <f t="shared" si="98"/>
        <v>1254.44</v>
      </c>
      <c r="J1675" s="437"/>
      <c r="K1675" s="372"/>
      <c r="L1675" s="430"/>
      <c r="M1675" s="372"/>
      <c r="N1675" s="372"/>
      <c r="O1675" s="372"/>
      <c r="P1675" s="372"/>
      <c r="R1675" s="372"/>
    </row>
    <row r="1676" spans="1:22" s="457" customFormat="1" x14ac:dyDescent="0.2">
      <c r="A1676" s="542"/>
      <c r="B1676" s="500"/>
      <c r="C1676" s="500"/>
      <c r="D1676" s="540"/>
      <c r="E1676" s="495"/>
      <c r="F1676" s="426"/>
      <c r="G1676" s="426"/>
      <c r="H1676" s="426"/>
      <c r="I1676" s="448"/>
      <c r="J1676" s="437"/>
      <c r="K1676" s="456"/>
      <c r="L1676" s="456"/>
      <c r="M1676" s="456"/>
      <c r="N1676" s="372"/>
      <c r="O1676" s="372"/>
      <c r="P1676" s="372"/>
      <c r="Q1676" s="373"/>
      <c r="R1676" s="372"/>
      <c r="S1676" s="373"/>
      <c r="T1676" s="373"/>
      <c r="U1676" s="373"/>
      <c r="V1676" s="373"/>
    </row>
    <row r="1677" spans="1:22" s="457" customFormat="1" x14ac:dyDescent="0.2">
      <c r="A1677" s="542"/>
      <c r="B1677" s="500"/>
      <c r="C1677" s="500"/>
      <c r="D1677" s="540" t="s">
        <v>2598</v>
      </c>
      <c r="E1677" s="495"/>
      <c r="F1677" s="426"/>
      <c r="G1677" s="426"/>
      <c r="H1677" s="426"/>
      <c r="I1677" s="448"/>
      <c r="J1677" s="437"/>
      <c r="K1677" s="456"/>
      <c r="L1677" s="456"/>
      <c r="M1677" s="456"/>
      <c r="N1677" s="372"/>
      <c r="O1677" s="372"/>
      <c r="P1677" s="372"/>
      <c r="Q1677" s="373"/>
      <c r="R1677" s="372"/>
      <c r="S1677" s="373"/>
      <c r="T1677" s="373"/>
      <c r="U1677" s="373"/>
      <c r="V1677" s="373"/>
    </row>
    <row r="1678" spans="1:22" s="457" customFormat="1" x14ac:dyDescent="0.2">
      <c r="A1678" s="542"/>
      <c r="B1678" s="500"/>
      <c r="C1678" s="500"/>
      <c r="D1678" s="540"/>
      <c r="E1678" s="495"/>
      <c r="F1678" s="426"/>
      <c r="G1678" s="426"/>
      <c r="H1678" s="426"/>
      <c r="I1678" s="448"/>
      <c r="J1678" s="437"/>
      <c r="K1678" s="456"/>
      <c r="L1678" s="456"/>
      <c r="M1678" s="456"/>
      <c r="N1678" s="372"/>
      <c r="O1678" s="372"/>
      <c r="P1678" s="372"/>
      <c r="Q1678" s="373"/>
      <c r="R1678" s="372"/>
      <c r="S1678" s="373"/>
      <c r="T1678" s="373"/>
      <c r="U1678" s="373"/>
      <c r="V1678" s="373"/>
    </row>
    <row r="1679" spans="1:22" s="373" customFormat="1" ht="45" x14ac:dyDescent="0.2">
      <c r="A1679" s="542" t="s">
        <v>1545</v>
      </c>
      <c r="B1679" s="500" t="s">
        <v>45</v>
      </c>
      <c r="C1679" s="500" t="s">
        <v>1416</v>
      </c>
      <c r="D1679" s="540" t="s">
        <v>1417</v>
      </c>
      <c r="E1679" s="495" t="s">
        <v>15</v>
      </c>
      <c r="F1679" s="426">
        <f>0.5*0.54*20</f>
        <v>5.4</v>
      </c>
      <c r="G1679" s="426">
        <v>65.84</v>
      </c>
      <c r="H1679" s="426">
        <f t="shared" si="101"/>
        <v>83.245256116864439</v>
      </c>
      <c r="I1679" s="448">
        <f t="shared" ref="I1679" si="102">ROUND(F1679*H1679,2)</f>
        <v>449.52</v>
      </c>
      <c r="J1679" s="437"/>
      <c r="K1679" s="372"/>
      <c r="L1679" s="430"/>
      <c r="M1679" s="372"/>
      <c r="N1679" s="372"/>
      <c r="O1679" s="372"/>
      <c r="P1679" s="372"/>
      <c r="R1679" s="372"/>
    </row>
    <row r="1680" spans="1:22" s="457" customFormat="1" x14ac:dyDescent="0.2">
      <c r="A1680" s="542"/>
      <c r="B1680" s="500"/>
      <c r="C1680" s="500"/>
      <c r="D1680" s="540"/>
      <c r="E1680" s="495"/>
      <c r="F1680" s="426"/>
      <c r="G1680" s="426"/>
      <c r="H1680" s="426"/>
      <c r="I1680" s="448"/>
      <c r="J1680" s="437"/>
      <c r="K1680" s="456"/>
      <c r="L1680" s="456"/>
      <c r="M1680" s="456"/>
      <c r="N1680" s="372"/>
      <c r="O1680" s="372"/>
      <c r="P1680" s="372"/>
      <c r="Q1680" s="373"/>
      <c r="R1680" s="372"/>
      <c r="S1680" s="373"/>
      <c r="T1680" s="373"/>
      <c r="U1680" s="373"/>
      <c r="V1680" s="373"/>
    </row>
    <row r="1681" spans="1:22" s="457" customFormat="1" x14ac:dyDescent="0.2">
      <c r="A1681" s="542"/>
      <c r="B1681" s="500"/>
      <c r="C1681" s="500"/>
      <c r="D1681" s="540" t="s">
        <v>2599</v>
      </c>
      <c r="E1681" s="495"/>
      <c r="F1681" s="426"/>
      <c r="G1681" s="426"/>
      <c r="H1681" s="426"/>
      <c r="I1681" s="448"/>
      <c r="J1681" s="437"/>
      <c r="K1681" s="456"/>
      <c r="L1681" s="456"/>
      <c r="M1681" s="456"/>
      <c r="N1681" s="372"/>
      <c r="O1681" s="372"/>
      <c r="P1681" s="372"/>
      <c r="Q1681" s="373"/>
      <c r="R1681" s="372"/>
      <c r="S1681" s="373"/>
      <c r="T1681" s="373"/>
      <c r="U1681" s="373"/>
      <c r="V1681" s="373"/>
    </row>
    <row r="1682" spans="1:22" s="457" customFormat="1" x14ac:dyDescent="0.2">
      <c r="A1682" s="542"/>
      <c r="B1682" s="500"/>
      <c r="C1682" s="500"/>
      <c r="D1682" s="540"/>
      <c r="E1682" s="495"/>
      <c r="F1682" s="426"/>
      <c r="G1682" s="426"/>
      <c r="H1682" s="426"/>
      <c r="I1682" s="448"/>
      <c r="J1682" s="437"/>
      <c r="K1682" s="456"/>
      <c r="L1682" s="456"/>
      <c r="M1682" s="456"/>
      <c r="N1682" s="372"/>
      <c r="O1682" s="372"/>
      <c r="P1682" s="372"/>
      <c r="Q1682" s="373"/>
      <c r="R1682" s="372"/>
      <c r="S1682" s="373"/>
      <c r="T1682" s="373"/>
      <c r="U1682" s="373"/>
      <c r="V1682" s="373"/>
    </row>
    <row r="1683" spans="1:22" s="373" customFormat="1" ht="30" customHeight="1" x14ac:dyDescent="0.2">
      <c r="A1683" s="542" t="s">
        <v>1546</v>
      </c>
      <c r="B1683" s="500" t="s">
        <v>45</v>
      </c>
      <c r="C1683" s="500">
        <v>87457</v>
      </c>
      <c r="D1683" s="540" t="s">
        <v>1821</v>
      </c>
      <c r="E1683" s="495" t="s">
        <v>15</v>
      </c>
      <c r="F1683" s="426">
        <f>10.2*2*2*0.67</f>
        <v>27.335999999999999</v>
      </c>
      <c r="G1683" s="426">
        <v>65.55</v>
      </c>
      <c r="H1683" s="426">
        <f t="shared" si="101"/>
        <v>82.878592625462687</v>
      </c>
      <c r="I1683" s="448">
        <f t="shared" ref="I1683" si="103">ROUND(F1683*H1683,2)</f>
        <v>2265.5700000000002</v>
      </c>
      <c r="J1683" s="437"/>
      <c r="K1683" s="372"/>
      <c r="L1683" s="430"/>
      <c r="M1683" s="372"/>
      <c r="N1683" s="372"/>
      <c r="O1683" s="372"/>
      <c r="P1683" s="372"/>
      <c r="R1683" s="372"/>
    </row>
    <row r="1684" spans="1:22" s="457" customFormat="1" x14ac:dyDescent="0.2">
      <c r="A1684" s="542"/>
      <c r="B1684" s="500"/>
      <c r="C1684" s="500"/>
      <c r="D1684" s="540"/>
      <c r="E1684" s="495"/>
      <c r="F1684" s="426"/>
      <c r="G1684" s="426"/>
      <c r="H1684" s="426"/>
      <c r="I1684" s="448"/>
      <c r="J1684" s="437"/>
      <c r="K1684" s="456"/>
      <c r="L1684" s="456"/>
      <c r="M1684" s="456"/>
      <c r="N1684" s="372"/>
      <c r="O1684" s="372"/>
      <c r="P1684" s="372"/>
      <c r="Q1684" s="373"/>
      <c r="R1684" s="372"/>
      <c r="S1684" s="373"/>
      <c r="T1684" s="373"/>
      <c r="U1684" s="373"/>
      <c r="V1684" s="373"/>
    </row>
    <row r="1685" spans="1:22" s="457" customFormat="1" x14ac:dyDescent="0.2">
      <c r="A1685" s="542"/>
      <c r="B1685" s="500"/>
      <c r="C1685" s="500"/>
      <c r="D1685" s="540" t="s">
        <v>2600</v>
      </c>
      <c r="E1685" s="495"/>
      <c r="F1685" s="426"/>
      <c r="G1685" s="426"/>
      <c r="H1685" s="426"/>
      <c r="I1685" s="448"/>
      <c r="J1685" s="437"/>
      <c r="K1685" s="456"/>
      <c r="L1685" s="456"/>
      <c r="M1685" s="456"/>
      <c r="N1685" s="372"/>
      <c r="O1685" s="372"/>
      <c r="P1685" s="372"/>
      <c r="Q1685" s="373"/>
      <c r="R1685" s="372"/>
      <c r="S1685" s="373"/>
      <c r="T1685" s="373"/>
      <c r="U1685" s="373"/>
      <c r="V1685" s="373"/>
    </row>
    <row r="1686" spans="1:22" s="457" customFormat="1" x14ac:dyDescent="0.2">
      <c r="A1686" s="542"/>
      <c r="B1686" s="500"/>
      <c r="C1686" s="500"/>
      <c r="D1686" s="540"/>
      <c r="E1686" s="495"/>
      <c r="F1686" s="426"/>
      <c r="G1686" s="426"/>
      <c r="H1686" s="426"/>
      <c r="I1686" s="448"/>
      <c r="J1686" s="437"/>
      <c r="K1686" s="456"/>
      <c r="L1686" s="456"/>
      <c r="M1686" s="456"/>
      <c r="N1686" s="372"/>
      <c r="O1686" s="372"/>
      <c r="P1686" s="372"/>
      <c r="Q1686" s="373"/>
      <c r="R1686" s="372"/>
      <c r="S1686" s="373"/>
      <c r="T1686" s="373"/>
      <c r="U1686" s="373"/>
      <c r="V1686" s="373"/>
    </row>
    <row r="1687" spans="1:22" s="373" customFormat="1" ht="45" x14ac:dyDescent="0.2">
      <c r="A1687" s="542" t="s">
        <v>1547</v>
      </c>
      <c r="B1687" s="500" t="s">
        <v>45</v>
      </c>
      <c r="C1687" s="506">
        <v>87449</v>
      </c>
      <c r="D1687" s="549" t="s">
        <v>424</v>
      </c>
      <c r="E1687" s="495" t="s">
        <v>15</v>
      </c>
      <c r="F1687" s="426">
        <f>65*2.4*2</f>
        <v>312</v>
      </c>
      <c r="G1687" s="426">
        <v>58.15</v>
      </c>
      <c r="H1687" s="426">
        <f t="shared" si="101"/>
        <v>73.522351810383753</v>
      </c>
      <c r="I1687" s="448">
        <f t="shared" si="98"/>
        <v>22938.97</v>
      </c>
      <c r="J1687" s="437"/>
      <c r="K1687" s="372"/>
      <c r="L1687" s="430"/>
      <c r="M1687" s="372"/>
      <c r="N1687" s="372"/>
      <c r="O1687" s="372"/>
      <c r="P1687" s="372"/>
      <c r="R1687" s="372"/>
    </row>
    <row r="1688" spans="1:22" s="457" customFormat="1" x14ac:dyDescent="0.2">
      <c r="A1688" s="542"/>
      <c r="B1688" s="500"/>
      <c r="C1688" s="500"/>
      <c r="D1688" s="540"/>
      <c r="E1688" s="495"/>
      <c r="F1688" s="426"/>
      <c r="G1688" s="426"/>
      <c r="H1688" s="426"/>
      <c r="I1688" s="448"/>
      <c r="J1688" s="437"/>
      <c r="K1688" s="456"/>
      <c r="L1688" s="456"/>
      <c r="M1688" s="456"/>
      <c r="N1688" s="372"/>
      <c r="O1688" s="372"/>
      <c r="P1688" s="372"/>
      <c r="Q1688" s="373"/>
      <c r="R1688" s="372"/>
      <c r="S1688" s="373"/>
      <c r="T1688" s="373"/>
      <c r="U1688" s="373"/>
      <c r="V1688" s="373"/>
    </row>
    <row r="1689" spans="1:22" s="457" customFormat="1" x14ac:dyDescent="0.2">
      <c r="A1689" s="542"/>
      <c r="B1689" s="500"/>
      <c r="C1689" s="500"/>
      <c r="D1689" s="540" t="s">
        <v>2601</v>
      </c>
      <c r="E1689" s="495"/>
      <c r="F1689" s="426"/>
      <c r="G1689" s="426"/>
      <c r="H1689" s="426"/>
      <c r="I1689" s="448"/>
      <c r="J1689" s="437"/>
      <c r="K1689" s="456"/>
      <c r="L1689" s="456"/>
      <c r="M1689" s="456"/>
      <c r="N1689" s="372"/>
      <c r="O1689" s="372"/>
      <c r="P1689" s="372"/>
      <c r="Q1689" s="373"/>
      <c r="R1689" s="372"/>
      <c r="S1689" s="373"/>
      <c r="T1689" s="373"/>
      <c r="U1689" s="373"/>
      <c r="V1689" s="373"/>
    </row>
    <row r="1690" spans="1:22" s="457" customFormat="1" x14ac:dyDescent="0.2">
      <c r="A1690" s="542"/>
      <c r="B1690" s="500"/>
      <c r="C1690" s="500"/>
      <c r="D1690" s="540"/>
      <c r="E1690" s="495"/>
      <c r="F1690" s="426"/>
      <c r="G1690" s="426"/>
      <c r="H1690" s="426"/>
      <c r="I1690" s="448"/>
      <c r="J1690" s="437"/>
      <c r="K1690" s="456"/>
      <c r="L1690" s="456"/>
      <c r="M1690" s="456"/>
      <c r="N1690" s="372"/>
      <c r="O1690" s="372"/>
      <c r="P1690" s="372"/>
      <c r="Q1690" s="373"/>
      <c r="R1690" s="372"/>
      <c r="S1690" s="373"/>
      <c r="T1690" s="373"/>
      <c r="U1690" s="373"/>
      <c r="V1690" s="373"/>
    </row>
    <row r="1691" spans="1:22" s="373" customFormat="1" x14ac:dyDescent="0.2">
      <c r="A1691" s="542" t="s">
        <v>1820</v>
      </c>
      <c r="B1691" s="506" t="s">
        <v>45</v>
      </c>
      <c r="C1691" s="506">
        <v>83683</v>
      </c>
      <c r="D1691" s="554" t="s">
        <v>853</v>
      </c>
      <c r="E1691" s="494" t="s">
        <v>16</v>
      </c>
      <c r="F1691" s="426">
        <f>15*8.25*4*0.55</f>
        <v>272.25</v>
      </c>
      <c r="G1691" s="426">
        <v>104.94</v>
      </c>
      <c r="H1691" s="426">
        <f t="shared" si="101"/>
        <v>132.68160961275444</v>
      </c>
      <c r="I1691" s="448">
        <f t="shared" si="98"/>
        <v>36122.57</v>
      </c>
      <c r="J1691" s="437"/>
      <c r="K1691" s="372"/>
      <c r="L1691" s="430"/>
      <c r="M1691" s="372"/>
      <c r="N1691" s="372"/>
      <c r="O1691" s="372"/>
      <c r="P1691" s="372"/>
      <c r="R1691" s="372"/>
    </row>
    <row r="1692" spans="1:22" s="457" customFormat="1" x14ac:dyDescent="0.2">
      <c r="A1692" s="542"/>
      <c r="B1692" s="500"/>
      <c r="C1692" s="500"/>
      <c r="D1692" s="540"/>
      <c r="E1692" s="495"/>
      <c r="F1692" s="426"/>
      <c r="G1692" s="426"/>
      <c r="H1692" s="426"/>
      <c r="I1692" s="448"/>
      <c r="J1692" s="437"/>
      <c r="K1692" s="456"/>
      <c r="L1692" s="456"/>
      <c r="M1692" s="456"/>
      <c r="N1692" s="372"/>
      <c r="O1692" s="372"/>
      <c r="P1692" s="372"/>
      <c r="Q1692" s="373"/>
      <c r="R1692" s="372"/>
      <c r="S1692" s="373"/>
      <c r="T1692" s="373"/>
      <c r="U1692" s="373"/>
      <c r="V1692" s="373"/>
    </row>
    <row r="1693" spans="1:22" s="457" customFormat="1" x14ac:dyDescent="0.2">
      <c r="A1693" s="542"/>
      <c r="B1693" s="500"/>
      <c r="C1693" s="500"/>
      <c r="D1693" s="540" t="s">
        <v>2602</v>
      </c>
      <c r="E1693" s="495"/>
      <c r="F1693" s="426"/>
      <c r="G1693" s="426"/>
      <c r="H1693" s="426"/>
      <c r="I1693" s="448"/>
      <c r="J1693" s="437"/>
      <c r="K1693" s="456"/>
      <c r="L1693" s="456"/>
      <c r="M1693" s="456"/>
      <c r="N1693" s="372"/>
      <c r="O1693" s="372"/>
      <c r="P1693" s="372"/>
      <c r="Q1693" s="373"/>
      <c r="R1693" s="372"/>
      <c r="S1693" s="373"/>
      <c r="T1693" s="373"/>
      <c r="U1693" s="373"/>
      <c r="V1693" s="373"/>
    </row>
    <row r="1694" spans="1:22" s="457" customFormat="1" x14ac:dyDescent="0.2">
      <c r="A1694" s="542"/>
      <c r="B1694" s="500"/>
      <c r="C1694" s="500"/>
      <c r="D1694" s="540"/>
      <c r="E1694" s="495"/>
      <c r="F1694" s="426"/>
      <c r="G1694" s="426"/>
      <c r="H1694" s="426"/>
      <c r="I1694" s="448"/>
      <c r="J1694" s="437"/>
      <c r="K1694" s="456"/>
      <c r="L1694" s="456"/>
      <c r="M1694" s="456"/>
      <c r="N1694" s="372"/>
      <c r="O1694" s="372"/>
      <c r="P1694" s="372"/>
      <c r="Q1694" s="373"/>
      <c r="R1694" s="372"/>
      <c r="S1694" s="373"/>
      <c r="T1694" s="373"/>
      <c r="U1694" s="373"/>
      <c r="V1694" s="373"/>
    </row>
    <row r="1695" spans="1:22" s="373" customFormat="1" x14ac:dyDescent="0.2">
      <c r="A1695" s="542" t="s">
        <v>2580</v>
      </c>
      <c r="B1695" s="506" t="s">
        <v>45</v>
      </c>
      <c r="C1695" s="506" t="s">
        <v>89</v>
      </c>
      <c r="D1695" s="554" t="s">
        <v>1</v>
      </c>
      <c r="E1695" s="494" t="s">
        <v>16</v>
      </c>
      <c r="F1695" s="426">
        <f>15*8.25*4*0.3</f>
        <v>148.5</v>
      </c>
      <c r="G1695" s="426">
        <v>75.55</v>
      </c>
      <c r="H1695" s="426">
        <f t="shared" si="101"/>
        <v>95.522161294488271</v>
      </c>
      <c r="I1695" s="448">
        <f t="shared" si="98"/>
        <v>14185.04</v>
      </c>
      <c r="J1695" s="437"/>
      <c r="K1695" s="372"/>
      <c r="L1695" s="430"/>
      <c r="M1695" s="372"/>
      <c r="N1695" s="372"/>
      <c r="O1695" s="372"/>
      <c r="P1695" s="372"/>
      <c r="R1695" s="372"/>
    </row>
    <row r="1696" spans="1:22" s="457" customFormat="1" x14ac:dyDescent="0.2">
      <c r="A1696" s="542"/>
      <c r="B1696" s="500"/>
      <c r="C1696" s="500"/>
      <c r="D1696" s="540"/>
      <c r="E1696" s="495"/>
      <c r="F1696" s="426"/>
      <c r="G1696" s="426"/>
      <c r="H1696" s="426"/>
      <c r="I1696" s="448"/>
      <c r="J1696" s="437"/>
      <c r="K1696" s="456"/>
      <c r="L1696" s="456"/>
      <c r="M1696" s="456"/>
      <c r="N1696" s="372"/>
      <c r="O1696" s="372"/>
      <c r="P1696" s="372"/>
      <c r="Q1696" s="373"/>
      <c r="R1696" s="372"/>
      <c r="S1696" s="373"/>
      <c r="T1696" s="373"/>
      <c r="U1696" s="373"/>
      <c r="V1696" s="373"/>
    </row>
    <row r="1697" spans="1:63" s="457" customFormat="1" x14ac:dyDescent="0.2">
      <c r="A1697" s="542"/>
      <c r="B1697" s="500"/>
      <c r="C1697" s="500"/>
      <c r="D1697" s="540" t="s">
        <v>2603</v>
      </c>
      <c r="E1697" s="495"/>
      <c r="F1697" s="426"/>
      <c r="G1697" s="426"/>
      <c r="H1697" s="426"/>
      <c r="I1697" s="448"/>
      <c r="J1697" s="437"/>
      <c r="K1697" s="456"/>
      <c r="L1697" s="456"/>
      <c r="M1697" s="456"/>
      <c r="N1697" s="372"/>
      <c r="O1697" s="372"/>
      <c r="P1697" s="372"/>
      <c r="Q1697" s="373"/>
      <c r="R1697" s="372"/>
      <c r="S1697" s="373"/>
      <c r="T1697" s="373"/>
      <c r="U1697" s="373"/>
      <c r="V1697" s="373"/>
    </row>
    <row r="1698" spans="1:63" s="457" customFormat="1" x14ac:dyDescent="0.2">
      <c r="A1698" s="542"/>
      <c r="B1698" s="500"/>
      <c r="C1698" s="500"/>
      <c r="D1698" s="540"/>
      <c r="E1698" s="495"/>
      <c r="F1698" s="426"/>
      <c r="G1698" s="426"/>
      <c r="H1698" s="426"/>
      <c r="I1698" s="448"/>
      <c r="J1698" s="437"/>
      <c r="K1698" s="456"/>
      <c r="L1698" s="456"/>
      <c r="M1698" s="456"/>
      <c r="N1698" s="372"/>
      <c r="O1698" s="372"/>
      <c r="P1698" s="372"/>
      <c r="Q1698" s="373"/>
      <c r="R1698" s="372"/>
      <c r="S1698" s="373"/>
      <c r="T1698" s="373"/>
      <c r="U1698" s="373"/>
      <c r="V1698" s="373"/>
    </row>
    <row r="1699" spans="1:63" s="373" customFormat="1" x14ac:dyDescent="0.2">
      <c r="A1699" s="542" t="s">
        <v>2581</v>
      </c>
      <c r="B1699" s="500" t="s">
        <v>335</v>
      </c>
      <c r="C1699" s="500" t="s">
        <v>444</v>
      </c>
      <c r="D1699" s="540" t="str">
        <f>COMPOSIÇÕES!D551</f>
        <v>ASSENTAMENTO DE TIJOLOS MACIÇOS REQUEIMADOS COM JUNTAS DE 3cm COM AREIA</v>
      </c>
      <c r="E1699" s="495" t="s">
        <v>18</v>
      </c>
      <c r="F1699" s="426">
        <v>1</v>
      </c>
      <c r="G1699" s="426">
        <f>COMPOSIÇÕES!I551</f>
        <v>8492.24</v>
      </c>
      <c r="H1699" s="426">
        <f t="shared" si="101"/>
        <v>10737.22195938458</v>
      </c>
      <c r="I1699" s="448">
        <f t="shared" si="98"/>
        <v>10737.22</v>
      </c>
      <c r="J1699" s="437"/>
      <c r="K1699" s="372"/>
      <c r="L1699" s="430"/>
      <c r="M1699" s="372"/>
      <c r="N1699" s="372"/>
      <c r="O1699" s="372"/>
      <c r="P1699" s="372"/>
      <c r="R1699" s="372"/>
    </row>
    <row r="1700" spans="1:63" s="457" customFormat="1" x14ac:dyDescent="0.2">
      <c r="A1700" s="542"/>
      <c r="B1700" s="500"/>
      <c r="C1700" s="500"/>
      <c r="D1700" s="540"/>
      <c r="E1700" s="495"/>
      <c r="F1700" s="426"/>
      <c r="G1700" s="426"/>
      <c r="H1700" s="426"/>
      <c r="I1700" s="448"/>
      <c r="J1700" s="437"/>
      <c r="K1700" s="456"/>
      <c r="L1700" s="456"/>
      <c r="M1700" s="456"/>
      <c r="N1700" s="372"/>
      <c r="O1700" s="372"/>
      <c r="P1700" s="372"/>
      <c r="Q1700" s="373"/>
      <c r="R1700" s="372"/>
      <c r="S1700" s="373"/>
      <c r="T1700" s="373"/>
      <c r="U1700" s="373"/>
      <c r="V1700" s="373"/>
    </row>
    <row r="1701" spans="1:63" s="457" customFormat="1" x14ac:dyDescent="0.2">
      <c r="A1701" s="542"/>
      <c r="B1701" s="500"/>
      <c r="C1701" s="500"/>
      <c r="D1701" s="554" t="s">
        <v>2604</v>
      </c>
      <c r="E1701" s="495"/>
      <c r="F1701" s="426"/>
      <c r="G1701" s="426"/>
      <c r="H1701" s="426"/>
      <c r="I1701" s="448"/>
      <c r="J1701" s="437"/>
      <c r="K1701" s="456"/>
      <c r="L1701" s="456"/>
      <c r="M1701" s="456"/>
      <c r="N1701" s="372"/>
      <c r="O1701" s="372"/>
      <c r="P1701" s="372"/>
      <c r="Q1701" s="373"/>
      <c r="R1701" s="372"/>
      <c r="S1701" s="373"/>
      <c r="T1701" s="373"/>
      <c r="U1701" s="373"/>
      <c r="V1701" s="373"/>
    </row>
    <row r="1702" spans="1:63" s="457" customFormat="1" x14ac:dyDescent="0.2">
      <c r="A1702" s="542"/>
      <c r="B1702" s="500"/>
      <c r="C1702" s="500"/>
      <c r="D1702" s="540"/>
      <c r="E1702" s="495"/>
      <c r="F1702" s="426"/>
      <c r="G1702" s="426"/>
      <c r="H1702" s="426"/>
      <c r="I1702" s="448"/>
      <c r="J1702" s="437"/>
      <c r="K1702" s="456"/>
      <c r="L1702" s="456"/>
      <c r="M1702" s="456"/>
      <c r="N1702" s="372"/>
      <c r="O1702" s="372"/>
      <c r="P1702" s="372"/>
      <c r="Q1702" s="373"/>
      <c r="R1702" s="372"/>
      <c r="S1702" s="373"/>
      <c r="T1702" s="373"/>
      <c r="U1702" s="373"/>
      <c r="V1702" s="373"/>
    </row>
    <row r="1703" spans="1:63" s="373" customFormat="1" ht="30" x14ac:dyDescent="0.2">
      <c r="A1703" s="542" t="s">
        <v>2582</v>
      </c>
      <c r="B1703" s="500" t="s">
        <v>335</v>
      </c>
      <c r="C1703" s="500" t="s">
        <v>698</v>
      </c>
      <c r="D1703" s="540" t="s">
        <v>190</v>
      </c>
      <c r="E1703" s="495" t="s">
        <v>18</v>
      </c>
      <c r="F1703" s="426">
        <v>8</v>
      </c>
      <c r="G1703" s="426">
        <f>COMPOSIÇÕES!I557</f>
        <v>180.93</v>
      </c>
      <c r="H1703" s="426">
        <f t="shared" si="101"/>
        <v>228.76008792867987</v>
      </c>
      <c r="I1703" s="448">
        <f t="shared" si="98"/>
        <v>1830.08</v>
      </c>
      <c r="J1703" s="437"/>
      <c r="K1703" s="372"/>
      <c r="L1703" s="430"/>
      <c r="M1703" s="372"/>
      <c r="N1703" s="372"/>
      <c r="O1703" s="372"/>
      <c r="P1703" s="372"/>
      <c r="R1703" s="372"/>
    </row>
    <row r="1704" spans="1:63" s="457" customFormat="1" x14ac:dyDescent="0.2">
      <c r="A1704" s="542"/>
      <c r="B1704" s="500"/>
      <c r="C1704" s="500"/>
      <c r="D1704" s="540"/>
      <c r="E1704" s="495"/>
      <c r="F1704" s="426"/>
      <c r="G1704" s="426"/>
      <c r="H1704" s="426"/>
      <c r="I1704" s="448"/>
      <c r="J1704" s="437"/>
      <c r="K1704" s="456"/>
      <c r="L1704" s="456"/>
      <c r="M1704" s="456"/>
      <c r="N1704" s="372"/>
      <c r="O1704" s="372"/>
      <c r="P1704" s="372"/>
      <c r="Q1704" s="373"/>
      <c r="R1704" s="372"/>
      <c r="S1704" s="373"/>
      <c r="T1704" s="373"/>
      <c r="U1704" s="373"/>
      <c r="V1704" s="373"/>
    </row>
    <row r="1705" spans="1:63" s="457" customFormat="1" x14ac:dyDescent="0.2">
      <c r="A1705" s="542"/>
      <c r="B1705" s="500"/>
      <c r="C1705" s="500"/>
      <c r="D1705" s="554" t="s">
        <v>2605</v>
      </c>
      <c r="E1705" s="495"/>
      <c r="F1705" s="426"/>
      <c r="G1705" s="426"/>
      <c r="H1705" s="426"/>
      <c r="I1705" s="448"/>
      <c r="J1705" s="437"/>
      <c r="K1705" s="456"/>
      <c r="L1705" s="456"/>
      <c r="M1705" s="456"/>
      <c r="N1705" s="372"/>
      <c r="O1705" s="372"/>
      <c r="P1705" s="372"/>
      <c r="Q1705" s="373"/>
      <c r="R1705" s="372"/>
      <c r="S1705" s="373"/>
      <c r="T1705" s="373"/>
      <c r="U1705" s="373"/>
      <c r="V1705" s="373"/>
    </row>
    <row r="1706" spans="1:63" s="457" customFormat="1" x14ac:dyDescent="0.2">
      <c r="A1706" s="542"/>
      <c r="B1706" s="500"/>
      <c r="C1706" s="500"/>
      <c r="D1706" s="540"/>
      <c r="E1706" s="495"/>
      <c r="F1706" s="426"/>
      <c r="G1706" s="426"/>
      <c r="H1706" s="426"/>
      <c r="I1706" s="448"/>
      <c r="J1706" s="437"/>
      <c r="K1706" s="456"/>
      <c r="L1706" s="456"/>
      <c r="M1706" s="456"/>
      <c r="N1706" s="372"/>
      <c r="O1706" s="372"/>
      <c r="P1706" s="372"/>
      <c r="Q1706" s="373"/>
      <c r="R1706" s="372"/>
      <c r="S1706" s="373"/>
      <c r="T1706" s="373"/>
      <c r="U1706" s="373"/>
      <c r="V1706" s="373"/>
    </row>
    <row r="1707" spans="1:63" s="373" customFormat="1" ht="20.25" customHeight="1" x14ac:dyDescent="0.2">
      <c r="A1707" s="542" t="s">
        <v>2583</v>
      </c>
      <c r="B1707" s="506" t="s">
        <v>335</v>
      </c>
      <c r="C1707" s="500" t="s">
        <v>708</v>
      </c>
      <c r="D1707" s="554" t="s">
        <v>1419</v>
      </c>
      <c r="E1707" s="494" t="s">
        <v>19</v>
      </c>
      <c r="F1707" s="426">
        <v>2</v>
      </c>
      <c r="G1707" s="426">
        <f>COMPOSIÇÕES!I563</f>
        <v>13249.76</v>
      </c>
      <c r="H1707" s="426">
        <f>G1707*(1+$K$16)</f>
        <v>15475.771783926379</v>
      </c>
      <c r="I1707" s="448">
        <f t="shared" si="98"/>
        <v>30951.54</v>
      </c>
      <c r="J1707" s="437"/>
      <c r="K1707" s="372"/>
      <c r="L1707" s="430"/>
      <c r="M1707" s="372"/>
      <c r="N1707" s="372"/>
      <c r="O1707" s="372"/>
      <c r="P1707" s="372"/>
      <c r="R1707" s="372"/>
    </row>
    <row r="1708" spans="1:63" s="457" customFormat="1" x14ac:dyDescent="0.2">
      <c r="A1708" s="542"/>
      <c r="B1708" s="500"/>
      <c r="C1708" s="500"/>
      <c r="D1708" s="540"/>
      <c r="E1708" s="495"/>
      <c r="F1708" s="426"/>
      <c r="G1708" s="426"/>
      <c r="H1708" s="426"/>
      <c r="I1708" s="448"/>
      <c r="J1708" s="437"/>
      <c r="K1708" s="456"/>
      <c r="L1708" s="456"/>
      <c r="M1708" s="456"/>
      <c r="N1708" s="372"/>
      <c r="O1708" s="372"/>
      <c r="P1708" s="372"/>
      <c r="Q1708" s="373"/>
      <c r="R1708" s="372"/>
      <c r="S1708" s="373"/>
      <c r="T1708" s="373"/>
      <c r="U1708" s="373"/>
      <c r="V1708" s="373"/>
    </row>
    <row r="1709" spans="1:63" s="457" customFormat="1" x14ac:dyDescent="0.2">
      <c r="A1709" s="542"/>
      <c r="B1709" s="500"/>
      <c r="C1709" s="500"/>
      <c r="D1709" s="554" t="s">
        <v>2606</v>
      </c>
      <c r="E1709" s="495"/>
      <c r="F1709" s="426"/>
      <c r="G1709" s="426"/>
      <c r="H1709" s="426"/>
      <c r="I1709" s="448"/>
      <c r="J1709" s="437"/>
      <c r="K1709" s="456"/>
      <c r="L1709" s="456"/>
      <c r="M1709" s="456"/>
      <c r="N1709" s="372"/>
      <c r="O1709" s="372"/>
      <c r="P1709" s="372"/>
      <c r="Q1709" s="373"/>
      <c r="R1709" s="372"/>
      <c r="S1709" s="373"/>
      <c r="T1709" s="373"/>
      <c r="U1709" s="373"/>
      <c r="V1709" s="373"/>
    </row>
    <row r="1710" spans="1:63" s="457" customFormat="1" x14ac:dyDescent="0.2">
      <c r="A1710" s="542"/>
      <c r="B1710" s="500"/>
      <c r="C1710" s="500"/>
      <c r="D1710" s="540"/>
      <c r="E1710" s="495"/>
      <c r="F1710" s="426"/>
      <c r="G1710" s="426"/>
      <c r="H1710" s="426"/>
      <c r="I1710" s="448"/>
      <c r="J1710" s="437"/>
      <c r="K1710" s="456"/>
      <c r="L1710" s="456"/>
      <c r="M1710" s="456"/>
      <c r="N1710" s="372"/>
      <c r="O1710" s="372"/>
      <c r="P1710" s="372"/>
      <c r="Q1710" s="373"/>
      <c r="R1710" s="372"/>
      <c r="S1710" s="373"/>
      <c r="T1710" s="373"/>
      <c r="U1710" s="373"/>
      <c r="V1710" s="373"/>
    </row>
    <row r="1711" spans="1:63" s="478" customFormat="1" ht="30" customHeight="1" x14ac:dyDescent="0.2">
      <c r="A1711" s="558" t="s">
        <v>327</v>
      </c>
      <c r="B1711" s="501"/>
      <c r="C1711" s="501"/>
      <c r="D1711" s="545" t="s">
        <v>73</v>
      </c>
      <c r="E1711" s="491"/>
      <c r="F1711" s="404"/>
      <c r="G1711" s="405"/>
      <c r="H1711" s="406"/>
      <c r="I1711" s="407" t="e">
        <f>SUM(I1712:I1828)</f>
        <v>#REF!</v>
      </c>
      <c r="J1711" s="429"/>
      <c r="K1711" s="456"/>
      <c r="L1711" s="456"/>
      <c r="M1711" s="456"/>
      <c r="N1711" s="372"/>
      <c r="O1711" s="372"/>
      <c r="P1711" s="372"/>
      <c r="Q1711" s="373"/>
      <c r="R1711" s="372"/>
      <c r="S1711" s="373"/>
      <c r="T1711" s="373"/>
      <c r="U1711" s="373"/>
      <c r="V1711" s="373"/>
      <c r="W1711" s="457"/>
      <c r="X1711" s="457"/>
      <c r="Y1711" s="457"/>
      <c r="Z1711" s="457"/>
      <c r="AA1711" s="457"/>
      <c r="AB1711" s="457"/>
      <c r="AC1711" s="457"/>
      <c r="AD1711" s="457"/>
      <c r="AE1711" s="457"/>
      <c r="AF1711" s="457"/>
      <c r="AG1711" s="457"/>
      <c r="AH1711" s="457"/>
      <c r="AI1711" s="457"/>
      <c r="AJ1711" s="457"/>
      <c r="AK1711" s="457"/>
      <c r="AL1711" s="457"/>
      <c r="AM1711" s="457"/>
      <c r="AN1711" s="457"/>
      <c r="AO1711" s="457"/>
      <c r="AP1711" s="457"/>
      <c r="AQ1711" s="457"/>
      <c r="AR1711" s="457"/>
      <c r="AS1711" s="457"/>
      <c r="AT1711" s="457"/>
      <c r="AU1711" s="457"/>
      <c r="AV1711" s="457"/>
      <c r="AW1711" s="457"/>
      <c r="AX1711" s="457"/>
      <c r="AY1711" s="457"/>
      <c r="AZ1711" s="457"/>
      <c r="BA1711" s="457"/>
      <c r="BB1711" s="457"/>
      <c r="BC1711" s="457"/>
      <c r="BD1711" s="457"/>
      <c r="BE1711" s="457"/>
      <c r="BF1711" s="457"/>
      <c r="BG1711" s="457"/>
      <c r="BH1711" s="457"/>
      <c r="BI1711" s="457"/>
      <c r="BJ1711" s="457"/>
      <c r="BK1711" s="457"/>
    </row>
    <row r="1712" spans="1:63" s="457" customFormat="1" ht="30" x14ac:dyDescent="0.2">
      <c r="A1712" s="542" t="s">
        <v>1192</v>
      </c>
      <c r="B1712" s="500" t="s">
        <v>45</v>
      </c>
      <c r="C1712" s="506" t="s">
        <v>730</v>
      </c>
      <c r="D1712" s="554" t="s">
        <v>731</v>
      </c>
      <c r="E1712" s="495" t="s">
        <v>15</v>
      </c>
      <c r="F1712" s="426">
        <v>151.29</v>
      </c>
      <c r="G1712" s="426">
        <v>8.3000000000000007</v>
      </c>
      <c r="H1712" s="426">
        <f t="shared" ref="H1712:H1744" si="104">G1712*(1+$L$16)</f>
        <v>10.494161995291234</v>
      </c>
      <c r="I1712" s="448">
        <f>ROUND(F1712*H1712,2)</f>
        <v>1587.66</v>
      </c>
      <c r="J1712" s="437"/>
      <c r="K1712" s="456"/>
      <c r="L1712" s="456"/>
      <c r="M1712" s="456"/>
      <c r="N1712" s="372"/>
      <c r="O1712" s="372"/>
      <c r="P1712" s="372"/>
      <c r="Q1712" s="373"/>
      <c r="R1712" s="372"/>
      <c r="S1712" s="373"/>
      <c r="T1712" s="373"/>
      <c r="U1712" s="373"/>
      <c r="V1712" s="373"/>
    </row>
    <row r="1713" spans="1:22" s="457" customFormat="1" x14ac:dyDescent="0.2">
      <c r="A1713" s="542"/>
      <c r="B1713" s="500"/>
      <c r="C1713" s="506"/>
      <c r="D1713" s="554"/>
      <c r="E1713" s="495"/>
      <c r="F1713" s="426"/>
      <c r="G1713" s="426"/>
      <c r="H1713" s="426"/>
      <c r="I1713" s="448"/>
      <c r="J1713" s="437"/>
      <c r="K1713" s="456"/>
      <c r="L1713" s="456"/>
      <c r="M1713" s="456"/>
      <c r="N1713" s="372"/>
      <c r="O1713" s="372"/>
      <c r="P1713" s="372"/>
      <c r="Q1713" s="373"/>
      <c r="R1713" s="372"/>
      <c r="S1713" s="373"/>
      <c r="T1713" s="373"/>
      <c r="U1713" s="373"/>
      <c r="V1713" s="373"/>
    </row>
    <row r="1714" spans="1:22" s="457" customFormat="1" x14ac:dyDescent="0.2">
      <c r="A1714" s="542"/>
      <c r="B1714" s="500"/>
      <c r="C1714" s="506"/>
      <c r="D1714" s="563" t="s">
        <v>2611</v>
      </c>
      <c r="E1714" s="495"/>
      <c r="F1714" s="426"/>
      <c r="G1714" s="426"/>
      <c r="H1714" s="426"/>
      <c r="I1714" s="448"/>
      <c r="J1714" s="437"/>
      <c r="K1714" s="456"/>
      <c r="L1714" s="456"/>
      <c r="M1714" s="456"/>
      <c r="N1714" s="372"/>
      <c r="O1714" s="372"/>
      <c r="P1714" s="372"/>
      <c r="Q1714" s="373"/>
      <c r="R1714" s="372"/>
      <c r="S1714" s="373"/>
      <c r="T1714" s="373"/>
      <c r="U1714" s="373"/>
      <c r="V1714" s="373"/>
    </row>
    <row r="1715" spans="1:22" s="457" customFormat="1" x14ac:dyDescent="0.2">
      <c r="A1715" s="542"/>
      <c r="B1715" s="500"/>
      <c r="C1715" s="506"/>
      <c r="D1715" s="554"/>
      <c r="E1715" s="495"/>
      <c r="F1715" s="426"/>
      <c r="G1715" s="426"/>
      <c r="H1715" s="426"/>
      <c r="I1715" s="448"/>
      <c r="J1715" s="437"/>
      <c r="K1715" s="456"/>
      <c r="L1715" s="456"/>
      <c r="M1715" s="456"/>
      <c r="N1715" s="372"/>
      <c r="O1715" s="372"/>
      <c r="P1715" s="372"/>
      <c r="Q1715" s="373"/>
      <c r="R1715" s="372"/>
      <c r="S1715" s="373"/>
      <c r="T1715" s="373"/>
      <c r="U1715" s="373"/>
      <c r="V1715" s="373"/>
    </row>
    <row r="1716" spans="1:22" s="373" customFormat="1" ht="30" x14ac:dyDescent="0.2">
      <c r="A1716" s="542" t="s">
        <v>1193</v>
      </c>
      <c r="B1716" s="500" t="s">
        <v>45</v>
      </c>
      <c r="C1716" s="500">
        <v>73672</v>
      </c>
      <c r="D1716" s="540" t="s">
        <v>723</v>
      </c>
      <c r="E1716" s="495" t="s">
        <v>15</v>
      </c>
      <c r="F1716" s="426">
        <v>151.29</v>
      </c>
      <c r="G1716" s="426">
        <v>0.4</v>
      </c>
      <c r="H1716" s="426">
        <f t="shared" si="104"/>
        <v>0.50574274676102327</v>
      </c>
      <c r="I1716" s="448">
        <f t="shared" ref="I1716:I1828" si="105">ROUND(F1716*H1716,2)</f>
        <v>76.510000000000005</v>
      </c>
      <c r="J1716" s="437"/>
      <c r="K1716" s="372"/>
      <c r="L1716" s="430" t="s">
        <v>2612</v>
      </c>
      <c r="M1716" s="372"/>
      <c r="N1716" s="372"/>
      <c r="O1716" s="372"/>
      <c r="P1716" s="372"/>
      <c r="R1716" s="372"/>
    </row>
    <row r="1717" spans="1:22" s="457" customFormat="1" x14ac:dyDescent="0.2">
      <c r="A1717" s="542"/>
      <c r="B1717" s="500"/>
      <c r="C1717" s="506"/>
      <c r="D1717" s="554"/>
      <c r="E1717" s="495"/>
      <c r="F1717" s="426"/>
      <c r="G1717" s="426"/>
      <c r="H1717" s="426"/>
      <c r="I1717" s="448"/>
      <c r="J1717" s="437"/>
      <c r="K1717" s="456"/>
      <c r="L1717" s="456"/>
      <c r="M1717" s="456"/>
      <c r="N1717" s="372"/>
      <c r="O1717" s="372"/>
      <c r="P1717" s="372"/>
      <c r="Q1717" s="373"/>
      <c r="R1717" s="372"/>
      <c r="S1717" s="373"/>
      <c r="T1717" s="373"/>
      <c r="U1717" s="373"/>
      <c r="V1717" s="373"/>
    </row>
    <row r="1718" spans="1:22" s="457" customFormat="1" x14ac:dyDescent="0.2">
      <c r="A1718" s="542"/>
      <c r="B1718" s="500"/>
      <c r="C1718" s="506"/>
      <c r="D1718" s="540" t="s">
        <v>2611</v>
      </c>
      <c r="E1718" s="495"/>
      <c r="F1718" s="426"/>
      <c r="G1718" s="426"/>
      <c r="H1718" s="426"/>
      <c r="I1718" s="448"/>
      <c r="J1718" s="437"/>
      <c r="K1718" s="456"/>
      <c r="L1718" s="456" t="s">
        <v>2611</v>
      </c>
      <c r="M1718" s="456"/>
      <c r="N1718" s="372"/>
      <c r="O1718" s="372"/>
      <c r="P1718" s="372"/>
      <c r="Q1718" s="373"/>
      <c r="R1718" s="372"/>
      <c r="S1718" s="373"/>
      <c r="T1718" s="373"/>
      <c r="U1718" s="373"/>
      <c r="V1718" s="373"/>
    </row>
    <row r="1719" spans="1:22" s="457" customFormat="1" x14ac:dyDescent="0.2">
      <c r="A1719" s="542"/>
      <c r="B1719" s="500"/>
      <c r="C1719" s="506"/>
      <c r="D1719" s="554"/>
      <c r="E1719" s="495"/>
      <c r="F1719" s="426"/>
      <c r="G1719" s="426"/>
      <c r="H1719" s="426"/>
      <c r="I1719" s="448"/>
      <c r="J1719" s="437"/>
      <c r="K1719" s="456"/>
      <c r="L1719" s="456"/>
      <c r="M1719" s="456"/>
      <c r="N1719" s="372"/>
      <c r="O1719" s="372"/>
      <c r="P1719" s="372"/>
      <c r="Q1719" s="373"/>
      <c r="R1719" s="372"/>
      <c r="S1719" s="373"/>
      <c r="T1719" s="373"/>
      <c r="U1719" s="373"/>
      <c r="V1719" s="373"/>
    </row>
    <row r="1720" spans="1:22" s="457" customFormat="1" x14ac:dyDescent="0.2">
      <c r="A1720" s="542" t="s">
        <v>1548</v>
      </c>
      <c r="B1720" s="500" t="s">
        <v>45</v>
      </c>
      <c r="C1720" s="500">
        <v>93358</v>
      </c>
      <c r="D1720" s="540" t="s">
        <v>803</v>
      </c>
      <c r="E1720" s="495" t="s">
        <v>16</v>
      </c>
      <c r="F1720" s="426">
        <v>15</v>
      </c>
      <c r="G1720" s="426">
        <v>65.819999999999993</v>
      </c>
      <c r="H1720" s="426">
        <f t="shared" si="104"/>
        <v>83.219968979526371</v>
      </c>
      <c r="I1720" s="448">
        <f t="shared" si="105"/>
        <v>1248.3</v>
      </c>
      <c r="J1720" s="437"/>
      <c r="K1720" s="456"/>
      <c r="L1720" s="456" t="s">
        <v>2613</v>
      </c>
      <c r="M1720" s="456"/>
      <c r="N1720" s="372"/>
      <c r="O1720" s="372"/>
      <c r="P1720" s="372"/>
      <c r="Q1720" s="373"/>
      <c r="R1720" s="372"/>
      <c r="S1720" s="373"/>
      <c r="T1720" s="373"/>
      <c r="U1720" s="373"/>
      <c r="V1720" s="373"/>
    </row>
    <row r="1721" spans="1:22" s="457" customFormat="1" x14ac:dyDescent="0.2">
      <c r="A1721" s="542"/>
      <c r="B1721" s="500"/>
      <c r="C1721" s="506"/>
      <c r="D1721" s="554"/>
      <c r="E1721" s="495"/>
      <c r="F1721" s="426"/>
      <c r="G1721" s="426"/>
      <c r="H1721" s="426"/>
      <c r="I1721" s="448"/>
      <c r="J1721" s="437"/>
      <c r="K1721" s="456"/>
      <c r="L1721" s="456"/>
      <c r="M1721" s="456"/>
      <c r="N1721" s="372"/>
      <c r="O1721" s="372"/>
      <c r="P1721" s="372"/>
      <c r="Q1721" s="373"/>
      <c r="R1721" s="372"/>
      <c r="S1721" s="373"/>
      <c r="T1721" s="373"/>
      <c r="U1721" s="373"/>
      <c r="V1721" s="373"/>
    </row>
    <row r="1722" spans="1:22" s="457" customFormat="1" x14ac:dyDescent="0.2">
      <c r="A1722" s="542"/>
      <c r="B1722" s="500"/>
      <c r="C1722" s="506"/>
      <c r="D1722" s="540" t="s">
        <v>2615</v>
      </c>
      <c r="E1722" s="495"/>
      <c r="F1722" s="426"/>
      <c r="G1722" s="426"/>
      <c r="H1722" s="426"/>
      <c r="I1722" s="448"/>
      <c r="J1722" s="437"/>
      <c r="K1722" s="456"/>
      <c r="L1722" s="456" t="s">
        <v>2611</v>
      </c>
      <c r="M1722" s="456"/>
      <c r="N1722" s="372"/>
      <c r="O1722" s="372"/>
      <c r="P1722" s="372"/>
      <c r="Q1722" s="373"/>
      <c r="R1722" s="372"/>
      <c r="S1722" s="373"/>
      <c r="T1722" s="373"/>
      <c r="U1722" s="373"/>
      <c r="V1722" s="373"/>
    </row>
    <row r="1723" spans="1:22" s="457" customFormat="1" x14ac:dyDescent="0.2">
      <c r="A1723" s="542"/>
      <c r="B1723" s="500"/>
      <c r="C1723" s="506"/>
      <c r="D1723" s="554"/>
      <c r="E1723" s="495"/>
      <c r="F1723" s="426"/>
      <c r="G1723" s="426"/>
      <c r="H1723" s="426"/>
      <c r="I1723" s="448"/>
      <c r="J1723" s="437"/>
      <c r="K1723" s="456"/>
      <c r="L1723" s="456"/>
      <c r="M1723" s="456"/>
      <c r="N1723" s="372"/>
      <c r="O1723" s="372"/>
      <c r="P1723" s="372"/>
      <c r="Q1723" s="373"/>
      <c r="R1723" s="372"/>
      <c r="S1723" s="373"/>
      <c r="T1723" s="373"/>
      <c r="U1723" s="373"/>
      <c r="V1723" s="373"/>
    </row>
    <row r="1724" spans="1:22" s="457" customFormat="1" ht="30" x14ac:dyDescent="0.2">
      <c r="A1724" s="542" t="s">
        <v>1194</v>
      </c>
      <c r="B1724" s="500" t="s">
        <v>45</v>
      </c>
      <c r="C1724" s="500" t="s">
        <v>63</v>
      </c>
      <c r="D1724" s="540" t="s">
        <v>64</v>
      </c>
      <c r="E1724" s="495" t="s">
        <v>16</v>
      </c>
      <c r="F1724" s="426">
        <v>4</v>
      </c>
      <c r="G1724" s="426">
        <v>4.84</v>
      </c>
      <c r="H1724" s="426">
        <f t="shared" si="104"/>
        <v>6.1194872358083812</v>
      </c>
      <c r="I1724" s="448">
        <f t="shared" si="105"/>
        <v>24.48</v>
      </c>
      <c r="J1724" s="437"/>
      <c r="K1724" s="456"/>
      <c r="L1724" s="456" t="s">
        <v>2614</v>
      </c>
      <c r="M1724" s="456"/>
      <c r="N1724" s="372"/>
      <c r="O1724" s="372"/>
      <c r="P1724" s="372"/>
      <c r="Q1724" s="373"/>
      <c r="R1724" s="372"/>
      <c r="S1724" s="373"/>
      <c r="T1724" s="373"/>
      <c r="U1724" s="373"/>
      <c r="V1724" s="373"/>
    </row>
    <row r="1725" spans="1:22" s="457" customFormat="1" x14ac:dyDescent="0.2">
      <c r="A1725" s="542"/>
      <c r="B1725" s="500"/>
      <c r="C1725" s="506"/>
      <c r="D1725" s="554"/>
      <c r="E1725" s="495"/>
      <c r="F1725" s="426"/>
      <c r="G1725" s="426"/>
      <c r="H1725" s="426"/>
      <c r="I1725" s="448"/>
      <c r="J1725" s="437"/>
      <c r="K1725" s="456"/>
      <c r="L1725" s="456"/>
      <c r="M1725" s="456"/>
      <c r="N1725" s="372"/>
      <c r="O1725" s="372"/>
      <c r="P1725" s="372"/>
      <c r="Q1725" s="373"/>
      <c r="R1725" s="372"/>
      <c r="S1725" s="373"/>
      <c r="T1725" s="373"/>
      <c r="U1725" s="373"/>
      <c r="V1725" s="373"/>
    </row>
    <row r="1726" spans="1:22" s="457" customFormat="1" x14ac:dyDescent="0.2">
      <c r="A1726" s="550"/>
      <c r="B1726" s="551"/>
      <c r="C1726" s="551"/>
      <c r="D1726" s="552" t="s">
        <v>2616</v>
      </c>
      <c r="E1726" s="495"/>
      <c r="F1726" s="426"/>
      <c r="G1726" s="426"/>
      <c r="H1726" s="426"/>
      <c r="I1726" s="448"/>
      <c r="J1726" s="437"/>
      <c r="K1726" s="456"/>
      <c r="L1726" s="456" t="s">
        <v>2615</v>
      </c>
      <c r="M1726" s="456"/>
      <c r="N1726" s="372"/>
      <c r="O1726" s="372"/>
      <c r="P1726" s="372"/>
      <c r="Q1726" s="373"/>
      <c r="R1726" s="372"/>
      <c r="S1726" s="373"/>
      <c r="T1726" s="373"/>
      <c r="U1726" s="373"/>
      <c r="V1726" s="373"/>
    </row>
    <row r="1727" spans="1:22" s="457" customFormat="1" x14ac:dyDescent="0.2">
      <c r="A1727" s="542"/>
      <c r="B1727" s="500"/>
      <c r="C1727" s="506"/>
      <c r="D1727" s="554"/>
      <c r="E1727" s="495"/>
      <c r="F1727" s="426"/>
      <c r="G1727" s="426"/>
      <c r="H1727" s="426"/>
      <c r="I1727" s="448"/>
      <c r="J1727" s="437"/>
      <c r="K1727" s="456"/>
      <c r="L1727" s="456"/>
      <c r="M1727" s="456"/>
      <c r="N1727" s="372"/>
      <c r="O1727" s="372"/>
      <c r="P1727" s="372"/>
      <c r="Q1727" s="373"/>
      <c r="R1727" s="372"/>
      <c r="S1727" s="373"/>
      <c r="T1727" s="373"/>
      <c r="U1727" s="373"/>
      <c r="V1727" s="373"/>
    </row>
    <row r="1728" spans="1:22" s="457" customFormat="1" x14ac:dyDescent="0.2">
      <c r="A1728" s="542" t="s">
        <v>1195</v>
      </c>
      <c r="B1728" s="500" t="s">
        <v>45</v>
      </c>
      <c r="C1728" s="500" t="s">
        <v>57</v>
      </c>
      <c r="D1728" s="540" t="s">
        <v>58</v>
      </c>
      <c r="E1728" s="495" t="s">
        <v>16</v>
      </c>
      <c r="F1728" s="426">
        <v>11</v>
      </c>
      <c r="G1728" s="426">
        <v>1.94</v>
      </c>
      <c r="H1728" s="426">
        <f t="shared" si="104"/>
        <v>2.4528523217909628</v>
      </c>
      <c r="I1728" s="448">
        <f t="shared" si="105"/>
        <v>26.98</v>
      </c>
      <c r="J1728" s="437"/>
      <c r="K1728" s="456"/>
      <c r="L1728" s="456" t="s">
        <v>64</v>
      </c>
      <c r="M1728" s="456"/>
      <c r="N1728" s="372"/>
      <c r="O1728" s="372"/>
      <c r="P1728" s="372"/>
      <c r="Q1728" s="373"/>
      <c r="R1728" s="372"/>
      <c r="S1728" s="373"/>
      <c r="T1728" s="373"/>
      <c r="U1728" s="373"/>
      <c r="V1728" s="373"/>
    </row>
    <row r="1729" spans="1:22" s="457" customFormat="1" x14ac:dyDescent="0.2">
      <c r="A1729" s="542"/>
      <c r="B1729" s="500"/>
      <c r="C1729" s="506"/>
      <c r="D1729" s="554"/>
      <c r="E1729" s="495"/>
      <c r="F1729" s="426"/>
      <c r="G1729" s="426"/>
      <c r="H1729" s="426"/>
      <c r="I1729" s="448"/>
      <c r="J1729" s="437"/>
      <c r="K1729" s="456"/>
      <c r="L1729" s="456"/>
      <c r="M1729" s="456"/>
      <c r="N1729" s="372"/>
      <c r="O1729" s="372"/>
      <c r="P1729" s="372"/>
      <c r="Q1729" s="373"/>
      <c r="R1729" s="372"/>
      <c r="S1729" s="373"/>
      <c r="T1729" s="373"/>
      <c r="U1729" s="373"/>
      <c r="V1729" s="373"/>
    </row>
    <row r="1730" spans="1:22" s="457" customFormat="1" x14ac:dyDescent="0.2">
      <c r="A1730" s="542"/>
      <c r="B1730" s="500"/>
      <c r="C1730" s="506"/>
      <c r="D1730" s="540" t="s">
        <v>2617</v>
      </c>
      <c r="E1730" s="495"/>
      <c r="F1730" s="426"/>
      <c r="G1730" s="426"/>
      <c r="H1730" s="426"/>
      <c r="I1730" s="448"/>
      <c r="J1730" s="437"/>
      <c r="K1730" s="456"/>
      <c r="L1730" s="456" t="s">
        <v>2616</v>
      </c>
      <c r="M1730" s="456"/>
      <c r="N1730" s="372"/>
      <c r="O1730" s="372"/>
      <c r="P1730" s="372"/>
      <c r="Q1730" s="373"/>
      <c r="R1730" s="372"/>
      <c r="S1730" s="373"/>
      <c r="T1730" s="373"/>
      <c r="U1730" s="373"/>
      <c r="V1730" s="373"/>
    </row>
    <row r="1731" spans="1:22" s="457" customFormat="1" x14ac:dyDescent="0.2">
      <c r="A1731" s="542"/>
      <c r="B1731" s="500"/>
      <c r="C1731" s="506"/>
      <c r="D1731" s="554"/>
      <c r="E1731" s="495"/>
      <c r="F1731" s="426"/>
      <c r="G1731" s="426"/>
      <c r="H1731" s="426"/>
      <c r="I1731" s="448"/>
      <c r="J1731" s="437"/>
      <c r="K1731" s="456"/>
      <c r="L1731" s="456"/>
      <c r="M1731" s="456"/>
      <c r="N1731" s="372"/>
      <c r="O1731" s="372"/>
      <c r="P1731" s="372"/>
      <c r="Q1731" s="373"/>
      <c r="R1731" s="372"/>
      <c r="S1731" s="373"/>
      <c r="T1731" s="373"/>
      <c r="U1731" s="373"/>
      <c r="V1731" s="373"/>
    </row>
    <row r="1732" spans="1:22" s="457" customFormat="1" ht="45" x14ac:dyDescent="0.2">
      <c r="A1732" s="542" t="s">
        <v>1196</v>
      </c>
      <c r="B1732" s="500" t="s">
        <v>335</v>
      </c>
      <c r="C1732" s="500" t="s">
        <v>713</v>
      </c>
      <c r="D1732" s="540" t="s">
        <v>1812</v>
      </c>
      <c r="E1732" s="495" t="s">
        <v>18</v>
      </c>
      <c r="F1732" s="426">
        <v>1</v>
      </c>
      <c r="G1732" s="426">
        <v>5627.94</v>
      </c>
      <c r="H1732" s="426">
        <v>7115.7245855155834</v>
      </c>
      <c r="I1732" s="448">
        <v>7115.72</v>
      </c>
      <c r="J1732" s="437"/>
      <c r="K1732" s="456"/>
      <c r="L1732" s="456" t="s">
        <v>58</v>
      </c>
      <c r="M1732" s="456"/>
      <c r="N1732" s="372"/>
      <c r="O1732" s="372"/>
      <c r="P1732" s="372"/>
      <c r="Q1732" s="373"/>
      <c r="R1732" s="372"/>
      <c r="S1732" s="373"/>
      <c r="T1732" s="373"/>
      <c r="U1732" s="373"/>
      <c r="V1732" s="373"/>
    </row>
    <row r="1733" spans="1:22" s="457" customFormat="1" x14ac:dyDescent="0.2">
      <c r="A1733" s="542"/>
      <c r="B1733" s="500"/>
      <c r="C1733" s="506"/>
      <c r="D1733" s="554"/>
      <c r="E1733" s="495"/>
      <c r="F1733" s="426"/>
      <c r="G1733" s="426"/>
      <c r="H1733" s="426"/>
      <c r="I1733" s="448"/>
      <c r="J1733" s="437"/>
      <c r="K1733" s="456"/>
      <c r="L1733" s="456"/>
      <c r="M1733" s="456"/>
      <c r="N1733" s="372"/>
      <c r="O1733" s="372"/>
      <c r="P1733" s="372"/>
      <c r="Q1733" s="373"/>
      <c r="R1733" s="372"/>
      <c r="S1733" s="373"/>
      <c r="T1733" s="373"/>
      <c r="U1733" s="373"/>
      <c r="V1733" s="373"/>
    </row>
    <row r="1734" spans="1:22" s="457" customFormat="1" x14ac:dyDescent="0.2">
      <c r="A1734" s="542"/>
      <c r="B1734" s="500"/>
      <c r="C1734" s="506"/>
      <c r="D1734" s="554" t="s">
        <v>2649</v>
      </c>
      <c r="E1734" s="495"/>
      <c r="F1734" s="426"/>
      <c r="G1734" s="426"/>
      <c r="H1734" s="426"/>
      <c r="I1734" s="448"/>
      <c r="J1734" s="437"/>
      <c r="K1734" s="456"/>
      <c r="L1734" s="456" t="s">
        <v>2617</v>
      </c>
      <c r="M1734" s="456"/>
      <c r="N1734" s="372"/>
      <c r="O1734" s="372"/>
      <c r="P1734" s="372"/>
      <c r="Q1734" s="373"/>
      <c r="R1734" s="372"/>
      <c r="S1734" s="373"/>
      <c r="T1734" s="373"/>
      <c r="U1734" s="373"/>
      <c r="V1734" s="373"/>
    </row>
    <row r="1735" spans="1:22" s="457" customFormat="1" x14ac:dyDescent="0.2">
      <c r="A1735" s="542"/>
      <c r="B1735" s="500"/>
      <c r="C1735" s="506"/>
      <c r="D1735" s="554"/>
      <c r="E1735" s="495"/>
      <c r="F1735" s="426"/>
      <c r="G1735" s="426"/>
      <c r="H1735" s="426"/>
      <c r="I1735" s="448"/>
      <c r="J1735" s="437"/>
      <c r="K1735" s="456"/>
      <c r="L1735" s="456"/>
      <c r="M1735" s="456"/>
      <c r="N1735" s="372"/>
      <c r="O1735" s="372"/>
      <c r="P1735" s="372"/>
      <c r="Q1735" s="373"/>
      <c r="R1735" s="372"/>
      <c r="S1735" s="373"/>
      <c r="T1735" s="373"/>
      <c r="U1735" s="373"/>
      <c r="V1735" s="373"/>
    </row>
    <row r="1736" spans="1:22" s="373" customFormat="1" ht="30" x14ac:dyDescent="0.2">
      <c r="A1736" s="542" t="s">
        <v>1549</v>
      </c>
      <c r="B1736" s="500" t="s">
        <v>45</v>
      </c>
      <c r="C1736" s="506">
        <v>94967</v>
      </c>
      <c r="D1736" s="554" t="s">
        <v>1351</v>
      </c>
      <c r="E1736" s="495" t="s">
        <v>16</v>
      </c>
      <c r="F1736" s="426">
        <f>0.2*35.7+0.16*25.75</f>
        <v>11.260000000000002</v>
      </c>
      <c r="G1736" s="426">
        <v>331.4</v>
      </c>
      <c r="H1736" s="426">
        <f t="shared" si="104"/>
        <v>419.00786569150779</v>
      </c>
      <c r="I1736" s="448">
        <f t="shared" si="105"/>
        <v>4718.03</v>
      </c>
      <c r="J1736" s="437"/>
      <c r="K1736" s="372"/>
      <c r="L1736" s="430" t="s">
        <v>2618</v>
      </c>
      <c r="M1736" s="372"/>
      <c r="N1736" s="372"/>
      <c r="O1736" s="372"/>
      <c r="P1736" s="372"/>
      <c r="R1736" s="372"/>
    </row>
    <row r="1737" spans="1:22" s="457" customFormat="1" x14ac:dyDescent="0.2">
      <c r="A1737" s="542"/>
      <c r="B1737" s="500"/>
      <c r="C1737" s="506"/>
      <c r="D1737" s="554"/>
      <c r="E1737" s="495"/>
      <c r="F1737" s="426"/>
      <c r="G1737" s="426"/>
      <c r="H1737" s="426"/>
      <c r="I1737" s="448"/>
      <c r="J1737" s="437"/>
      <c r="K1737" s="456"/>
      <c r="L1737" s="456"/>
      <c r="M1737" s="456"/>
      <c r="N1737" s="372"/>
      <c r="O1737" s="372"/>
      <c r="P1737" s="372"/>
      <c r="Q1737" s="373"/>
      <c r="R1737" s="372"/>
      <c r="S1737" s="373"/>
      <c r="T1737" s="373"/>
      <c r="U1737" s="373"/>
      <c r="V1737" s="373"/>
    </row>
    <row r="1738" spans="1:22" s="457" customFormat="1" x14ac:dyDescent="0.2">
      <c r="A1738" s="542"/>
      <c r="B1738" s="500"/>
      <c r="C1738" s="506"/>
      <c r="D1738" s="540" t="s">
        <v>2650</v>
      </c>
      <c r="E1738" s="495"/>
      <c r="F1738" s="426"/>
      <c r="G1738" s="426"/>
      <c r="H1738" s="426"/>
      <c r="I1738" s="448"/>
      <c r="J1738" s="437"/>
      <c r="K1738" s="456"/>
      <c r="L1738" s="456" t="s">
        <v>2619</v>
      </c>
      <c r="M1738" s="456"/>
      <c r="N1738" s="372"/>
      <c r="O1738" s="372"/>
      <c r="P1738" s="372"/>
      <c r="Q1738" s="373"/>
      <c r="R1738" s="372"/>
      <c r="S1738" s="373"/>
      <c r="T1738" s="373"/>
      <c r="U1738" s="373"/>
      <c r="V1738" s="373"/>
    </row>
    <row r="1739" spans="1:22" s="457" customFormat="1" x14ac:dyDescent="0.2">
      <c r="A1739" s="542"/>
      <c r="B1739" s="500"/>
      <c r="C1739" s="506"/>
      <c r="D1739" s="554"/>
      <c r="E1739" s="495"/>
      <c r="F1739" s="426"/>
      <c r="G1739" s="426"/>
      <c r="H1739" s="426"/>
      <c r="I1739" s="448"/>
      <c r="J1739" s="437"/>
      <c r="K1739" s="456"/>
      <c r="L1739" s="456"/>
      <c r="M1739" s="456"/>
      <c r="N1739" s="372"/>
      <c r="O1739" s="372"/>
      <c r="P1739" s="372"/>
      <c r="Q1739" s="373"/>
      <c r="R1739" s="372"/>
      <c r="S1739" s="373"/>
      <c r="T1739" s="373"/>
      <c r="U1739" s="373"/>
      <c r="V1739" s="373"/>
    </row>
    <row r="1740" spans="1:22" s="373" customFormat="1" ht="30" x14ac:dyDescent="0.2">
      <c r="A1740" s="542" t="s">
        <v>1197</v>
      </c>
      <c r="B1740" s="500" t="s">
        <v>45</v>
      </c>
      <c r="C1740" s="506">
        <v>92873</v>
      </c>
      <c r="D1740" s="554" t="s">
        <v>1438</v>
      </c>
      <c r="E1740" s="495"/>
      <c r="F1740" s="426" t="e">
        <f>#REF!+F1736</f>
        <v>#REF!</v>
      </c>
      <c r="G1740" s="426">
        <v>164.08</v>
      </c>
      <c r="H1740" s="426">
        <f t="shared" si="104"/>
        <v>207.45567472137176</v>
      </c>
      <c r="I1740" s="448" t="e">
        <f t="shared" ref="I1740" si="106">ROUND(F1740*H1740,2)</f>
        <v>#REF!</v>
      </c>
      <c r="J1740" s="437"/>
      <c r="K1740" s="372"/>
      <c r="L1740" s="430" t="s">
        <v>2620</v>
      </c>
      <c r="M1740" s="372"/>
      <c r="N1740" s="372"/>
      <c r="O1740" s="372"/>
      <c r="P1740" s="372"/>
      <c r="R1740" s="372"/>
    </row>
    <row r="1741" spans="1:22" s="457" customFormat="1" x14ac:dyDescent="0.2">
      <c r="A1741" s="542"/>
      <c r="B1741" s="500"/>
      <c r="C1741" s="506"/>
      <c r="D1741" s="554"/>
      <c r="E1741" s="495"/>
      <c r="F1741" s="426"/>
      <c r="G1741" s="426"/>
      <c r="H1741" s="426"/>
      <c r="I1741" s="448"/>
      <c r="J1741" s="437"/>
      <c r="K1741" s="456"/>
      <c r="L1741" s="456"/>
      <c r="M1741" s="456"/>
      <c r="N1741" s="372"/>
      <c r="O1741" s="372"/>
      <c r="P1741" s="372"/>
      <c r="Q1741" s="373"/>
      <c r="R1741" s="372"/>
      <c r="S1741" s="373"/>
      <c r="T1741" s="373"/>
      <c r="U1741" s="373"/>
      <c r="V1741" s="373"/>
    </row>
    <row r="1742" spans="1:22" s="457" customFormat="1" x14ac:dyDescent="0.2">
      <c r="A1742" s="542"/>
      <c r="B1742" s="500"/>
      <c r="C1742" s="506"/>
      <c r="D1742" s="540" t="s">
        <v>2650</v>
      </c>
      <c r="E1742" s="495"/>
      <c r="F1742" s="426"/>
      <c r="G1742" s="426"/>
      <c r="H1742" s="426"/>
      <c r="I1742" s="448"/>
      <c r="J1742" s="437"/>
      <c r="K1742" s="456"/>
      <c r="L1742" s="456" t="s">
        <v>2621</v>
      </c>
      <c r="M1742" s="456"/>
      <c r="N1742" s="372"/>
      <c r="O1742" s="372"/>
      <c r="P1742" s="372"/>
      <c r="Q1742" s="373"/>
      <c r="R1742" s="372"/>
      <c r="S1742" s="373"/>
      <c r="T1742" s="373"/>
      <c r="U1742" s="373"/>
      <c r="V1742" s="373"/>
    </row>
    <row r="1743" spans="1:22" s="457" customFormat="1" x14ac:dyDescent="0.2">
      <c r="A1743" s="542"/>
      <c r="B1743" s="500"/>
      <c r="C1743" s="506"/>
      <c r="D1743" s="554"/>
      <c r="E1743" s="495"/>
      <c r="F1743" s="426"/>
      <c r="G1743" s="426"/>
      <c r="H1743" s="426"/>
      <c r="I1743" s="448"/>
      <c r="J1743" s="437"/>
      <c r="K1743" s="456"/>
      <c r="L1743" s="456"/>
      <c r="M1743" s="456"/>
      <c r="N1743" s="372"/>
      <c r="O1743" s="372"/>
      <c r="P1743" s="372"/>
      <c r="Q1743" s="373"/>
      <c r="R1743" s="372"/>
      <c r="S1743" s="373"/>
      <c r="T1743" s="373"/>
      <c r="U1743" s="373"/>
      <c r="V1743" s="373"/>
    </row>
    <row r="1744" spans="1:22" s="373" customFormat="1" x14ac:dyDescent="0.2">
      <c r="A1744" s="542" t="s">
        <v>1198</v>
      </c>
      <c r="B1744" s="500" t="s">
        <v>45</v>
      </c>
      <c r="C1744" s="500">
        <v>5970</v>
      </c>
      <c r="D1744" s="540" t="s">
        <v>1435</v>
      </c>
      <c r="E1744" s="495" t="s">
        <v>15</v>
      </c>
      <c r="F1744" s="426">
        <v>35.54</v>
      </c>
      <c r="G1744" s="426">
        <v>49.6</v>
      </c>
      <c r="H1744" s="426">
        <f t="shared" si="104"/>
        <v>62.712100598366888</v>
      </c>
      <c r="I1744" s="448">
        <f t="shared" si="105"/>
        <v>2228.79</v>
      </c>
      <c r="J1744" s="437"/>
      <c r="K1744" s="372"/>
      <c r="L1744" s="430" t="s">
        <v>2622</v>
      </c>
      <c r="M1744" s="372"/>
      <c r="N1744" s="372"/>
      <c r="O1744" s="372"/>
      <c r="P1744" s="372"/>
      <c r="R1744" s="372"/>
    </row>
    <row r="1745" spans="1:22" s="457" customFormat="1" x14ac:dyDescent="0.2">
      <c r="A1745" s="542"/>
      <c r="B1745" s="500"/>
      <c r="C1745" s="506"/>
      <c r="D1745" s="554"/>
      <c r="E1745" s="495"/>
      <c r="F1745" s="426"/>
      <c r="G1745" s="426"/>
      <c r="H1745" s="426"/>
      <c r="I1745" s="448"/>
      <c r="J1745" s="437"/>
      <c r="K1745" s="456"/>
      <c r="L1745" s="456"/>
      <c r="M1745" s="456"/>
      <c r="N1745" s="372"/>
      <c r="O1745" s="372"/>
      <c r="P1745" s="372"/>
      <c r="Q1745" s="373"/>
      <c r="R1745" s="372"/>
      <c r="S1745" s="373"/>
      <c r="T1745" s="373"/>
      <c r="U1745" s="373"/>
      <c r="V1745" s="373"/>
    </row>
    <row r="1746" spans="1:22" s="457" customFormat="1" x14ac:dyDescent="0.2">
      <c r="A1746" s="542"/>
      <c r="B1746" s="500"/>
      <c r="C1746" s="506"/>
      <c r="D1746" s="540" t="s">
        <v>2651</v>
      </c>
      <c r="E1746" s="495"/>
      <c r="F1746" s="426"/>
      <c r="G1746" s="426"/>
      <c r="H1746" s="426"/>
      <c r="I1746" s="448"/>
      <c r="J1746" s="437"/>
      <c r="K1746" s="456"/>
      <c r="L1746" s="456" t="s">
        <v>2623</v>
      </c>
      <c r="M1746" s="456"/>
      <c r="N1746" s="372"/>
      <c r="O1746" s="372"/>
      <c r="P1746" s="372"/>
      <c r="Q1746" s="373"/>
      <c r="R1746" s="372"/>
      <c r="S1746" s="373"/>
      <c r="T1746" s="373"/>
      <c r="U1746" s="373"/>
      <c r="V1746" s="373"/>
    </row>
    <row r="1747" spans="1:22" s="457" customFormat="1" x14ac:dyDescent="0.2">
      <c r="A1747" s="542"/>
      <c r="B1747" s="500"/>
      <c r="C1747" s="506"/>
      <c r="D1747" s="554"/>
      <c r="E1747" s="495"/>
      <c r="F1747" s="426"/>
      <c r="G1747" s="426"/>
      <c r="H1747" s="426"/>
      <c r="I1747" s="448"/>
      <c r="J1747" s="437"/>
      <c r="K1747" s="456"/>
      <c r="L1747" s="456"/>
      <c r="M1747" s="456"/>
      <c r="N1747" s="372"/>
      <c r="O1747" s="372"/>
      <c r="P1747" s="372"/>
      <c r="Q1747" s="373"/>
      <c r="R1747" s="372"/>
      <c r="S1747" s="373"/>
      <c r="T1747" s="373"/>
      <c r="U1747" s="373"/>
      <c r="V1747" s="373"/>
    </row>
    <row r="1748" spans="1:22" s="373" customFormat="1" x14ac:dyDescent="0.2">
      <c r="A1748" s="542" t="s">
        <v>1550</v>
      </c>
      <c r="B1748" s="500" t="s">
        <v>45</v>
      </c>
      <c r="C1748" s="500">
        <v>34456</v>
      </c>
      <c r="D1748" s="540" t="s">
        <v>1358</v>
      </c>
      <c r="E1748" s="495" t="s">
        <v>169</v>
      </c>
      <c r="F1748" s="426">
        <v>68</v>
      </c>
      <c r="G1748" s="426">
        <v>3.7</v>
      </c>
      <c r="H1748" s="426">
        <v>4.32</v>
      </c>
      <c r="I1748" s="510">
        <v>293.76</v>
      </c>
      <c r="J1748" s="437"/>
      <c r="K1748" s="372"/>
      <c r="L1748" s="430" t="s">
        <v>2624</v>
      </c>
      <c r="M1748" s="372"/>
      <c r="N1748" s="372"/>
      <c r="O1748" s="372"/>
      <c r="P1748" s="372"/>
      <c r="R1748" s="372"/>
    </row>
    <row r="1749" spans="1:22" s="457" customFormat="1" x14ac:dyDescent="0.2">
      <c r="A1749" s="542"/>
      <c r="B1749" s="500"/>
      <c r="C1749" s="506"/>
      <c r="D1749" s="554"/>
      <c r="E1749" s="495"/>
      <c r="F1749" s="426"/>
      <c r="G1749" s="426"/>
      <c r="H1749" s="426"/>
      <c r="I1749" s="448"/>
      <c r="J1749" s="437"/>
      <c r="K1749" s="456"/>
      <c r="L1749" s="456"/>
      <c r="M1749" s="456"/>
      <c r="N1749" s="372"/>
      <c r="O1749" s="372"/>
      <c r="P1749" s="372"/>
      <c r="Q1749" s="373"/>
      <c r="R1749" s="372"/>
      <c r="S1749" s="373"/>
      <c r="T1749" s="373"/>
      <c r="U1749" s="373"/>
      <c r="V1749" s="373"/>
    </row>
    <row r="1750" spans="1:22" s="457" customFormat="1" x14ac:dyDescent="0.2">
      <c r="A1750" s="542"/>
      <c r="B1750" s="500"/>
      <c r="C1750" s="506"/>
      <c r="D1750" s="554" t="s">
        <v>2652</v>
      </c>
      <c r="E1750" s="495"/>
      <c r="F1750" s="426"/>
      <c r="G1750" s="426"/>
      <c r="H1750" s="426"/>
      <c r="I1750" s="448"/>
      <c r="J1750" s="437"/>
      <c r="K1750" s="456"/>
      <c r="L1750" s="456" t="s">
        <v>2625</v>
      </c>
      <c r="M1750" s="456"/>
      <c r="N1750" s="372"/>
      <c r="O1750" s="372"/>
      <c r="P1750" s="372"/>
      <c r="Q1750" s="373"/>
      <c r="R1750" s="372"/>
      <c r="S1750" s="373"/>
      <c r="T1750" s="373"/>
      <c r="U1750" s="373"/>
      <c r="V1750" s="373"/>
    </row>
    <row r="1751" spans="1:22" s="457" customFormat="1" x14ac:dyDescent="0.2">
      <c r="A1751" s="542"/>
      <c r="B1751" s="500"/>
      <c r="C1751" s="506"/>
      <c r="D1751" s="554"/>
      <c r="E1751" s="495"/>
      <c r="F1751" s="426"/>
      <c r="G1751" s="426"/>
      <c r="H1751" s="426"/>
      <c r="I1751" s="448"/>
      <c r="J1751" s="437"/>
      <c r="K1751" s="456"/>
      <c r="L1751" s="456"/>
      <c r="M1751" s="456"/>
      <c r="N1751" s="372"/>
      <c r="O1751" s="372"/>
      <c r="P1751" s="372"/>
      <c r="Q1751" s="373"/>
      <c r="R1751" s="372"/>
      <c r="S1751" s="373"/>
      <c r="T1751" s="373"/>
      <c r="U1751" s="373"/>
      <c r="V1751" s="373"/>
    </row>
    <row r="1752" spans="1:22" s="373" customFormat="1" x14ac:dyDescent="0.2">
      <c r="A1752" s="542" t="s">
        <v>1551</v>
      </c>
      <c r="B1752" s="500" t="s">
        <v>45</v>
      </c>
      <c r="C1752" s="500">
        <v>33</v>
      </c>
      <c r="D1752" s="540" t="s">
        <v>799</v>
      </c>
      <c r="E1752" s="495" t="s">
        <v>169</v>
      </c>
      <c r="F1752" s="426">
        <v>74</v>
      </c>
      <c r="G1752" s="426">
        <v>4.1900000000000004</v>
      </c>
      <c r="H1752" s="426">
        <v>4.8899999999999997</v>
      </c>
      <c r="I1752" s="510">
        <v>361.86</v>
      </c>
      <c r="J1752" s="437"/>
      <c r="K1752" s="372"/>
      <c r="L1752" s="430" t="s">
        <v>2626</v>
      </c>
      <c r="M1752" s="372"/>
      <c r="N1752" s="372"/>
      <c r="O1752" s="372"/>
      <c r="P1752" s="372"/>
      <c r="R1752" s="372"/>
    </row>
    <row r="1753" spans="1:22" s="457" customFormat="1" x14ac:dyDescent="0.2">
      <c r="A1753" s="542"/>
      <c r="B1753" s="500"/>
      <c r="C1753" s="506"/>
      <c r="D1753" s="554"/>
      <c r="E1753" s="495"/>
      <c r="F1753" s="426"/>
      <c r="G1753" s="426"/>
      <c r="H1753" s="426"/>
      <c r="I1753" s="448"/>
      <c r="J1753" s="437"/>
      <c r="K1753" s="456"/>
      <c r="L1753" s="456"/>
      <c r="M1753" s="456"/>
      <c r="N1753" s="372"/>
      <c r="O1753" s="372"/>
      <c r="P1753" s="372"/>
      <c r="Q1753" s="373"/>
      <c r="R1753" s="372"/>
      <c r="S1753" s="373"/>
      <c r="T1753" s="373"/>
      <c r="U1753" s="373"/>
      <c r="V1753" s="373"/>
    </row>
    <row r="1754" spans="1:22" s="457" customFormat="1" x14ac:dyDescent="0.2">
      <c r="A1754" s="542"/>
      <c r="B1754" s="500"/>
      <c r="C1754" s="506"/>
      <c r="D1754" s="554" t="s">
        <v>2653</v>
      </c>
      <c r="E1754" s="495"/>
      <c r="F1754" s="426"/>
      <c r="G1754" s="426"/>
      <c r="H1754" s="426"/>
      <c r="I1754" s="448"/>
      <c r="J1754" s="437"/>
      <c r="K1754" s="456"/>
      <c r="L1754" s="456" t="s">
        <v>2627</v>
      </c>
      <c r="M1754" s="456"/>
      <c r="N1754" s="372"/>
      <c r="O1754" s="372"/>
      <c r="P1754" s="372"/>
      <c r="Q1754" s="373"/>
      <c r="R1754" s="372"/>
      <c r="S1754" s="373"/>
      <c r="T1754" s="373"/>
      <c r="U1754" s="373"/>
      <c r="V1754" s="373"/>
    </row>
    <row r="1755" spans="1:22" s="457" customFormat="1" x14ac:dyDescent="0.2">
      <c r="A1755" s="542"/>
      <c r="B1755" s="500"/>
      <c r="C1755" s="506"/>
      <c r="D1755" s="554"/>
      <c r="E1755" s="495"/>
      <c r="F1755" s="426"/>
      <c r="G1755" s="426"/>
      <c r="H1755" s="426"/>
      <c r="I1755" s="448"/>
      <c r="J1755" s="437"/>
      <c r="K1755" s="456"/>
      <c r="L1755" s="456"/>
      <c r="M1755" s="456"/>
      <c r="N1755" s="372"/>
      <c r="O1755" s="372"/>
      <c r="P1755" s="372"/>
      <c r="Q1755" s="373"/>
      <c r="R1755" s="372"/>
      <c r="S1755" s="373"/>
      <c r="T1755" s="373"/>
      <c r="U1755" s="373"/>
      <c r="V1755" s="373"/>
    </row>
    <row r="1756" spans="1:22" s="373" customFormat="1" x14ac:dyDescent="0.2">
      <c r="A1756" s="542" t="s">
        <v>1552</v>
      </c>
      <c r="B1756" s="500" t="s">
        <v>45</v>
      </c>
      <c r="C1756" s="500">
        <v>34439</v>
      </c>
      <c r="D1756" s="540" t="s">
        <v>798</v>
      </c>
      <c r="E1756" s="495" t="s">
        <v>169</v>
      </c>
      <c r="F1756" s="426">
        <v>148</v>
      </c>
      <c r="G1756" s="426">
        <v>4</v>
      </c>
      <c r="H1756" s="426">
        <v>4.67</v>
      </c>
      <c r="I1756" s="510">
        <v>691.16</v>
      </c>
      <c r="J1756" s="437"/>
      <c r="K1756" s="372"/>
      <c r="L1756" s="430" t="s">
        <v>2628</v>
      </c>
      <c r="M1756" s="372"/>
      <c r="N1756" s="372"/>
      <c r="O1756" s="372"/>
      <c r="P1756" s="372"/>
      <c r="R1756" s="372"/>
    </row>
    <row r="1757" spans="1:22" s="457" customFormat="1" x14ac:dyDescent="0.2">
      <c r="A1757" s="542"/>
      <c r="B1757" s="500"/>
      <c r="C1757" s="506"/>
      <c r="D1757" s="554"/>
      <c r="E1757" s="495"/>
      <c r="F1757" s="426"/>
      <c r="G1757" s="426"/>
      <c r="H1757" s="426"/>
      <c r="I1757" s="448"/>
      <c r="J1757" s="437"/>
      <c r="K1757" s="456"/>
      <c r="L1757" s="456"/>
      <c r="M1757" s="456"/>
      <c r="N1757" s="372"/>
      <c r="O1757" s="372"/>
      <c r="P1757" s="372"/>
      <c r="Q1757" s="373"/>
      <c r="R1757" s="372"/>
      <c r="S1757" s="373"/>
      <c r="T1757" s="373"/>
      <c r="U1757" s="373"/>
      <c r="V1757" s="373"/>
    </row>
    <row r="1758" spans="1:22" s="457" customFormat="1" ht="18" customHeight="1" x14ac:dyDescent="0.2">
      <c r="A1758" s="542"/>
      <c r="B1758" s="500"/>
      <c r="C1758" s="506"/>
      <c r="D1758" s="554" t="s">
        <v>2654</v>
      </c>
      <c r="E1758" s="495"/>
      <c r="F1758" s="426"/>
      <c r="G1758" s="426"/>
      <c r="H1758" s="426"/>
      <c r="I1758" s="448"/>
      <c r="J1758" s="437"/>
      <c r="K1758" s="456"/>
      <c r="L1758" s="456" t="s">
        <v>2629</v>
      </c>
      <c r="M1758" s="456"/>
      <c r="N1758" s="372"/>
      <c r="O1758" s="372"/>
      <c r="P1758" s="372"/>
      <c r="Q1758" s="373"/>
      <c r="R1758" s="372"/>
      <c r="S1758" s="373"/>
      <c r="T1758" s="373"/>
      <c r="U1758" s="373"/>
      <c r="V1758" s="373"/>
    </row>
    <row r="1759" spans="1:22" s="457" customFormat="1" x14ac:dyDescent="0.2">
      <c r="A1759" s="542"/>
      <c r="B1759" s="500"/>
      <c r="C1759" s="506"/>
      <c r="D1759" s="554"/>
      <c r="E1759" s="495"/>
      <c r="F1759" s="426"/>
      <c r="G1759" s="426"/>
      <c r="H1759" s="426"/>
      <c r="I1759" s="448"/>
      <c r="J1759" s="437"/>
      <c r="K1759" s="456"/>
      <c r="L1759" s="456"/>
      <c r="M1759" s="456"/>
      <c r="N1759" s="372"/>
      <c r="O1759" s="372"/>
      <c r="P1759" s="372"/>
      <c r="Q1759" s="373"/>
      <c r="R1759" s="372"/>
      <c r="S1759" s="373"/>
      <c r="T1759" s="373"/>
      <c r="U1759" s="373"/>
      <c r="V1759" s="373"/>
    </row>
    <row r="1760" spans="1:22" s="373" customFormat="1" x14ac:dyDescent="0.2">
      <c r="A1760" s="542" t="s">
        <v>1553</v>
      </c>
      <c r="B1760" s="500" t="s">
        <v>45</v>
      </c>
      <c r="C1760" s="500">
        <v>34441</v>
      </c>
      <c r="D1760" s="540" t="s">
        <v>1389</v>
      </c>
      <c r="E1760" s="495" t="s">
        <v>169</v>
      </c>
      <c r="F1760" s="426">
        <v>78</v>
      </c>
      <c r="G1760" s="426">
        <v>3.8</v>
      </c>
      <c r="H1760" s="426">
        <v>4.4400000000000004</v>
      </c>
      <c r="I1760" s="510">
        <v>346.32</v>
      </c>
      <c r="J1760" s="437"/>
      <c r="K1760" s="372"/>
      <c r="L1760" s="430" t="s">
        <v>2630</v>
      </c>
      <c r="M1760" s="372"/>
      <c r="N1760" s="372"/>
      <c r="O1760" s="372"/>
      <c r="P1760" s="372"/>
      <c r="R1760" s="372"/>
    </row>
    <row r="1761" spans="1:22" s="457" customFormat="1" x14ac:dyDescent="0.2">
      <c r="A1761" s="542"/>
      <c r="B1761" s="500"/>
      <c r="C1761" s="506"/>
      <c r="D1761" s="554"/>
      <c r="E1761" s="495"/>
      <c r="F1761" s="426"/>
      <c r="G1761" s="426"/>
      <c r="H1761" s="426"/>
      <c r="I1761" s="448"/>
      <c r="J1761" s="437"/>
      <c r="K1761" s="456"/>
      <c r="L1761" s="456"/>
      <c r="M1761" s="456"/>
      <c r="N1761" s="372"/>
      <c r="O1761" s="372"/>
      <c r="P1761" s="372"/>
      <c r="Q1761" s="373"/>
      <c r="R1761" s="372"/>
      <c r="S1761" s="373"/>
      <c r="T1761" s="373"/>
      <c r="U1761" s="373"/>
      <c r="V1761" s="373"/>
    </row>
    <row r="1762" spans="1:22" s="457" customFormat="1" x14ac:dyDescent="0.2">
      <c r="A1762" s="542"/>
      <c r="B1762" s="500"/>
      <c r="C1762" s="506"/>
      <c r="D1762" s="554" t="s">
        <v>2655</v>
      </c>
      <c r="E1762" s="495"/>
      <c r="F1762" s="426"/>
      <c r="G1762" s="426"/>
      <c r="H1762" s="426"/>
      <c r="I1762" s="448"/>
      <c r="J1762" s="437"/>
      <c r="K1762" s="456"/>
      <c r="L1762" s="456" t="s">
        <v>153</v>
      </c>
      <c r="M1762" s="456"/>
      <c r="N1762" s="372"/>
      <c r="O1762" s="372"/>
      <c r="P1762" s="372"/>
      <c r="Q1762" s="373"/>
      <c r="R1762" s="372"/>
      <c r="S1762" s="373"/>
      <c r="T1762" s="373"/>
      <c r="U1762" s="373"/>
      <c r="V1762" s="373"/>
    </row>
    <row r="1763" spans="1:22" s="457" customFormat="1" x14ac:dyDescent="0.2">
      <c r="A1763" s="542"/>
      <c r="B1763" s="500"/>
      <c r="C1763" s="506"/>
      <c r="D1763" s="554"/>
      <c r="E1763" s="495"/>
      <c r="F1763" s="426"/>
      <c r="G1763" s="426"/>
      <c r="H1763" s="426"/>
      <c r="I1763" s="448"/>
      <c r="J1763" s="437"/>
      <c r="K1763" s="456"/>
      <c r="L1763" s="456"/>
      <c r="M1763" s="456"/>
      <c r="N1763" s="372"/>
      <c r="O1763" s="372"/>
      <c r="P1763" s="372"/>
      <c r="Q1763" s="373"/>
      <c r="R1763" s="372"/>
      <c r="S1763" s="373"/>
      <c r="T1763" s="373"/>
      <c r="U1763" s="373"/>
      <c r="V1763" s="373"/>
    </row>
    <row r="1764" spans="1:22" s="457" customFormat="1" ht="45" x14ac:dyDescent="0.2">
      <c r="A1764" s="542" t="s">
        <v>1554</v>
      </c>
      <c r="B1764" s="500" t="s">
        <v>45</v>
      </c>
      <c r="C1764" s="500" t="s">
        <v>422</v>
      </c>
      <c r="D1764" s="540" t="s">
        <v>1436</v>
      </c>
      <c r="E1764" s="495" t="s">
        <v>18</v>
      </c>
      <c r="F1764" s="426">
        <v>3</v>
      </c>
      <c r="G1764" s="426">
        <v>138.11000000000001</v>
      </c>
      <c r="H1764" s="426">
        <f t="shared" ref="H1764:H1824" si="107">G1764*(1+$L$16)</f>
        <v>174.62032688791234</v>
      </c>
      <c r="I1764" s="448">
        <f t="shared" si="105"/>
        <v>523.86</v>
      </c>
      <c r="J1764" s="437"/>
      <c r="K1764" s="456"/>
      <c r="L1764" s="456" t="s">
        <v>2251</v>
      </c>
      <c r="M1764" s="456"/>
      <c r="N1764" s="372"/>
      <c r="O1764" s="372"/>
      <c r="P1764" s="372"/>
      <c r="Q1764" s="373"/>
      <c r="R1764" s="372"/>
      <c r="S1764" s="373"/>
      <c r="T1764" s="373"/>
      <c r="U1764" s="373"/>
      <c r="V1764" s="373"/>
    </row>
    <row r="1765" spans="1:22" s="457" customFormat="1" x14ac:dyDescent="0.2">
      <c r="A1765" s="542"/>
      <c r="B1765" s="500"/>
      <c r="C1765" s="506"/>
      <c r="D1765" s="554"/>
      <c r="E1765" s="495"/>
      <c r="F1765" s="426"/>
      <c r="G1765" s="426"/>
      <c r="H1765" s="426"/>
      <c r="I1765" s="448"/>
      <c r="J1765" s="437"/>
      <c r="K1765" s="456"/>
      <c r="L1765" s="456"/>
      <c r="M1765" s="456"/>
      <c r="N1765" s="372"/>
      <c r="O1765" s="372"/>
      <c r="P1765" s="372"/>
      <c r="Q1765" s="373"/>
      <c r="R1765" s="372"/>
      <c r="S1765" s="373"/>
      <c r="T1765" s="373"/>
      <c r="U1765" s="373"/>
      <c r="V1765" s="373"/>
    </row>
    <row r="1766" spans="1:22" s="457" customFormat="1" x14ac:dyDescent="0.2">
      <c r="A1766" s="542"/>
      <c r="B1766" s="500"/>
      <c r="C1766" s="506"/>
      <c r="D1766" s="554" t="s">
        <v>2334</v>
      </c>
      <c r="E1766" s="495"/>
      <c r="F1766" s="426"/>
      <c r="G1766" s="426"/>
      <c r="H1766" s="426"/>
      <c r="I1766" s="448"/>
      <c r="J1766" s="437"/>
      <c r="K1766" s="456"/>
      <c r="L1766" s="456" t="s">
        <v>2631</v>
      </c>
      <c r="M1766" s="456"/>
      <c r="N1766" s="372"/>
      <c r="O1766" s="372"/>
      <c r="P1766" s="372"/>
      <c r="Q1766" s="373"/>
      <c r="R1766" s="372"/>
      <c r="S1766" s="373"/>
      <c r="T1766" s="373"/>
      <c r="U1766" s="373"/>
      <c r="V1766" s="373"/>
    </row>
    <row r="1767" spans="1:22" s="457" customFormat="1" x14ac:dyDescent="0.2">
      <c r="A1767" s="542"/>
      <c r="B1767" s="500"/>
      <c r="C1767" s="506"/>
      <c r="D1767" s="554"/>
      <c r="E1767" s="495"/>
      <c r="F1767" s="426"/>
      <c r="G1767" s="426"/>
      <c r="H1767" s="426"/>
      <c r="I1767" s="448"/>
      <c r="J1767" s="437"/>
      <c r="K1767" s="456"/>
      <c r="L1767" s="456"/>
      <c r="M1767" s="456"/>
      <c r="N1767" s="372"/>
      <c r="O1767" s="372"/>
      <c r="P1767" s="372"/>
      <c r="Q1767" s="373"/>
      <c r="R1767" s="372"/>
      <c r="S1767" s="373"/>
      <c r="T1767" s="373"/>
      <c r="U1767" s="373"/>
      <c r="V1767" s="373"/>
    </row>
    <row r="1768" spans="1:22" s="457" customFormat="1" ht="30" x14ac:dyDescent="0.2">
      <c r="A1768" s="542" t="s">
        <v>1555</v>
      </c>
      <c r="B1768" s="500" t="s">
        <v>45</v>
      </c>
      <c r="C1768" s="500" t="s">
        <v>154</v>
      </c>
      <c r="D1768" s="540" t="s">
        <v>153</v>
      </c>
      <c r="E1768" s="495" t="s">
        <v>18</v>
      </c>
      <c r="F1768" s="426">
        <v>1</v>
      </c>
      <c r="G1768" s="426">
        <v>208.47</v>
      </c>
      <c r="H1768" s="426">
        <f t="shared" si="107"/>
        <v>263.5804760431763</v>
      </c>
      <c r="I1768" s="448">
        <f t="shared" si="105"/>
        <v>263.58</v>
      </c>
      <c r="J1768" s="437"/>
      <c r="K1768" s="456"/>
      <c r="L1768" s="456" t="s">
        <v>2632</v>
      </c>
      <c r="M1768" s="456"/>
      <c r="N1768" s="372"/>
      <c r="O1768" s="372"/>
      <c r="P1768" s="372"/>
      <c r="Q1768" s="373"/>
      <c r="R1768" s="372"/>
      <c r="S1768" s="373"/>
      <c r="T1768" s="373"/>
      <c r="U1768" s="373"/>
      <c r="V1768" s="373"/>
    </row>
    <row r="1769" spans="1:22" s="457" customFormat="1" x14ac:dyDescent="0.2">
      <c r="A1769" s="542"/>
      <c r="B1769" s="500"/>
      <c r="C1769" s="506"/>
      <c r="D1769" s="554"/>
      <c r="E1769" s="495"/>
      <c r="F1769" s="426"/>
      <c r="G1769" s="426"/>
      <c r="H1769" s="426"/>
      <c r="I1769" s="448"/>
      <c r="J1769" s="437"/>
      <c r="K1769" s="456"/>
      <c r="L1769" s="456"/>
      <c r="M1769" s="456"/>
      <c r="N1769" s="372"/>
      <c r="O1769" s="372"/>
      <c r="P1769" s="372"/>
      <c r="Q1769" s="373"/>
      <c r="R1769" s="372"/>
      <c r="S1769" s="373"/>
      <c r="T1769" s="373"/>
      <c r="U1769" s="373"/>
      <c r="V1769" s="373"/>
    </row>
    <row r="1770" spans="1:22" s="457" customFormat="1" ht="30.75" customHeight="1" x14ac:dyDescent="0.2">
      <c r="A1770" s="542"/>
      <c r="B1770" s="500"/>
      <c r="C1770" s="506"/>
      <c r="D1770" s="554" t="s">
        <v>2280</v>
      </c>
      <c r="E1770" s="495"/>
      <c r="F1770" s="426"/>
      <c r="G1770" s="426"/>
      <c r="H1770" s="426"/>
      <c r="I1770" s="448"/>
      <c r="J1770" s="437"/>
      <c r="K1770" s="456"/>
      <c r="L1770" s="456" t="s">
        <v>2633</v>
      </c>
      <c r="M1770" s="456"/>
      <c r="N1770" s="372"/>
      <c r="O1770" s="372"/>
      <c r="P1770" s="372"/>
      <c r="Q1770" s="373"/>
      <c r="R1770" s="372"/>
      <c r="S1770" s="373"/>
      <c r="T1770" s="373"/>
      <c r="U1770" s="373"/>
      <c r="V1770" s="373"/>
    </row>
    <row r="1771" spans="1:22" s="457" customFormat="1" x14ac:dyDescent="0.2">
      <c r="A1771" s="542"/>
      <c r="B1771" s="500"/>
      <c r="C1771" s="506"/>
      <c r="D1771" s="554"/>
      <c r="E1771" s="495"/>
      <c r="F1771" s="426"/>
      <c r="G1771" s="426"/>
      <c r="H1771" s="426"/>
      <c r="I1771" s="448"/>
      <c r="J1771" s="437"/>
      <c r="K1771" s="456"/>
      <c r="L1771" s="456"/>
      <c r="M1771" s="456"/>
      <c r="N1771" s="372"/>
      <c r="O1771" s="372"/>
      <c r="P1771" s="372"/>
      <c r="Q1771" s="373"/>
      <c r="R1771" s="372"/>
      <c r="S1771" s="373"/>
      <c r="T1771" s="373"/>
      <c r="U1771" s="373"/>
      <c r="V1771" s="373"/>
    </row>
    <row r="1772" spans="1:22" s="373" customFormat="1" ht="45" x14ac:dyDescent="0.2">
      <c r="A1772" s="542" t="s">
        <v>1556</v>
      </c>
      <c r="B1772" s="500" t="s">
        <v>45</v>
      </c>
      <c r="C1772" s="500">
        <v>87480</v>
      </c>
      <c r="D1772" s="540" t="s">
        <v>1418</v>
      </c>
      <c r="E1772" s="495"/>
      <c r="F1772" s="426">
        <f>25.75*3+35.7*0.9</f>
        <v>109.38</v>
      </c>
      <c r="G1772" s="426">
        <v>46.04</v>
      </c>
      <c r="H1772" s="426">
        <f t="shared" si="107"/>
        <v>58.21099015219378</v>
      </c>
      <c r="I1772" s="448">
        <f t="shared" si="105"/>
        <v>6367.12</v>
      </c>
      <c r="J1772" s="437"/>
      <c r="K1772" s="372"/>
      <c r="L1772" s="430" t="s">
        <v>2634</v>
      </c>
      <c r="M1772" s="372"/>
      <c r="N1772" s="372"/>
      <c r="O1772" s="372"/>
      <c r="P1772" s="372"/>
      <c r="R1772" s="372"/>
    </row>
    <row r="1773" spans="1:22" s="457" customFormat="1" x14ac:dyDescent="0.2">
      <c r="A1773" s="542"/>
      <c r="B1773" s="500"/>
      <c r="C1773" s="506"/>
      <c r="D1773" s="554"/>
      <c r="E1773" s="495"/>
      <c r="F1773" s="426"/>
      <c r="G1773" s="426"/>
      <c r="H1773" s="426"/>
      <c r="I1773" s="448"/>
      <c r="J1773" s="437"/>
      <c r="K1773" s="456"/>
      <c r="L1773" s="456"/>
      <c r="M1773" s="456"/>
      <c r="N1773" s="372"/>
      <c r="O1773" s="372"/>
      <c r="P1773" s="372"/>
      <c r="Q1773" s="373"/>
      <c r="R1773" s="372"/>
      <c r="S1773" s="373"/>
      <c r="T1773" s="373"/>
      <c r="U1773" s="373"/>
      <c r="V1773" s="373"/>
    </row>
    <row r="1774" spans="1:22" s="457" customFormat="1" x14ac:dyDescent="0.2">
      <c r="A1774" s="542"/>
      <c r="B1774" s="500"/>
      <c r="C1774" s="506"/>
      <c r="D1774" s="554" t="s">
        <v>2656</v>
      </c>
      <c r="E1774" s="495"/>
      <c r="F1774" s="426"/>
      <c r="G1774" s="426"/>
      <c r="H1774" s="426"/>
      <c r="I1774" s="448"/>
      <c r="J1774" s="437"/>
      <c r="K1774" s="456"/>
      <c r="L1774" s="456" t="s">
        <v>2635</v>
      </c>
      <c r="M1774" s="456"/>
      <c r="N1774" s="372"/>
      <c r="O1774" s="372"/>
      <c r="P1774" s="372"/>
      <c r="Q1774" s="373"/>
      <c r="R1774" s="372"/>
      <c r="S1774" s="373"/>
      <c r="T1774" s="373"/>
      <c r="U1774" s="373"/>
      <c r="V1774" s="373"/>
    </row>
    <row r="1775" spans="1:22" s="457" customFormat="1" x14ac:dyDescent="0.2">
      <c r="A1775" s="542"/>
      <c r="B1775" s="500"/>
      <c r="C1775" s="506"/>
      <c r="D1775" s="554"/>
      <c r="E1775" s="495"/>
      <c r="F1775" s="426"/>
      <c r="G1775" s="426"/>
      <c r="H1775" s="426"/>
      <c r="I1775" s="448"/>
      <c r="J1775" s="437"/>
      <c r="K1775" s="456"/>
      <c r="L1775" s="456"/>
      <c r="M1775" s="456"/>
      <c r="N1775" s="372"/>
      <c r="O1775" s="372"/>
      <c r="P1775" s="372"/>
      <c r="Q1775" s="373"/>
      <c r="R1775" s="372"/>
      <c r="S1775" s="373"/>
      <c r="T1775" s="373"/>
      <c r="U1775" s="373"/>
      <c r="V1775" s="373"/>
    </row>
    <row r="1776" spans="1:22" s="457" customFormat="1" ht="45" x14ac:dyDescent="0.2">
      <c r="A1776" s="542" t="s">
        <v>1557</v>
      </c>
      <c r="B1776" s="506" t="s">
        <v>45</v>
      </c>
      <c r="C1776" s="506">
        <v>87481</v>
      </c>
      <c r="D1776" s="554" t="s">
        <v>1437</v>
      </c>
      <c r="E1776" s="494" t="s">
        <v>15</v>
      </c>
      <c r="F1776" s="426">
        <f>35.7*3</f>
        <v>107.10000000000001</v>
      </c>
      <c r="G1776" s="426">
        <v>53.57</v>
      </c>
      <c r="H1776" s="426">
        <f t="shared" si="107"/>
        <v>67.731597359970038</v>
      </c>
      <c r="I1776" s="448">
        <f t="shared" si="105"/>
        <v>7254.05</v>
      </c>
      <c r="J1776" s="437"/>
      <c r="K1776" s="456"/>
      <c r="L1776" s="456" t="s">
        <v>2636</v>
      </c>
      <c r="M1776" s="456"/>
      <c r="N1776" s="372"/>
      <c r="O1776" s="372"/>
      <c r="P1776" s="372"/>
      <c r="Q1776" s="373"/>
      <c r="R1776" s="372"/>
      <c r="S1776" s="373"/>
      <c r="T1776" s="373"/>
      <c r="U1776" s="373"/>
      <c r="V1776" s="373"/>
    </row>
    <row r="1777" spans="1:22" s="457" customFormat="1" x14ac:dyDescent="0.2">
      <c r="A1777" s="542"/>
      <c r="B1777" s="500"/>
      <c r="C1777" s="506"/>
      <c r="D1777" s="554"/>
      <c r="E1777" s="495"/>
      <c r="F1777" s="426"/>
      <c r="G1777" s="426"/>
      <c r="H1777" s="426"/>
      <c r="I1777" s="448"/>
      <c r="J1777" s="437"/>
      <c r="K1777" s="456"/>
      <c r="L1777" s="456"/>
      <c r="M1777" s="456"/>
      <c r="N1777" s="372"/>
      <c r="O1777" s="372"/>
      <c r="P1777" s="372"/>
      <c r="Q1777" s="373"/>
      <c r="R1777" s="372"/>
      <c r="S1777" s="373"/>
      <c r="T1777" s="373"/>
      <c r="U1777" s="373"/>
      <c r="V1777" s="373"/>
    </row>
    <row r="1778" spans="1:22" s="457" customFormat="1" x14ac:dyDescent="0.2">
      <c r="A1778" s="542"/>
      <c r="B1778" s="500"/>
      <c r="C1778" s="506"/>
      <c r="D1778" s="554" t="s">
        <v>2657</v>
      </c>
      <c r="E1778" s="495"/>
      <c r="F1778" s="426"/>
      <c r="G1778" s="426"/>
      <c r="H1778" s="426"/>
      <c r="I1778" s="448"/>
      <c r="J1778" s="437"/>
      <c r="K1778" s="456"/>
      <c r="L1778" s="456" t="s">
        <v>2637</v>
      </c>
      <c r="M1778" s="456"/>
      <c r="N1778" s="372"/>
      <c r="O1778" s="372"/>
      <c r="P1778" s="372"/>
      <c r="Q1778" s="373"/>
      <c r="R1778" s="372"/>
      <c r="S1778" s="373"/>
      <c r="T1778" s="373"/>
      <c r="U1778" s="373"/>
      <c r="V1778" s="373"/>
    </row>
    <row r="1779" spans="1:22" s="457" customFormat="1" x14ac:dyDescent="0.2">
      <c r="A1779" s="542"/>
      <c r="B1779" s="500"/>
      <c r="C1779" s="506"/>
      <c r="D1779" s="554"/>
      <c r="E1779" s="495"/>
      <c r="F1779" s="426"/>
      <c r="G1779" s="426"/>
      <c r="H1779" s="426"/>
      <c r="I1779" s="448"/>
      <c r="J1779" s="437"/>
      <c r="K1779" s="456"/>
      <c r="L1779" s="456"/>
      <c r="M1779" s="456"/>
      <c r="N1779" s="372"/>
      <c r="O1779" s="372"/>
      <c r="P1779" s="372"/>
      <c r="Q1779" s="373"/>
      <c r="R1779" s="372"/>
      <c r="S1779" s="373"/>
      <c r="T1779" s="373"/>
      <c r="U1779" s="373"/>
      <c r="V1779" s="373"/>
    </row>
    <row r="1780" spans="1:22" s="457" customFormat="1" ht="30" x14ac:dyDescent="0.2">
      <c r="A1780" s="542" t="s">
        <v>1558</v>
      </c>
      <c r="B1780" s="500" t="s">
        <v>45</v>
      </c>
      <c r="C1780" s="500">
        <v>92541</v>
      </c>
      <c r="D1780" s="540" t="s">
        <v>1823</v>
      </c>
      <c r="E1780" s="495" t="s">
        <v>15</v>
      </c>
      <c r="F1780" s="426">
        <v>64.36999999999999</v>
      </c>
      <c r="G1780" s="426">
        <v>44.87</v>
      </c>
      <c r="H1780" s="426">
        <v>44.87</v>
      </c>
      <c r="I1780" s="448">
        <v>2888.28</v>
      </c>
      <c r="J1780" s="437"/>
      <c r="K1780" s="456"/>
      <c r="L1780" s="456"/>
      <c r="M1780" s="456"/>
      <c r="N1780" s="372"/>
      <c r="O1780" s="372"/>
      <c r="P1780" s="372"/>
      <c r="Q1780" s="373"/>
      <c r="R1780" s="372"/>
      <c r="S1780" s="373"/>
      <c r="T1780" s="373"/>
      <c r="U1780" s="373"/>
      <c r="V1780" s="373"/>
    </row>
    <row r="1781" spans="1:22" s="457" customFormat="1" x14ac:dyDescent="0.2">
      <c r="A1781" s="542"/>
      <c r="B1781" s="500"/>
      <c r="C1781" s="500"/>
      <c r="D1781" s="540"/>
      <c r="E1781" s="495"/>
      <c r="F1781" s="426"/>
      <c r="G1781" s="426"/>
      <c r="H1781" s="426"/>
      <c r="I1781" s="448"/>
      <c r="J1781" s="437"/>
      <c r="K1781" s="456"/>
      <c r="L1781" s="456"/>
      <c r="M1781" s="456"/>
      <c r="N1781" s="372"/>
      <c r="O1781" s="372"/>
      <c r="P1781" s="372"/>
      <c r="Q1781" s="373"/>
      <c r="R1781" s="372"/>
      <c r="S1781" s="373"/>
      <c r="T1781" s="373"/>
      <c r="U1781" s="373"/>
      <c r="V1781" s="373"/>
    </row>
    <row r="1782" spans="1:22" s="457" customFormat="1" x14ac:dyDescent="0.2">
      <c r="A1782" s="542"/>
      <c r="B1782" s="500"/>
      <c r="C1782" s="500"/>
      <c r="D1782" s="554" t="s">
        <v>2658</v>
      </c>
      <c r="E1782" s="495"/>
      <c r="F1782" s="426"/>
      <c r="G1782" s="426"/>
      <c r="H1782" s="426"/>
      <c r="I1782" s="448"/>
      <c r="J1782" s="437"/>
      <c r="K1782" s="456"/>
      <c r="L1782" s="456"/>
      <c r="M1782" s="456"/>
      <c r="N1782" s="372"/>
      <c r="O1782" s="372"/>
      <c r="P1782" s="372"/>
      <c r="Q1782" s="373"/>
      <c r="R1782" s="372"/>
      <c r="S1782" s="373"/>
      <c r="T1782" s="373"/>
      <c r="U1782" s="373"/>
      <c r="V1782" s="373"/>
    </row>
    <row r="1783" spans="1:22" s="457" customFormat="1" x14ac:dyDescent="0.2">
      <c r="A1783" s="550"/>
      <c r="B1783" s="551"/>
      <c r="C1783" s="551"/>
      <c r="D1783" s="552"/>
      <c r="E1783" s="495"/>
      <c r="F1783" s="426"/>
      <c r="G1783" s="426"/>
      <c r="H1783" s="426"/>
      <c r="I1783" s="448"/>
      <c r="J1783" s="437"/>
      <c r="K1783" s="456"/>
      <c r="L1783" s="456"/>
      <c r="M1783" s="456"/>
      <c r="N1783" s="372"/>
      <c r="O1783" s="372"/>
      <c r="P1783" s="372"/>
      <c r="Q1783" s="373"/>
      <c r="R1783" s="372"/>
      <c r="S1783" s="373"/>
      <c r="T1783" s="373"/>
      <c r="U1783" s="373"/>
      <c r="V1783" s="373"/>
    </row>
    <row r="1784" spans="1:22" s="457" customFormat="1" ht="30" x14ac:dyDescent="0.2">
      <c r="A1784" s="542" t="s">
        <v>1559</v>
      </c>
      <c r="B1784" s="500" t="s">
        <v>45</v>
      </c>
      <c r="C1784" s="506">
        <v>94201</v>
      </c>
      <c r="D1784" s="554" t="s">
        <v>1824</v>
      </c>
      <c r="E1784" s="495" t="s">
        <v>15</v>
      </c>
      <c r="F1784" s="426">
        <v>64.36999999999999</v>
      </c>
      <c r="G1784" s="426">
        <v>44.75</v>
      </c>
      <c r="H1784" s="426">
        <v>44.75</v>
      </c>
      <c r="I1784" s="448">
        <v>2880.56</v>
      </c>
      <c r="J1784" s="437"/>
      <c r="K1784" s="456"/>
      <c r="L1784" s="456"/>
      <c r="M1784" s="456"/>
      <c r="N1784" s="372"/>
      <c r="O1784" s="372"/>
      <c r="P1784" s="372"/>
      <c r="Q1784" s="373"/>
      <c r="R1784" s="372"/>
      <c r="S1784" s="373"/>
      <c r="T1784" s="373"/>
      <c r="U1784" s="373"/>
      <c r="V1784" s="373"/>
    </row>
    <row r="1785" spans="1:22" s="457" customFormat="1" x14ac:dyDescent="0.2">
      <c r="A1785" s="542"/>
      <c r="B1785" s="500"/>
      <c r="C1785" s="506"/>
      <c r="D1785" s="554"/>
      <c r="E1785" s="495"/>
      <c r="F1785" s="426"/>
      <c r="G1785" s="426"/>
      <c r="H1785" s="426"/>
      <c r="I1785" s="448"/>
      <c r="J1785" s="437"/>
      <c r="K1785" s="456"/>
      <c r="L1785" s="456"/>
      <c r="M1785" s="456"/>
      <c r="N1785" s="372"/>
      <c r="O1785" s="372"/>
      <c r="P1785" s="372"/>
      <c r="Q1785" s="373"/>
      <c r="R1785" s="372"/>
      <c r="S1785" s="373"/>
      <c r="T1785" s="373"/>
      <c r="U1785" s="373"/>
      <c r="V1785" s="373"/>
    </row>
    <row r="1786" spans="1:22" s="457" customFormat="1" x14ac:dyDescent="0.2">
      <c r="A1786" s="542"/>
      <c r="B1786" s="500"/>
      <c r="C1786" s="506"/>
      <c r="D1786" s="554" t="s">
        <v>2658</v>
      </c>
      <c r="E1786" s="495"/>
      <c r="F1786" s="426"/>
      <c r="G1786" s="426"/>
      <c r="H1786" s="426"/>
      <c r="I1786" s="448"/>
      <c r="J1786" s="437"/>
      <c r="K1786" s="456"/>
      <c r="L1786" s="456" t="s">
        <v>2638</v>
      </c>
      <c r="M1786" s="456"/>
      <c r="N1786" s="372"/>
      <c r="O1786" s="372"/>
      <c r="P1786" s="372"/>
      <c r="Q1786" s="373"/>
      <c r="R1786" s="372"/>
      <c r="S1786" s="373"/>
      <c r="T1786" s="373"/>
      <c r="U1786" s="373"/>
      <c r="V1786" s="373"/>
    </row>
    <row r="1787" spans="1:22" s="457" customFormat="1" x14ac:dyDescent="0.2">
      <c r="A1787" s="542"/>
      <c r="B1787" s="500"/>
      <c r="C1787" s="506"/>
      <c r="D1787" s="554"/>
      <c r="E1787" s="495"/>
      <c r="F1787" s="426"/>
      <c r="G1787" s="426"/>
      <c r="H1787" s="426"/>
      <c r="I1787" s="448"/>
      <c r="J1787" s="437"/>
      <c r="K1787" s="456"/>
      <c r="L1787" s="456"/>
      <c r="M1787" s="456"/>
      <c r="N1787" s="372"/>
      <c r="O1787" s="372"/>
      <c r="P1787" s="372"/>
      <c r="Q1787" s="373"/>
      <c r="R1787" s="372"/>
      <c r="S1787" s="373"/>
      <c r="T1787" s="373"/>
      <c r="U1787" s="373"/>
      <c r="V1787" s="373"/>
    </row>
    <row r="1788" spans="1:22" s="457" customFormat="1" ht="30" x14ac:dyDescent="0.2">
      <c r="A1788" s="542" t="s">
        <v>1560</v>
      </c>
      <c r="B1788" s="500" t="s">
        <v>45</v>
      </c>
      <c r="C1788" s="500">
        <v>91341</v>
      </c>
      <c r="D1788" s="540" t="s">
        <v>1822</v>
      </c>
      <c r="E1788" s="495" t="s">
        <v>15</v>
      </c>
      <c r="F1788" s="149">
        <f>0.7*2.1*2+0.8*2.1*3+0.8*2.1*3+1*2.1*2</f>
        <v>17.220000000000002</v>
      </c>
      <c r="G1788" s="426">
        <v>695.38</v>
      </c>
      <c r="H1788" s="426">
        <v>695.38</v>
      </c>
      <c r="I1788" s="448">
        <v>11974.44</v>
      </c>
      <c r="J1788" s="437"/>
      <c r="K1788" s="456"/>
      <c r="L1788" s="456"/>
      <c r="M1788" s="456"/>
      <c r="N1788" s="372"/>
      <c r="O1788" s="372"/>
      <c r="P1788" s="372"/>
      <c r="Q1788" s="373"/>
      <c r="R1788" s="372"/>
      <c r="S1788" s="373"/>
      <c r="T1788" s="373"/>
      <c r="U1788" s="373"/>
      <c r="V1788" s="373"/>
    </row>
    <row r="1789" spans="1:22" s="457" customFormat="1" x14ac:dyDescent="0.2">
      <c r="A1789" s="542"/>
      <c r="B1789" s="500"/>
      <c r="C1789" s="500"/>
      <c r="D1789" s="540"/>
      <c r="E1789" s="495"/>
      <c r="F1789" s="149"/>
      <c r="G1789" s="426"/>
      <c r="H1789" s="426"/>
      <c r="I1789" s="448"/>
      <c r="J1789" s="437"/>
      <c r="K1789" s="456"/>
      <c r="L1789" s="456"/>
      <c r="M1789" s="456"/>
      <c r="N1789" s="372"/>
      <c r="O1789" s="372"/>
      <c r="P1789" s="372"/>
      <c r="Q1789" s="373"/>
      <c r="R1789" s="372"/>
      <c r="S1789" s="373"/>
      <c r="T1789" s="373"/>
      <c r="U1789" s="373"/>
      <c r="V1789" s="373"/>
    </row>
    <row r="1790" spans="1:22" s="457" customFormat="1" ht="30" x14ac:dyDescent="0.2">
      <c r="A1790" s="542"/>
      <c r="B1790" s="500"/>
      <c r="C1790" s="500"/>
      <c r="D1790" s="540" t="s">
        <v>2659</v>
      </c>
      <c r="E1790" s="495"/>
      <c r="F1790" s="426"/>
      <c r="G1790" s="426"/>
      <c r="H1790" s="426"/>
      <c r="I1790" s="448"/>
      <c r="J1790" s="437"/>
      <c r="K1790" s="456"/>
      <c r="L1790" s="456"/>
      <c r="M1790" s="456"/>
      <c r="N1790" s="372"/>
      <c r="O1790" s="372"/>
      <c r="P1790" s="372"/>
      <c r="Q1790" s="373"/>
      <c r="R1790" s="372"/>
      <c r="S1790" s="373"/>
      <c r="T1790" s="373"/>
      <c r="U1790" s="373"/>
      <c r="V1790" s="373"/>
    </row>
    <row r="1791" spans="1:22" s="457" customFormat="1" x14ac:dyDescent="0.2">
      <c r="A1791" s="542"/>
      <c r="B1791" s="500"/>
      <c r="C1791" s="500"/>
      <c r="D1791" s="540"/>
      <c r="E1791" s="495"/>
      <c r="F1791" s="426"/>
      <c r="G1791" s="426"/>
      <c r="H1791" s="426"/>
      <c r="I1791" s="448"/>
      <c r="J1791" s="437"/>
      <c r="K1791" s="456"/>
      <c r="L1791" s="456"/>
      <c r="M1791" s="456"/>
      <c r="N1791" s="372"/>
      <c r="O1791" s="372"/>
      <c r="P1791" s="372"/>
      <c r="Q1791" s="373"/>
      <c r="R1791" s="372"/>
      <c r="S1791" s="373"/>
      <c r="T1791" s="373"/>
      <c r="U1791" s="373"/>
      <c r="V1791" s="373"/>
    </row>
    <row r="1792" spans="1:22" s="457" customFormat="1" ht="30" x14ac:dyDescent="0.2">
      <c r="A1792" s="542" t="s">
        <v>1561</v>
      </c>
      <c r="B1792" s="500" t="s">
        <v>45</v>
      </c>
      <c r="C1792" s="506">
        <v>94576</v>
      </c>
      <c r="D1792" s="554" t="s">
        <v>1832</v>
      </c>
      <c r="E1792" s="495" t="s">
        <v>15</v>
      </c>
      <c r="F1792" s="426">
        <v>14.020000000000001</v>
      </c>
      <c r="G1792" s="426">
        <v>520.70000000000005</v>
      </c>
      <c r="H1792" s="426">
        <v>520.70000000000005</v>
      </c>
      <c r="I1792" s="448">
        <v>7300.21</v>
      </c>
      <c r="J1792" s="437"/>
      <c r="K1792" s="456"/>
      <c r="L1792" s="456"/>
      <c r="M1792" s="456"/>
      <c r="N1792" s="372"/>
      <c r="O1792" s="372"/>
      <c r="P1792" s="372"/>
      <c r="Q1792" s="373"/>
      <c r="R1792" s="372"/>
      <c r="S1792" s="373"/>
      <c r="T1792" s="373"/>
      <c r="U1792" s="373"/>
      <c r="V1792" s="373"/>
    </row>
    <row r="1793" spans="1:22" s="457" customFormat="1" x14ac:dyDescent="0.2">
      <c r="A1793" s="542"/>
      <c r="B1793" s="500"/>
      <c r="C1793" s="506"/>
      <c r="D1793" s="554"/>
      <c r="E1793" s="495"/>
      <c r="F1793" s="426"/>
      <c r="G1793" s="426"/>
      <c r="H1793" s="426"/>
      <c r="I1793" s="448"/>
      <c r="J1793" s="437"/>
      <c r="K1793" s="456"/>
      <c r="L1793" s="456"/>
      <c r="M1793" s="456"/>
      <c r="N1793" s="372"/>
      <c r="O1793" s="372"/>
      <c r="P1793" s="372"/>
      <c r="Q1793" s="373"/>
      <c r="R1793" s="372"/>
      <c r="S1793" s="373"/>
      <c r="T1793" s="373"/>
      <c r="U1793" s="373"/>
      <c r="V1793" s="373"/>
    </row>
    <row r="1794" spans="1:22" s="457" customFormat="1" ht="30" x14ac:dyDescent="0.2">
      <c r="A1794" s="542"/>
      <c r="B1794" s="500"/>
      <c r="C1794" s="506"/>
      <c r="D1794" s="554" t="s">
        <v>2660</v>
      </c>
      <c r="E1794" s="495"/>
      <c r="F1794" s="426"/>
      <c r="G1794" s="426"/>
      <c r="H1794" s="426"/>
      <c r="I1794" s="448"/>
      <c r="J1794" s="437"/>
      <c r="K1794" s="456"/>
      <c r="L1794" s="456" t="s">
        <v>2640</v>
      </c>
      <c r="M1794" s="456"/>
      <c r="N1794" s="372"/>
      <c r="O1794" s="372"/>
      <c r="P1794" s="372"/>
      <c r="Q1794" s="373"/>
      <c r="R1794" s="372"/>
      <c r="S1794" s="373"/>
      <c r="T1794" s="373"/>
      <c r="U1794" s="373"/>
      <c r="V1794" s="373"/>
    </row>
    <row r="1795" spans="1:22" s="457" customFormat="1" x14ac:dyDescent="0.2">
      <c r="A1795" s="542"/>
      <c r="B1795" s="500"/>
      <c r="C1795" s="506"/>
      <c r="D1795" s="554"/>
      <c r="E1795" s="495"/>
      <c r="F1795" s="426"/>
      <c r="G1795" s="426"/>
      <c r="H1795" s="426"/>
      <c r="I1795" s="448"/>
      <c r="J1795" s="437"/>
      <c r="K1795" s="456"/>
      <c r="L1795" s="456"/>
      <c r="M1795" s="456"/>
      <c r="N1795" s="372"/>
      <c r="O1795" s="372"/>
      <c r="P1795" s="372"/>
      <c r="Q1795" s="373"/>
      <c r="R1795" s="372"/>
      <c r="S1795" s="373"/>
      <c r="T1795" s="373"/>
      <c r="U1795" s="373"/>
      <c r="V1795" s="373"/>
    </row>
    <row r="1796" spans="1:22" s="373" customFormat="1" ht="45" x14ac:dyDescent="0.2">
      <c r="A1796" s="542" t="s">
        <v>1562</v>
      </c>
      <c r="B1796" s="500" t="s">
        <v>45</v>
      </c>
      <c r="C1796" s="500">
        <v>87874</v>
      </c>
      <c r="D1796" s="540" t="s">
        <v>423</v>
      </c>
      <c r="E1796" s="495" t="s">
        <v>15</v>
      </c>
      <c r="F1796" s="426">
        <f>(F1772+F1776)*2</f>
        <v>432.96000000000004</v>
      </c>
      <c r="G1796" s="426">
        <v>3.59</v>
      </c>
      <c r="H1796" s="426">
        <f t="shared" si="107"/>
        <v>4.5390411521801841</v>
      </c>
      <c r="I1796" s="448">
        <f t="shared" si="105"/>
        <v>1965.22</v>
      </c>
      <c r="J1796" s="437"/>
      <c r="K1796" s="372"/>
      <c r="L1796" s="430" t="s">
        <v>2639</v>
      </c>
      <c r="M1796" s="372"/>
      <c r="N1796" s="372"/>
      <c r="O1796" s="372"/>
      <c r="P1796" s="372"/>
      <c r="R1796" s="372"/>
    </row>
    <row r="1797" spans="1:22" s="457" customFormat="1" x14ac:dyDescent="0.2">
      <c r="A1797" s="542"/>
      <c r="B1797" s="500"/>
      <c r="C1797" s="506"/>
      <c r="D1797" s="554"/>
      <c r="E1797" s="495"/>
      <c r="F1797" s="426"/>
      <c r="G1797" s="426"/>
      <c r="H1797" s="426"/>
      <c r="I1797" s="448"/>
      <c r="J1797" s="437"/>
      <c r="K1797" s="456"/>
      <c r="L1797" s="456"/>
      <c r="M1797" s="456"/>
      <c r="N1797" s="372"/>
      <c r="O1797" s="372"/>
      <c r="P1797" s="372"/>
      <c r="Q1797" s="373"/>
      <c r="R1797" s="372"/>
      <c r="S1797" s="373"/>
      <c r="T1797" s="373"/>
      <c r="U1797" s="373"/>
      <c r="V1797" s="373"/>
    </row>
    <row r="1798" spans="1:22" s="457" customFormat="1" x14ac:dyDescent="0.2">
      <c r="A1798" s="542"/>
      <c r="B1798" s="500"/>
      <c r="C1798" s="506"/>
      <c r="D1798" s="554" t="s">
        <v>2661</v>
      </c>
      <c r="E1798" s="495"/>
      <c r="F1798" s="426"/>
      <c r="G1798" s="426"/>
      <c r="H1798" s="426"/>
      <c r="I1798" s="448"/>
      <c r="J1798" s="437"/>
      <c r="K1798" s="456"/>
      <c r="L1798" s="456" t="s">
        <v>2641</v>
      </c>
      <c r="M1798" s="456"/>
      <c r="N1798" s="372"/>
      <c r="O1798" s="372"/>
      <c r="P1798" s="372"/>
      <c r="Q1798" s="373"/>
      <c r="R1798" s="372"/>
      <c r="S1798" s="373"/>
      <c r="T1798" s="373"/>
      <c r="U1798" s="373"/>
      <c r="V1798" s="373"/>
    </row>
    <row r="1799" spans="1:22" s="457" customFormat="1" x14ac:dyDescent="0.2">
      <c r="A1799" s="542"/>
      <c r="B1799" s="500"/>
      <c r="C1799" s="506"/>
      <c r="D1799" s="554"/>
      <c r="E1799" s="495"/>
      <c r="F1799" s="426"/>
      <c r="G1799" s="426"/>
      <c r="H1799" s="426"/>
      <c r="I1799" s="448"/>
      <c r="J1799" s="437"/>
      <c r="K1799" s="456"/>
      <c r="L1799" s="456"/>
      <c r="M1799" s="456"/>
      <c r="N1799" s="372"/>
      <c r="O1799" s="372"/>
      <c r="P1799" s="372"/>
      <c r="Q1799" s="373"/>
      <c r="R1799" s="372"/>
      <c r="S1799" s="373"/>
      <c r="T1799" s="373"/>
      <c r="U1799" s="373"/>
      <c r="V1799" s="373"/>
    </row>
    <row r="1800" spans="1:22" s="373" customFormat="1" ht="45" x14ac:dyDescent="0.2">
      <c r="A1800" s="542" t="s">
        <v>1563</v>
      </c>
      <c r="B1800" s="500" t="s">
        <v>45</v>
      </c>
      <c r="C1800" s="500">
        <v>87547</v>
      </c>
      <c r="D1800" s="540" t="s">
        <v>1395</v>
      </c>
      <c r="E1800" s="495" t="s">
        <v>15</v>
      </c>
      <c r="F1800" s="426">
        <f>F1796</f>
        <v>432.96000000000004</v>
      </c>
      <c r="G1800" s="426">
        <v>15.94</v>
      </c>
      <c r="H1800" s="426">
        <f t="shared" si="107"/>
        <v>20.153848458426776</v>
      </c>
      <c r="I1800" s="448">
        <f t="shared" si="105"/>
        <v>8725.81</v>
      </c>
      <c r="J1800" s="437"/>
      <c r="K1800" s="372"/>
      <c r="L1800" s="430" t="s">
        <v>2642</v>
      </c>
      <c r="M1800" s="372"/>
      <c r="N1800" s="372"/>
      <c r="O1800" s="372"/>
      <c r="P1800" s="372"/>
      <c r="R1800" s="372"/>
    </row>
    <row r="1801" spans="1:22" s="457" customFormat="1" x14ac:dyDescent="0.2">
      <c r="A1801" s="542"/>
      <c r="B1801" s="500"/>
      <c r="C1801" s="506"/>
      <c r="D1801" s="554"/>
      <c r="E1801" s="495"/>
      <c r="F1801" s="426"/>
      <c r="G1801" s="426"/>
      <c r="H1801" s="426"/>
      <c r="I1801" s="448"/>
      <c r="J1801" s="437"/>
      <c r="K1801" s="456"/>
      <c r="L1801" s="456"/>
      <c r="M1801" s="456"/>
      <c r="N1801" s="372"/>
      <c r="O1801" s="372"/>
      <c r="P1801" s="372"/>
      <c r="Q1801" s="373"/>
      <c r="R1801" s="372"/>
      <c r="S1801" s="373"/>
      <c r="T1801" s="373"/>
      <c r="U1801" s="373"/>
      <c r="V1801" s="373"/>
    </row>
    <row r="1802" spans="1:22" s="457" customFormat="1" ht="30" x14ac:dyDescent="0.2">
      <c r="A1802" s="542"/>
      <c r="B1802" s="500"/>
      <c r="C1802" s="506"/>
      <c r="D1802" s="554" t="s">
        <v>2661</v>
      </c>
      <c r="E1802" s="495"/>
      <c r="F1802" s="426"/>
      <c r="G1802" s="426"/>
      <c r="H1802" s="426"/>
      <c r="I1802" s="448"/>
      <c r="J1802" s="437"/>
      <c r="K1802" s="456"/>
      <c r="L1802" s="456" t="s">
        <v>380</v>
      </c>
      <c r="M1802" s="456"/>
      <c r="N1802" s="372"/>
      <c r="O1802" s="372"/>
      <c r="P1802" s="372"/>
      <c r="Q1802" s="373"/>
      <c r="R1802" s="372"/>
      <c r="S1802" s="373"/>
      <c r="T1802" s="373"/>
      <c r="U1802" s="373"/>
      <c r="V1802" s="373"/>
    </row>
    <row r="1803" spans="1:22" s="457" customFormat="1" x14ac:dyDescent="0.2">
      <c r="A1803" s="542"/>
      <c r="B1803" s="500"/>
      <c r="C1803" s="506"/>
      <c r="D1803" s="554"/>
      <c r="E1803" s="495"/>
      <c r="F1803" s="426"/>
      <c r="G1803" s="426"/>
      <c r="H1803" s="426"/>
      <c r="I1803" s="448"/>
      <c r="J1803" s="437"/>
      <c r="K1803" s="456"/>
      <c r="L1803" s="456"/>
      <c r="M1803" s="456"/>
      <c r="N1803" s="372"/>
      <c r="O1803" s="372"/>
      <c r="P1803" s="372"/>
      <c r="Q1803" s="373"/>
      <c r="R1803" s="372"/>
      <c r="S1803" s="373"/>
      <c r="T1803" s="373"/>
      <c r="U1803" s="373"/>
      <c r="V1803" s="373"/>
    </row>
    <row r="1804" spans="1:22" s="373" customFormat="1" ht="30" x14ac:dyDescent="0.2">
      <c r="A1804" s="542" t="s">
        <v>1564</v>
      </c>
      <c r="B1804" s="506" t="s">
        <v>45</v>
      </c>
      <c r="C1804" s="506">
        <v>88489</v>
      </c>
      <c r="D1804" s="549" t="s">
        <v>408</v>
      </c>
      <c r="E1804" s="494" t="s">
        <v>15</v>
      </c>
      <c r="F1804" s="426">
        <f>F1800</f>
        <v>432.96000000000004</v>
      </c>
      <c r="G1804" s="426">
        <v>9.7100000000000009</v>
      </c>
      <c r="H1804" s="426">
        <f t="shared" si="107"/>
        <v>12.276905177623842</v>
      </c>
      <c r="I1804" s="448">
        <f t="shared" si="105"/>
        <v>5315.41</v>
      </c>
      <c r="J1804" s="437"/>
      <c r="K1804" s="372"/>
      <c r="L1804" s="430" t="s">
        <v>2251</v>
      </c>
      <c r="M1804" s="372"/>
      <c r="N1804" s="372"/>
      <c r="O1804" s="372"/>
      <c r="P1804" s="372"/>
      <c r="R1804" s="372"/>
    </row>
    <row r="1805" spans="1:22" s="457" customFormat="1" x14ac:dyDescent="0.2">
      <c r="A1805" s="542"/>
      <c r="B1805" s="500"/>
      <c r="C1805" s="506"/>
      <c r="D1805" s="554"/>
      <c r="E1805" s="495"/>
      <c r="F1805" s="426"/>
      <c r="G1805" s="426"/>
      <c r="H1805" s="426"/>
      <c r="I1805" s="448"/>
      <c r="J1805" s="437"/>
      <c r="K1805" s="456"/>
      <c r="L1805" s="456"/>
      <c r="M1805" s="456"/>
      <c r="N1805" s="372"/>
      <c r="O1805" s="372"/>
      <c r="P1805" s="372"/>
      <c r="Q1805" s="373"/>
      <c r="R1805" s="372"/>
      <c r="S1805" s="373"/>
      <c r="T1805" s="373"/>
      <c r="U1805" s="373"/>
      <c r="V1805" s="373"/>
    </row>
    <row r="1806" spans="1:22" s="457" customFormat="1" x14ac:dyDescent="0.2">
      <c r="A1806" s="542"/>
      <c r="B1806" s="500"/>
      <c r="C1806" s="506"/>
      <c r="D1806" s="554" t="s">
        <v>2661</v>
      </c>
      <c r="E1806" s="495"/>
      <c r="F1806" s="426"/>
      <c r="G1806" s="426"/>
      <c r="H1806" s="426"/>
      <c r="I1806" s="448"/>
      <c r="J1806" s="437"/>
      <c r="K1806" s="456"/>
      <c r="L1806" s="456" t="s">
        <v>155</v>
      </c>
      <c r="M1806" s="456"/>
      <c r="N1806" s="372"/>
      <c r="O1806" s="372"/>
      <c r="P1806" s="372"/>
      <c r="Q1806" s="373"/>
      <c r="R1806" s="372"/>
      <c r="S1806" s="373"/>
      <c r="T1806" s="373"/>
      <c r="U1806" s="373"/>
      <c r="V1806" s="373"/>
    </row>
    <row r="1807" spans="1:22" s="457" customFormat="1" x14ac:dyDescent="0.2">
      <c r="A1807" s="542"/>
      <c r="B1807" s="500"/>
      <c r="C1807" s="506"/>
      <c r="D1807" s="554"/>
      <c r="E1807" s="495"/>
      <c r="F1807" s="426"/>
      <c r="G1807" s="426"/>
      <c r="H1807" s="426"/>
      <c r="I1807" s="448"/>
      <c r="J1807" s="437"/>
      <c r="K1807" s="456"/>
      <c r="L1807" s="456"/>
      <c r="M1807" s="456"/>
      <c r="N1807" s="372"/>
      <c r="O1807" s="372"/>
      <c r="P1807" s="372"/>
      <c r="Q1807" s="373"/>
      <c r="R1807" s="372"/>
      <c r="S1807" s="373"/>
      <c r="T1807" s="373"/>
      <c r="U1807" s="373"/>
      <c r="V1807" s="373"/>
    </row>
    <row r="1808" spans="1:22" s="457" customFormat="1" ht="45" x14ac:dyDescent="0.2">
      <c r="A1808" s="542" t="s">
        <v>1565</v>
      </c>
      <c r="B1808" s="500" t="s">
        <v>45</v>
      </c>
      <c r="C1808" s="506">
        <v>87265</v>
      </c>
      <c r="D1808" s="549" t="s">
        <v>1439</v>
      </c>
      <c r="E1808" s="495" t="s">
        <v>15</v>
      </c>
      <c r="F1808" s="426">
        <v>112</v>
      </c>
      <c r="G1808" s="426">
        <v>46.48</v>
      </c>
      <c r="H1808" s="426">
        <f t="shared" si="107"/>
        <v>58.767307173630904</v>
      </c>
      <c r="I1808" s="448">
        <f t="shared" si="105"/>
        <v>6581.94</v>
      </c>
      <c r="J1808" s="437"/>
      <c r="K1808" s="456"/>
      <c r="L1808" s="456" t="s">
        <v>2643</v>
      </c>
      <c r="M1808" s="456"/>
      <c r="N1808" s="372"/>
      <c r="O1808" s="372"/>
      <c r="P1808" s="372"/>
      <c r="Q1808" s="373"/>
      <c r="R1808" s="372"/>
      <c r="S1808" s="373"/>
      <c r="T1808" s="373"/>
      <c r="U1808" s="373"/>
      <c r="V1808" s="373"/>
    </row>
    <row r="1809" spans="1:22" s="457" customFormat="1" x14ac:dyDescent="0.2">
      <c r="A1809" s="542"/>
      <c r="B1809" s="500"/>
      <c r="C1809" s="506"/>
      <c r="D1809" s="554"/>
      <c r="E1809" s="495"/>
      <c r="F1809" s="426"/>
      <c r="G1809" s="426"/>
      <c r="H1809" s="426"/>
      <c r="I1809" s="448"/>
      <c r="J1809" s="437"/>
      <c r="K1809" s="456"/>
      <c r="L1809" s="456"/>
      <c r="M1809" s="456"/>
      <c r="N1809" s="372"/>
      <c r="O1809" s="372"/>
      <c r="P1809" s="372"/>
      <c r="Q1809" s="373"/>
      <c r="R1809" s="372"/>
      <c r="S1809" s="373"/>
      <c r="T1809" s="373"/>
      <c r="U1809" s="373"/>
      <c r="V1809" s="373"/>
    </row>
    <row r="1810" spans="1:22" s="457" customFormat="1" x14ac:dyDescent="0.2">
      <c r="A1810" s="542"/>
      <c r="B1810" s="500"/>
      <c r="C1810" s="506"/>
      <c r="D1810" s="554" t="s">
        <v>2662</v>
      </c>
      <c r="E1810" s="495"/>
      <c r="F1810" s="426"/>
      <c r="G1810" s="426"/>
      <c r="H1810" s="426"/>
      <c r="I1810" s="448"/>
      <c r="J1810" s="437"/>
      <c r="K1810" s="456"/>
      <c r="L1810" s="456" t="s">
        <v>191</v>
      </c>
      <c r="M1810" s="456"/>
      <c r="N1810" s="372"/>
      <c r="O1810" s="372"/>
      <c r="P1810" s="372"/>
      <c r="Q1810" s="373"/>
      <c r="R1810" s="372"/>
      <c r="S1810" s="373"/>
      <c r="T1810" s="373"/>
      <c r="U1810" s="373"/>
      <c r="V1810" s="373"/>
    </row>
    <row r="1811" spans="1:22" s="457" customFormat="1" x14ac:dyDescent="0.2">
      <c r="A1811" s="542"/>
      <c r="B1811" s="500"/>
      <c r="C1811" s="506"/>
      <c r="D1811" s="554"/>
      <c r="E1811" s="495"/>
      <c r="F1811" s="426"/>
      <c r="G1811" s="426"/>
      <c r="H1811" s="426"/>
      <c r="I1811" s="448"/>
      <c r="J1811" s="437"/>
      <c r="K1811" s="456"/>
      <c r="L1811" s="456"/>
      <c r="M1811" s="456"/>
      <c r="N1811" s="372"/>
      <c r="O1811" s="372"/>
      <c r="P1811" s="372"/>
      <c r="Q1811" s="373"/>
      <c r="R1811" s="372"/>
      <c r="S1811" s="373"/>
      <c r="T1811" s="373"/>
      <c r="U1811" s="373"/>
      <c r="V1811" s="373"/>
    </row>
    <row r="1812" spans="1:22" s="457" customFormat="1" ht="45" x14ac:dyDescent="0.2">
      <c r="A1812" s="542" t="s">
        <v>1566</v>
      </c>
      <c r="B1812" s="506" t="s">
        <v>45</v>
      </c>
      <c r="C1812" s="506">
        <v>86927</v>
      </c>
      <c r="D1812" s="554" t="s">
        <v>380</v>
      </c>
      <c r="E1812" s="494" t="s">
        <v>18</v>
      </c>
      <c r="F1812" s="426">
        <v>1</v>
      </c>
      <c r="G1812" s="426">
        <v>222.28</v>
      </c>
      <c r="H1812" s="426">
        <f t="shared" si="107"/>
        <v>281.04124437510063</v>
      </c>
      <c r="I1812" s="448">
        <f t="shared" si="105"/>
        <v>281.04000000000002</v>
      </c>
      <c r="J1812" s="437"/>
      <c r="K1812" s="456"/>
      <c r="L1812" s="456" t="s">
        <v>2643</v>
      </c>
      <c r="M1812" s="456"/>
      <c r="N1812" s="372"/>
      <c r="O1812" s="372"/>
      <c r="P1812" s="372"/>
      <c r="Q1812" s="373"/>
      <c r="R1812" s="372"/>
      <c r="S1812" s="373"/>
      <c r="T1812" s="373"/>
      <c r="U1812" s="373"/>
      <c r="V1812" s="373"/>
    </row>
    <row r="1813" spans="1:22" s="457" customFormat="1" x14ac:dyDescent="0.2">
      <c r="A1813" s="542"/>
      <c r="B1813" s="500"/>
      <c r="C1813" s="506"/>
      <c r="D1813" s="554"/>
      <c r="E1813" s="495"/>
      <c r="F1813" s="426"/>
      <c r="G1813" s="426"/>
      <c r="H1813" s="426"/>
      <c r="I1813" s="448"/>
      <c r="J1813" s="437"/>
      <c r="K1813" s="456"/>
      <c r="L1813" s="456"/>
      <c r="M1813" s="456"/>
      <c r="N1813" s="372"/>
      <c r="O1813" s="372"/>
      <c r="P1813" s="372"/>
      <c r="Q1813" s="373"/>
      <c r="R1813" s="372"/>
      <c r="S1813" s="373"/>
      <c r="T1813" s="373"/>
      <c r="U1813" s="373"/>
      <c r="V1813" s="373"/>
    </row>
    <row r="1814" spans="1:22" s="457" customFormat="1" ht="15" customHeight="1" x14ac:dyDescent="0.2">
      <c r="A1814" s="542"/>
      <c r="B1814" s="500"/>
      <c r="C1814" s="506"/>
      <c r="D1814" s="554" t="s">
        <v>2663</v>
      </c>
      <c r="E1814" s="495"/>
      <c r="F1814" s="426"/>
      <c r="G1814" s="426"/>
      <c r="H1814" s="426"/>
      <c r="I1814" s="448"/>
      <c r="J1814" s="437"/>
      <c r="K1814" s="456"/>
      <c r="L1814" s="456" t="s">
        <v>156</v>
      </c>
      <c r="M1814" s="456"/>
      <c r="N1814" s="372"/>
      <c r="O1814" s="372"/>
      <c r="P1814" s="372"/>
      <c r="Q1814" s="373"/>
      <c r="R1814" s="372"/>
      <c r="S1814" s="373"/>
      <c r="T1814" s="373"/>
      <c r="U1814" s="373"/>
      <c r="V1814" s="373"/>
    </row>
    <row r="1815" spans="1:22" s="457" customFormat="1" x14ac:dyDescent="0.2">
      <c r="A1815" s="542"/>
      <c r="B1815" s="500"/>
      <c r="C1815" s="506"/>
      <c r="D1815" s="554"/>
      <c r="E1815" s="495"/>
      <c r="F1815" s="426"/>
      <c r="G1815" s="426"/>
      <c r="H1815" s="426"/>
      <c r="I1815" s="448"/>
      <c r="J1815" s="437"/>
      <c r="K1815" s="456"/>
      <c r="L1815" s="456"/>
      <c r="M1815" s="456"/>
      <c r="N1815" s="372"/>
      <c r="O1815" s="372"/>
      <c r="P1815" s="372"/>
      <c r="Q1815" s="373"/>
      <c r="R1815" s="372"/>
      <c r="S1815" s="373"/>
      <c r="T1815" s="373"/>
      <c r="U1815" s="373"/>
      <c r="V1815" s="373"/>
    </row>
    <row r="1816" spans="1:22" s="373" customFormat="1" ht="30" x14ac:dyDescent="0.2">
      <c r="A1816" s="542" t="s">
        <v>1567</v>
      </c>
      <c r="B1816" s="500" t="s">
        <v>335</v>
      </c>
      <c r="C1816" s="500" t="s">
        <v>2080</v>
      </c>
      <c r="D1816" s="540" t="s">
        <v>155</v>
      </c>
      <c r="E1816" s="494" t="s">
        <v>18</v>
      </c>
      <c r="F1816" s="426">
        <v>1</v>
      </c>
      <c r="G1816" s="426">
        <f>COMPOSIÇÕES!I578</f>
        <v>888.99999999999989</v>
      </c>
      <c r="H1816" s="426">
        <f t="shared" si="107"/>
        <v>1124.0132546763741</v>
      </c>
      <c r="I1816" s="448">
        <f t="shared" si="105"/>
        <v>1124.01</v>
      </c>
      <c r="J1816" s="437"/>
      <c r="K1816" s="372"/>
      <c r="L1816" s="430" t="s">
        <v>2644</v>
      </c>
      <c r="M1816" s="372"/>
      <c r="N1816" s="372"/>
      <c r="O1816" s="372"/>
      <c r="P1816" s="372"/>
      <c r="R1816" s="372"/>
    </row>
    <row r="1817" spans="1:22" s="457" customFormat="1" x14ac:dyDescent="0.2">
      <c r="A1817" s="542"/>
      <c r="B1817" s="500"/>
      <c r="C1817" s="506"/>
      <c r="D1817" s="554"/>
      <c r="E1817" s="495"/>
      <c r="F1817" s="426"/>
      <c r="G1817" s="426"/>
      <c r="H1817" s="426"/>
      <c r="I1817" s="448"/>
      <c r="J1817" s="437"/>
      <c r="K1817" s="456"/>
      <c r="L1817" s="456"/>
      <c r="M1817" s="456"/>
      <c r="N1817" s="372"/>
      <c r="O1817" s="372"/>
      <c r="P1817" s="372"/>
      <c r="Q1817" s="373"/>
      <c r="R1817" s="372"/>
      <c r="S1817" s="373"/>
      <c r="T1817" s="373"/>
      <c r="U1817" s="373"/>
      <c r="V1817" s="373"/>
    </row>
    <row r="1818" spans="1:22" s="457" customFormat="1" ht="17.25" customHeight="1" x14ac:dyDescent="0.2">
      <c r="A1818" s="542"/>
      <c r="B1818" s="500"/>
      <c r="C1818" s="506"/>
      <c r="D1818" s="554" t="s">
        <v>2664</v>
      </c>
      <c r="E1818" s="495"/>
      <c r="F1818" s="426"/>
      <c r="G1818" s="426"/>
      <c r="H1818" s="426"/>
      <c r="I1818" s="448"/>
      <c r="J1818" s="437"/>
      <c r="K1818" s="456"/>
      <c r="L1818" s="456" t="s">
        <v>2645</v>
      </c>
      <c r="M1818" s="456"/>
      <c r="N1818" s="372"/>
      <c r="O1818" s="372"/>
      <c r="P1818" s="372"/>
      <c r="Q1818" s="373"/>
      <c r="R1818" s="372"/>
      <c r="S1818" s="373"/>
      <c r="T1818" s="373"/>
      <c r="U1818" s="373"/>
      <c r="V1818" s="373"/>
    </row>
    <row r="1819" spans="1:22" s="457" customFormat="1" x14ac:dyDescent="0.2">
      <c r="A1819" s="542"/>
      <c r="B1819" s="500"/>
      <c r="C1819" s="506"/>
      <c r="D1819" s="554"/>
      <c r="E1819" s="495"/>
      <c r="F1819" s="426"/>
      <c r="G1819" s="426"/>
      <c r="H1819" s="426"/>
      <c r="I1819" s="448"/>
      <c r="J1819" s="437"/>
      <c r="K1819" s="456"/>
      <c r="L1819" s="456"/>
      <c r="M1819" s="456"/>
      <c r="N1819" s="372"/>
      <c r="O1819" s="372"/>
      <c r="P1819" s="372"/>
      <c r="Q1819" s="373"/>
      <c r="R1819" s="372"/>
      <c r="S1819" s="373"/>
      <c r="T1819" s="373"/>
      <c r="U1819" s="373"/>
      <c r="V1819" s="373"/>
    </row>
    <row r="1820" spans="1:22" s="373" customFormat="1" ht="30" x14ac:dyDescent="0.2">
      <c r="A1820" s="542" t="s">
        <v>2607</v>
      </c>
      <c r="B1820" s="506" t="s">
        <v>335</v>
      </c>
      <c r="C1820" s="500" t="s">
        <v>2091</v>
      </c>
      <c r="D1820" s="554" t="s">
        <v>191</v>
      </c>
      <c r="E1820" s="494" t="s">
        <v>18</v>
      </c>
      <c r="F1820" s="426">
        <v>1</v>
      </c>
      <c r="G1820" s="426">
        <f>COMPOSIÇÕES!I590</f>
        <v>899.7600000000001</v>
      </c>
      <c r="H1820" s="426">
        <f t="shared" si="107"/>
        <v>1137.6177345642459</v>
      </c>
      <c r="I1820" s="448">
        <f t="shared" si="105"/>
        <v>1137.6199999999999</v>
      </c>
      <c r="J1820" s="437"/>
      <c r="K1820" s="372"/>
      <c r="L1820" s="430" t="s">
        <v>2646</v>
      </c>
      <c r="M1820" s="372"/>
      <c r="N1820" s="372"/>
      <c r="O1820" s="372"/>
      <c r="P1820" s="372"/>
      <c r="R1820" s="372"/>
    </row>
    <row r="1821" spans="1:22" s="457" customFormat="1" x14ac:dyDescent="0.2">
      <c r="A1821" s="542"/>
      <c r="B1821" s="500"/>
      <c r="C1821" s="506"/>
      <c r="D1821" s="554"/>
      <c r="E1821" s="495"/>
      <c r="F1821" s="426"/>
      <c r="G1821" s="426"/>
      <c r="H1821" s="426"/>
      <c r="I1821" s="448"/>
      <c r="J1821" s="437"/>
      <c r="K1821" s="456"/>
      <c r="L1821" s="456"/>
      <c r="M1821" s="456"/>
      <c r="N1821" s="372"/>
      <c r="O1821" s="372"/>
      <c r="P1821" s="372"/>
      <c r="Q1821" s="373"/>
      <c r="R1821" s="372"/>
      <c r="S1821" s="373"/>
      <c r="T1821" s="373"/>
      <c r="U1821" s="373"/>
      <c r="V1821" s="373"/>
    </row>
    <row r="1822" spans="1:22" s="457" customFormat="1" x14ac:dyDescent="0.2">
      <c r="A1822" s="542"/>
      <c r="B1822" s="500"/>
      <c r="C1822" s="506"/>
      <c r="D1822" s="554" t="s">
        <v>2665</v>
      </c>
      <c r="E1822" s="495"/>
      <c r="F1822" s="426"/>
      <c r="G1822" s="426"/>
      <c r="H1822" s="426"/>
      <c r="I1822" s="448"/>
      <c r="J1822" s="437"/>
      <c r="K1822" s="456"/>
      <c r="L1822" s="456" t="s">
        <v>2647</v>
      </c>
      <c r="M1822" s="456"/>
      <c r="N1822" s="372"/>
      <c r="O1822" s="372"/>
      <c r="P1822" s="372"/>
      <c r="Q1822" s="373"/>
      <c r="R1822" s="372"/>
      <c r="S1822" s="373"/>
      <c r="T1822" s="373"/>
      <c r="U1822" s="373"/>
      <c r="V1822" s="373"/>
    </row>
    <row r="1823" spans="1:22" s="457" customFormat="1" x14ac:dyDescent="0.2">
      <c r="A1823" s="542"/>
      <c r="B1823" s="500"/>
      <c r="C1823" s="506"/>
      <c r="D1823" s="554"/>
      <c r="E1823" s="495"/>
      <c r="F1823" s="426"/>
      <c r="G1823" s="426"/>
      <c r="H1823" s="426"/>
      <c r="I1823" s="448"/>
      <c r="J1823" s="437"/>
      <c r="K1823" s="456"/>
      <c r="L1823" s="456"/>
      <c r="M1823" s="456"/>
      <c r="N1823" s="372"/>
      <c r="O1823" s="372"/>
      <c r="P1823" s="372"/>
      <c r="Q1823" s="373"/>
      <c r="R1823" s="372"/>
      <c r="S1823" s="373"/>
      <c r="T1823" s="373"/>
      <c r="U1823" s="373"/>
      <c r="V1823" s="373"/>
    </row>
    <row r="1824" spans="1:22" s="373" customFormat="1" ht="45" x14ac:dyDescent="0.2">
      <c r="A1824" s="542" t="s">
        <v>2608</v>
      </c>
      <c r="B1824" s="500" t="s">
        <v>45</v>
      </c>
      <c r="C1824" s="500" t="s">
        <v>157</v>
      </c>
      <c r="D1824" s="540" t="s">
        <v>156</v>
      </c>
      <c r="E1824" s="495" t="s">
        <v>15</v>
      </c>
      <c r="F1824" s="426">
        <v>20</v>
      </c>
      <c r="G1824" s="426">
        <v>267.14</v>
      </c>
      <c r="H1824" s="426">
        <f t="shared" si="107"/>
        <v>337.76029342434941</v>
      </c>
      <c r="I1824" s="448">
        <f t="shared" si="105"/>
        <v>6755.21</v>
      </c>
      <c r="J1824" s="437"/>
      <c r="K1824" s="372"/>
      <c r="L1824" s="430" t="s">
        <v>2643</v>
      </c>
      <c r="M1824" s="372"/>
      <c r="N1824" s="372"/>
      <c r="O1824" s="372"/>
      <c r="P1824" s="372"/>
      <c r="R1824" s="372"/>
    </row>
    <row r="1825" spans="1:63" s="457" customFormat="1" x14ac:dyDescent="0.2">
      <c r="A1825" s="542"/>
      <c r="B1825" s="500"/>
      <c r="C1825" s="506"/>
      <c r="D1825" s="554"/>
      <c r="E1825" s="495"/>
      <c r="F1825" s="426"/>
      <c r="G1825" s="426"/>
      <c r="H1825" s="426"/>
      <c r="I1825" s="448"/>
      <c r="J1825" s="437"/>
      <c r="K1825" s="456"/>
      <c r="L1825" s="456"/>
      <c r="M1825" s="456"/>
      <c r="N1825" s="372"/>
      <c r="O1825" s="372"/>
      <c r="P1825" s="372"/>
      <c r="Q1825" s="373"/>
      <c r="R1825" s="372"/>
      <c r="S1825" s="373"/>
      <c r="T1825" s="373"/>
      <c r="U1825" s="373"/>
      <c r="V1825" s="373"/>
    </row>
    <row r="1826" spans="1:63" s="457" customFormat="1" x14ac:dyDescent="0.2">
      <c r="A1826" s="542"/>
      <c r="B1826" s="500"/>
      <c r="C1826" s="506"/>
      <c r="D1826" s="554" t="s">
        <v>2666</v>
      </c>
      <c r="E1826" s="495"/>
      <c r="F1826" s="426"/>
      <c r="G1826" s="426"/>
      <c r="H1826" s="426"/>
      <c r="I1826" s="448"/>
      <c r="J1826" s="437"/>
      <c r="K1826" s="456"/>
      <c r="L1826" s="456" t="s">
        <v>2648</v>
      </c>
      <c r="M1826" s="456"/>
      <c r="N1826" s="372"/>
      <c r="O1826" s="372"/>
      <c r="P1826" s="372"/>
      <c r="Q1826" s="373"/>
      <c r="R1826" s="372"/>
      <c r="S1826" s="373"/>
      <c r="T1826" s="373"/>
      <c r="U1826" s="373"/>
      <c r="V1826" s="373"/>
    </row>
    <row r="1827" spans="1:63" s="457" customFormat="1" x14ac:dyDescent="0.2">
      <c r="A1827" s="542"/>
      <c r="B1827" s="500"/>
      <c r="C1827" s="506"/>
      <c r="D1827" s="554"/>
      <c r="E1827" s="495"/>
      <c r="F1827" s="426"/>
      <c r="G1827" s="426"/>
      <c r="H1827" s="426"/>
      <c r="I1827" s="448"/>
      <c r="J1827" s="437"/>
      <c r="K1827" s="456"/>
      <c r="L1827" s="456"/>
      <c r="M1827" s="456"/>
      <c r="N1827" s="372"/>
      <c r="O1827" s="372"/>
      <c r="P1827" s="372"/>
      <c r="Q1827" s="373"/>
      <c r="R1827" s="372"/>
      <c r="S1827" s="373"/>
      <c r="T1827" s="373"/>
      <c r="U1827" s="373"/>
      <c r="V1827" s="373"/>
    </row>
    <row r="1828" spans="1:63" s="457" customFormat="1" ht="30" x14ac:dyDescent="0.2">
      <c r="A1828" s="542" t="s">
        <v>2609</v>
      </c>
      <c r="B1828" s="506" t="s">
        <v>335</v>
      </c>
      <c r="C1828" s="500" t="s">
        <v>2610</v>
      </c>
      <c r="D1828" s="554" t="s">
        <v>1640</v>
      </c>
      <c r="E1828" s="494" t="s">
        <v>19</v>
      </c>
      <c r="F1828" s="426">
        <v>1</v>
      </c>
      <c r="G1828" s="426">
        <f>COMPOSIÇÕES!I601</f>
        <v>8201.7899999999991</v>
      </c>
      <c r="H1828" s="426">
        <f>G1828*(1+$K$16)</f>
        <v>9579.7229730719282</v>
      </c>
      <c r="I1828" s="448">
        <f t="shared" si="105"/>
        <v>9579.7199999999993</v>
      </c>
      <c r="J1828" s="437"/>
      <c r="K1828" s="456"/>
      <c r="L1828" s="456" t="s">
        <v>2643</v>
      </c>
      <c r="M1828" s="456"/>
      <c r="N1828" s="372"/>
      <c r="O1828" s="372"/>
      <c r="P1828" s="372"/>
      <c r="Q1828" s="373"/>
      <c r="R1828" s="372"/>
      <c r="S1828" s="373"/>
      <c r="T1828" s="373"/>
      <c r="U1828" s="373"/>
      <c r="V1828" s="373"/>
    </row>
    <row r="1829" spans="1:63" s="457" customFormat="1" x14ac:dyDescent="0.2">
      <c r="A1829" s="542"/>
      <c r="B1829" s="500"/>
      <c r="C1829" s="506"/>
      <c r="D1829" s="554"/>
      <c r="E1829" s="495"/>
      <c r="F1829" s="426"/>
      <c r="G1829" s="426"/>
      <c r="H1829" s="426"/>
      <c r="I1829" s="448"/>
      <c r="J1829" s="437"/>
      <c r="K1829" s="456"/>
      <c r="L1829" s="456"/>
      <c r="M1829" s="456"/>
      <c r="N1829" s="372"/>
      <c r="O1829" s="372"/>
      <c r="P1829" s="372"/>
      <c r="Q1829" s="373"/>
      <c r="R1829" s="372"/>
      <c r="S1829" s="373"/>
      <c r="T1829" s="373"/>
      <c r="U1829" s="373"/>
      <c r="V1829" s="373"/>
    </row>
    <row r="1830" spans="1:63" s="457" customFormat="1" x14ac:dyDescent="0.2">
      <c r="A1830" s="542"/>
      <c r="B1830" s="500"/>
      <c r="C1830" s="506"/>
      <c r="D1830" s="554" t="s">
        <v>2667</v>
      </c>
      <c r="E1830" s="495"/>
      <c r="F1830" s="426"/>
      <c r="G1830" s="426"/>
      <c r="H1830" s="426"/>
      <c r="I1830" s="448"/>
      <c r="J1830" s="437"/>
      <c r="K1830" s="456"/>
      <c r="L1830" s="456"/>
      <c r="M1830" s="456"/>
      <c r="N1830" s="372"/>
      <c r="O1830" s="372"/>
      <c r="P1830" s="372"/>
      <c r="Q1830" s="373"/>
      <c r="R1830" s="372"/>
      <c r="S1830" s="373"/>
      <c r="T1830" s="373"/>
      <c r="U1830" s="373"/>
      <c r="V1830" s="373"/>
    </row>
    <row r="1831" spans="1:63" s="457" customFormat="1" x14ac:dyDescent="0.2">
      <c r="A1831" s="542"/>
      <c r="B1831" s="500"/>
      <c r="C1831" s="506"/>
      <c r="D1831" s="554"/>
      <c r="E1831" s="495"/>
      <c r="F1831" s="426"/>
      <c r="G1831" s="426"/>
      <c r="H1831" s="426"/>
      <c r="I1831" s="448"/>
      <c r="J1831" s="437"/>
      <c r="K1831" s="456"/>
      <c r="L1831" s="456"/>
      <c r="M1831" s="456"/>
      <c r="N1831" s="372"/>
      <c r="O1831" s="372"/>
      <c r="P1831" s="372"/>
      <c r="Q1831" s="373"/>
      <c r="R1831" s="372"/>
      <c r="S1831" s="373"/>
      <c r="T1831" s="373"/>
      <c r="U1831" s="373"/>
      <c r="V1831" s="373"/>
    </row>
    <row r="1832" spans="1:63" s="457" customFormat="1" x14ac:dyDescent="0.2">
      <c r="A1832" s="538"/>
      <c r="B1832" s="502"/>
      <c r="C1832" s="503"/>
      <c r="D1832" s="559"/>
      <c r="E1832" s="492"/>
      <c r="F1832" s="432"/>
      <c r="G1832" s="433"/>
      <c r="H1832" s="432"/>
      <c r="I1832" s="434"/>
      <c r="J1832" s="429"/>
      <c r="K1832" s="456"/>
      <c r="L1832" s="456"/>
      <c r="M1832" s="456"/>
      <c r="N1832" s="372"/>
      <c r="O1832" s="372"/>
      <c r="P1832" s="372"/>
      <c r="Q1832" s="373"/>
      <c r="R1832" s="372"/>
      <c r="S1832" s="373"/>
      <c r="T1832" s="373"/>
      <c r="U1832" s="373"/>
      <c r="V1832" s="373"/>
    </row>
    <row r="1833" spans="1:63" ht="15.75" x14ac:dyDescent="0.2">
      <c r="A1833" s="558" t="s">
        <v>328</v>
      </c>
      <c r="B1833" s="501"/>
      <c r="C1833" s="501"/>
      <c r="D1833" s="545" t="s">
        <v>601</v>
      </c>
      <c r="E1833" s="491"/>
      <c r="F1833" s="404"/>
      <c r="G1833" s="405"/>
      <c r="H1833" s="406"/>
      <c r="I1833" s="407">
        <f>SUM(I1834:I1890)</f>
        <v>240355.44</v>
      </c>
      <c r="J1833" s="436"/>
      <c r="K1833" s="372"/>
      <c r="L1833" s="372"/>
      <c r="M1833" s="372"/>
      <c r="N1833" s="372"/>
      <c r="O1833" s="372"/>
      <c r="P1833" s="372"/>
      <c r="R1833" s="372"/>
      <c r="W1833" s="374"/>
      <c r="X1833" s="374"/>
      <c r="Y1833" s="374"/>
      <c r="Z1833" s="374"/>
      <c r="AA1833" s="374"/>
      <c r="AB1833" s="374"/>
      <c r="AC1833" s="374"/>
      <c r="AD1833" s="374"/>
      <c r="AE1833" s="374"/>
      <c r="AF1833" s="374"/>
      <c r="AG1833" s="374"/>
      <c r="AH1833" s="374"/>
      <c r="AI1833" s="374"/>
      <c r="AJ1833" s="374"/>
      <c r="AK1833" s="374"/>
      <c r="AL1833" s="374"/>
      <c r="AM1833" s="374"/>
      <c r="AN1833" s="374"/>
      <c r="AO1833" s="374"/>
      <c r="AP1833" s="374"/>
      <c r="AQ1833" s="374"/>
      <c r="AR1833" s="374"/>
      <c r="AS1833" s="374"/>
      <c r="AT1833" s="374"/>
      <c r="AU1833" s="374"/>
      <c r="AV1833" s="374"/>
      <c r="AW1833" s="374"/>
      <c r="AX1833" s="374"/>
      <c r="AY1833" s="374"/>
      <c r="AZ1833" s="374"/>
      <c r="BA1833" s="374"/>
      <c r="BB1833" s="374"/>
      <c r="BC1833" s="374"/>
      <c r="BD1833" s="374"/>
      <c r="BE1833" s="374"/>
      <c r="BF1833" s="374"/>
      <c r="BG1833" s="374"/>
      <c r="BH1833" s="374"/>
      <c r="BI1833" s="374"/>
      <c r="BJ1833" s="374"/>
      <c r="BK1833" s="374"/>
    </row>
    <row r="1834" spans="1:63" s="457" customFormat="1" x14ac:dyDescent="0.2">
      <c r="A1834" s="550" t="s">
        <v>1568</v>
      </c>
      <c r="B1834" s="551" t="s">
        <v>45</v>
      </c>
      <c r="C1834" s="551">
        <v>73610</v>
      </c>
      <c r="D1834" s="552" t="s">
        <v>602</v>
      </c>
      <c r="E1834" s="495" t="s">
        <v>17</v>
      </c>
      <c r="F1834" s="426">
        <f>COMPOSIÇÕES!F711+COMPOSIÇÕES!F721+COMPOSIÇÕES!F726+COMPOSIÇÕES!F730+COMPOSIÇÕES!F733+COMPOSIÇÕES!F736+COMPOSIÇÕES!F741+COMPOSIÇÕES!F744+COMPOSIÇÕES!F747+COMPOSIÇÕES!F751+COMPOSIÇÕES!F764+COMPOSIÇÕES!F765+COMPOSIÇÕES!F774+COMPOSIÇÕES!F780+5.8+1.15+3+COMPOSIÇÕES!F754+COMPOSIÇÕES!F755</f>
        <v>1512.8500000000001</v>
      </c>
      <c r="G1834" s="426">
        <v>0.89</v>
      </c>
      <c r="H1834" s="426">
        <f>G1834*(1+$L$16)</f>
        <v>1.1252776115432768</v>
      </c>
      <c r="I1834" s="448">
        <f>ROUND(F1834*H1834,2)</f>
        <v>1702.38</v>
      </c>
      <c r="J1834" s="437"/>
      <c r="K1834" s="456"/>
      <c r="L1834" s="456"/>
      <c r="M1834" s="456"/>
      <c r="N1834" s="372"/>
      <c r="O1834" s="372"/>
      <c r="P1834" s="372"/>
      <c r="Q1834" s="373"/>
      <c r="R1834" s="372"/>
      <c r="S1834" s="373"/>
      <c r="T1834" s="373"/>
      <c r="U1834" s="373"/>
      <c r="V1834" s="373"/>
    </row>
    <row r="1835" spans="1:63" s="457" customFormat="1" x14ac:dyDescent="0.2">
      <c r="A1835" s="542"/>
      <c r="B1835" s="500"/>
      <c r="C1835" s="500"/>
      <c r="D1835" s="540"/>
      <c r="E1835" s="495"/>
      <c r="F1835" s="426"/>
      <c r="G1835" s="426"/>
      <c r="H1835" s="426"/>
      <c r="I1835" s="448"/>
      <c r="J1835" s="437"/>
      <c r="K1835" s="456"/>
      <c r="L1835" s="456"/>
      <c r="M1835" s="456"/>
      <c r="N1835" s="372"/>
      <c r="O1835" s="372"/>
      <c r="P1835" s="372"/>
      <c r="Q1835" s="373"/>
      <c r="R1835" s="372"/>
      <c r="S1835" s="373"/>
      <c r="T1835" s="373"/>
      <c r="U1835" s="373"/>
      <c r="V1835" s="373"/>
    </row>
    <row r="1836" spans="1:63" s="457" customFormat="1" ht="18" customHeight="1" x14ac:dyDescent="0.2">
      <c r="A1836" s="542"/>
      <c r="B1836" s="500"/>
      <c r="C1836" s="500"/>
      <c r="D1836" s="540" t="s">
        <v>2668</v>
      </c>
      <c r="E1836" s="495"/>
      <c r="F1836" s="426"/>
      <c r="G1836" s="426"/>
      <c r="H1836" s="426"/>
      <c r="I1836" s="448"/>
      <c r="J1836" s="437"/>
      <c r="K1836" s="456"/>
      <c r="L1836" s="456"/>
      <c r="M1836" s="456"/>
      <c r="N1836" s="372"/>
      <c r="O1836" s="372"/>
      <c r="P1836" s="372"/>
      <c r="Q1836" s="373"/>
      <c r="R1836" s="372"/>
      <c r="S1836" s="373"/>
      <c r="T1836" s="373"/>
      <c r="U1836" s="373"/>
      <c r="V1836" s="373"/>
    </row>
    <row r="1837" spans="1:63" s="457" customFormat="1" x14ac:dyDescent="0.2">
      <c r="A1837" s="542"/>
      <c r="B1837" s="500"/>
      <c r="C1837" s="500"/>
      <c r="D1837" s="540"/>
      <c r="E1837" s="495"/>
      <c r="F1837" s="426"/>
      <c r="G1837" s="426"/>
      <c r="H1837" s="426"/>
      <c r="I1837" s="448"/>
      <c r="J1837" s="437"/>
      <c r="K1837" s="456"/>
      <c r="L1837" s="456"/>
      <c r="M1837" s="456"/>
      <c r="N1837" s="372"/>
      <c r="O1837" s="372"/>
      <c r="P1837" s="372"/>
      <c r="Q1837" s="373"/>
      <c r="R1837" s="372"/>
      <c r="S1837" s="373"/>
      <c r="T1837" s="373"/>
      <c r="U1837" s="373"/>
      <c r="V1837" s="373"/>
    </row>
    <row r="1838" spans="1:63" s="457" customFormat="1" ht="60" x14ac:dyDescent="0.2">
      <c r="A1838" s="542" t="s">
        <v>1199</v>
      </c>
      <c r="B1838" s="500" t="s">
        <v>45</v>
      </c>
      <c r="C1838" s="500">
        <v>90105</v>
      </c>
      <c r="D1838" s="540" t="s">
        <v>759</v>
      </c>
      <c r="E1838" s="495" t="s">
        <v>16</v>
      </c>
      <c r="F1838" s="426">
        <f>F1834*0.6*1.2*0.9</f>
        <v>980.32679999999993</v>
      </c>
      <c r="G1838" s="426">
        <v>12.09</v>
      </c>
      <c r="H1838" s="426">
        <f>G1838*(1+$L$16)</f>
        <v>15.286074520851928</v>
      </c>
      <c r="I1838" s="448">
        <f t="shared" ref="I1838:I1890" si="108">ROUND(F1838*H1838,2)</f>
        <v>14985.35</v>
      </c>
      <c r="J1838" s="437"/>
      <c r="K1838" s="456"/>
      <c r="L1838" s="456"/>
      <c r="M1838" s="456"/>
      <c r="N1838" s="372"/>
      <c r="O1838" s="372"/>
      <c r="P1838" s="372"/>
      <c r="Q1838" s="373"/>
      <c r="R1838" s="372"/>
      <c r="S1838" s="373"/>
      <c r="T1838" s="373"/>
      <c r="U1838" s="373"/>
      <c r="V1838" s="373"/>
    </row>
    <row r="1839" spans="1:63" s="457" customFormat="1" x14ac:dyDescent="0.2">
      <c r="A1839" s="542"/>
      <c r="B1839" s="500"/>
      <c r="C1839" s="500"/>
      <c r="D1839" s="540"/>
      <c r="E1839" s="495"/>
      <c r="F1839" s="426"/>
      <c r="G1839" s="426"/>
      <c r="H1839" s="426"/>
      <c r="I1839" s="448"/>
      <c r="J1839" s="437"/>
      <c r="K1839" s="456"/>
      <c r="L1839" s="456"/>
      <c r="M1839" s="456"/>
      <c r="N1839" s="372"/>
      <c r="O1839" s="372"/>
      <c r="P1839" s="372"/>
      <c r="Q1839" s="373"/>
      <c r="R1839" s="372"/>
      <c r="S1839" s="373"/>
      <c r="T1839" s="373"/>
      <c r="U1839" s="373"/>
      <c r="V1839" s="373"/>
    </row>
    <row r="1840" spans="1:63" s="457" customFormat="1" ht="30" x14ac:dyDescent="0.2">
      <c r="A1840" s="542"/>
      <c r="B1840" s="500"/>
      <c r="C1840" s="500"/>
      <c r="D1840" s="540" t="s">
        <v>2669</v>
      </c>
      <c r="E1840" s="495"/>
      <c r="F1840" s="426"/>
      <c r="G1840" s="426"/>
      <c r="H1840" s="426"/>
      <c r="I1840" s="448"/>
      <c r="J1840" s="437"/>
      <c r="K1840" s="456"/>
      <c r="L1840" s="456"/>
      <c r="M1840" s="456"/>
      <c r="N1840" s="372"/>
      <c r="O1840" s="372"/>
      <c r="P1840" s="372"/>
      <c r="Q1840" s="373"/>
      <c r="R1840" s="372"/>
      <c r="S1840" s="373"/>
      <c r="T1840" s="373"/>
      <c r="U1840" s="373"/>
      <c r="V1840" s="373"/>
    </row>
    <row r="1841" spans="1:22" s="457" customFormat="1" x14ac:dyDescent="0.2">
      <c r="A1841" s="542"/>
      <c r="B1841" s="500"/>
      <c r="C1841" s="500"/>
      <c r="D1841" s="540"/>
      <c r="E1841" s="495"/>
      <c r="F1841" s="426"/>
      <c r="G1841" s="426"/>
      <c r="H1841" s="426"/>
      <c r="I1841" s="448"/>
      <c r="J1841" s="437"/>
      <c r="K1841" s="456"/>
      <c r="L1841" s="456"/>
      <c r="M1841" s="456"/>
      <c r="N1841" s="372"/>
      <c r="O1841" s="372"/>
      <c r="P1841" s="372"/>
      <c r="Q1841" s="373"/>
      <c r="R1841" s="372"/>
      <c r="S1841" s="373"/>
      <c r="T1841" s="373"/>
      <c r="U1841" s="373"/>
      <c r="V1841" s="373"/>
    </row>
    <row r="1842" spans="1:22" s="457" customFormat="1" x14ac:dyDescent="0.2">
      <c r="A1842" s="542" t="s">
        <v>1200</v>
      </c>
      <c r="B1842" s="500" t="s">
        <v>45</v>
      </c>
      <c r="C1842" s="500">
        <v>93358</v>
      </c>
      <c r="D1842" s="540" t="s">
        <v>803</v>
      </c>
      <c r="E1842" s="495" t="s">
        <v>16</v>
      </c>
      <c r="F1842" s="426">
        <f>F1834*0.6*1.2*0.1</f>
        <v>108.9252</v>
      </c>
      <c r="G1842" s="426">
        <v>65.819999999999993</v>
      </c>
      <c r="H1842" s="426">
        <f>G1842*(1+$L$16)</f>
        <v>83.219968979526371</v>
      </c>
      <c r="I1842" s="448">
        <f t="shared" si="108"/>
        <v>9064.75</v>
      </c>
      <c r="J1842" s="437"/>
      <c r="K1842" s="456"/>
      <c r="L1842" s="456"/>
      <c r="M1842" s="456"/>
      <c r="N1842" s="372"/>
      <c r="O1842" s="372"/>
      <c r="P1842" s="372"/>
      <c r="Q1842" s="373"/>
      <c r="R1842" s="372"/>
      <c r="S1842" s="373"/>
      <c r="T1842" s="373"/>
      <c r="U1842" s="373"/>
      <c r="V1842" s="373"/>
    </row>
    <row r="1843" spans="1:22" s="457" customFormat="1" x14ac:dyDescent="0.2">
      <c r="A1843" s="542"/>
      <c r="B1843" s="500"/>
      <c r="C1843" s="500"/>
      <c r="D1843" s="540"/>
      <c r="E1843" s="495"/>
      <c r="F1843" s="426"/>
      <c r="G1843" s="426"/>
      <c r="H1843" s="426"/>
      <c r="I1843" s="448"/>
      <c r="J1843" s="437"/>
      <c r="K1843" s="456"/>
      <c r="L1843" s="456"/>
      <c r="M1843" s="456"/>
      <c r="N1843" s="372"/>
      <c r="O1843" s="372"/>
      <c r="P1843" s="372"/>
      <c r="Q1843" s="373"/>
      <c r="R1843" s="372"/>
      <c r="S1843" s="373"/>
      <c r="T1843" s="373"/>
      <c r="U1843" s="373"/>
      <c r="V1843" s="373"/>
    </row>
    <row r="1844" spans="1:22" s="457" customFormat="1" ht="30" x14ac:dyDescent="0.2">
      <c r="A1844" s="542"/>
      <c r="B1844" s="500"/>
      <c r="C1844" s="500"/>
      <c r="D1844" s="540" t="s">
        <v>2670</v>
      </c>
      <c r="E1844" s="495"/>
      <c r="F1844" s="426"/>
      <c r="G1844" s="426"/>
      <c r="H1844" s="426"/>
      <c r="I1844" s="448"/>
      <c r="J1844" s="437"/>
      <c r="K1844" s="456"/>
      <c r="L1844" s="456"/>
      <c r="M1844" s="456"/>
      <c r="N1844" s="372"/>
      <c r="O1844" s="372"/>
      <c r="P1844" s="372"/>
      <c r="Q1844" s="373"/>
      <c r="R1844" s="372"/>
      <c r="S1844" s="373"/>
      <c r="T1844" s="373"/>
      <c r="U1844" s="373"/>
      <c r="V1844" s="373"/>
    </row>
    <row r="1845" spans="1:22" s="457" customFormat="1" x14ac:dyDescent="0.2">
      <c r="A1845" s="542"/>
      <c r="B1845" s="500"/>
      <c r="C1845" s="500"/>
      <c r="D1845" s="540"/>
      <c r="E1845" s="495"/>
      <c r="F1845" s="426"/>
      <c r="G1845" s="426"/>
      <c r="H1845" s="426"/>
      <c r="I1845" s="448"/>
      <c r="J1845" s="437"/>
      <c r="K1845" s="456"/>
      <c r="L1845" s="456"/>
      <c r="M1845" s="456"/>
      <c r="N1845" s="372"/>
      <c r="O1845" s="372"/>
      <c r="P1845" s="372"/>
      <c r="Q1845" s="373"/>
      <c r="R1845" s="372"/>
      <c r="S1845" s="373"/>
      <c r="T1845" s="373"/>
      <c r="U1845" s="373"/>
      <c r="V1845" s="373"/>
    </row>
    <row r="1846" spans="1:22" s="457" customFormat="1" ht="45" x14ac:dyDescent="0.2">
      <c r="A1846" s="542" t="s">
        <v>1201</v>
      </c>
      <c r="B1846" s="500" t="s">
        <v>45</v>
      </c>
      <c r="C1846" s="500">
        <v>93381</v>
      </c>
      <c r="D1846" s="540" t="s">
        <v>1412</v>
      </c>
      <c r="E1846" s="495" t="s">
        <v>16</v>
      </c>
      <c r="F1846" s="426">
        <f>F1838+F1842</f>
        <v>1089.252</v>
      </c>
      <c r="G1846" s="426">
        <v>6.75</v>
      </c>
      <c r="H1846" s="426">
        <f>G1846*(1+$L$16)</f>
        <v>8.5344088515922678</v>
      </c>
      <c r="I1846" s="448">
        <f>ROUND(F1846*H1846,2)</f>
        <v>9296.1200000000008</v>
      </c>
      <c r="J1846" s="437"/>
      <c r="K1846" s="456"/>
      <c r="L1846" s="456"/>
      <c r="M1846" s="456"/>
      <c r="N1846" s="372"/>
      <c r="O1846" s="372"/>
      <c r="P1846" s="372"/>
      <c r="Q1846" s="373"/>
      <c r="R1846" s="372"/>
      <c r="S1846" s="373"/>
      <c r="T1846" s="373"/>
      <c r="U1846" s="373"/>
      <c r="V1846" s="373"/>
    </row>
    <row r="1847" spans="1:22" s="457" customFormat="1" x14ac:dyDescent="0.2">
      <c r="A1847" s="542"/>
      <c r="B1847" s="500"/>
      <c r="C1847" s="500"/>
      <c r="D1847" s="540"/>
      <c r="E1847" s="495"/>
      <c r="F1847" s="426"/>
      <c r="G1847" s="426"/>
      <c r="H1847" s="426"/>
      <c r="I1847" s="448"/>
      <c r="J1847" s="437"/>
      <c r="K1847" s="456"/>
      <c r="L1847" s="456"/>
      <c r="M1847" s="456"/>
      <c r="N1847" s="372"/>
      <c r="O1847" s="372"/>
      <c r="P1847" s="372"/>
      <c r="Q1847" s="373"/>
      <c r="R1847" s="372"/>
      <c r="S1847" s="373"/>
      <c r="T1847" s="373"/>
      <c r="U1847" s="373"/>
      <c r="V1847" s="373"/>
    </row>
    <row r="1848" spans="1:22" s="457" customFormat="1" x14ac:dyDescent="0.2">
      <c r="A1848" s="542"/>
      <c r="B1848" s="500"/>
      <c r="C1848" s="500"/>
      <c r="D1848" s="540" t="s">
        <v>2671</v>
      </c>
      <c r="E1848" s="495"/>
      <c r="F1848" s="426"/>
      <c r="G1848" s="426"/>
      <c r="H1848" s="426"/>
      <c r="I1848" s="448"/>
      <c r="J1848" s="437"/>
      <c r="K1848" s="456"/>
      <c r="L1848" s="456"/>
      <c r="M1848" s="456"/>
      <c r="N1848" s="372"/>
      <c r="O1848" s="372"/>
      <c r="P1848" s="372"/>
      <c r="Q1848" s="373"/>
      <c r="R1848" s="372"/>
      <c r="S1848" s="373"/>
      <c r="T1848" s="373"/>
      <c r="U1848" s="373"/>
      <c r="V1848" s="373"/>
    </row>
    <row r="1849" spans="1:22" s="457" customFormat="1" x14ac:dyDescent="0.2">
      <c r="A1849" s="542"/>
      <c r="B1849" s="500"/>
      <c r="C1849" s="500"/>
      <c r="D1849" s="540"/>
      <c r="E1849" s="495"/>
      <c r="F1849" s="426"/>
      <c r="G1849" s="426"/>
      <c r="H1849" s="426"/>
      <c r="I1849" s="448"/>
      <c r="J1849" s="437"/>
      <c r="K1849" s="456"/>
      <c r="L1849" s="456"/>
      <c r="M1849" s="456"/>
      <c r="N1849" s="372"/>
      <c r="O1849" s="372"/>
      <c r="P1849" s="372"/>
      <c r="Q1849" s="373"/>
      <c r="R1849" s="372"/>
      <c r="S1849" s="373"/>
      <c r="T1849" s="373"/>
      <c r="U1849" s="373"/>
      <c r="V1849" s="373"/>
    </row>
    <row r="1850" spans="1:22" s="373" customFormat="1" ht="30" x14ac:dyDescent="0.2">
      <c r="A1850" s="542" t="s">
        <v>1202</v>
      </c>
      <c r="B1850" s="500" t="s">
        <v>45</v>
      </c>
      <c r="C1850" s="500" t="s">
        <v>90</v>
      </c>
      <c r="D1850" s="540" t="s">
        <v>943</v>
      </c>
      <c r="E1850" s="495" t="s">
        <v>18</v>
      </c>
      <c r="F1850" s="426">
        <v>12</v>
      </c>
      <c r="G1850" s="426">
        <v>322.04000000000002</v>
      </c>
      <c r="H1850" s="426">
        <f t="shared" ref="H1850:H1870" si="109">ROUND((1+$L$16)*G1850,2)</f>
        <v>407.17</v>
      </c>
      <c r="I1850" s="448">
        <f t="shared" ref="I1850" si="110">ROUND(F1850*H1850,2)</f>
        <v>4886.04</v>
      </c>
      <c r="J1850" s="444"/>
      <c r="K1850" s="372">
        <v>0.8</v>
      </c>
      <c r="L1850" s="424">
        <v>2</v>
      </c>
      <c r="M1850" s="372"/>
      <c r="N1850" s="372"/>
      <c r="O1850" s="372"/>
      <c r="P1850" s="372"/>
      <c r="R1850" s="372"/>
    </row>
    <row r="1851" spans="1:22" s="373" customFormat="1" x14ac:dyDescent="0.2">
      <c r="A1851" s="542"/>
      <c r="B1851" s="500"/>
      <c r="C1851" s="500"/>
      <c r="D1851" s="540"/>
      <c r="E1851" s="495"/>
      <c r="F1851" s="426"/>
      <c r="G1851" s="426"/>
      <c r="H1851" s="426"/>
      <c r="I1851" s="448"/>
      <c r="J1851" s="444"/>
      <c r="K1851" s="372"/>
      <c r="L1851" s="424"/>
      <c r="M1851" s="372"/>
      <c r="N1851" s="372"/>
      <c r="O1851" s="372"/>
      <c r="P1851" s="372"/>
      <c r="R1851" s="372"/>
    </row>
    <row r="1852" spans="1:22" s="373" customFormat="1" x14ac:dyDescent="0.2">
      <c r="A1852" s="542"/>
      <c r="B1852" s="500"/>
      <c r="C1852" s="500"/>
      <c r="D1852" s="540" t="s">
        <v>2672</v>
      </c>
      <c r="E1852" s="495"/>
      <c r="F1852" s="426"/>
      <c r="G1852" s="426"/>
      <c r="H1852" s="426"/>
      <c r="I1852" s="448"/>
      <c r="J1852" s="444"/>
      <c r="K1852" s="372"/>
      <c r="L1852" s="424"/>
      <c r="M1852" s="372"/>
      <c r="N1852" s="372"/>
      <c r="O1852" s="372"/>
      <c r="P1852" s="372"/>
      <c r="R1852" s="372"/>
    </row>
    <row r="1853" spans="1:22" s="373" customFormat="1" x14ac:dyDescent="0.2">
      <c r="A1853" s="542"/>
      <c r="B1853" s="500"/>
      <c r="C1853" s="500"/>
      <c r="D1853" s="540"/>
      <c r="E1853" s="495"/>
      <c r="F1853" s="426"/>
      <c r="G1853" s="426"/>
      <c r="H1853" s="426"/>
      <c r="I1853" s="448"/>
      <c r="J1853" s="444"/>
      <c r="K1853" s="372"/>
      <c r="L1853" s="424"/>
      <c r="M1853" s="372"/>
      <c r="N1853" s="372"/>
      <c r="O1853" s="372"/>
      <c r="P1853" s="372"/>
      <c r="R1853" s="372"/>
    </row>
    <row r="1854" spans="1:22" s="373" customFormat="1" ht="45" x14ac:dyDescent="0.2">
      <c r="A1854" s="542" t="s">
        <v>1203</v>
      </c>
      <c r="B1854" s="500" t="s">
        <v>45</v>
      </c>
      <c r="C1854" s="500" t="s">
        <v>343</v>
      </c>
      <c r="D1854" s="540" t="s">
        <v>1447</v>
      </c>
      <c r="E1854" s="495" t="s">
        <v>18</v>
      </c>
      <c r="F1854" s="426">
        <v>1</v>
      </c>
      <c r="G1854" s="426">
        <v>1216.3</v>
      </c>
      <c r="H1854" s="426">
        <f t="shared" si="109"/>
        <v>1537.84</v>
      </c>
      <c r="I1854" s="448">
        <f t="shared" ref="I1854:I1866" si="111">ROUND(F1854*H1854,2)</f>
        <v>1537.84</v>
      </c>
      <c r="J1854" s="444"/>
      <c r="K1854" s="372">
        <v>1</v>
      </c>
      <c r="L1854" s="424">
        <v>11</v>
      </c>
      <c r="M1854" s="372"/>
      <c r="N1854" s="372"/>
      <c r="O1854" s="372"/>
      <c r="P1854" s="372"/>
      <c r="R1854" s="372"/>
    </row>
    <row r="1855" spans="1:22" s="373" customFormat="1" x14ac:dyDescent="0.2">
      <c r="A1855" s="542"/>
      <c r="B1855" s="500"/>
      <c r="C1855" s="500"/>
      <c r="D1855" s="540"/>
      <c r="E1855" s="495"/>
      <c r="F1855" s="426"/>
      <c r="G1855" s="426"/>
      <c r="H1855" s="426"/>
      <c r="I1855" s="448"/>
      <c r="J1855" s="444"/>
      <c r="K1855" s="372"/>
      <c r="L1855" s="424"/>
      <c r="M1855" s="372"/>
      <c r="N1855" s="372"/>
      <c r="O1855" s="372"/>
      <c r="P1855" s="372"/>
      <c r="R1855" s="372"/>
    </row>
    <row r="1856" spans="1:22" s="373" customFormat="1" x14ac:dyDescent="0.2">
      <c r="A1856" s="542"/>
      <c r="B1856" s="500"/>
      <c r="C1856" s="500"/>
      <c r="D1856" s="540" t="s">
        <v>2280</v>
      </c>
      <c r="E1856" s="495"/>
      <c r="F1856" s="426"/>
      <c r="G1856" s="426"/>
      <c r="H1856" s="426"/>
      <c r="I1856" s="448"/>
      <c r="J1856" s="444"/>
      <c r="K1856" s="372"/>
      <c r="L1856" s="424"/>
      <c r="M1856" s="372"/>
      <c r="N1856" s="372"/>
      <c r="O1856" s="372"/>
      <c r="P1856" s="372"/>
      <c r="R1856" s="372"/>
    </row>
    <row r="1857" spans="1:18" s="373" customFormat="1" x14ac:dyDescent="0.2">
      <c r="A1857" s="542"/>
      <c r="B1857" s="500"/>
      <c r="C1857" s="500"/>
      <c r="D1857" s="540"/>
      <c r="E1857" s="495"/>
      <c r="F1857" s="426"/>
      <c r="G1857" s="426"/>
      <c r="H1857" s="426"/>
      <c r="I1857" s="448"/>
      <c r="J1857" s="444"/>
      <c r="K1857" s="372"/>
      <c r="L1857" s="424"/>
      <c r="M1857" s="372"/>
      <c r="N1857" s="372"/>
      <c r="O1857" s="372"/>
      <c r="P1857" s="372"/>
      <c r="R1857" s="372"/>
    </row>
    <row r="1858" spans="1:18" s="373" customFormat="1" ht="45" x14ac:dyDescent="0.2">
      <c r="A1858" s="542" t="s">
        <v>1204</v>
      </c>
      <c r="B1858" s="500" t="s">
        <v>45</v>
      </c>
      <c r="C1858" s="500" t="s">
        <v>1449</v>
      </c>
      <c r="D1858" s="540" t="s">
        <v>1450</v>
      </c>
      <c r="E1858" s="495" t="s">
        <v>18</v>
      </c>
      <c r="F1858" s="426">
        <v>1</v>
      </c>
      <c r="G1858" s="426">
        <v>1366.79</v>
      </c>
      <c r="H1858" s="426">
        <f t="shared" si="109"/>
        <v>1728.11</v>
      </c>
      <c r="I1858" s="448">
        <f t="shared" si="111"/>
        <v>1728.11</v>
      </c>
      <c r="J1858" s="444"/>
      <c r="K1858" s="372">
        <v>1.4</v>
      </c>
      <c r="L1858" s="424">
        <v>5</v>
      </c>
      <c r="M1858" s="372"/>
      <c r="N1858" s="372"/>
      <c r="O1858" s="372"/>
      <c r="P1858" s="372"/>
      <c r="R1858" s="372"/>
    </row>
    <row r="1859" spans="1:18" s="373" customFormat="1" x14ac:dyDescent="0.2">
      <c r="A1859" s="542"/>
      <c r="B1859" s="500"/>
      <c r="C1859" s="500"/>
      <c r="D1859" s="540"/>
      <c r="E1859" s="495"/>
      <c r="F1859" s="426"/>
      <c r="G1859" s="426"/>
      <c r="H1859" s="426"/>
      <c r="I1859" s="448"/>
      <c r="J1859" s="444"/>
      <c r="K1859" s="372"/>
      <c r="L1859" s="424"/>
      <c r="M1859" s="372"/>
      <c r="N1859" s="372"/>
      <c r="O1859" s="372"/>
      <c r="P1859" s="372"/>
      <c r="R1859" s="372"/>
    </row>
    <row r="1860" spans="1:18" s="373" customFormat="1" x14ac:dyDescent="0.2">
      <c r="A1860" s="542"/>
      <c r="B1860" s="500"/>
      <c r="C1860" s="500"/>
      <c r="D1860" s="540" t="s">
        <v>2280</v>
      </c>
      <c r="E1860" s="495"/>
      <c r="F1860" s="426"/>
      <c r="G1860" s="426"/>
      <c r="H1860" s="426"/>
      <c r="I1860" s="448"/>
      <c r="J1860" s="444"/>
      <c r="K1860" s="372"/>
      <c r="L1860" s="424"/>
      <c r="M1860" s="372"/>
      <c r="N1860" s="372"/>
      <c r="O1860" s="372"/>
      <c r="P1860" s="372"/>
      <c r="R1860" s="372"/>
    </row>
    <row r="1861" spans="1:18" s="373" customFormat="1" x14ac:dyDescent="0.2">
      <c r="A1861" s="542"/>
      <c r="B1861" s="500"/>
      <c r="C1861" s="500"/>
      <c r="D1861" s="540"/>
      <c r="E1861" s="495"/>
      <c r="F1861" s="426"/>
      <c r="G1861" s="426"/>
      <c r="H1861" s="426"/>
      <c r="I1861" s="448"/>
      <c r="J1861" s="444"/>
      <c r="K1861" s="372"/>
      <c r="L1861" s="424"/>
      <c r="M1861" s="372"/>
      <c r="N1861" s="372"/>
      <c r="O1861" s="372"/>
      <c r="P1861" s="372"/>
      <c r="R1861" s="372"/>
    </row>
    <row r="1862" spans="1:18" s="373" customFormat="1" ht="45" x14ac:dyDescent="0.2">
      <c r="A1862" s="542" t="s">
        <v>1205</v>
      </c>
      <c r="B1862" s="500" t="s">
        <v>45</v>
      </c>
      <c r="C1862" s="500" t="s">
        <v>1453</v>
      </c>
      <c r="D1862" s="540" t="s">
        <v>1454</v>
      </c>
      <c r="E1862" s="495" t="s">
        <v>18</v>
      </c>
      <c r="F1862" s="426">
        <v>1</v>
      </c>
      <c r="G1862" s="426">
        <v>1385.24</v>
      </c>
      <c r="H1862" s="426">
        <f t="shared" si="109"/>
        <v>1751.44</v>
      </c>
      <c r="I1862" s="448">
        <f t="shared" si="111"/>
        <v>1751.44</v>
      </c>
      <c r="J1862" s="444"/>
      <c r="K1862" s="372">
        <v>1.6</v>
      </c>
      <c r="L1862" s="424">
        <v>3</v>
      </c>
      <c r="M1862" s="372"/>
      <c r="N1862" s="372"/>
      <c r="O1862" s="372"/>
      <c r="P1862" s="372"/>
      <c r="R1862" s="372"/>
    </row>
    <row r="1863" spans="1:18" s="373" customFormat="1" x14ac:dyDescent="0.2">
      <c r="A1863" s="542"/>
      <c r="B1863" s="500"/>
      <c r="C1863" s="500"/>
      <c r="D1863" s="540"/>
      <c r="E1863" s="495"/>
      <c r="F1863" s="426"/>
      <c r="G1863" s="426"/>
      <c r="H1863" s="426"/>
      <c r="I1863" s="448"/>
      <c r="J1863" s="444"/>
      <c r="K1863" s="372"/>
      <c r="L1863" s="424"/>
      <c r="M1863" s="372"/>
      <c r="N1863" s="372"/>
      <c r="O1863" s="372"/>
      <c r="P1863" s="372"/>
      <c r="R1863" s="372"/>
    </row>
    <row r="1864" spans="1:18" s="373" customFormat="1" x14ac:dyDescent="0.2">
      <c r="A1864" s="542"/>
      <c r="B1864" s="500"/>
      <c r="C1864" s="500"/>
      <c r="D1864" s="540" t="s">
        <v>2280</v>
      </c>
      <c r="E1864" s="495"/>
      <c r="F1864" s="426"/>
      <c r="G1864" s="426"/>
      <c r="H1864" s="426"/>
      <c r="I1864" s="448"/>
      <c r="J1864" s="444"/>
      <c r="K1864" s="372"/>
      <c r="L1864" s="424"/>
      <c r="M1864" s="372"/>
      <c r="N1864" s="372"/>
      <c r="O1864" s="372"/>
      <c r="P1864" s="372"/>
      <c r="R1864" s="372"/>
    </row>
    <row r="1865" spans="1:18" s="373" customFormat="1" x14ac:dyDescent="0.2">
      <c r="A1865" s="542"/>
      <c r="B1865" s="500"/>
      <c r="C1865" s="500"/>
      <c r="D1865" s="540"/>
      <c r="E1865" s="495"/>
      <c r="F1865" s="426"/>
      <c r="G1865" s="426"/>
      <c r="H1865" s="426"/>
      <c r="I1865" s="448"/>
      <c r="J1865" s="444"/>
      <c r="K1865" s="372"/>
      <c r="L1865" s="424"/>
      <c r="M1865" s="372"/>
      <c r="N1865" s="372"/>
      <c r="O1865" s="372"/>
      <c r="P1865" s="372"/>
      <c r="R1865" s="372"/>
    </row>
    <row r="1866" spans="1:18" s="373" customFormat="1" ht="45" x14ac:dyDescent="0.2">
      <c r="A1866" s="542" t="s">
        <v>1206</v>
      </c>
      <c r="B1866" s="500" t="s">
        <v>45</v>
      </c>
      <c r="C1866" s="500" t="s">
        <v>1455</v>
      </c>
      <c r="D1866" s="540" t="s">
        <v>1456</v>
      </c>
      <c r="E1866" s="495" t="s">
        <v>18</v>
      </c>
      <c r="F1866" s="426">
        <v>1</v>
      </c>
      <c r="G1866" s="426">
        <v>1496.01</v>
      </c>
      <c r="H1866" s="426">
        <f t="shared" si="109"/>
        <v>1891.49</v>
      </c>
      <c r="I1866" s="448">
        <f t="shared" si="111"/>
        <v>1891.49</v>
      </c>
      <c r="J1866" s="444"/>
      <c r="K1866" s="372">
        <v>1.7</v>
      </c>
      <c r="L1866" s="424">
        <v>3</v>
      </c>
      <c r="M1866" s="372"/>
      <c r="N1866" s="372"/>
      <c r="O1866" s="372"/>
      <c r="P1866" s="372"/>
      <c r="R1866" s="372"/>
    </row>
    <row r="1867" spans="1:18" s="373" customFormat="1" x14ac:dyDescent="0.2">
      <c r="A1867" s="542"/>
      <c r="B1867" s="500"/>
      <c r="C1867" s="500"/>
      <c r="D1867" s="540"/>
      <c r="E1867" s="495"/>
      <c r="F1867" s="426"/>
      <c r="G1867" s="426"/>
      <c r="H1867" s="426"/>
      <c r="I1867" s="448"/>
      <c r="J1867" s="444"/>
      <c r="K1867" s="372"/>
      <c r="L1867" s="424"/>
      <c r="M1867" s="372"/>
      <c r="N1867" s="372"/>
      <c r="O1867" s="372"/>
      <c r="P1867" s="372"/>
      <c r="R1867" s="372"/>
    </row>
    <row r="1868" spans="1:18" s="373" customFormat="1" x14ac:dyDescent="0.2">
      <c r="A1868" s="542"/>
      <c r="B1868" s="500"/>
      <c r="C1868" s="500"/>
      <c r="D1868" s="540" t="s">
        <v>2280</v>
      </c>
      <c r="E1868" s="495"/>
      <c r="F1868" s="426"/>
      <c r="G1868" s="426"/>
      <c r="H1868" s="426"/>
      <c r="I1868" s="448"/>
      <c r="J1868" s="444"/>
      <c r="K1868" s="372"/>
      <c r="L1868" s="424"/>
      <c r="M1868" s="372"/>
      <c r="N1868" s="372"/>
      <c r="O1868" s="372"/>
      <c r="P1868" s="372"/>
      <c r="R1868" s="372"/>
    </row>
    <row r="1869" spans="1:18" s="373" customFormat="1" x14ac:dyDescent="0.2">
      <c r="A1869" s="542"/>
      <c r="B1869" s="500"/>
      <c r="C1869" s="500"/>
      <c r="D1869" s="540"/>
      <c r="E1869" s="495"/>
      <c r="F1869" s="426"/>
      <c r="G1869" s="426"/>
      <c r="H1869" s="426"/>
      <c r="I1869" s="448"/>
      <c r="J1869" s="444"/>
      <c r="K1869" s="372"/>
      <c r="L1869" s="424"/>
      <c r="M1869" s="372"/>
      <c r="N1869" s="372"/>
      <c r="O1869" s="372"/>
      <c r="P1869" s="372"/>
      <c r="R1869" s="372"/>
    </row>
    <row r="1870" spans="1:18" s="373" customFormat="1" ht="30" x14ac:dyDescent="0.2">
      <c r="A1870" s="542" t="s">
        <v>1207</v>
      </c>
      <c r="B1870" s="500" t="s">
        <v>45</v>
      </c>
      <c r="C1870" s="500" t="s">
        <v>1462</v>
      </c>
      <c r="D1870" s="540" t="s">
        <v>1442</v>
      </c>
      <c r="E1870" s="495" t="s">
        <v>18</v>
      </c>
      <c r="F1870" s="426">
        <v>2</v>
      </c>
      <c r="G1870" s="426">
        <v>1784.47</v>
      </c>
      <c r="H1870" s="426">
        <f t="shared" si="109"/>
        <v>2256.21</v>
      </c>
      <c r="I1870" s="448">
        <f t="shared" ref="I1870" si="112">ROUND(F1870*H1870,2)</f>
        <v>4512.42</v>
      </c>
      <c r="J1870" s="444"/>
      <c r="K1870" s="372"/>
      <c r="L1870" s="424"/>
      <c r="M1870" s="372"/>
      <c r="N1870" s="372"/>
      <c r="O1870" s="372"/>
      <c r="P1870" s="372"/>
      <c r="R1870" s="372"/>
    </row>
    <row r="1871" spans="1:18" s="373" customFormat="1" x14ac:dyDescent="0.2">
      <c r="A1871" s="542"/>
      <c r="B1871" s="500"/>
      <c r="C1871" s="500"/>
      <c r="D1871" s="540"/>
      <c r="E1871" s="495"/>
      <c r="F1871" s="426"/>
      <c r="G1871" s="426"/>
      <c r="H1871" s="426"/>
      <c r="I1871" s="448"/>
      <c r="J1871" s="444"/>
      <c r="K1871" s="372"/>
      <c r="L1871" s="424"/>
      <c r="M1871" s="372"/>
      <c r="N1871" s="372"/>
      <c r="O1871" s="372"/>
      <c r="P1871" s="372"/>
      <c r="R1871" s="372"/>
    </row>
    <row r="1872" spans="1:18" s="373" customFormat="1" x14ac:dyDescent="0.2">
      <c r="A1872" s="542"/>
      <c r="B1872" s="500"/>
      <c r="C1872" s="500"/>
      <c r="D1872" s="540" t="s">
        <v>2279</v>
      </c>
      <c r="E1872" s="495"/>
      <c r="F1872" s="426"/>
      <c r="G1872" s="426"/>
      <c r="H1872" s="426"/>
      <c r="I1872" s="448"/>
      <c r="J1872" s="444"/>
      <c r="K1872" s="372"/>
      <c r="L1872" s="424"/>
      <c r="M1872" s="372"/>
      <c r="N1872" s="372"/>
      <c r="O1872" s="372"/>
      <c r="P1872" s="372"/>
      <c r="R1872" s="372"/>
    </row>
    <row r="1873" spans="1:22" s="373" customFormat="1" x14ac:dyDescent="0.2">
      <c r="A1873" s="542"/>
      <c r="B1873" s="500"/>
      <c r="C1873" s="500"/>
      <c r="D1873" s="540"/>
      <c r="E1873" s="495"/>
      <c r="F1873" s="426"/>
      <c r="G1873" s="426"/>
      <c r="H1873" s="426"/>
      <c r="I1873" s="448"/>
      <c r="J1873" s="444"/>
      <c r="K1873" s="372"/>
      <c r="L1873" s="424"/>
      <c r="M1873" s="372"/>
      <c r="N1873" s="372"/>
      <c r="O1873" s="372"/>
      <c r="P1873" s="372"/>
      <c r="R1873" s="372"/>
    </row>
    <row r="1874" spans="1:22" s="373" customFormat="1" ht="30" x14ac:dyDescent="0.2">
      <c r="A1874" s="542" t="s">
        <v>1208</v>
      </c>
      <c r="B1874" s="500" t="s">
        <v>45</v>
      </c>
      <c r="C1874" s="500">
        <v>6240</v>
      </c>
      <c r="D1874" s="540" t="s">
        <v>1458</v>
      </c>
      <c r="E1874" s="495" t="s">
        <v>18</v>
      </c>
      <c r="F1874" s="426">
        <f>F1850</f>
        <v>12</v>
      </c>
      <c r="G1874" s="426">
        <v>403.82</v>
      </c>
      <c r="H1874" s="426">
        <f>ROUND((1+$K$16)*G1874,2)</f>
        <v>471.66</v>
      </c>
      <c r="I1874" s="448">
        <f t="shared" ref="I1874" si="113">ROUND(F1874*H1874,2)</f>
        <v>5659.92</v>
      </c>
      <c r="J1874" s="444"/>
      <c r="K1874" s="372"/>
      <c r="L1874" s="424"/>
      <c r="M1874" s="372"/>
      <c r="N1874" s="372"/>
      <c r="O1874" s="372"/>
      <c r="P1874" s="372"/>
      <c r="R1874" s="372"/>
    </row>
    <row r="1875" spans="1:22" s="373" customFormat="1" x14ac:dyDescent="0.2">
      <c r="A1875" s="542"/>
      <c r="B1875" s="500"/>
      <c r="C1875" s="500"/>
      <c r="D1875" s="540"/>
      <c r="E1875" s="495"/>
      <c r="F1875" s="426"/>
      <c r="G1875" s="426"/>
      <c r="H1875" s="426"/>
      <c r="I1875" s="448"/>
      <c r="J1875" s="444"/>
      <c r="K1875" s="372"/>
      <c r="L1875" s="424"/>
      <c r="M1875" s="372"/>
      <c r="N1875" s="372"/>
      <c r="O1875" s="372"/>
      <c r="P1875" s="372"/>
      <c r="R1875" s="372"/>
    </row>
    <row r="1876" spans="1:22" s="373" customFormat="1" x14ac:dyDescent="0.2">
      <c r="A1876" s="542"/>
      <c r="B1876" s="500"/>
      <c r="C1876" s="500"/>
      <c r="D1876" s="540" t="s">
        <v>2673</v>
      </c>
      <c r="E1876" s="495"/>
      <c r="F1876" s="426"/>
      <c r="G1876" s="426"/>
      <c r="H1876" s="426"/>
      <c r="I1876" s="448"/>
      <c r="J1876" s="444"/>
      <c r="K1876" s="372"/>
      <c r="L1876" s="424"/>
      <c r="M1876" s="372"/>
      <c r="N1876" s="372"/>
      <c r="O1876" s="372"/>
      <c r="P1876" s="372"/>
      <c r="R1876" s="372"/>
    </row>
    <row r="1877" spans="1:22" s="373" customFormat="1" x14ac:dyDescent="0.2">
      <c r="A1877" s="542"/>
      <c r="B1877" s="500"/>
      <c r="C1877" s="500"/>
      <c r="D1877" s="540"/>
      <c r="E1877" s="495"/>
      <c r="F1877" s="426"/>
      <c r="G1877" s="426"/>
      <c r="H1877" s="426"/>
      <c r="I1877" s="448"/>
      <c r="J1877" s="444"/>
      <c r="K1877" s="372"/>
      <c r="L1877" s="424"/>
      <c r="M1877" s="372"/>
      <c r="N1877" s="372"/>
      <c r="O1877" s="372"/>
      <c r="P1877" s="372"/>
      <c r="R1877" s="372"/>
    </row>
    <row r="1878" spans="1:22" s="457" customFormat="1" ht="30" x14ac:dyDescent="0.2">
      <c r="A1878" s="542" t="s">
        <v>1209</v>
      </c>
      <c r="B1878" s="500" t="s">
        <v>45</v>
      </c>
      <c r="C1878" s="500">
        <v>83659</v>
      </c>
      <c r="D1878" s="540" t="s">
        <v>1463</v>
      </c>
      <c r="E1878" s="495" t="s">
        <v>18</v>
      </c>
      <c r="F1878" s="426">
        <v>2</v>
      </c>
      <c r="G1878" s="426">
        <v>710.76</v>
      </c>
      <c r="H1878" s="426">
        <f>G1878*(1+$L$16)</f>
        <v>898.65428671966231</v>
      </c>
      <c r="I1878" s="448">
        <f t="shared" si="108"/>
        <v>1797.31</v>
      </c>
      <c r="J1878" s="437"/>
      <c r="K1878" s="456"/>
      <c r="L1878" s="456"/>
      <c r="M1878" s="456"/>
      <c r="N1878" s="372"/>
      <c r="O1878" s="372"/>
      <c r="P1878" s="372"/>
      <c r="Q1878" s="373"/>
      <c r="R1878" s="372"/>
      <c r="S1878" s="373"/>
      <c r="T1878" s="373"/>
      <c r="U1878" s="373"/>
      <c r="V1878" s="373"/>
    </row>
    <row r="1879" spans="1:22" s="457" customFormat="1" x14ac:dyDescent="0.2">
      <c r="A1879" s="542"/>
      <c r="B1879" s="500"/>
      <c r="C1879" s="500"/>
      <c r="D1879" s="540"/>
      <c r="E1879" s="495"/>
      <c r="F1879" s="426"/>
      <c r="G1879" s="426"/>
      <c r="H1879" s="426"/>
      <c r="I1879" s="448"/>
      <c r="J1879" s="437"/>
      <c r="K1879" s="456"/>
      <c r="L1879" s="456"/>
      <c r="M1879" s="456"/>
      <c r="N1879" s="372"/>
      <c r="O1879" s="372"/>
      <c r="P1879" s="372"/>
      <c r="Q1879" s="373"/>
      <c r="R1879" s="372"/>
      <c r="S1879" s="373"/>
      <c r="T1879" s="373"/>
      <c r="U1879" s="373"/>
      <c r="V1879" s="373"/>
    </row>
    <row r="1880" spans="1:22" s="457" customFormat="1" x14ac:dyDescent="0.2">
      <c r="A1880" s="542"/>
      <c r="B1880" s="500"/>
      <c r="C1880" s="500"/>
      <c r="D1880" s="540" t="s">
        <v>2279</v>
      </c>
      <c r="E1880" s="495"/>
      <c r="F1880" s="426"/>
      <c r="G1880" s="426"/>
      <c r="H1880" s="426"/>
      <c r="I1880" s="448"/>
      <c r="J1880" s="437"/>
      <c r="K1880" s="456"/>
      <c r="L1880" s="456"/>
      <c r="M1880" s="456"/>
      <c r="N1880" s="372"/>
      <c r="O1880" s="372"/>
      <c r="P1880" s="372"/>
      <c r="Q1880" s="373"/>
      <c r="R1880" s="372"/>
      <c r="S1880" s="373"/>
      <c r="T1880" s="373"/>
      <c r="U1880" s="373"/>
      <c r="V1880" s="373"/>
    </row>
    <row r="1881" spans="1:22" s="457" customFormat="1" x14ac:dyDescent="0.2">
      <c r="A1881" s="542"/>
      <c r="B1881" s="500"/>
      <c r="C1881" s="500"/>
      <c r="D1881" s="540"/>
      <c r="E1881" s="495"/>
      <c r="F1881" s="426"/>
      <c r="G1881" s="426"/>
      <c r="H1881" s="426"/>
      <c r="I1881" s="448"/>
      <c r="J1881" s="437"/>
      <c r="K1881" s="456"/>
      <c r="L1881" s="456"/>
      <c r="M1881" s="456"/>
      <c r="N1881" s="372"/>
      <c r="O1881" s="372"/>
      <c r="P1881" s="372"/>
      <c r="Q1881" s="373"/>
      <c r="R1881" s="372"/>
      <c r="S1881" s="373"/>
      <c r="T1881" s="373"/>
      <c r="U1881" s="373"/>
      <c r="V1881" s="373"/>
    </row>
    <row r="1882" spans="1:22" s="457" customFormat="1" ht="30" x14ac:dyDescent="0.2">
      <c r="A1882" s="542" t="s">
        <v>1210</v>
      </c>
      <c r="B1882" s="506" t="s">
        <v>335</v>
      </c>
      <c r="C1882" s="506" t="s">
        <v>2677</v>
      </c>
      <c r="D1882" s="554" t="s">
        <v>420</v>
      </c>
      <c r="E1882" s="494" t="s">
        <v>18</v>
      </c>
      <c r="F1882" s="426">
        <v>1</v>
      </c>
      <c r="G1882" s="426">
        <f>COMPOSIÇÕES!I684</f>
        <v>836.74</v>
      </c>
      <c r="H1882" s="426">
        <f>G1882*(1+$L$16)</f>
        <v>1057.9379648120466</v>
      </c>
      <c r="I1882" s="448">
        <f>ROUND(F1882*H1882,2)</f>
        <v>1057.94</v>
      </c>
      <c r="J1882" s="437"/>
      <c r="K1882" s="456"/>
      <c r="L1882" s="456"/>
      <c r="M1882" s="456"/>
      <c r="N1882" s="372"/>
      <c r="O1882" s="372"/>
      <c r="P1882" s="372"/>
      <c r="Q1882" s="373"/>
      <c r="R1882" s="372"/>
      <c r="S1882" s="373"/>
      <c r="T1882" s="373"/>
      <c r="U1882" s="373"/>
      <c r="V1882" s="373"/>
    </row>
    <row r="1883" spans="1:22" s="457" customFormat="1" x14ac:dyDescent="0.2">
      <c r="A1883" s="542"/>
      <c r="B1883" s="506"/>
      <c r="C1883" s="506"/>
      <c r="D1883" s="554"/>
      <c r="E1883" s="494"/>
      <c r="F1883" s="426"/>
      <c r="G1883" s="426"/>
      <c r="H1883" s="426"/>
      <c r="I1883" s="448"/>
      <c r="J1883" s="437"/>
      <c r="K1883" s="456"/>
      <c r="L1883" s="456"/>
      <c r="M1883" s="456"/>
      <c r="N1883" s="372"/>
      <c r="O1883" s="372"/>
      <c r="P1883" s="372"/>
      <c r="Q1883" s="373"/>
      <c r="R1883" s="372"/>
      <c r="S1883" s="373"/>
      <c r="T1883" s="373"/>
      <c r="U1883" s="373"/>
      <c r="V1883" s="373"/>
    </row>
    <row r="1884" spans="1:22" s="457" customFormat="1" x14ac:dyDescent="0.2">
      <c r="A1884" s="542"/>
      <c r="B1884" s="506"/>
      <c r="C1884" s="506"/>
      <c r="D1884" s="554" t="s">
        <v>2674</v>
      </c>
      <c r="E1884" s="494"/>
      <c r="F1884" s="426"/>
      <c r="G1884" s="426"/>
      <c r="H1884" s="426"/>
      <c r="I1884" s="448"/>
      <c r="J1884" s="437"/>
      <c r="K1884" s="456"/>
      <c r="L1884" s="456"/>
      <c r="M1884" s="456"/>
      <c r="N1884" s="372"/>
      <c r="O1884" s="372"/>
      <c r="P1884" s="372"/>
      <c r="Q1884" s="373"/>
      <c r="R1884" s="372"/>
      <c r="S1884" s="373"/>
      <c r="T1884" s="373"/>
      <c r="U1884" s="373"/>
      <c r="V1884" s="373"/>
    </row>
    <row r="1885" spans="1:22" s="457" customFormat="1" x14ac:dyDescent="0.2">
      <c r="A1885" s="550"/>
      <c r="B1885" s="551"/>
      <c r="C1885" s="551"/>
      <c r="D1885" s="552"/>
      <c r="E1885" s="494"/>
      <c r="F1885" s="426"/>
      <c r="G1885" s="426"/>
      <c r="H1885" s="426"/>
      <c r="I1885" s="448"/>
      <c r="J1885" s="437"/>
      <c r="K1885" s="456"/>
      <c r="L1885" s="456"/>
      <c r="M1885" s="456"/>
      <c r="N1885" s="372"/>
      <c r="O1885" s="372"/>
      <c r="P1885" s="372"/>
      <c r="Q1885" s="373"/>
      <c r="R1885" s="372"/>
      <c r="S1885" s="373"/>
      <c r="T1885" s="373"/>
      <c r="U1885" s="373"/>
      <c r="V1885" s="373"/>
    </row>
    <row r="1886" spans="1:22" s="457" customFormat="1" ht="30" x14ac:dyDescent="0.2">
      <c r="A1886" s="542" t="s">
        <v>1211</v>
      </c>
      <c r="B1886" s="506" t="s">
        <v>335</v>
      </c>
      <c r="C1886" s="506" t="s">
        <v>2678</v>
      </c>
      <c r="D1886" s="554" t="str">
        <f>COMPOSIÇÕES!D690</f>
        <v>DISSIPADOR DE ENERGIA CONFORME PROJETO</v>
      </c>
      <c r="E1886" s="494" t="s">
        <v>18</v>
      </c>
      <c r="F1886" s="426">
        <v>1</v>
      </c>
      <c r="G1886" s="426">
        <f>COMPOSIÇÕES!I690</f>
        <v>1416.15</v>
      </c>
      <c r="H1886" s="426">
        <f>G1886*(1+$L$16)</f>
        <v>1790.5189770640579</v>
      </c>
      <c r="I1886" s="448">
        <f t="shared" si="108"/>
        <v>1790.52</v>
      </c>
      <c r="J1886" s="437"/>
      <c r="K1886" s="456"/>
      <c r="L1886" s="456"/>
      <c r="M1886" s="456"/>
      <c r="N1886" s="372"/>
      <c r="O1886" s="372"/>
      <c r="P1886" s="372"/>
      <c r="Q1886" s="373"/>
      <c r="R1886" s="372"/>
      <c r="S1886" s="373"/>
      <c r="T1886" s="373"/>
      <c r="U1886" s="373"/>
      <c r="V1886" s="373"/>
    </row>
    <row r="1887" spans="1:22" s="457" customFormat="1" x14ac:dyDescent="0.2">
      <c r="A1887" s="542"/>
      <c r="B1887" s="506"/>
      <c r="C1887" s="506"/>
      <c r="D1887" s="554"/>
      <c r="E1887" s="494"/>
      <c r="F1887" s="426"/>
      <c r="G1887" s="426"/>
      <c r="H1887" s="426"/>
      <c r="I1887" s="448"/>
      <c r="J1887" s="437"/>
      <c r="K1887" s="456"/>
      <c r="L1887" s="456"/>
      <c r="M1887" s="456"/>
      <c r="N1887" s="372"/>
      <c r="O1887" s="372"/>
      <c r="P1887" s="372"/>
      <c r="Q1887" s="373"/>
      <c r="R1887" s="372"/>
      <c r="S1887" s="373"/>
      <c r="T1887" s="373"/>
      <c r="U1887" s="373"/>
      <c r="V1887" s="373"/>
    </row>
    <row r="1888" spans="1:22" s="457" customFormat="1" x14ac:dyDescent="0.2">
      <c r="A1888" s="542"/>
      <c r="B1888" s="506"/>
      <c r="C1888" s="506"/>
      <c r="D1888" s="554" t="s">
        <v>2675</v>
      </c>
      <c r="E1888" s="494"/>
      <c r="F1888" s="426"/>
      <c r="G1888" s="426"/>
      <c r="H1888" s="426"/>
      <c r="I1888" s="448"/>
      <c r="J1888" s="437"/>
      <c r="K1888" s="456"/>
      <c r="L1888" s="456"/>
      <c r="M1888" s="456"/>
      <c r="N1888" s="372"/>
      <c r="O1888" s="372"/>
      <c r="P1888" s="372"/>
      <c r="Q1888" s="373"/>
      <c r="R1888" s="372"/>
      <c r="S1888" s="373"/>
      <c r="T1888" s="373"/>
      <c r="U1888" s="373"/>
      <c r="V1888" s="373"/>
    </row>
    <row r="1889" spans="1:22" s="457" customFormat="1" x14ac:dyDescent="0.2">
      <c r="A1889" s="542"/>
      <c r="B1889" s="506"/>
      <c r="C1889" s="506"/>
      <c r="D1889" s="554"/>
      <c r="E1889" s="494"/>
      <c r="F1889" s="426"/>
      <c r="G1889" s="426"/>
      <c r="H1889" s="426"/>
      <c r="I1889" s="448"/>
      <c r="J1889" s="437"/>
      <c r="K1889" s="456"/>
      <c r="L1889" s="456"/>
      <c r="M1889" s="456"/>
      <c r="N1889" s="372"/>
      <c r="O1889" s="372"/>
      <c r="P1889" s="372"/>
      <c r="Q1889" s="373"/>
      <c r="R1889" s="372"/>
      <c r="S1889" s="373"/>
      <c r="T1889" s="373"/>
      <c r="U1889" s="373"/>
      <c r="V1889" s="373"/>
    </row>
    <row r="1890" spans="1:22" s="457" customFormat="1" ht="30" x14ac:dyDescent="0.2">
      <c r="A1890" s="542" t="s">
        <v>1569</v>
      </c>
      <c r="B1890" s="506" t="s">
        <v>335</v>
      </c>
      <c r="C1890" s="506" t="s">
        <v>2679</v>
      </c>
      <c r="D1890" s="554" t="s">
        <v>1442</v>
      </c>
      <c r="E1890" s="494" t="s">
        <v>19</v>
      </c>
      <c r="F1890" s="426">
        <v>1</v>
      </c>
      <c r="G1890" s="426">
        <f>COMPOSIÇÕES!I702</f>
        <v>152990.76</v>
      </c>
      <c r="H1890" s="426">
        <f>G1890*(1+$K$16)</f>
        <v>178693.80930744804</v>
      </c>
      <c r="I1890" s="448">
        <f t="shared" si="108"/>
        <v>178693.81</v>
      </c>
      <c r="J1890" s="437"/>
      <c r="K1890" s="456"/>
      <c r="L1890" s="456"/>
      <c r="M1890" s="456"/>
      <c r="N1890" s="372"/>
      <c r="O1890" s="372"/>
      <c r="P1890" s="372"/>
      <c r="Q1890" s="373"/>
      <c r="R1890" s="372"/>
      <c r="S1890" s="373"/>
      <c r="T1890" s="373"/>
      <c r="U1890" s="373"/>
      <c r="V1890" s="373"/>
    </row>
    <row r="1891" spans="1:22" s="457" customFormat="1" x14ac:dyDescent="0.2">
      <c r="A1891" s="542"/>
      <c r="B1891" s="506"/>
      <c r="C1891" s="506"/>
      <c r="D1891" s="554"/>
      <c r="E1891" s="494"/>
      <c r="F1891" s="426"/>
      <c r="G1891" s="426"/>
      <c r="H1891" s="426"/>
      <c r="I1891" s="448"/>
      <c r="J1891" s="437"/>
      <c r="K1891" s="456"/>
      <c r="L1891" s="456"/>
      <c r="M1891" s="456"/>
      <c r="N1891" s="372"/>
      <c r="O1891" s="372"/>
      <c r="P1891" s="372"/>
      <c r="Q1891" s="373"/>
      <c r="R1891" s="372"/>
      <c r="S1891" s="373"/>
      <c r="T1891" s="373"/>
      <c r="U1891" s="373"/>
      <c r="V1891" s="373"/>
    </row>
    <row r="1892" spans="1:22" s="457" customFormat="1" x14ac:dyDescent="0.2">
      <c r="A1892" s="542"/>
      <c r="B1892" s="506"/>
      <c r="C1892" s="506"/>
      <c r="D1892" s="554" t="s">
        <v>2676</v>
      </c>
      <c r="E1892" s="494"/>
      <c r="F1892" s="426"/>
      <c r="G1892" s="426"/>
      <c r="H1892" s="426"/>
      <c r="I1892" s="448"/>
      <c r="J1892" s="437"/>
      <c r="K1892" s="456"/>
      <c r="L1892" s="456"/>
      <c r="M1892" s="456"/>
      <c r="N1892" s="372"/>
      <c r="O1892" s="372"/>
      <c r="P1892" s="372"/>
      <c r="Q1892" s="373"/>
      <c r="R1892" s="372"/>
      <c r="S1892" s="373"/>
      <c r="T1892" s="373"/>
      <c r="U1892" s="373"/>
      <c r="V1892" s="373"/>
    </row>
    <row r="1893" spans="1:22" s="457" customFormat="1" x14ac:dyDescent="0.2">
      <c r="A1893" s="542"/>
      <c r="B1893" s="506"/>
      <c r="C1893" s="506"/>
      <c r="D1893" s="554"/>
      <c r="E1893" s="494"/>
      <c r="F1893" s="426"/>
      <c r="G1893" s="426"/>
      <c r="H1893" s="426"/>
      <c r="I1893" s="448"/>
      <c r="J1893" s="437"/>
      <c r="K1893" s="456"/>
      <c r="L1893" s="456"/>
      <c r="M1893" s="456"/>
      <c r="N1893" s="372"/>
      <c r="O1893" s="372"/>
      <c r="P1893" s="372"/>
      <c r="Q1893" s="373"/>
      <c r="R1893" s="372"/>
      <c r="S1893" s="373"/>
      <c r="T1893" s="373"/>
      <c r="U1893" s="373"/>
      <c r="V1893" s="373"/>
    </row>
    <row r="1894" spans="1:22" s="457" customFormat="1" ht="15.75" x14ac:dyDescent="0.2">
      <c r="A1894" s="558" t="s">
        <v>329</v>
      </c>
      <c r="B1894" s="501"/>
      <c r="C1894" s="501"/>
      <c r="D1894" s="545" t="s">
        <v>2680</v>
      </c>
      <c r="E1894" s="491"/>
      <c r="F1894" s="404"/>
      <c r="G1894" s="405"/>
      <c r="H1894" s="406"/>
      <c r="I1894" s="407">
        <v>348783.70999999996</v>
      </c>
      <c r="J1894" s="429"/>
      <c r="K1894" s="456"/>
      <c r="L1894" s="456"/>
      <c r="M1894" s="456"/>
      <c r="N1894" s="372"/>
      <c r="O1894" s="372"/>
      <c r="P1894" s="372"/>
      <c r="Q1894" s="373"/>
      <c r="R1894" s="372"/>
      <c r="S1894" s="373"/>
      <c r="T1894" s="373"/>
      <c r="U1894" s="373"/>
      <c r="V1894" s="373"/>
    </row>
    <row r="1895" spans="1:22" s="457" customFormat="1" ht="15" customHeight="1" x14ac:dyDescent="0.2">
      <c r="A1895" s="557" t="s">
        <v>1571</v>
      </c>
      <c r="B1895" s="506" t="s">
        <v>335</v>
      </c>
      <c r="C1895" s="506" t="s">
        <v>2682</v>
      </c>
      <c r="D1895" s="554" t="s">
        <v>2683</v>
      </c>
      <c r="E1895" s="494" t="s">
        <v>19</v>
      </c>
      <c r="F1895" s="426">
        <v>1</v>
      </c>
      <c r="G1895" s="426">
        <v>32252.099999999995</v>
      </c>
      <c r="H1895" s="426">
        <v>40778.164107027995</v>
      </c>
      <c r="I1895" s="448">
        <v>40778.160000000003</v>
      </c>
      <c r="J1895" s="437"/>
      <c r="K1895" s="456"/>
      <c r="L1895" s="456"/>
      <c r="M1895" s="456"/>
      <c r="N1895" s="372"/>
      <c r="O1895" s="372"/>
      <c r="P1895" s="372"/>
      <c r="Q1895" s="373"/>
      <c r="R1895" s="372"/>
      <c r="S1895" s="373"/>
      <c r="T1895" s="373"/>
      <c r="U1895" s="373"/>
      <c r="V1895" s="373"/>
    </row>
    <row r="1896" spans="1:22" s="457" customFormat="1" ht="15" customHeight="1" x14ac:dyDescent="0.2">
      <c r="A1896" s="557"/>
      <c r="B1896" s="506"/>
      <c r="C1896" s="506"/>
      <c r="D1896" s="554"/>
      <c r="E1896" s="494"/>
      <c r="F1896" s="426"/>
      <c r="G1896" s="426"/>
      <c r="H1896" s="426"/>
      <c r="I1896" s="448"/>
      <c r="J1896" s="437"/>
      <c r="K1896" s="456"/>
      <c r="L1896" s="456"/>
      <c r="M1896" s="456"/>
      <c r="N1896" s="372"/>
      <c r="O1896" s="372"/>
      <c r="P1896" s="372"/>
      <c r="Q1896" s="373"/>
      <c r="R1896" s="372"/>
      <c r="S1896" s="373"/>
      <c r="T1896" s="373"/>
      <c r="U1896" s="373"/>
      <c r="V1896" s="373"/>
    </row>
    <row r="1897" spans="1:22" s="457" customFormat="1" ht="15" customHeight="1" x14ac:dyDescent="0.2">
      <c r="A1897" s="557"/>
      <c r="B1897" s="506"/>
      <c r="C1897" s="506"/>
      <c r="D1897" s="554" t="s">
        <v>2696</v>
      </c>
      <c r="E1897" s="494"/>
      <c r="F1897" s="426"/>
      <c r="G1897" s="426"/>
      <c r="H1897" s="426"/>
      <c r="I1897" s="448"/>
      <c r="J1897" s="437"/>
      <c r="K1897" s="456"/>
      <c r="L1897" s="456"/>
      <c r="M1897" s="456"/>
      <c r="N1897" s="372"/>
      <c r="O1897" s="372"/>
      <c r="P1897" s="372"/>
      <c r="Q1897" s="373"/>
      <c r="R1897" s="372"/>
      <c r="S1897" s="373"/>
      <c r="T1897" s="373"/>
      <c r="U1897" s="373"/>
      <c r="V1897" s="373"/>
    </row>
    <row r="1898" spans="1:22" s="457" customFormat="1" ht="15" customHeight="1" x14ac:dyDescent="0.2">
      <c r="A1898" s="557"/>
      <c r="B1898" s="506"/>
      <c r="C1898" s="506"/>
      <c r="D1898" s="554"/>
      <c r="E1898" s="494"/>
      <c r="F1898" s="426"/>
      <c r="G1898" s="426"/>
      <c r="H1898" s="426"/>
      <c r="I1898" s="448"/>
      <c r="J1898" s="437"/>
      <c r="K1898" s="456"/>
      <c r="L1898" s="456"/>
      <c r="M1898" s="456"/>
      <c r="N1898" s="372"/>
      <c r="O1898" s="372"/>
      <c r="P1898" s="372"/>
      <c r="Q1898" s="373"/>
      <c r="R1898" s="372"/>
      <c r="S1898" s="373"/>
      <c r="T1898" s="373"/>
      <c r="U1898" s="373"/>
      <c r="V1898" s="373"/>
    </row>
    <row r="1899" spans="1:22" s="457" customFormat="1" ht="15" customHeight="1" x14ac:dyDescent="0.2">
      <c r="A1899" s="557" t="s">
        <v>1570</v>
      </c>
      <c r="B1899" s="506" t="s">
        <v>335</v>
      </c>
      <c r="C1899" s="506" t="s">
        <v>2684</v>
      </c>
      <c r="D1899" s="554" t="s">
        <v>2685</v>
      </c>
      <c r="E1899" s="494" t="s">
        <v>19</v>
      </c>
      <c r="F1899" s="426">
        <v>1</v>
      </c>
      <c r="G1899" s="426">
        <v>11123.970000000001</v>
      </c>
      <c r="H1899" s="426">
        <v>14064.667856718052</v>
      </c>
      <c r="I1899" s="448">
        <v>14064.67</v>
      </c>
      <c r="J1899" s="437"/>
      <c r="K1899" s="456"/>
      <c r="L1899" s="456"/>
      <c r="M1899" s="456"/>
      <c r="N1899" s="372"/>
      <c r="O1899" s="372"/>
      <c r="P1899" s="372"/>
      <c r="Q1899" s="373"/>
      <c r="R1899" s="372"/>
      <c r="S1899" s="373"/>
      <c r="T1899" s="373"/>
      <c r="U1899" s="373"/>
      <c r="V1899" s="373"/>
    </row>
    <row r="1900" spans="1:22" s="457" customFormat="1" ht="15" customHeight="1" x14ac:dyDescent="0.2">
      <c r="A1900" s="557"/>
      <c r="B1900" s="506"/>
      <c r="C1900" s="506"/>
      <c r="D1900" s="554"/>
      <c r="E1900" s="494"/>
      <c r="F1900" s="426"/>
      <c r="G1900" s="426"/>
      <c r="H1900" s="426"/>
      <c r="I1900" s="448"/>
      <c r="J1900" s="437"/>
      <c r="K1900" s="456"/>
      <c r="L1900" s="456"/>
      <c r="M1900" s="456"/>
      <c r="N1900" s="372"/>
      <c r="O1900" s="372"/>
      <c r="P1900" s="372"/>
      <c r="Q1900" s="373"/>
      <c r="R1900" s="372"/>
      <c r="S1900" s="373"/>
      <c r="T1900" s="373"/>
      <c r="U1900" s="373"/>
      <c r="V1900" s="373"/>
    </row>
    <row r="1901" spans="1:22" s="457" customFormat="1" ht="15" customHeight="1" x14ac:dyDescent="0.2">
      <c r="A1901" s="557"/>
      <c r="B1901" s="506"/>
      <c r="C1901" s="506"/>
      <c r="D1901" s="554" t="s">
        <v>2697</v>
      </c>
      <c r="E1901" s="494"/>
      <c r="F1901" s="426"/>
      <c r="G1901" s="426"/>
      <c r="H1901" s="426"/>
      <c r="I1901" s="448"/>
      <c r="J1901" s="437"/>
      <c r="K1901" s="456"/>
      <c r="L1901" s="456"/>
      <c r="M1901" s="456"/>
      <c r="N1901" s="372"/>
      <c r="O1901" s="372"/>
      <c r="P1901" s="372"/>
      <c r="Q1901" s="373"/>
      <c r="R1901" s="372"/>
      <c r="S1901" s="373"/>
      <c r="T1901" s="373"/>
      <c r="U1901" s="373"/>
      <c r="V1901" s="373"/>
    </row>
    <row r="1902" spans="1:22" s="457" customFormat="1" ht="15" customHeight="1" x14ac:dyDescent="0.2">
      <c r="A1902" s="557"/>
      <c r="B1902" s="506"/>
      <c r="C1902" s="506"/>
      <c r="D1902" s="554"/>
      <c r="E1902" s="494"/>
      <c r="F1902" s="426"/>
      <c r="G1902" s="426"/>
      <c r="H1902" s="426"/>
      <c r="I1902" s="448"/>
      <c r="J1902" s="437"/>
      <c r="K1902" s="456"/>
      <c r="L1902" s="456"/>
      <c r="M1902" s="456"/>
      <c r="N1902" s="372"/>
      <c r="O1902" s="372"/>
      <c r="P1902" s="372"/>
      <c r="Q1902" s="373"/>
      <c r="R1902" s="372"/>
      <c r="S1902" s="373"/>
      <c r="T1902" s="373"/>
      <c r="U1902" s="373"/>
      <c r="V1902" s="373"/>
    </row>
    <row r="1903" spans="1:22" s="457" customFormat="1" ht="15" customHeight="1" x14ac:dyDescent="0.2">
      <c r="A1903" s="557" t="s">
        <v>1572</v>
      </c>
      <c r="B1903" s="506" t="s">
        <v>335</v>
      </c>
      <c r="C1903" s="506" t="s">
        <v>2686</v>
      </c>
      <c r="D1903" s="554" t="s">
        <v>2687</v>
      </c>
      <c r="E1903" s="494" t="s">
        <v>19</v>
      </c>
      <c r="F1903" s="426">
        <v>1</v>
      </c>
      <c r="G1903" s="426">
        <v>8410.08</v>
      </c>
      <c r="H1903" s="426">
        <v>10633.342399199866</v>
      </c>
      <c r="I1903" s="448">
        <v>10633.34</v>
      </c>
      <c r="J1903" s="437"/>
      <c r="K1903" s="456"/>
      <c r="L1903" s="456"/>
      <c r="M1903" s="456"/>
      <c r="N1903" s="372"/>
      <c r="O1903" s="372"/>
      <c r="P1903" s="372"/>
      <c r="Q1903" s="373"/>
      <c r="R1903" s="372"/>
      <c r="S1903" s="373"/>
      <c r="T1903" s="373"/>
      <c r="U1903" s="373"/>
      <c r="V1903" s="373"/>
    </row>
    <row r="1904" spans="1:22" s="457" customFormat="1" ht="15" customHeight="1" x14ac:dyDescent="0.2">
      <c r="A1904" s="557"/>
      <c r="B1904" s="506"/>
      <c r="C1904" s="506"/>
      <c r="D1904" s="554"/>
      <c r="E1904" s="494"/>
      <c r="F1904" s="426"/>
      <c r="G1904" s="426"/>
      <c r="H1904" s="426"/>
      <c r="I1904" s="448"/>
      <c r="J1904" s="437"/>
      <c r="K1904" s="456"/>
      <c r="L1904" s="456"/>
      <c r="M1904" s="456"/>
      <c r="N1904" s="372"/>
      <c r="O1904" s="372"/>
      <c r="P1904" s="372"/>
      <c r="Q1904" s="373"/>
      <c r="R1904" s="372"/>
      <c r="S1904" s="373"/>
      <c r="T1904" s="373"/>
      <c r="U1904" s="373"/>
      <c r="V1904" s="373"/>
    </row>
    <row r="1905" spans="1:22" s="457" customFormat="1" ht="15" customHeight="1" x14ac:dyDescent="0.2">
      <c r="A1905" s="557"/>
      <c r="B1905" s="506"/>
      <c r="C1905" s="506"/>
      <c r="D1905" s="554" t="s">
        <v>2698</v>
      </c>
      <c r="E1905" s="494"/>
      <c r="F1905" s="426"/>
      <c r="G1905" s="426"/>
      <c r="H1905" s="426"/>
      <c r="I1905" s="448"/>
      <c r="J1905" s="437"/>
      <c r="K1905" s="456"/>
      <c r="L1905" s="456"/>
      <c r="M1905" s="456"/>
      <c r="N1905" s="372"/>
      <c r="O1905" s="372"/>
      <c r="P1905" s="372"/>
      <c r="Q1905" s="373"/>
      <c r="R1905" s="372"/>
      <c r="S1905" s="373"/>
      <c r="T1905" s="373"/>
      <c r="U1905" s="373"/>
      <c r="V1905" s="373"/>
    </row>
    <row r="1906" spans="1:22" s="457" customFormat="1" ht="15" customHeight="1" x14ac:dyDescent="0.2">
      <c r="A1906" s="557"/>
      <c r="B1906" s="506"/>
      <c r="C1906" s="506"/>
      <c r="D1906" s="554"/>
      <c r="E1906" s="494"/>
      <c r="F1906" s="426"/>
      <c r="G1906" s="426"/>
      <c r="H1906" s="426"/>
      <c r="I1906" s="448"/>
      <c r="J1906" s="437"/>
      <c r="K1906" s="456"/>
      <c r="L1906" s="456"/>
      <c r="M1906" s="456"/>
      <c r="N1906" s="372"/>
      <c r="O1906" s="372"/>
      <c r="P1906" s="372"/>
      <c r="Q1906" s="373"/>
      <c r="R1906" s="372"/>
      <c r="S1906" s="373"/>
      <c r="T1906" s="373"/>
      <c r="U1906" s="373"/>
      <c r="V1906" s="373"/>
    </row>
    <row r="1907" spans="1:22" s="457" customFormat="1" ht="15" customHeight="1" x14ac:dyDescent="0.2">
      <c r="A1907" s="557" t="s">
        <v>1573</v>
      </c>
      <c r="B1907" s="506" t="s">
        <v>335</v>
      </c>
      <c r="C1907" s="506" t="s">
        <v>2688</v>
      </c>
      <c r="D1907" s="554" t="s">
        <v>2689</v>
      </c>
      <c r="E1907" s="494" t="s">
        <v>19</v>
      </c>
      <c r="F1907" s="426">
        <v>1</v>
      </c>
      <c r="G1907" s="426">
        <v>81925.100000000006</v>
      </c>
      <c r="H1907" s="426">
        <v>103582.56275667877</v>
      </c>
      <c r="I1907" s="448">
        <v>103582.56</v>
      </c>
      <c r="J1907" s="437"/>
      <c r="K1907" s="456"/>
      <c r="L1907" s="456"/>
      <c r="M1907" s="456"/>
      <c r="N1907" s="372"/>
      <c r="O1907" s="372"/>
      <c r="P1907" s="372"/>
      <c r="Q1907" s="373"/>
      <c r="R1907" s="372"/>
      <c r="S1907" s="373"/>
      <c r="T1907" s="373"/>
      <c r="U1907" s="373"/>
      <c r="V1907" s="373"/>
    </row>
    <row r="1908" spans="1:22" s="457" customFormat="1" ht="15" customHeight="1" x14ac:dyDescent="0.2">
      <c r="A1908" s="557"/>
      <c r="B1908" s="506"/>
      <c r="C1908" s="506"/>
      <c r="D1908" s="554"/>
      <c r="E1908" s="494"/>
      <c r="F1908" s="426"/>
      <c r="G1908" s="426"/>
      <c r="H1908" s="426"/>
      <c r="I1908" s="448"/>
      <c r="J1908" s="437"/>
      <c r="K1908" s="456"/>
      <c r="L1908" s="456"/>
      <c r="M1908" s="456"/>
      <c r="N1908" s="372"/>
      <c r="O1908" s="372"/>
      <c r="P1908" s="372"/>
      <c r="Q1908" s="373"/>
      <c r="R1908" s="372"/>
      <c r="S1908" s="373"/>
      <c r="T1908" s="373"/>
      <c r="U1908" s="373"/>
      <c r="V1908" s="373"/>
    </row>
    <row r="1909" spans="1:22" s="457" customFormat="1" ht="15" customHeight="1" x14ac:dyDescent="0.2">
      <c r="A1909" s="557"/>
      <c r="B1909" s="506"/>
      <c r="C1909" s="506"/>
      <c r="D1909" s="554" t="s">
        <v>2699</v>
      </c>
      <c r="E1909" s="494"/>
      <c r="F1909" s="426"/>
      <c r="G1909" s="426"/>
      <c r="H1909" s="426"/>
      <c r="I1909" s="448"/>
      <c r="J1909" s="437"/>
      <c r="K1909" s="456"/>
      <c r="L1909" s="456"/>
      <c r="M1909" s="456"/>
      <c r="N1909" s="372"/>
      <c r="O1909" s="372"/>
      <c r="P1909" s="372"/>
      <c r="Q1909" s="373"/>
      <c r="R1909" s="372"/>
      <c r="S1909" s="373"/>
      <c r="T1909" s="373"/>
      <c r="U1909" s="373"/>
      <c r="V1909" s="373"/>
    </row>
    <row r="1910" spans="1:22" s="457" customFormat="1" ht="15" customHeight="1" x14ac:dyDescent="0.2">
      <c r="A1910" s="557"/>
      <c r="B1910" s="506"/>
      <c r="C1910" s="506"/>
      <c r="D1910" s="554"/>
      <c r="E1910" s="494"/>
      <c r="F1910" s="426"/>
      <c r="G1910" s="426"/>
      <c r="H1910" s="426"/>
      <c r="I1910" s="448"/>
      <c r="J1910" s="437"/>
      <c r="K1910" s="456"/>
      <c r="L1910" s="456"/>
      <c r="M1910" s="456"/>
      <c r="N1910" s="372"/>
      <c r="O1910" s="372"/>
      <c r="P1910" s="372"/>
      <c r="Q1910" s="373"/>
      <c r="R1910" s="372"/>
      <c r="S1910" s="373"/>
      <c r="T1910" s="373"/>
      <c r="U1910" s="373"/>
      <c r="V1910" s="373"/>
    </row>
    <row r="1911" spans="1:22" s="457" customFormat="1" ht="15" customHeight="1" x14ac:dyDescent="0.2">
      <c r="A1911" s="557" t="s">
        <v>1574</v>
      </c>
      <c r="B1911" s="506" t="s">
        <v>335</v>
      </c>
      <c r="C1911" s="506" t="s">
        <v>2690</v>
      </c>
      <c r="D1911" s="554" t="s">
        <v>2691</v>
      </c>
      <c r="E1911" s="494" t="s">
        <v>19</v>
      </c>
      <c r="F1911" s="426">
        <v>1</v>
      </c>
      <c r="G1911" s="426">
        <v>10254.92</v>
      </c>
      <c r="H1911" s="426">
        <v>12965.878521536382</v>
      </c>
      <c r="I1911" s="448">
        <v>12965.88</v>
      </c>
      <c r="J1911" s="437"/>
      <c r="K1911" s="456"/>
      <c r="L1911" s="456"/>
      <c r="M1911" s="456"/>
      <c r="N1911" s="372"/>
      <c r="O1911" s="372"/>
      <c r="P1911" s="372"/>
      <c r="Q1911" s="373"/>
      <c r="R1911" s="372"/>
      <c r="S1911" s="373"/>
      <c r="T1911" s="373"/>
      <c r="U1911" s="373"/>
      <c r="V1911" s="373"/>
    </row>
    <row r="1912" spans="1:22" s="457" customFormat="1" ht="15" customHeight="1" x14ac:dyDescent="0.2">
      <c r="A1912" s="557"/>
      <c r="B1912" s="506"/>
      <c r="C1912" s="506"/>
      <c r="D1912" s="554"/>
      <c r="E1912" s="494"/>
      <c r="F1912" s="426"/>
      <c r="G1912" s="426"/>
      <c r="H1912" s="426"/>
      <c r="I1912" s="448"/>
      <c r="J1912" s="437"/>
      <c r="K1912" s="456"/>
      <c r="L1912" s="456"/>
      <c r="M1912" s="456"/>
      <c r="N1912" s="372"/>
      <c r="O1912" s="372"/>
      <c r="P1912" s="372"/>
      <c r="Q1912" s="373"/>
      <c r="R1912" s="372"/>
      <c r="S1912" s="373"/>
      <c r="T1912" s="373"/>
      <c r="U1912" s="373"/>
      <c r="V1912" s="373"/>
    </row>
    <row r="1913" spans="1:22" s="457" customFormat="1" ht="15" customHeight="1" x14ac:dyDescent="0.2">
      <c r="A1913" s="557"/>
      <c r="B1913" s="506"/>
      <c r="C1913" s="506"/>
      <c r="D1913" s="554" t="s">
        <v>2700</v>
      </c>
      <c r="E1913" s="494"/>
      <c r="F1913" s="426"/>
      <c r="G1913" s="426"/>
      <c r="H1913" s="426"/>
      <c r="I1913" s="448"/>
      <c r="J1913" s="437"/>
      <c r="K1913" s="456"/>
      <c r="L1913" s="456"/>
      <c r="M1913" s="456"/>
      <c r="N1913" s="372"/>
      <c r="O1913" s="372"/>
      <c r="P1913" s="372"/>
      <c r="Q1913" s="373"/>
      <c r="R1913" s="372"/>
      <c r="S1913" s="373"/>
      <c r="T1913" s="373"/>
      <c r="U1913" s="373"/>
      <c r="V1913" s="373"/>
    </row>
    <row r="1914" spans="1:22" s="457" customFormat="1" ht="15" customHeight="1" x14ac:dyDescent="0.2">
      <c r="A1914" s="557"/>
      <c r="B1914" s="506"/>
      <c r="C1914" s="506"/>
      <c r="D1914" s="554"/>
      <c r="E1914" s="494"/>
      <c r="F1914" s="426"/>
      <c r="G1914" s="426"/>
      <c r="H1914" s="426"/>
      <c r="I1914" s="448"/>
      <c r="J1914" s="437"/>
      <c r="K1914" s="456"/>
      <c r="L1914" s="456"/>
      <c r="M1914" s="456"/>
      <c r="N1914" s="372"/>
      <c r="O1914" s="372"/>
      <c r="P1914" s="372"/>
      <c r="Q1914" s="373"/>
      <c r="R1914" s="372"/>
      <c r="S1914" s="373"/>
      <c r="T1914" s="373"/>
      <c r="U1914" s="373"/>
      <c r="V1914" s="373"/>
    </row>
    <row r="1915" spans="1:22" s="457" customFormat="1" ht="15" customHeight="1" x14ac:dyDescent="0.2">
      <c r="A1915" s="557" t="s">
        <v>1575</v>
      </c>
      <c r="B1915" s="506" t="s">
        <v>335</v>
      </c>
      <c r="C1915" s="506" t="s">
        <v>2692</v>
      </c>
      <c r="D1915" s="554" t="s">
        <v>2693</v>
      </c>
      <c r="E1915" s="494" t="s">
        <v>19</v>
      </c>
      <c r="F1915" s="426">
        <v>1</v>
      </c>
      <c r="G1915" s="426">
        <v>9490.09</v>
      </c>
      <c r="H1915" s="426">
        <v>11998.860459023299</v>
      </c>
      <c r="I1915" s="448">
        <v>11998.86</v>
      </c>
      <c r="J1915" s="437"/>
      <c r="K1915" s="456"/>
      <c r="L1915" s="456"/>
      <c r="M1915" s="456"/>
      <c r="N1915" s="372"/>
      <c r="O1915" s="372"/>
      <c r="P1915" s="372"/>
      <c r="Q1915" s="373"/>
      <c r="R1915" s="372"/>
      <c r="S1915" s="373"/>
      <c r="T1915" s="373"/>
      <c r="U1915" s="373"/>
      <c r="V1915" s="373"/>
    </row>
    <row r="1916" spans="1:22" s="457" customFormat="1" ht="15" customHeight="1" x14ac:dyDescent="0.2">
      <c r="A1916" s="557"/>
      <c r="B1916" s="506"/>
      <c r="C1916" s="506"/>
      <c r="D1916" s="554"/>
      <c r="E1916" s="494"/>
      <c r="F1916" s="426"/>
      <c r="G1916" s="426"/>
      <c r="H1916" s="426"/>
      <c r="I1916" s="448"/>
      <c r="J1916" s="437"/>
      <c r="K1916" s="456"/>
      <c r="L1916" s="456"/>
      <c r="M1916" s="456"/>
      <c r="N1916" s="372"/>
      <c r="O1916" s="372"/>
      <c r="P1916" s="372"/>
      <c r="Q1916" s="373"/>
      <c r="R1916" s="372"/>
      <c r="S1916" s="373"/>
      <c r="T1916" s="373"/>
      <c r="U1916" s="373"/>
      <c r="V1916" s="373"/>
    </row>
    <row r="1917" spans="1:22" s="457" customFormat="1" ht="15" customHeight="1" x14ac:dyDescent="0.2">
      <c r="A1917" s="557"/>
      <c r="B1917" s="506"/>
      <c r="C1917" s="506"/>
      <c r="D1917" s="554" t="s">
        <v>2701</v>
      </c>
      <c r="E1917" s="494"/>
      <c r="F1917" s="426"/>
      <c r="G1917" s="426"/>
      <c r="H1917" s="426"/>
      <c r="I1917" s="448"/>
      <c r="J1917" s="437"/>
      <c r="K1917" s="456"/>
      <c r="L1917" s="456"/>
      <c r="M1917" s="456"/>
      <c r="N1917" s="372"/>
      <c r="O1917" s="372"/>
      <c r="P1917" s="372"/>
      <c r="Q1917" s="373"/>
      <c r="R1917" s="372"/>
      <c r="S1917" s="373"/>
      <c r="T1917" s="373"/>
      <c r="U1917" s="373"/>
      <c r="V1917" s="373"/>
    </row>
    <row r="1918" spans="1:22" s="457" customFormat="1" ht="15" customHeight="1" x14ac:dyDescent="0.2">
      <c r="A1918" s="557"/>
      <c r="B1918" s="506"/>
      <c r="C1918" s="506"/>
      <c r="D1918" s="554"/>
      <c r="E1918" s="494"/>
      <c r="F1918" s="426"/>
      <c r="G1918" s="426"/>
      <c r="H1918" s="426"/>
      <c r="I1918" s="448"/>
      <c r="J1918" s="437"/>
      <c r="K1918" s="456"/>
      <c r="L1918" s="456"/>
      <c r="M1918" s="456"/>
      <c r="N1918" s="372"/>
      <c r="O1918" s="372"/>
      <c r="P1918" s="372"/>
      <c r="Q1918" s="373"/>
      <c r="R1918" s="372"/>
      <c r="S1918" s="373"/>
      <c r="T1918" s="373"/>
      <c r="U1918" s="373"/>
      <c r="V1918" s="373"/>
    </row>
    <row r="1919" spans="1:22" s="457" customFormat="1" ht="15" customHeight="1" x14ac:dyDescent="0.2">
      <c r="A1919" s="557" t="s">
        <v>1576</v>
      </c>
      <c r="B1919" s="506" t="s">
        <v>335</v>
      </c>
      <c r="C1919" s="506" t="s">
        <v>2694</v>
      </c>
      <c r="D1919" s="554" t="s">
        <v>2695</v>
      </c>
      <c r="E1919" s="494" t="s">
        <v>19</v>
      </c>
      <c r="F1919" s="426">
        <v>1</v>
      </c>
      <c r="G1919" s="426">
        <v>48254</v>
      </c>
      <c r="H1919" s="426">
        <v>61010.276255516044</v>
      </c>
      <c r="I1919" s="448">
        <v>61010.28</v>
      </c>
      <c r="J1919" s="437"/>
      <c r="K1919" s="456"/>
      <c r="L1919" s="456"/>
      <c r="M1919" s="456"/>
      <c r="N1919" s="372"/>
      <c r="O1919" s="372"/>
      <c r="P1919" s="372"/>
      <c r="Q1919" s="373"/>
      <c r="R1919" s="372"/>
      <c r="S1919" s="373"/>
      <c r="T1919" s="373"/>
      <c r="U1919" s="373"/>
      <c r="V1919" s="373"/>
    </row>
    <row r="1920" spans="1:22" s="457" customFormat="1" ht="15" customHeight="1" x14ac:dyDescent="0.2">
      <c r="A1920" s="557"/>
      <c r="B1920" s="506"/>
      <c r="C1920" s="506"/>
      <c r="D1920" s="554"/>
      <c r="E1920" s="494"/>
      <c r="F1920" s="426"/>
      <c r="G1920" s="426"/>
      <c r="H1920" s="426"/>
      <c r="I1920" s="448"/>
      <c r="J1920" s="437"/>
      <c r="K1920" s="456"/>
      <c r="L1920" s="456"/>
      <c r="M1920" s="456"/>
      <c r="N1920" s="372"/>
      <c r="O1920" s="372"/>
      <c r="P1920" s="372"/>
      <c r="Q1920" s="373"/>
      <c r="R1920" s="372"/>
      <c r="S1920" s="373"/>
      <c r="T1920" s="373"/>
      <c r="U1920" s="373"/>
      <c r="V1920" s="373"/>
    </row>
    <row r="1921" spans="1:22" s="457" customFormat="1" ht="15" customHeight="1" x14ac:dyDescent="0.2">
      <c r="A1921" s="557"/>
      <c r="B1921" s="506"/>
      <c r="C1921" s="506"/>
      <c r="D1921" s="554" t="s">
        <v>2702</v>
      </c>
      <c r="E1921" s="494"/>
      <c r="F1921" s="426"/>
      <c r="G1921" s="426"/>
      <c r="H1921" s="426"/>
      <c r="I1921" s="448"/>
      <c r="J1921" s="437"/>
      <c r="K1921" s="456"/>
      <c r="L1921" s="456"/>
      <c r="M1921" s="456"/>
      <c r="N1921" s="372"/>
      <c r="O1921" s="372"/>
      <c r="P1921" s="372"/>
      <c r="Q1921" s="373"/>
      <c r="R1921" s="372"/>
      <c r="S1921" s="373"/>
      <c r="T1921" s="373"/>
      <c r="U1921" s="373"/>
      <c r="V1921" s="373"/>
    </row>
    <row r="1922" spans="1:22" s="457" customFormat="1" ht="15" customHeight="1" x14ac:dyDescent="0.2">
      <c r="A1922" s="557"/>
      <c r="B1922" s="506"/>
      <c r="C1922" s="506"/>
      <c r="D1922" s="554"/>
      <c r="E1922" s="494"/>
      <c r="F1922" s="426"/>
      <c r="G1922" s="426"/>
      <c r="H1922" s="426"/>
      <c r="I1922" s="448"/>
      <c r="J1922" s="437"/>
      <c r="K1922" s="456"/>
      <c r="L1922" s="456"/>
      <c r="M1922" s="456"/>
      <c r="N1922" s="372"/>
      <c r="O1922" s="372"/>
      <c r="P1922" s="372"/>
      <c r="Q1922" s="373"/>
      <c r="R1922" s="372"/>
      <c r="S1922" s="373"/>
      <c r="T1922" s="373"/>
      <c r="U1922" s="373"/>
      <c r="V1922" s="373"/>
    </row>
    <row r="1923" spans="1:22" s="457" customFormat="1" ht="15" customHeight="1" x14ac:dyDescent="0.2">
      <c r="A1923" s="557" t="s">
        <v>1577</v>
      </c>
      <c r="B1923" s="506" t="s">
        <v>65</v>
      </c>
      <c r="C1923" s="506"/>
      <c r="D1923" s="554" t="s">
        <v>2681</v>
      </c>
      <c r="E1923" s="494" t="s">
        <v>19</v>
      </c>
      <c r="F1923" s="426">
        <v>1</v>
      </c>
      <c r="G1923" s="426">
        <v>80265.11</v>
      </c>
      <c r="H1923" s="426">
        <v>93749.964117972486</v>
      </c>
      <c r="I1923" s="448">
        <v>93749.96</v>
      </c>
      <c r="J1923" s="437"/>
      <c r="K1923" s="456"/>
      <c r="L1923" s="456"/>
      <c r="M1923" s="456"/>
      <c r="N1923" s="372"/>
      <c r="O1923" s="372"/>
      <c r="P1923" s="372"/>
      <c r="Q1923" s="373"/>
      <c r="R1923" s="372"/>
      <c r="S1923" s="373"/>
      <c r="T1923" s="373"/>
      <c r="U1923" s="373"/>
      <c r="V1923" s="373"/>
    </row>
    <row r="1924" spans="1:22" s="457" customFormat="1" ht="15" customHeight="1" x14ac:dyDescent="0.2">
      <c r="A1924" s="557"/>
      <c r="B1924" s="506"/>
      <c r="C1924" s="506"/>
      <c r="D1924" s="554"/>
      <c r="E1924" s="494"/>
      <c r="F1924" s="426"/>
      <c r="G1924" s="426"/>
      <c r="H1924" s="426"/>
      <c r="I1924" s="448"/>
      <c r="J1924" s="437"/>
      <c r="K1924" s="456"/>
      <c r="L1924" s="456"/>
      <c r="M1924" s="456"/>
      <c r="N1924" s="372"/>
      <c r="O1924" s="372"/>
      <c r="P1924" s="372"/>
      <c r="Q1924" s="373"/>
      <c r="R1924" s="372"/>
      <c r="S1924" s="373"/>
      <c r="T1924" s="373"/>
      <c r="U1924" s="373"/>
      <c r="V1924" s="373"/>
    </row>
    <row r="1925" spans="1:22" s="457" customFormat="1" ht="15" customHeight="1" x14ac:dyDescent="0.2">
      <c r="A1925" s="557"/>
      <c r="B1925" s="506"/>
      <c r="C1925" s="506"/>
      <c r="D1925" s="554" t="s">
        <v>2532</v>
      </c>
      <c r="E1925" s="494"/>
      <c r="F1925" s="426"/>
      <c r="G1925" s="426"/>
      <c r="H1925" s="426"/>
      <c r="I1925" s="448"/>
      <c r="J1925" s="437"/>
      <c r="K1925" s="456"/>
      <c r="L1925" s="456"/>
      <c r="M1925" s="456"/>
      <c r="N1925" s="372"/>
      <c r="O1925" s="372"/>
      <c r="P1925" s="372"/>
      <c r="Q1925" s="373"/>
      <c r="R1925" s="372"/>
      <c r="S1925" s="373"/>
      <c r="T1925" s="373"/>
      <c r="U1925" s="373"/>
      <c r="V1925" s="373"/>
    </row>
    <row r="1926" spans="1:22" s="457" customFormat="1" ht="15" customHeight="1" x14ac:dyDescent="0.2">
      <c r="A1926" s="557"/>
      <c r="B1926" s="506"/>
      <c r="C1926" s="506"/>
      <c r="D1926" s="554"/>
      <c r="E1926" s="494"/>
      <c r="F1926" s="426"/>
      <c r="G1926" s="426"/>
      <c r="H1926" s="426"/>
      <c r="I1926" s="448"/>
      <c r="J1926" s="437"/>
      <c r="K1926" s="456"/>
      <c r="L1926" s="456"/>
      <c r="M1926" s="456"/>
      <c r="N1926" s="372"/>
      <c r="O1926" s="372"/>
      <c r="P1926" s="372"/>
      <c r="Q1926" s="373"/>
      <c r="R1926" s="372"/>
      <c r="S1926" s="373"/>
      <c r="T1926" s="373"/>
      <c r="U1926" s="373"/>
      <c r="V1926" s="373"/>
    </row>
    <row r="1927" spans="1:22" s="457" customFormat="1" ht="15.75" x14ac:dyDescent="0.2">
      <c r="A1927" s="558" t="s">
        <v>329</v>
      </c>
      <c r="B1927" s="501"/>
      <c r="C1927" s="501"/>
      <c r="D1927" s="545" t="s">
        <v>588</v>
      </c>
      <c r="E1927" s="491"/>
      <c r="F1927" s="404"/>
      <c r="G1927" s="405"/>
      <c r="H1927" s="406"/>
      <c r="I1927" s="407">
        <f>SUM(I1928:I1976)</f>
        <v>437168.72000000003</v>
      </c>
      <c r="J1927" s="429"/>
      <c r="K1927" s="456"/>
      <c r="L1927" s="456"/>
      <c r="M1927" s="456"/>
      <c r="N1927" s="372"/>
      <c r="O1927" s="372"/>
      <c r="P1927" s="372"/>
      <c r="Q1927" s="373"/>
      <c r="R1927" s="372"/>
      <c r="S1927" s="373"/>
      <c r="T1927" s="373"/>
      <c r="U1927" s="373"/>
      <c r="V1927" s="373"/>
    </row>
    <row r="1928" spans="1:22" s="457" customFormat="1" ht="15" customHeight="1" x14ac:dyDescent="0.2">
      <c r="A1928" s="557" t="s">
        <v>2703</v>
      </c>
      <c r="B1928" s="506" t="s">
        <v>45</v>
      </c>
      <c r="C1928" s="506">
        <v>72961</v>
      </c>
      <c r="D1928" s="554" t="s">
        <v>332</v>
      </c>
      <c r="E1928" s="494" t="s">
        <v>15</v>
      </c>
      <c r="F1928" s="426">
        <v>3152</v>
      </c>
      <c r="G1928" s="426">
        <v>1.18</v>
      </c>
      <c r="H1928" s="426">
        <f t="shared" ref="H1928:H1972" si="114">G1928*(1+$L$16)</f>
        <v>1.4919411029450187</v>
      </c>
      <c r="I1928" s="448">
        <f t="shared" ref="I1928:I1972" si="115">ROUND(F1928*H1928,2)</f>
        <v>4702.6000000000004</v>
      </c>
      <c r="J1928" s="437"/>
      <c r="K1928" s="456"/>
      <c r="L1928" s="456"/>
      <c r="M1928" s="456"/>
      <c r="N1928" s="372"/>
      <c r="O1928" s="372"/>
      <c r="P1928" s="372"/>
      <c r="Q1928" s="373"/>
      <c r="R1928" s="372"/>
      <c r="S1928" s="373"/>
      <c r="T1928" s="373"/>
      <c r="U1928" s="373"/>
      <c r="V1928" s="373"/>
    </row>
    <row r="1929" spans="1:22" s="457" customFormat="1" ht="15" customHeight="1" x14ac:dyDescent="0.2">
      <c r="A1929" s="557"/>
      <c r="B1929" s="506"/>
      <c r="C1929" s="506"/>
      <c r="D1929" s="554"/>
      <c r="E1929" s="494"/>
      <c r="F1929" s="426"/>
      <c r="G1929" s="426"/>
      <c r="H1929" s="426"/>
      <c r="I1929" s="448"/>
      <c r="J1929" s="437"/>
      <c r="K1929" s="456"/>
      <c r="L1929" s="456"/>
      <c r="M1929" s="456"/>
      <c r="N1929" s="372"/>
      <c r="O1929" s="372"/>
      <c r="P1929" s="372"/>
      <c r="Q1929" s="373"/>
      <c r="R1929" s="372"/>
      <c r="S1929" s="373"/>
      <c r="T1929" s="373"/>
      <c r="U1929" s="373"/>
      <c r="V1929" s="373"/>
    </row>
    <row r="1930" spans="1:22" s="457" customFormat="1" ht="15" customHeight="1" x14ac:dyDescent="0.2">
      <c r="A1930" s="557"/>
      <c r="B1930" s="506"/>
      <c r="C1930" s="506"/>
      <c r="D1930" s="554" t="s">
        <v>2717</v>
      </c>
      <c r="E1930" s="494"/>
      <c r="F1930" s="426"/>
      <c r="G1930" s="426"/>
      <c r="H1930" s="426"/>
      <c r="I1930" s="448"/>
      <c r="J1930" s="437"/>
      <c r="K1930" s="456"/>
      <c r="L1930" s="456"/>
      <c r="M1930" s="456"/>
      <c r="N1930" s="372"/>
      <c r="O1930" s="372"/>
      <c r="P1930" s="372"/>
      <c r="Q1930" s="373"/>
      <c r="R1930" s="372"/>
      <c r="S1930" s="373"/>
      <c r="T1930" s="373"/>
      <c r="U1930" s="373"/>
      <c r="V1930" s="373"/>
    </row>
    <row r="1931" spans="1:22" s="457" customFormat="1" ht="15" customHeight="1" x14ac:dyDescent="0.2">
      <c r="A1931" s="557"/>
      <c r="B1931" s="506"/>
      <c r="C1931" s="506"/>
      <c r="D1931" s="554"/>
      <c r="E1931" s="494"/>
      <c r="F1931" s="426"/>
      <c r="G1931" s="426"/>
      <c r="H1931" s="426"/>
      <c r="I1931" s="448"/>
      <c r="J1931" s="437"/>
      <c r="K1931" s="456"/>
      <c r="L1931" s="456"/>
      <c r="M1931" s="456"/>
      <c r="N1931" s="372"/>
      <c r="O1931" s="372"/>
      <c r="P1931" s="372"/>
      <c r="Q1931" s="373"/>
      <c r="R1931" s="372"/>
      <c r="S1931" s="373"/>
      <c r="T1931" s="373"/>
      <c r="U1931" s="373"/>
      <c r="V1931" s="373"/>
    </row>
    <row r="1932" spans="1:22" s="457" customFormat="1" ht="15" customHeight="1" x14ac:dyDescent="0.2">
      <c r="A1932" s="557" t="s">
        <v>2704</v>
      </c>
      <c r="B1932" s="506" t="s">
        <v>45</v>
      </c>
      <c r="C1932" s="506">
        <v>73710</v>
      </c>
      <c r="D1932" s="554" t="s">
        <v>358</v>
      </c>
      <c r="E1932" s="494" t="s">
        <v>16</v>
      </c>
      <c r="F1932" s="426">
        <f>F1936*0.2</f>
        <v>630.40000000000009</v>
      </c>
      <c r="G1932" s="426">
        <v>85.36</v>
      </c>
      <c r="H1932" s="426">
        <f t="shared" si="114"/>
        <v>107.92550215880237</v>
      </c>
      <c r="I1932" s="448">
        <f t="shared" si="115"/>
        <v>68036.240000000005</v>
      </c>
      <c r="J1932" s="437"/>
      <c r="K1932" s="456"/>
      <c r="L1932" s="456"/>
      <c r="M1932" s="456"/>
      <c r="N1932" s="372"/>
      <c r="O1932" s="372"/>
      <c r="P1932" s="372"/>
      <c r="Q1932" s="373"/>
      <c r="R1932" s="372"/>
      <c r="S1932" s="373"/>
      <c r="T1932" s="373"/>
      <c r="U1932" s="373"/>
      <c r="V1932" s="373"/>
    </row>
    <row r="1933" spans="1:22" s="457" customFormat="1" ht="15" customHeight="1" x14ac:dyDescent="0.2">
      <c r="A1933" s="557"/>
      <c r="B1933" s="506"/>
      <c r="C1933" s="506"/>
      <c r="D1933" s="554"/>
      <c r="E1933" s="494"/>
      <c r="F1933" s="426"/>
      <c r="G1933" s="426"/>
      <c r="H1933" s="426"/>
      <c r="I1933" s="448"/>
      <c r="J1933" s="437"/>
      <c r="K1933" s="456"/>
      <c r="L1933" s="456"/>
      <c r="M1933" s="456"/>
      <c r="N1933" s="372"/>
      <c r="O1933" s="372"/>
      <c r="P1933" s="372"/>
      <c r="Q1933" s="373"/>
      <c r="R1933" s="372"/>
      <c r="S1933" s="373"/>
      <c r="T1933" s="373"/>
      <c r="U1933" s="373"/>
      <c r="V1933" s="373"/>
    </row>
    <row r="1934" spans="1:22" s="457" customFormat="1" ht="15" customHeight="1" x14ac:dyDescent="0.2">
      <c r="A1934" s="557"/>
      <c r="B1934" s="506"/>
      <c r="C1934" s="506"/>
      <c r="D1934" s="554" t="s">
        <v>2716</v>
      </c>
      <c r="E1934" s="494"/>
      <c r="F1934" s="426"/>
      <c r="G1934" s="426"/>
      <c r="H1934" s="426"/>
      <c r="I1934" s="448"/>
      <c r="J1934" s="437"/>
      <c r="K1934" s="456"/>
      <c r="L1934" s="456"/>
      <c r="M1934" s="456"/>
      <c r="N1934" s="372"/>
      <c r="O1934" s="372"/>
      <c r="P1934" s="372"/>
      <c r="Q1934" s="373"/>
      <c r="R1934" s="372"/>
      <c r="S1934" s="373"/>
      <c r="T1934" s="373"/>
      <c r="U1934" s="373"/>
      <c r="V1934" s="373"/>
    </row>
    <row r="1935" spans="1:22" s="457" customFormat="1" ht="15" customHeight="1" x14ac:dyDescent="0.2">
      <c r="A1935" s="557"/>
      <c r="B1935" s="506"/>
      <c r="C1935" s="506"/>
      <c r="D1935" s="554"/>
      <c r="E1935" s="494"/>
      <c r="F1935" s="426"/>
      <c r="G1935" s="426"/>
      <c r="H1935" s="426"/>
      <c r="I1935" s="448"/>
      <c r="J1935" s="437"/>
      <c r="K1935" s="456"/>
      <c r="L1935" s="456"/>
      <c r="M1935" s="456"/>
      <c r="N1935" s="372"/>
      <c r="O1935" s="372"/>
      <c r="P1935" s="372"/>
      <c r="Q1935" s="373"/>
      <c r="R1935" s="372"/>
      <c r="S1935" s="373"/>
      <c r="T1935" s="373"/>
      <c r="U1935" s="373"/>
      <c r="V1935" s="373"/>
    </row>
    <row r="1936" spans="1:22" s="457" customFormat="1" ht="15" customHeight="1" x14ac:dyDescent="0.2">
      <c r="A1936" s="557" t="s">
        <v>2705</v>
      </c>
      <c r="B1936" s="506" t="s">
        <v>45</v>
      </c>
      <c r="C1936" s="506">
        <v>72945</v>
      </c>
      <c r="D1936" s="554" t="s">
        <v>589</v>
      </c>
      <c r="E1936" s="494" t="s">
        <v>15</v>
      </c>
      <c r="F1936" s="426">
        <f>F1928</f>
        <v>3152</v>
      </c>
      <c r="G1936" s="426">
        <v>4.71</v>
      </c>
      <c r="H1936" s="426">
        <f t="shared" si="114"/>
        <v>5.9551208431110494</v>
      </c>
      <c r="I1936" s="448">
        <f t="shared" si="115"/>
        <v>18770.54</v>
      </c>
      <c r="J1936" s="437"/>
      <c r="K1936" s="456"/>
      <c r="L1936" s="456"/>
      <c r="M1936" s="456"/>
      <c r="N1936" s="372"/>
      <c r="O1936" s="372"/>
      <c r="P1936" s="372"/>
      <c r="Q1936" s="373"/>
      <c r="R1936" s="372"/>
      <c r="S1936" s="373"/>
      <c r="T1936" s="373"/>
      <c r="U1936" s="373"/>
      <c r="V1936" s="373"/>
    </row>
    <row r="1937" spans="1:22" s="457" customFormat="1" ht="15" customHeight="1" x14ac:dyDescent="0.2">
      <c r="A1937" s="557"/>
      <c r="B1937" s="506"/>
      <c r="C1937" s="506"/>
      <c r="D1937" s="554"/>
      <c r="E1937" s="494"/>
      <c r="F1937" s="426"/>
      <c r="G1937" s="426"/>
      <c r="H1937" s="426"/>
      <c r="I1937" s="448"/>
      <c r="J1937" s="437"/>
      <c r="K1937" s="456"/>
      <c r="L1937" s="456"/>
      <c r="M1937" s="456"/>
      <c r="N1937" s="372"/>
      <c r="O1937" s="372"/>
      <c r="P1937" s="372"/>
      <c r="Q1937" s="373"/>
      <c r="R1937" s="372"/>
      <c r="S1937" s="373"/>
      <c r="T1937" s="373"/>
      <c r="U1937" s="373"/>
      <c r="V1937" s="373"/>
    </row>
    <row r="1938" spans="1:22" s="457" customFormat="1" ht="15" customHeight="1" x14ac:dyDescent="0.2">
      <c r="A1938" s="557"/>
      <c r="B1938" s="506"/>
      <c r="C1938" s="506"/>
      <c r="D1938" s="554" t="s">
        <v>2717</v>
      </c>
      <c r="E1938" s="494"/>
      <c r="F1938" s="426"/>
      <c r="G1938" s="426"/>
      <c r="H1938" s="426"/>
      <c r="I1938" s="448"/>
      <c r="J1938" s="437"/>
      <c r="K1938" s="456"/>
      <c r="L1938" s="456"/>
      <c r="M1938" s="456"/>
      <c r="N1938" s="372"/>
      <c r="O1938" s="372"/>
      <c r="P1938" s="372"/>
      <c r="Q1938" s="373"/>
      <c r="R1938" s="372"/>
      <c r="S1938" s="373"/>
      <c r="T1938" s="373"/>
      <c r="U1938" s="373"/>
      <c r="V1938" s="373"/>
    </row>
    <row r="1939" spans="1:22" s="457" customFormat="1" ht="15" customHeight="1" x14ac:dyDescent="0.2">
      <c r="A1939" s="557"/>
      <c r="B1939" s="506"/>
      <c r="C1939" s="506"/>
      <c r="D1939" s="554"/>
      <c r="E1939" s="494"/>
      <c r="F1939" s="426"/>
      <c r="G1939" s="426"/>
      <c r="H1939" s="426"/>
      <c r="I1939" s="448"/>
      <c r="J1939" s="437"/>
      <c r="K1939" s="456"/>
      <c r="L1939" s="456"/>
      <c r="M1939" s="456"/>
      <c r="N1939" s="372"/>
      <c r="O1939" s="372"/>
      <c r="P1939" s="372"/>
      <c r="Q1939" s="373"/>
      <c r="R1939" s="372"/>
      <c r="S1939" s="373"/>
      <c r="T1939" s="373"/>
      <c r="U1939" s="373"/>
      <c r="V1939" s="373"/>
    </row>
    <row r="1940" spans="1:22" s="457" customFormat="1" ht="15" customHeight="1" x14ac:dyDescent="0.2">
      <c r="A1940" s="557" t="s">
        <v>2706</v>
      </c>
      <c r="B1940" s="506" t="s">
        <v>45</v>
      </c>
      <c r="C1940" s="506">
        <v>72943</v>
      </c>
      <c r="D1940" s="554" t="s">
        <v>590</v>
      </c>
      <c r="E1940" s="494" t="s">
        <v>15</v>
      </c>
      <c r="F1940" s="426">
        <f>F1936</f>
        <v>3152</v>
      </c>
      <c r="G1940" s="426">
        <v>1.34</v>
      </c>
      <c r="H1940" s="426">
        <f t="shared" si="114"/>
        <v>1.6942382016494282</v>
      </c>
      <c r="I1940" s="448">
        <f t="shared" si="115"/>
        <v>5340.24</v>
      </c>
      <c r="J1940" s="437"/>
      <c r="K1940" s="456"/>
      <c r="L1940" s="456"/>
      <c r="M1940" s="456"/>
      <c r="N1940" s="372"/>
      <c r="O1940" s="372"/>
      <c r="P1940" s="372"/>
      <c r="Q1940" s="373"/>
      <c r="R1940" s="372"/>
      <c r="S1940" s="373"/>
      <c r="T1940" s="373"/>
      <c r="U1940" s="373"/>
      <c r="V1940" s="373"/>
    </row>
    <row r="1941" spans="1:22" s="457" customFormat="1" ht="15" customHeight="1" x14ac:dyDescent="0.2">
      <c r="A1941" s="557"/>
      <c r="B1941" s="506"/>
      <c r="C1941" s="506"/>
      <c r="D1941" s="554"/>
      <c r="E1941" s="494"/>
      <c r="F1941" s="426"/>
      <c r="G1941" s="426"/>
      <c r="H1941" s="426"/>
      <c r="I1941" s="448"/>
      <c r="J1941" s="437"/>
      <c r="K1941" s="456"/>
      <c r="L1941" s="456"/>
      <c r="M1941" s="456"/>
      <c r="N1941" s="372"/>
      <c r="O1941" s="372"/>
      <c r="P1941" s="372"/>
      <c r="Q1941" s="373"/>
      <c r="R1941" s="372"/>
      <c r="S1941" s="373"/>
      <c r="T1941" s="373"/>
      <c r="U1941" s="373"/>
      <c r="V1941" s="373"/>
    </row>
    <row r="1942" spans="1:22" s="457" customFormat="1" ht="15" customHeight="1" x14ac:dyDescent="0.2">
      <c r="A1942" s="557"/>
      <c r="B1942" s="506"/>
      <c r="C1942" s="506"/>
      <c r="D1942" s="554" t="s">
        <v>2717</v>
      </c>
      <c r="E1942" s="494"/>
      <c r="F1942" s="426"/>
      <c r="G1942" s="426"/>
      <c r="H1942" s="426"/>
      <c r="I1942" s="448"/>
      <c r="J1942" s="437"/>
      <c r="K1942" s="456"/>
      <c r="L1942" s="456"/>
      <c r="M1942" s="456"/>
      <c r="N1942" s="372"/>
      <c r="O1942" s="372"/>
      <c r="P1942" s="372"/>
      <c r="Q1942" s="373"/>
      <c r="R1942" s="372"/>
      <c r="S1942" s="373"/>
      <c r="T1942" s="373"/>
      <c r="U1942" s="373"/>
      <c r="V1942" s="373"/>
    </row>
    <row r="1943" spans="1:22" s="457" customFormat="1" ht="15" customHeight="1" x14ac:dyDescent="0.2">
      <c r="A1943" s="557"/>
      <c r="B1943" s="506"/>
      <c r="C1943" s="506"/>
      <c r="D1943" s="554"/>
      <c r="E1943" s="494"/>
      <c r="F1943" s="426"/>
      <c r="G1943" s="426"/>
      <c r="H1943" s="426"/>
      <c r="I1943" s="448"/>
      <c r="J1943" s="437"/>
      <c r="K1943" s="456"/>
      <c r="L1943" s="456"/>
      <c r="M1943" s="456"/>
      <c r="N1943" s="372"/>
      <c r="O1943" s="372"/>
      <c r="P1943" s="372"/>
      <c r="Q1943" s="373"/>
      <c r="R1943" s="372"/>
      <c r="S1943" s="373"/>
      <c r="T1943" s="373"/>
      <c r="U1943" s="373"/>
      <c r="V1943" s="373"/>
    </row>
    <row r="1944" spans="1:22" s="457" customFormat="1" ht="15" customHeight="1" x14ac:dyDescent="0.2">
      <c r="A1944" s="557" t="s">
        <v>2707</v>
      </c>
      <c r="B1944" s="506" t="s">
        <v>45</v>
      </c>
      <c r="C1944" s="506">
        <v>95990</v>
      </c>
      <c r="D1944" s="554" t="s">
        <v>1466</v>
      </c>
      <c r="E1944" s="494" t="s">
        <v>16</v>
      </c>
      <c r="F1944" s="426">
        <f>F1936*0.03</f>
        <v>94.56</v>
      </c>
      <c r="G1944" s="426">
        <v>773.31</v>
      </c>
      <c r="H1944" s="426">
        <f t="shared" si="114"/>
        <v>977.73980874441725</v>
      </c>
      <c r="I1944" s="448">
        <f t="shared" si="115"/>
        <v>92455.08</v>
      </c>
      <c r="J1944" s="437"/>
      <c r="K1944" s="456"/>
      <c r="L1944" s="456"/>
      <c r="M1944" s="456"/>
      <c r="N1944" s="372"/>
      <c r="O1944" s="372"/>
      <c r="P1944" s="372"/>
      <c r="Q1944" s="373"/>
      <c r="R1944" s="372"/>
      <c r="S1944" s="373"/>
      <c r="T1944" s="373"/>
      <c r="U1944" s="373"/>
      <c r="V1944" s="373"/>
    </row>
    <row r="1945" spans="1:22" s="457" customFormat="1" ht="15" customHeight="1" x14ac:dyDescent="0.2">
      <c r="A1945" s="557"/>
      <c r="B1945" s="506"/>
      <c r="C1945" s="506"/>
      <c r="D1945" s="554"/>
      <c r="E1945" s="494"/>
      <c r="F1945" s="426"/>
      <c r="G1945" s="426"/>
      <c r="H1945" s="426"/>
      <c r="I1945" s="448"/>
      <c r="J1945" s="437"/>
      <c r="K1945" s="456"/>
      <c r="L1945" s="456"/>
      <c r="M1945" s="456"/>
      <c r="N1945" s="372"/>
      <c r="O1945" s="372"/>
      <c r="P1945" s="372"/>
      <c r="Q1945" s="373"/>
      <c r="R1945" s="372"/>
      <c r="S1945" s="373"/>
      <c r="T1945" s="373"/>
      <c r="U1945" s="373"/>
      <c r="V1945" s="373"/>
    </row>
    <row r="1946" spans="1:22" s="457" customFormat="1" ht="15" customHeight="1" x14ac:dyDescent="0.2">
      <c r="A1946" s="557"/>
      <c r="B1946" s="506"/>
      <c r="C1946" s="506"/>
      <c r="D1946" s="554" t="s">
        <v>2718</v>
      </c>
      <c r="E1946" s="494"/>
      <c r="F1946" s="426"/>
      <c r="G1946" s="426"/>
      <c r="H1946" s="426"/>
      <c r="I1946" s="448"/>
      <c r="J1946" s="437"/>
      <c r="K1946" s="456"/>
      <c r="L1946" s="456"/>
      <c r="M1946" s="456"/>
      <c r="N1946" s="372"/>
      <c r="O1946" s="372"/>
      <c r="P1946" s="372"/>
      <c r="Q1946" s="373"/>
      <c r="R1946" s="372"/>
      <c r="S1946" s="373"/>
      <c r="T1946" s="373"/>
      <c r="U1946" s="373"/>
      <c r="V1946" s="373"/>
    </row>
    <row r="1947" spans="1:22" s="457" customFormat="1" ht="15" customHeight="1" x14ac:dyDescent="0.2">
      <c r="A1947" s="557"/>
      <c r="B1947" s="506"/>
      <c r="C1947" s="506"/>
      <c r="D1947" s="554"/>
      <c r="E1947" s="494"/>
      <c r="F1947" s="426"/>
      <c r="G1947" s="426"/>
      <c r="H1947" s="426"/>
      <c r="I1947" s="448"/>
      <c r="J1947" s="437"/>
      <c r="K1947" s="456"/>
      <c r="L1947" s="456"/>
      <c r="M1947" s="456"/>
      <c r="N1947" s="372"/>
      <c r="O1947" s="372"/>
      <c r="P1947" s="372"/>
      <c r="Q1947" s="373"/>
      <c r="R1947" s="372"/>
      <c r="S1947" s="373"/>
      <c r="T1947" s="373"/>
      <c r="U1947" s="373"/>
      <c r="V1947" s="373"/>
    </row>
    <row r="1948" spans="1:22" s="457" customFormat="1" ht="15" customHeight="1" x14ac:dyDescent="0.2">
      <c r="A1948" s="557" t="s">
        <v>2708</v>
      </c>
      <c r="B1948" s="506" t="s">
        <v>45</v>
      </c>
      <c r="C1948" s="506">
        <v>94265</v>
      </c>
      <c r="D1948" s="554" t="s">
        <v>1467</v>
      </c>
      <c r="E1948" s="494" t="s">
        <v>17</v>
      </c>
      <c r="F1948" s="426">
        <v>1073</v>
      </c>
      <c r="G1948" s="426">
        <v>27.33</v>
      </c>
      <c r="H1948" s="426">
        <f t="shared" si="114"/>
        <v>34.554873172446911</v>
      </c>
      <c r="I1948" s="448">
        <f t="shared" si="115"/>
        <v>37077.379999999997</v>
      </c>
      <c r="J1948" s="437"/>
      <c r="K1948" s="456"/>
      <c r="L1948" s="456"/>
      <c r="M1948" s="456"/>
      <c r="N1948" s="372"/>
      <c r="O1948" s="372"/>
      <c r="P1948" s="372"/>
      <c r="Q1948" s="373"/>
      <c r="R1948" s="372"/>
      <c r="S1948" s="373"/>
      <c r="T1948" s="373"/>
      <c r="U1948" s="373"/>
      <c r="V1948" s="373"/>
    </row>
    <row r="1949" spans="1:22" s="457" customFormat="1" ht="15" customHeight="1" x14ac:dyDescent="0.2">
      <c r="A1949" s="557"/>
      <c r="B1949" s="506"/>
      <c r="C1949" s="506"/>
      <c r="D1949" s="554"/>
      <c r="E1949" s="494"/>
      <c r="F1949" s="426"/>
      <c r="G1949" s="426"/>
      <c r="H1949" s="426"/>
      <c r="I1949" s="448"/>
      <c r="J1949" s="437"/>
      <c r="K1949" s="456"/>
      <c r="L1949" s="456"/>
      <c r="M1949" s="456"/>
      <c r="N1949" s="372"/>
      <c r="O1949" s="372"/>
      <c r="P1949" s="372"/>
      <c r="Q1949" s="373"/>
      <c r="R1949" s="372"/>
      <c r="S1949" s="373"/>
      <c r="T1949" s="373"/>
      <c r="U1949" s="373"/>
      <c r="V1949" s="373"/>
    </row>
    <row r="1950" spans="1:22" s="457" customFormat="1" ht="15" customHeight="1" x14ac:dyDescent="0.2">
      <c r="A1950" s="557"/>
      <c r="B1950" s="506"/>
      <c r="C1950" s="506"/>
      <c r="D1950" s="554" t="s">
        <v>2719</v>
      </c>
      <c r="E1950" s="494"/>
      <c r="F1950" s="426"/>
      <c r="G1950" s="426"/>
      <c r="H1950" s="426"/>
      <c r="I1950" s="448"/>
      <c r="J1950" s="437"/>
      <c r="K1950" s="456"/>
      <c r="L1950" s="456"/>
      <c r="M1950" s="456"/>
      <c r="N1950" s="372"/>
      <c r="O1950" s="372"/>
      <c r="P1950" s="372"/>
      <c r="Q1950" s="373"/>
      <c r="R1950" s="372"/>
      <c r="S1950" s="373"/>
      <c r="T1950" s="373"/>
      <c r="U1950" s="373"/>
      <c r="V1950" s="373"/>
    </row>
    <row r="1951" spans="1:22" s="457" customFormat="1" ht="15" customHeight="1" x14ac:dyDescent="0.2">
      <c r="A1951" s="557"/>
      <c r="B1951" s="506"/>
      <c r="C1951" s="506"/>
      <c r="D1951" s="554"/>
      <c r="E1951" s="494"/>
      <c r="F1951" s="426"/>
      <c r="G1951" s="426"/>
      <c r="H1951" s="426"/>
      <c r="I1951" s="448"/>
      <c r="J1951" s="437"/>
      <c r="K1951" s="456"/>
      <c r="L1951" s="456"/>
      <c r="M1951" s="456"/>
      <c r="N1951" s="372"/>
      <c r="O1951" s="372"/>
      <c r="P1951" s="372"/>
      <c r="Q1951" s="373"/>
      <c r="R1951" s="372"/>
      <c r="S1951" s="373"/>
      <c r="T1951" s="373"/>
      <c r="U1951" s="373"/>
      <c r="V1951" s="373"/>
    </row>
    <row r="1952" spans="1:22" s="457" customFormat="1" ht="15" customHeight="1" x14ac:dyDescent="0.2">
      <c r="A1952" s="557" t="s">
        <v>2709</v>
      </c>
      <c r="B1952" s="506" t="s">
        <v>45</v>
      </c>
      <c r="C1952" s="506">
        <v>94284</v>
      </c>
      <c r="D1952" s="554" t="s">
        <v>1468</v>
      </c>
      <c r="E1952" s="494" t="s">
        <v>17</v>
      </c>
      <c r="F1952" s="426">
        <v>445</v>
      </c>
      <c r="G1952" s="426">
        <v>50.42</v>
      </c>
      <c r="H1952" s="426">
        <f t="shared" si="114"/>
        <v>63.748873229226987</v>
      </c>
      <c r="I1952" s="448">
        <f t="shared" si="115"/>
        <v>28368.25</v>
      </c>
      <c r="J1952" s="437"/>
      <c r="K1952" s="456" t="s">
        <v>452</v>
      </c>
      <c r="L1952" s="456"/>
      <c r="M1952" s="456"/>
      <c r="N1952" s="372"/>
      <c r="O1952" s="372"/>
      <c r="P1952" s="372"/>
      <c r="Q1952" s="373"/>
      <c r="R1952" s="372"/>
      <c r="S1952" s="373"/>
      <c r="T1952" s="373"/>
      <c r="U1952" s="373"/>
      <c r="V1952" s="373"/>
    </row>
    <row r="1953" spans="1:22" s="457" customFormat="1" ht="15" customHeight="1" x14ac:dyDescent="0.2">
      <c r="A1953" s="557"/>
      <c r="B1953" s="506"/>
      <c r="C1953" s="506"/>
      <c r="D1953" s="554"/>
      <c r="E1953" s="494"/>
      <c r="F1953" s="426"/>
      <c r="G1953" s="426"/>
      <c r="H1953" s="426"/>
      <c r="I1953" s="448"/>
      <c r="J1953" s="437"/>
      <c r="K1953" s="456"/>
      <c r="L1953" s="456"/>
      <c r="M1953" s="456"/>
      <c r="N1953" s="372"/>
      <c r="O1953" s="372"/>
      <c r="P1953" s="372"/>
      <c r="Q1953" s="373"/>
      <c r="R1953" s="372"/>
      <c r="S1953" s="373"/>
      <c r="T1953" s="373"/>
      <c r="U1953" s="373"/>
      <c r="V1953" s="373"/>
    </row>
    <row r="1954" spans="1:22" s="457" customFormat="1" ht="15" customHeight="1" x14ac:dyDescent="0.2">
      <c r="A1954" s="550"/>
      <c r="B1954" s="551"/>
      <c r="C1954" s="551"/>
      <c r="D1954" s="552" t="s">
        <v>2719</v>
      </c>
      <c r="E1954" s="494"/>
      <c r="F1954" s="426"/>
      <c r="G1954" s="426"/>
      <c r="H1954" s="426"/>
      <c r="I1954" s="448"/>
      <c r="J1954" s="437"/>
      <c r="K1954" s="456"/>
      <c r="L1954" s="456"/>
      <c r="M1954" s="456"/>
      <c r="N1954" s="372"/>
      <c r="O1954" s="372"/>
      <c r="P1954" s="372"/>
      <c r="Q1954" s="373"/>
      <c r="R1954" s="372"/>
      <c r="S1954" s="373"/>
      <c r="T1954" s="373"/>
      <c r="U1954" s="373"/>
      <c r="V1954" s="373"/>
    </row>
    <row r="1955" spans="1:22" s="457" customFormat="1" ht="15" customHeight="1" x14ac:dyDescent="0.2">
      <c r="A1955" s="557"/>
      <c r="B1955" s="506"/>
      <c r="C1955" s="506"/>
      <c r="D1955" s="554"/>
      <c r="E1955" s="494"/>
      <c r="F1955" s="426"/>
      <c r="G1955" s="426"/>
      <c r="H1955" s="426"/>
      <c r="I1955" s="448"/>
      <c r="J1955" s="437"/>
      <c r="K1955" s="456"/>
      <c r="L1955" s="456"/>
      <c r="M1955" s="456"/>
      <c r="N1955" s="372"/>
      <c r="O1955" s="372"/>
      <c r="P1955" s="372"/>
      <c r="Q1955" s="373"/>
      <c r="R1955" s="372"/>
      <c r="S1955" s="373"/>
      <c r="T1955" s="373"/>
      <c r="U1955" s="373"/>
      <c r="V1955" s="373"/>
    </row>
    <row r="1956" spans="1:22" s="457" customFormat="1" ht="15" customHeight="1" x14ac:dyDescent="0.2">
      <c r="A1956" s="557" t="s">
        <v>2710</v>
      </c>
      <c r="B1956" s="506" t="s">
        <v>45</v>
      </c>
      <c r="C1956" s="506" t="s">
        <v>791</v>
      </c>
      <c r="D1956" s="554" t="s">
        <v>792</v>
      </c>
      <c r="E1956" s="494" t="s">
        <v>15</v>
      </c>
      <c r="F1956" s="149">
        <f>4.4*2.1</f>
        <v>9.240000000000002</v>
      </c>
      <c r="G1956" s="426">
        <v>954.7</v>
      </c>
      <c r="H1956" s="426">
        <f t="shared" si="114"/>
        <v>1207.0815008318723</v>
      </c>
      <c r="I1956" s="448">
        <f t="shared" si="115"/>
        <v>11153.43</v>
      </c>
      <c r="J1956" s="437"/>
      <c r="K1956" s="456"/>
      <c r="L1956" s="456"/>
      <c r="M1956" s="456"/>
      <c r="N1956" s="372"/>
      <c r="O1956" s="372"/>
      <c r="P1956" s="372"/>
      <c r="Q1956" s="373"/>
      <c r="R1956" s="372"/>
      <c r="S1956" s="373"/>
      <c r="T1956" s="373"/>
      <c r="U1956" s="373"/>
      <c r="V1956" s="373"/>
    </row>
    <row r="1957" spans="1:22" s="457" customFormat="1" ht="15" customHeight="1" x14ac:dyDescent="0.2">
      <c r="A1957" s="557"/>
      <c r="B1957" s="506"/>
      <c r="C1957" s="506"/>
      <c r="D1957" s="554"/>
      <c r="E1957" s="494"/>
      <c r="F1957" s="426"/>
      <c r="G1957" s="426"/>
      <c r="H1957" s="426"/>
      <c r="I1957" s="448"/>
      <c r="J1957" s="437"/>
      <c r="K1957" s="456"/>
      <c r="L1957" s="456"/>
      <c r="M1957" s="456"/>
      <c r="N1957" s="372"/>
      <c r="O1957" s="372"/>
      <c r="P1957" s="372"/>
      <c r="Q1957" s="373"/>
      <c r="R1957" s="372"/>
      <c r="S1957" s="373"/>
      <c r="T1957" s="373"/>
      <c r="U1957" s="373"/>
      <c r="V1957" s="373"/>
    </row>
    <row r="1958" spans="1:22" s="457" customFormat="1" ht="15" customHeight="1" x14ac:dyDescent="0.2">
      <c r="A1958" s="557"/>
      <c r="B1958" s="506"/>
      <c r="C1958" s="506"/>
      <c r="D1958" s="554" t="s">
        <v>2720</v>
      </c>
      <c r="E1958" s="494"/>
      <c r="F1958" s="426"/>
      <c r="G1958" s="426"/>
      <c r="H1958" s="426"/>
      <c r="I1958" s="448"/>
      <c r="J1958" s="437"/>
      <c r="K1958" s="456"/>
      <c r="L1958" s="456"/>
      <c r="M1958" s="456"/>
      <c r="N1958" s="372"/>
      <c r="O1958" s="372"/>
      <c r="P1958" s="372"/>
      <c r="Q1958" s="373"/>
      <c r="R1958" s="372"/>
      <c r="S1958" s="373"/>
      <c r="T1958" s="373"/>
      <c r="U1958" s="373"/>
      <c r="V1958" s="373"/>
    </row>
    <row r="1959" spans="1:22" s="457" customFormat="1" ht="15" customHeight="1" x14ac:dyDescent="0.2">
      <c r="A1959" s="557"/>
      <c r="B1959" s="506"/>
      <c r="C1959" s="506"/>
      <c r="D1959" s="554"/>
      <c r="E1959" s="494"/>
      <c r="F1959" s="426"/>
      <c r="G1959" s="426"/>
      <c r="H1959" s="426"/>
      <c r="I1959" s="448"/>
      <c r="J1959" s="437"/>
      <c r="K1959" s="456"/>
      <c r="L1959" s="456"/>
      <c r="M1959" s="456"/>
      <c r="N1959" s="372"/>
      <c r="O1959" s="372"/>
      <c r="P1959" s="372"/>
      <c r="Q1959" s="373"/>
      <c r="R1959" s="372"/>
      <c r="S1959" s="373"/>
      <c r="T1959" s="373"/>
      <c r="U1959" s="373"/>
      <c r="V1959" s="373"/>
    </row>
    <row r="1960" spans="1:22" s="457" customFormat="1" ht="15" customHeight="1" x14ac:dyDescent="0.2">
      <c r="A1960" s="557" t="s">
        <v>2711</v>
      </c>
      <c r="B1960" s="506" t="s">
        <v>45</v>
      </c>
      <c r="C1960" s="506">
        <v>85188</v>
      </c>
      <c r="D1960" s="554" t="s">
        <v>1469</v>
      </c>
      <c r="E1960" s="494" t="s">
        <v>18</v>
      </c>
      <c r="F1960" s="426">
        <f>4*1.7</f>
        <v>6.8</v>
      </c>
      <c r="G1960" s="426">
        <v>630.04</v>
      </c>
      <c r="H1960" s="426">
        <f t="shared" si="114"/>
        <v>796.59540042328774</v>
      </c>
      <c r="I1960" s="448">
        <f t="shared" si="115"/>
        <v>5416.85</v>
      </c>
      <c r="J1960" s="437"/>
      <c r="K1960" s="456"/>
      <c r="L1960" s="456"/>
      <c r="M1960" s="456"/>
      <c r="N1960" s="372"/>
      <c r="O1960" s="372"/>
      <c r="P1960" s="372"/>
      <c r="Q1960" s="373"/>
      <c r="R1960" s="372"/>
      <c r="S1960" s="373"/>
      <c r="T1960" s="373"/>
      <c r="U1960" s="373"/>
      <c r="V1960" s="373"/>
    </row>
    <row r="1961" spans="1:22" s="457" customFormat="1" ht="15" customHeight="1" x14ac:dyDescent="0.2">
      <c r="A1961" s="557"/>
      <c r="B1961" s="506"/>
      <c r="C1961" s="506"/>
      <c r="D1961" s="554"/>
      <c r="E1961" s="494"/>
      <c r="F1961" s="426"/>
      <c r="G1961" s="426"/>
      <c r="H1961" s="426"/>
      <c r="I1961" s="448"/>
      <c r="J1961" s="437"/>
      <c r="K1961" s="456"/>
      <c r="L1961" s="456"/>
      <c r="M1961" s="456"/>
      <c r="N1961" s="372"/>
      <c r="O1961" s="372"/>
      <c r="P1961" s="372"/>
      <c r="Q1961" s="373"/>
      <c r="R1961" s="372"/>
      <c r="S1961" s="373"/>
      <c r="T1961" s="373"/>
      <c r="U1961" s="373"/>
      <c r="V1961" s="373"/>
    </row>
    <row r="1962" spans="1:22" s="457" customFormat="1" ht="15" customHeight="1" x14ac:dyDescent="0.2">
      <c r="A1962" s="557"/>
      <c r="B1962" s="506"/>
      <c r="C1962" s="506"/>
      <c r="D1962" s="554" t="s">
        <v>2280</v>
      </c>
      <c r="E1962" s="494"/>
      <c r="F1962" s="426"/>
      <c r="G1962" s="426"/>
      <c r="H1962" s="426"/>
      <c r="I1962" s="448"/>
      <c r="J1962" s="437"/>
      <c r="K1962" s="456"/>
      <c r="L1962" s="456"/>
      <c r="M1962" s="456"/>
      <c r="N1962" s="372"/>
      <c r="O1962" s="372"/>
      <c r="P1962" s="372"/>
      <c r="Q1962" s="373"/>
      <c r="R1962" s="372"/>
      <c r="S1962" s="373"/>
      <c r="T1962" s="373"/>
      <c r="U1962" s="373"/>
      <c r="V1962" s="373"/>
    </row>
    <row r="1963" spans="1:22" s="457" customFormat="1" ht="15" customHeight="1" x14ac:dyDescent="0.2">
      <c r="A1963" s="557"/>
      <c r="B1963" s="506"/>
      <c r="C1963" s="506"/>
      <c r="D1963" s="554"/>
      <c r="E1963" s="494"/>
      <c r="F1963" s="426"/>
      <c r="G1963" s="426"/>
      <c r="H1963" s="426"/>
      <c r="I1963" s="448"/>
      <c r="J1963" s="437"/>
      <c r="K1963" s="456"/>
      <c r="L1963" s="456"/>
      <c r="M1963" s="456"/>
      <c r="N1963" s="372"/>
      <c r="O1963" s="372"/>
      <c r="P1963" s="372"/>
      <c r="Q1963" s="373"/>
      <c r="R1963" s="372"/>
      <c r="S1963" s="373"/>
      <c r="T1963" s="373"/>
      <c r="U1963" s="373"/>
      <c r="V1963" s="373"/>
    </row>
    <row r="1964" spans="1:22" s="457" customFormat="1" ht="15" customHeight="1" x14ac:dyDescent="0.2">
      <c r="A1964" s="557" t="s">
        <v>2712</v>
      </c>
      <c r="B1964" s="506" t="s">
        <v>45</v>
      </c>
      <c r="C1964" s="506">
        <v>84172</v>
      </c>
      <c r="D1964" s="554" t="s">
        <v>454</v>
      </c>
      <c r="E1964" s="494" t="s">
        <v>15</v>
      </c>
      <c r="F1964" s="426">
        <v>487</v>
      </c>
      <c r="G1964" s="426">
        <v>52.16</v>
      </c>
      <c r="H1964" s="426">
        <f t="shared" si="114"/>
        <v>65.948854177637429</v>
      </c>
      <c r="I1964" s="448">
        <f t="shared" si="115"/>
        <v>32117.09</v>
      </c>
      <c r="J1964" s="437"/>
      <c r="K1964" s="456"/>
      <c r="L1964" s="456"/>
      <c r="M1964" s="456"/>
      <c r="N1964" s="372"/>
      <c r="O1964" s="372"/>
      <c r="P1964" s="372"/>
      <c r="Q1964" s="373"/>
      <c r="R1964" s="372"/>
      <c r="S1964" s="373"/>
      <c r="T1964" s="373"/>
      <c r="U1964" s="373"/>
      <c r="V1964" s="373"/>
    </row>
    <row r="1965" spans="1:22" s="457" customFormat="1" ht="15" customHeight="1" x14ac:dyDescent="0.2">
      <c r="A1965" s="557"/>
      <c r="B1965" s="506"/>
      <c r="C1965" s="506"/>
      <c r="D1965" s="554"/>
      <c r="E1965" s="494"/>
      <c r="F1965" s="426"/>
      <c r="G1965" s="426"/>
      <c r="H1965" s="426"/>
      <c r="I1965" s="448"/>
      <c r="J1965" s="437"/>
      <c r="K1965" s="456"/>
      <c r="L1965" s="456"/>
      <c r="M1965" s="456"/>
      <c r="N1965" s="372"/>
      <c r="O1965" s="372"/>
      <c r="P1965" s="372"/>
      <c r="Q1965" s="373"/>
      <c r="R1965" s="372"/>
      <c r="S1965" s="373"/>
      <c r="T1965" s="373"/>
      <c r="U1965" s="373"/>
      <c r="V1965" s="373"/>
    </row>
    <row r="1966" spans="1:22" s="457" customFormat="1" ht="15" customHeight="1" x14ac:dyDescent="0.2">
      <c r="A1966" s="557"/>
      <c r="B1966" s="506"/>
      <c r="C1966" s="506"/>
      <c r="D1966" s="554" t="s">
        <v>2721</v>
      </c>
      <c r="E1966" s="494"/>
      <c r="F1966" s="426"/>
      <c r="G1966" s="426"/>
      <c r="H1966" s="426"/>
      <c r="I1966" s="448"/>
      <c r="J1966" s="437"/>
      <c r="K1966" s="456"/>
      <c r="L1966" s="456"/>
      <c r="M1966" s="456"/>
      <c r="N1966" s="372"/>
      <c r="O1966" s="372"/>
      <c r="P1966" s="372"/>
      <c r="Q1966" s="373"/>
      <c r="R1966" s="372"/>
      <c r="S1966" s="373"/>
      <c r="T1966" s="373"/>
      <c r="U1966" s="373"/>
      <c r="V1966" s="373"/>
    </row>
    <row r="1967" spans="1:22" s="457" customFormat="1" ht="15" customHeight="1" x14ac:dyDescent="0.2">
      <c r="A1967" s="557"/>
      <c r="B1967" s="506"/>
      <c r="C1967" s="506"/>
      <c r="D1967" s="554"/>
      <c r="E1967" s="494"/>
      <c r="F1967" s="426"/>
      <c r="G1967" s="426"/>
      <c r="H1967" s="426"/>
      <c r="I1967" s="448"/>
      <c r="J1967" s="437"/>
      <c r="K1967" s="456"/>
      <c r="L1967" s="456"/>
      <c r="M1967" s="456"/>
      <c r="N1967" s="372"/>
      <c r="O1967" s="372"/>
      <c r="P1967" s="372"/>
      <c r="Q1967" s="373"/>
      <c r="R1967" s="372"/>
      <c r="S1967" s="373"/>
      <c r="T1967" s="373"/>
      <c r="U1967" s="373"/>
      <c r="V1967" s="373"/>
    </row>
    <row r="1968" spans="1:22" s="457" customFormat="1" ht="15" customHeight="1" x14ac:dyDescent="0.2">
      <c r="A1968" s="557" t="s">
        <v>2713</v>
      </c>
      <c r="B1968" s="506" t="s">
        <v>45</v>
      </c>
      <c r="C1968" s="506" t="s">
        <v>36</v>
      </c>
      <c r="D1968" s="554" t="s">
        <v>37</v>
      </c>
      <c r="E1968" s="494" t="s">
        <v>15</v>
      </c>
      <c r="F1968" s="426">
        <v>7152</v>
      </c>
      <c r="G1968" s="426">
        <v>9.75</v>
      </c>
      <c r="H1968" s="426">
        <f t="shared" si="114"/>
        <v>12.327479452299942</v>
      </c>
      <c r="I1968" s="448">
        <f t="shared" si="115"/>
        <v>88166.13</v>
      </c>
      <c r="J1968" s="437"/>
      <c r="K1968" s="456"/>
      <c r="L1968" s="456"/>
      <c r="M1968" s="456"/>
      <c r="N1968" s="372"/>
      <c r="O1968" s="372"/>
      <c r="P1968" s="372"/>
      <c r="Q1968" s="373"/>
      <c r="R1968" s="372"/>
      <c r="S1968" s="373"/>
      <c r="T1968" s="373"/>
      <c r="U1968" s="373"/>
      <c r="V1968" s="373"/>
    </row>
    <row r="1969" spans="1:63" s="457" customFormat="1" ht="15" customHeight="1" x14ac:dyDescent="0.2">
      <c r="A1969" s="557"/>
      <c r="B1969" s="506"/>
      <c r="C1969" s="506"/>
      <c r="D1969" s="554"/>
      <c r="E1969" s="494"/>
      <c r="F1969" s="426"/>
      <c r="G1969" s="426"/>
      <c r="H1969" s="426"/>
      <c r="I1969" s="448"/>
      <c r="J1969" s="437"/>
      <c r="K1969" s="456"/>
      <c r="L1969" s="456"/>
      <c r="M1969" s="456"/>
      <c r="N1969" s="372"/>
      <c r="O1969" s="372"/>
      <c r="P1969" s="372"/>
      <c r="Q1969" s="373"/>
      <c r="R1969" s="372"/>
      <c r="S1969" s="373"/>
      <c r="T1969" s="373"/>
      <c r="U1969" s="373"/>
      <c r="V1969" s="373"/>
    </row>
    <row r="1970" spans="1:63" s="457" customFormat="1" ht="15" customHeight="1" x14ac:dyDescent="0.2">
      <c r="A1970" s="557"/>
      <c r="B1970" s="506"/>
      <c r="C1970" s="506"/>
      <c r="D1970" s="554" t="s">
        <v>2722</v>
      </c>
      <c r="E1970" s="494"/>
      <c r="F1970" s="426"/>
      <c r="G1970" s="426"/>
      <c r="H1970" s="426"/>
      <c r="I1970" s="448"/>
      <c r="J1970" s="437"/>
      <c r="K1970" s="456"/>
      <c r="L1970" s="456"/>
      <c r="M1970" s="456"/>
      <c r="N1970" s="372"/>
      <c r="O1970" s="372"/>
      <c r="P1970" s="372"/>
      <c r="Q1970" s="373"/>
      <c r="R1970" s="372"/>
      <c r="S1970" s="373"/>
      <c r="T1970" s="373"/>
      <c r="U1970" s="373"/>
      <c r="V1970" s="373"/>
    </row>
    <row r="1971" spans="1:63" s="457" customFormat="1" ht="15" customHeight="1" x14ac:dyDescent="0.2">
      <c r="A1971" s="557"/>
      <c r="B1971" s="506"/>
      <c r="C1971" s="506"/>
      <c r="D1971" s="554"/>
      <c r="E1971" s="494"/>
      <c r="F1971" s="426"/>
      <c r="G1971" s="426"/>
      <c r="H1971" s="426"/>
      <c r="I1971" s="448"/>
      <c r="J1971" s="437"/>
      <c r="K1971" s="456"/>
      <c r="L1971" s="456"/>
      <c r="M1971" s="456"/>
      <c r="N1971" s="372"/>
      <c r="O1971" s="372"/>
      <c r="P1971" s="372"/>
      <c r="Q1971" s="373"/>
      <c r="R1971" s="372"/>
      <c r="S1971" s="373"/>
      <c r="T1971" s="373"/>
      <c r="U1971" s="373"/>
      <c r="V1971" s="373"/>
    </row>
    <row r="1972" spans="1:63" s="457" customFormat="1" ht="15" customHeight="1" x14ac:dyDescent="0.2">
      <c r="A1972" s="557" t="s">
        <v>2714</v>
      </c>
      <c r="B1972" s="506" t="s">
        <v>45</v>
      </c>
      <c r="C1972" s="506">
        <v>85178</v>
      </c>
      <c r="D1972" s="554" t="s">
        <v>421</v>
      </c>
      <c r="E1972" s="494" t="s">
        <v>17</v>
      </c>
      <c r="F1972" s="426">
        <f>320/0.8</f>
        <v>400</v>
      </c>
      <c r="G1972" s="426">
        <v>57.18</v>
      </c>
      <c r="H1972" s="426">
        <f t="shared" si="114"/>
        <v>72.295925649488282</v>
      </c>
      <c r="I1972" s="448">
        <f t="shared" si="115"/>
        <v>28918.37</v>
      </c>
      <c r="J1972" s="437"/>
      <c r="K1972" s="456"/>
      <c r="L1972" s="456"/>
      <c r="M1972" s="456"/>
      <c r="N1972" s="372"/>
      <c r="O1972" s="372"/>
      <c r="P1972" s="372"/>
      <c r="Q1972" s="373"/>
      <c r="R1972" s="372"/>
      <c r="S1972" s="373"/>
      <c r="T1972" s="373"/>
      <c r="U1972" s="373"/>
      <c r="V1972" s="373"/>
    </row>
    <row r="1973" spans="1:63" s="457" customFormat="1" ht="15" customHeight="1" x14ac:dyDescent="0.2">
      <c r="A1973" s="557"/>
      <c r="B1973" s="506"/>
      <c r="C1973" s="506"/>
      <c r="D1973" s="554"/>
      <c r="E1973" s="494"/>
      <c r="F1973" s="426"/>
      <c r="G1973" s="426"/>
      <c r="H1973" s="426"/>
      <c r="I1973" s="448"/>
      <c r="J1973" s="437"/>
      <c r="K1973" s="456"/>
      <c r="L1973" s="456"/>
      <c r="M1973" s="456"/>
      <c r="N1973" s="372"/>
      <c r="O1973" s="372"/>
      <c r="P1973" s="372"/>
      <c r="Q1973" s="373"/>
      <c r="R1973" s="372"/>
      <c r="S1973" s="373"/>
      <c r="T1973" s="373"/>
      <c r="U1973" s="373"/>
      <c r="V1973" s="373"/>
    </row>
    <row r="1974" spans="1:63" s="457" customFormat="1" ht="15" customHeight="1" x14ac:dyDescent="0.2">
      <c r="A1974" s="557"/>
      <c r="B1974" s="506"/>
      <c r="C1974" s="506"/>
      <c r="D1974" s="554" t="s">
        <v>2723</v>
      </c>
      <c r="E1974" s="494"/>
      <c r="F1974" s="426"/>
      <c r="G1974" s="426"/>
      <c r="H1974" s="426"/>
      <c r="I1974" s="448"/>
      <c r="J1974" s="437"/>
      <c r="K1974" s="456"/>
      <c r="L1974" s="456"/>
      <c r="M1974" s="456"/>
      <c r="N1974" s="372"/>
      <c r="O1974" s="372"/>
      <c r="P1974" s="372"/>
      <c r="Q1974" s="373"/>
      <c r="R1974" s="372"/>
      <c r="S1974" s="373"/>
      <c r="T1974" s="373"/>
      <c r="U1974" s="373"/>
      <c r="V1974" s="373"/>
    </row>
    <row r="1975" spans="1:63" s="457" customFormat="1" ht="15" customHeight="1" x14ac:dyDescent="0.2">
      <c r="A1975" s="557"/>
      <c r="B1975" s="506"/>
      <c r="C1975" s="506"/>
      <c r="D1975" s="554"/>
      <c r="E1975" s="494"/>
      <c r="F1975" s="426"/>
      <c r="G1975" s="426"/>
      <c r="H1975" s="426"/>
      <c r="I1975" s="448"/>
      <c r="J1975" s="437"/>
      <c r="K1975" s="456"/>
      <c r="L1975" s="456"/>
      <c r="M1975" s="456"/>
      <c r="N1975" s="372"/>
      <c r="O1975" s="372"/>
      <c r="P1975" s="372"/>
      <c r="Q1975" s="373"/>
      <c r="R1975" s="372"/>
      <c r="S1975" s="373"/>
      <c r="T1975" s="373"/>
      <c r="U1975" s="373"/>
      <c r="V1975" s="373"/>
    </row>
    <row r="1976" spans="1:63" s="457" customFormat="1" ht="15" customHeight="1" x14ac:dyDescent="0.2">
      <c r="A1976" s="557" t="s">
        <v>2715</v>
      </c>
      <c r="B1976" s="506" t="s">
        <v>45</v>
      </c>
      <c r="C1976" s="506" t="s">
        <v>80</v>
      </c>
      <c r="D1976" s="554" t="s">
        <v>0</v>
      </c>
      <c r="E1976" s="494" t="s">
        <v>18</v>
      </c>
      <c r="F1976" s="426">
        <v>100</v>
      </c>
      <c r="G1976" s="426">
        <v>131.66</v>
      </c>
      <c r="H1976" s="426">
        <f>G1976*(1+$L$16)</f>
        <v>166.46522509639081</v>
      </c>
      <c r="I1976" s="448">
        <f>ROUND(F1976*H1976,2)</f>
        <v>16646.52</v>
      </c>
      <c r="J1976" s="437"/>
      <c r="K1976" s="456"/>
      <c r="L1976" s="456"/>
      <c r="M1976" s="456"/>
      <c r="N1976" s="372"/>
      <c r="O1976" s="372"/>
      <c r="P1976" s="372"/>
      <c r="Q1976" s="373"/>
      <c r="R1976" s="372"/>
      <c r="S1976" s="373"/>
      <c r="T1976" s="373"/>
      <c r="U1976" s="373"/>
      <c r="V1976" s="373"/>
    </row>
    <row r="1977" spans="1:63" s="457" customFormat="1" ht="15" customHeight="1" x14ac:dyDescent="0.2">
      <c r="A1977" s="557"/>
      <c r="B1977" s="506"/>
      <c r="C1977" s="506"/>
      <c r="D1977" s="554"/>
      <c r="E1977" s="494"/>
      <c r="F1977" s="426"/>
      <c r="G1977" s="426"/>
      <c r="H1977" s="426"/>
      <c r="I1977" s="448"/>
      <c r="J1977" s="437"/>
      <c r="K1977" s="456"/>
      <c r="L1977" s="456"/>
      <c r="M1977" s="456"/>
      <c r="N1977" s="372"/>
      <c r="O1977" s="372"/>
      <c r="P1977" s="372"/>
      <c r="Q1977" s="373"/>
      <c r="R1977" s="372"/>
      <c r="S1977" s="373"/>
      <c r="T1977" s="373"/>
      <c r="U1977" s="373"/>
      <c r="V1977" s="373"/>
    </row>
    <row r="1978" spans="1:63" s="457" customFormat="1" ht="15" customHeight="1" x14ac:dyDescent="0.2">
      <c r="A1978" s="557"/>
      <c r="B1978" s="506"/>
      <c r="C1978" s="506"/>
      <c r="D1978" s="554" t="s">
        <v>2724</v>
      </c>
      <c r="E1978" s="494"/>
      <c r="F1978" s="426"/>
      <c r="G1978" s="426"/>
      <c r="H1978" s="426"/>
      <c r="I1978" s="448"/>
      <c r="J1978" s="437"/>
      <c r="K1978" s="456"/>
      <c r="L1978" s="456"/>
      <c r="M1978" s="456"/>
      <c r="N1978" s="372"/>
      <c r="O1978" s="372"/>
      <c r="P1978" s="372"/>
      <c r="Q1978" s="373"/>
      <c r="R1978" s="372"/>
      <c r="S1978" s="373"/>
      <c r="T1978" s="373"/>
      <c r="U1978" s="373"/>
      <c r="V1978" s="373"/>
    </row>
    <row r="1979" spans="1:63" s="457" customFormat="1" ht="15" customHeight="1" x14ac:dyDescent="0.2">
      <c r="A1979" s="557"/>
      <c r="B1979" s="506"/>
      <c r="C1979" s="506"/>
      <c r="D1979" s="554"/>
      <c r="E1979" s="494"/>
      <c r="F1979" s="426"/>
      <c r="G1979" s="426"/>
      <c r="H1979" s="426"/>
      <c r="I1979" s="448"/>
      <c r="J1979" s="437"/>
      <c r="K1979" s="456"/>
      <c r="L1979" s="456"/>
      <c r="M1979" s="456"/>
      <c r="N1979" s="372"/>
      <c r="O1979" s="372"/>
      <c r="P1979" s="372"/>
      <c r="Q1979" s="373"/>
      <c r="R1979" s="372"/>
      <c r="S1979" s="373"/>
      <c r="T1979" s="373"/>
      <c r="U1979" s="373"/>
      <c r="V1979" s="373"/>
    </row>
    <row r="1980" spans="1:63" x14ac:dyDescent="0.2">
      <c r="A1980" s="560"/>
      <c r="B1980" s="502"/>
      <c r="C1980" s="502"/>
      <c r="D1980" s="559"/>
      <c r="E1980" s="496"/>
      <c r="F1980" s="427"/>
      <c r="G1980" s="427"/>
      <c r="H1980" s="427"/>
      <c r="I1980" s="428"/>
      <c r="N1980" s="372"/>
      <c r="O1980" s="372"/>
      <c r="P1980" s="372"/>
      <c r="R1980" s="372"/>
      <c r="S1980" s="374"/>
      <c r="T1980" s="374"/>
      <c r="U1980" s="374"/>
      <c r="V1980" s="374"/>
      <c r="W1980" s="374"/>
      <c r="X1980" s="374"/>
      <c r="Y1980" s="374"/>
      <c r="Z1980" s="374"/>
      <c r="AA1980" s="374"/>
      <c r="AB1980" s="374"/>
      <c r="AC1980" s="374"/>
      <c r="AD1980" s="374"/>
      <c r="AE1980" s="374"/>
      <c r="AF1980" s="374"/>
      <c r="AG1980" s="374"/>
      <c r="AH1980" s="374"/>
      <c r="AI1980" s="374"/>
      <c r="AJ1980" s="374"/>
      <c r="AK1980" s="374"/>
      <c r="AL1980" s="374"/>
      <c r="AM1980" s="374"/>
      <c r="AN1980" s="374"/>
      <c r="AO1980" s="374"/>
      <c r="AP1980" s="374"/>
      <c r="AQ1980" s="374"/>
      <c r="AR1980" s="374"/>
      <c r="AS1980" s="374"/>
      <c r="AT1980" s="374"/>
      <c r="AU1980" s="374"/>
      <c r="AV1980" s="374"/>
      <c r="AW1980" s="374"/>
      <c r="AX1980" s="374"/>
      <c r="AY1980" s="374"/>
      <c r="AZ1980" s="374"/>
      <c r="BA1980" s="374"/>
      <c r="BB1980" s="374"/>
      <c r="BC1980" s="374"/>
      <c r="BD1980" s="374"/>
      <c r="BE1980" s="374"/>
      <c r="BF1980" s="374"/>
      <c r="BG1980" s="374"/>
      <c r="BH1980" s="374"/>
      <c r="BI1980" s="374"/>
      <c r="BJ1980" s="374"/>
      <c r="BK1980" s="374"/>
    </row>
    <row r="1981" spans="1:63" x14ac:dyDescent="0.2">
      <c r="A1981" s="560"/>
      <c r="B1981" s="502"/>
      <c r="C1981" s="502"/>
      <c r="D1981" s="559"/>
      <c r="E1981" s="496"/>
      <c r="F1981" s="427"/>
      <c r="G1981" s="427"/>
      <c r="H1981" s="427"/>
      <c r="I1981" s="428"/>
      <c r="N1981" s="372"/>
      <c r="O1981" s="372"/>
      <c r="P1981" s="372"/>
      <c r="R1981" s="372"/>
      <c r="S1981" s="374"/>
      <c r="T1981" s="374"/>
      <c r="U1981" s="374"/>
      <c r="V1981" s="374"/>
      <c r="W1981" s="374"/>
      <c r="X1981" s="374"/>
      <c r="Y1981" s="374"/>
      <c r="Z1981" s="374"/>
      <c r="AA1981" s="374"/>
      <c r="AB1981" s="374"/>
      <c r="AC1981" s="374"/>
      <c r="AD1981" s="374"/>
      <c r="AE1981" s="374"/>
      <c r="AF1981" s="374"/>
      <c r="AG1981" s="374"/>
      <c r="AH1981" s="374"/>
      <c r="AI1981" s="374"/>
      <c r="AJ1981" s="374"/>
      <c r="AK1981" s="374"/>
      <c r="AL1981" s="374"/>
      <c r="AM1981" s="374"/>
      <c r="AN1981" s="374"/>
      <c r="AO1981" s="374"/>
      <c r="AP1981" s="374"/>
      <c r="AQ1981" s="374"/>
      <c r="AR1981" s="374"/>
      <c r="AS1981" s="374"/>
      <c r="AT1981" s="374"/>
      <c r="AU1981" s="374"/>
      <c r="AV1981" s="374"/>
      <c r="AW1981" s="374"/>
      <c r="AX1981" s="374"/>
      <c r="AY1981" s="374"/>
      <c r="AZ1981" s="374"/>
      <c r="BA1981" s="374"/>
      <c r="BB1981" s="374"/>
      <c r="BC1981" s="374"/>
      <c r="BD1981" s="374"/>
      <c r="BE1981" s="374"/>
      <c r="BF1981" s="374"/>
      <c r="BG1981" s="374"/>
      <c r="BH1981" s="374"/>
      <c r="BI1981" s="374"/>
      <c r="BJ1981" s="374"/>
      <c r="BK1981" s="374"/>
    </row>
    <row r="1982" spans="1:63" x14ac:dyDescent="0.2">
      <c r="A1982" s="560"/>
      <c r="B1982" s="502"/>
      <c r="C1982" s="502"/>
      <c r="D1982" s="559"/>
      <c r="E1982" s="496"/>
      <c r="F1982" s="427"/>
      <c r="G1982" s="427"/>
      <c r="H1982" s="427"/>
      <c r="I1982" s="428"/>
      <c r="N1982" s="372"/>
      <c r="O1982" s="372"/>
      <c r="P1982" s="372"/>
      <c r="R1982" s="372"/>
      <c r="S1982" s="374"/>
      <c r="T1982" s="374"/>
      <c r="U1982" s="374"/>
      <c r="V1982" s="374"/>
      <c r="W1982" s="374"/>
      <c r="X1982" s="374"/>
      <c r="Y1982" s="374"/>
      <c r="Z1982" s="374"/>
      <c r="AA1982" s="374"/>
      <c r="AB1982" s="374"/>
      <c r="AC1982" s="374"/>
      <c r="AD1982" s="374"/>
      <c r="AE1982" s="374"/>
      <c r="AF1982" s="374"/>
      <c r="AG1982" s="374"/>
      <c r="AH1982" s="374"/>
      <c r="AI1982" s="374"/>
      <c r="AJ1982" s="374"/>
      <c r="AK1982" s="374"/>
      <c r="AL1982" s="374"/>
      <c r="AM1982" s="374"/>
      <c r="AN1982" s="374"/>
      <c r="AO1982" s="374"/>
      <c r="AP1982" s="374"/>
      <c r="AQ1982" s="374"/>
      <c r="AR1982" s="374"/>
      <c r="AS1982" s="374"/>
      <c r="AT1982" s="374"/>
      <c r="AU1982" s="374"/>
      <c r="AV1982" s="374"/>
      <c r="AW1982" s="374"/>
      <c r="AX1982" s="374"/>
      <c r="AY1982" s="374"/>
      <c r="AZ1982" s="374"/>
      <c r="BA1982" s="374"/>
      <c r="BB1982" s="374"/>
      <c r="BC1982" s="374"/>
      <c r="BD1982" s="374"/>
      <c r="BE1982" s="374"/>
      <c r="BF1982" s="374"/>
      <c r="BG1982" s="374"/>
      <c r="BH1982" s="374"/>
      <c r="BI1982" s="374"/>
      <c r="BJ1982" s="374"/>
      <c r="BK1982" s="374"/>
    </row>
    <row r="1983" spans="1:63" x14ac:dyDescent="0.2">
      <c r="A1983" s="560"/>
      <c r="B1983" s="502"/>
      <c r="C1983" s="502"/>
      <c r="D1983" s="559"/>
      <c r="E1983" s="496"/>
      <c r="F1983" s="427"/>
      <c r="G1983" s="427"/>
      <c r="H1983" s="427"/>
      <c r="I1983" s="428"/>
      <c r="N1983" s="372"/>
      <c r="O1983" s="372"/>
      <c r="P1983" s="372"/>
      <c r="R1983" s="372"/>
      <c r="S1983" s="374"/>
      <c r="T1983" s="374"/>
      <c r="U1983" s="374"/>
      <c r="V1983" s="374"/>
      <c r="W1983" s="374"/>
      <c r="X1983" s="374"/>
      <c r="Y1983" s="374"/>
      <c r="Z1983" s="374"/>
      <c r="AA1983" s="374"/>
      <c r="AB1983" s="374"/>
      <c r="AC1983" s="374"/>
      <c r="AD1983" s="374"/>
      <c r="AE1983" s="374"/>
      <c r="AF1983" s="374"/>
      <c r="AG1983" s="374"/>
      <c r="AH1983" s="374"/>
      <c r="AI1983" s="374"/>
      <c r="AJ1983" s="374"/>
      <c r="AK1983" s="374"/>
      <c r="AL1983" s="374"/>
      <c r="AM1983" s="374"/>
      <c r="AN1983" s="374"/>
      <c r="AO1983" s="374"/>
      <c r="AP1983" s="374"/>
      <c r="AQ1983" s="374"/>
      <c r="AR1983" s="374"/>
      <c r="AS1983" s="374"/>
      <c r="AT1983" s="374"/>
      <c r="AU1983" s="374"/>
      <c r="AV1983" s="374"/>
      <c r="AW1983" s="374"/>
      <c r="AX1983" s="374"/>
      <c r="AY1983" s="374"/>
      <c r="AZ1983" s="374"/>
      <c r="BA1983" s="374"/>
      <c r="BB1983" s="374"/>
      <c r="BC1983" s="374"/>
      <c r="BD1983" s="374"/>
      <c r="BE1983" s="374"/>
      <c r="BF1983" s="374"/>
      <c r="BG1983" s="374"/>
      <c r="BH1983" s="374"/>
      <c r="BI1983" s="374"/>
      <c r="BJ1983" s="374"/>
      <c r="BK1983" s="374"/>
    </row>
    <row r="1984" spans="1:63" x14ac:dyDescent="0.2">
      <c r="A1984" s="560"/>
      <c r="B1984" s="502"/>
      <c r="C1984" s="502"/>
      <c r="D1984" s="559"/>
      <c r="E1984" s="496"/>
      <c r="F1984" s="427"/>
      <c r="G1984" s="427"/>
      <c r="H1984" s="427"/>
      <c r="I1984" s="428"/>
      <c r="N1984" s="372"/>
      <c r="O1984" s="372"/>
      <c r="P1984" s="372"/>
      <c r="R1984" s="372"/>
      <c r="S1984" s="374"/>
      <c r="T1984" s="374"/>
      <c r="U1984" s="374"/>
      <c r="V1984" s="374"/>
      <c r="W1984" s="374"/>
      <c r="X1984" s="374"/>
      <c r="Y1984" s="374"/>
      <c r="Z1984" s="374"/>
      <c r="AA1984" s="374"/>
      <c r="AB1984" s="374"/>
      <c r="AC1984" s="374"/>
      <c r="AD1984" s="374"/>
      <c r="AE1984" s="374"/>
      <c r="AF1984" s="374"/>
      <c r="AG1984" s="374"/>
      <c r="AH1984" s="374"/>
      <c r="AI1984" s="374"/>
      <c r="AJ1984" s="374"/>
      <c r="AK1984" s="374"/>
      <c r="AL1984" s="374"/>
      <c r="AM1984" s="374"/>
      <c r="AN1984" s="374"/>
      <c r="AO1984" s="374"/>
      <c r="AP1984" s="374"/>
      <c r="AQ1984" s="374"/>
      <c r="AR1984" s="374"/>
      <c r="AS1984" s="374"/>
      <c r="AT1984" s="374"/>
      <c r="AU1984" s="374"/>
      <c r="AV1984" s="374"/>
      <c r="AW1984" s="374"/>
      <c r="AX1984" s="374"/>
      <c r="AY1984" s="374"/>
      <c r="AZ1984" s="374"/>
      <c r="BA1984" s="374"/>
      <c r="BB1984" s="374"/>
      <c r="BC1984" s="374"/>
      <c r="BD1984" s="374"/>
      <c r="BE1984" s="374"/>
      <c r="BF1984" s="374"/>
      <c r="BG1984" s="374"/>
      <c r="BH1984" s="374"/>
      <c r="BI1984" s="374"/>
      <c r="BJ1984" s="374"/>
      <c r="BK1984" s="374"/>
    </row>
    <row r="1985" spans="1:63" x14ac:dyDescent="0.2">
      <c r="A1985" s="560"/>
      <c r="B1985" s="502"/>
      <c r="C1985" s="502"/>
      <c r="D1985" s="559"/>
      <c r="E1985" s="496"/>
      <c r="F1985" s="427"/>
      <c r="G1985" s="427"/>
      <c r="H1985" s="427"/>
      <c r="I1985" s="428"/>
      <c r="N1985" s="372"/>
      <c r="O1985" s="372"/>
      <c r="P1985" s="372"/>
      <c r="R1985" s="372"/>
      <c r="S1985" s="374"/>
      <c r="T1985" s="374"/>
      <c r="U1985" s="374"/>
      <c r="V1985" s="374"/>
      <c r="W1985" s="374"/>
      <c r="X1985" s="374"/>
      <c r="Y1985" s="374"/>
      <c r="Z1985" s="374"/>
      <c r="AA1985" s="374"/>
      <c r="AB1985" s="374"/>
      <c r="AC1985" s="374"/>
      <c r="AD1985" s="374"/>
      <c r="AE1985" s="374"/>
      <c r="AF1985" s="374"/>
      <c r="AG1985" s="374"/>
      <c r="AH1985" s="374"/>
      <c r="AI1985" s="374"/>
      <c r="AJ1985" s="374"/>
      <c r="AK1985" s="374"/>
      <c r="AL1985" s="374"/>
      <c r="AM1985" s="374"/>
      <c r="AN1985" s="374"/>
      <c r="AO1985" s="374"/>
      <c r="AP1985" s="374"/>
      <c r="AQ1985" s="374"/>
      <c r="AR1985" s="374"/>
      <c r="AS1985" s="374"/>
      <c r="AT1985" s="374"/>
      <c r="AU1985" s="374"/>
      <c r="AV1985" s="374"/>
      <c r="AW1985" s="374"/>
      <c r="AX1985" s="374"/>
      <c r="AY1985" s="374"/>
      <c r="AZ1985" s="374"/>
      <c r="BA1985" s="374"/>
      <c r="BB1985" s="374"/>
      <c r="BC1985" s="374"/>
      <c r="BD1985" s="374"/>
      <c r="BE1985" s="374"/>
      <c r="BF1985" s="374"/>
      <c r="BG1985" s="374"/>
      <c r="BH1985" s="374"/>
      <c r="BI1985" s="374"/>
      <c r="BJ1985" s="374"/>
      <c r="BK1985" s="374"/>
    </row>
    <row r="1986" spans="1:63" x14ac:dyDescent="0.2">
      <c r="A1986" s="560"/>
      <c r="B1986" s="502"/>
      <c r="C1986" s="502"/>
      <c r="D1986" s="559"/>
      <c r="E1986" s="496"/>
      <c r="F1986" s="427"/>
      <c r="G1986" s="427"/>
      <c r="H1986" s="427"/>
      <c r="I1986" s="428"/>
      <c r="N1986" s="372"/>
      <c r="O1986" s="372"/>
      <c r="P1986" s="372"/>
      <c r="R1986" s="372"/>
      <c r="S1986" s="374"/>
      <c r="T1986" s="374"/>
      <c r="U1986" s="374"/>
      <c r="V1986" s="374"/>
      <c r="W1986" s="374"/>
      <c r="X1986" s="374"/>
      <c r="Y1986" s="374"/>
      <c r="Z1986" s="374"/>
      <c r="AA1986" s="374"/>
      <c r="AB1986" s="374"/>
      <c r="AC1986" s="374"/>
      <c r="AD1986" s="374"/>
      <c r="AE1986" s="374"/>
      <c r="AF1986" s="374"/>
      <c r="AG1986" s="374"/>
      <c r="AH1986" s="374"/>
      <c r="AI1986" s="374"/>
      <c r="AJ1986" s="374"/>
      <c r="AK1986" s="374"/>
      <c r="AL1986" s="374"/>
      <c r="AM1986" s="374"/>
      <c r="AN1986" s="374"/>
      <c r="AO1986" s="374"/>
      <c r="AP1986" s="374"/>
      <c r="AQ1986" s="374"/>
      <c r="AR1986" s="374"/>
      <c r="AS1986" s="374"/>
      <c r="AT1986" s="374"/>
      <c r="AU1986" s="374"/>
      <c r="AV1986" s="374"/>
      <c r="AW1986" s="374"/>
      <c r="AX1986" s="374"/>
      <c r="AY1986" s="374"/>
      <c r="AZ1986" s="374"/>
      <c r="BA1986" s="374"/>
      <c r="BB1986" s="374"/>
      <c r="BC1986" s="374"/>
      <c r="BD1986" s="374"/>
      <c r="BE1986" s="374"/>
      <c r="BF1986" s="374"/>
      <c r="BG1986" s="374"/>
      <c r="BH1986" s="374"/>
      <c r="BI1986" s="374"/>
      <c r="BJ1986" s="374"/>
      <c r="BK1986" s="374"/>
    </row>
    <row r="1987" spans="1:63" x14ac:dyDescent="0.2">
      <c r="A1987" s="560"/>
      <c r="B1987" s="502"/>
      <c r="C1987" s="502"/>
      <c r="D1987" s="559"/>
      <c r="E1987" s="496"/>
      <c r="F1987" s="427"/>
      <c r="G1987" s="427"/>
      <c r="H1987" s="427"/>
      <c r="I1987" s="428"/>
      <c r="N1987" s="372"/>
      <c r="O1987" s="372"/>
      <c r="P1987" s="372"/>
      <c r="R1987" s="372"/>
      <c r="S1987" s="374"/>
      <c r="T1987" s="374"/>
      <c r="U1987" s="374"/>
      <c r="V1987" s="374"/>
      <c r="W1987" s="374"/>
      <c r="X1987" s="374"/>
      <c r="Y1987" s="374"/>
      <c r="Z1987" s="374"/>
      <c r="AA1987" s="374"/>
      <c r="AB1987" s="374"/>
      <c r="AC1987" s="374"/>
      <c r="AD1987" s="374"/>
      <c r="AE1987" s="374"/>
      <c r="AF1987" s="374"/>
      <c r="AG1987" s="374"/>
      <c r="AH1987" s="374"/>
      <c r="AI1987" s="374"/>
      <c r="AJ1987" s="374"/>
      <c r="AK1987" s="374"/>
      <c r="AL1987" s="374"/>
      <c r="AM1987" s="374"/>
      <c r="AN1987" s="374"/>
      <c r="AO1987" s="374"/>
      <c r="AP1987" s="374"/>
      <c r="AQ1987" s="374"/>
      <c r="AR1987" s="374"/>
      <c r="AS1987" s="374"/>
      <c r="AT1987" s="374"/>
      <c r="AU1987" s="374"/>
      <c r="AV1987" s="374"/>
      <c r="AW1987" s="374"/>
      <c r="AX1987" s="374"/>
      <c r="AY1987" s="374"/>
      <c r="AZ1987" s="374"/>
      <c r="BA1987" s="374"/>
      <c r="BB1987" s="374"/>
      <c r="BC1987" s="374"/>
      <c r="BD1987" s="374"/>
      <c r="BE1987" s="374"/>
      <c r="BF1987" s="374"/>
      <c r="BG1987" s="374"/>
      <c r="BH1987" s="374"/>
      <c r="BI1987" s="374"/>
      <c r="BJ1987" s="374"/>
      <c r="BK1987" s="374"/>
    </row>
    <row r="1988" spans="1:63" x14ac:dyDescent="0.2">
      <c r="A1988" s="560"/>
      <c r="B1988" s="502"/>
      <c r="C1988" s="502"/>
      <c r="D1988" s="559"/>
      <c r="E1988" s="496"/>
      <c r="F1988" s="427"/>
      <c r="G1988" s="427"/>
      <c r="H1988" s="427"/>
      <c r="I1988" s="428"/>
      <c r="N1988" s="372"/>
      <c r="O1988" s="372"/>
      <c r="P1988" s="372"/>
      <c r="R1988" s="372"/>
      <c r="S1988" s="374"/>
      <c r="T1988" s="374"/>
      <c r="U1988" s="374"/>
      <c r="V1988" s="374"/>
      <c r="W1988" s="374"/>
      <c r="X1988" s="374"/>
      <c r="Y1988" s="374"/>
      <c r="Z1988" s="374"/>
      <c r="AA1988" s="374"/>
      <c r="AB1988" s="374"/>
      <c r="AC1988" s="374"/>
      <c r="AD1988" s="374"/>
      <c r="AE1988" s="374"/>
      <c r="AF1988" s="374"/>
      <c r="AG1988" s="374"/>
      <c r="AH1988" s="374"/>
      <c r="AI1988" s="374"/>
      <c r="AJ1988" s="374"/>
      <c r="AK1988" s="374"/>
      <c r="AL1988" s="374"/>
      <c r="AM1988" s="374"/>
      <c r="AN1988" s="374"/>
      <c r="AO1988" s="374"/>
      <c r="AP1988" s="374"/>
      <c r="AQ1988" s="374"/>
      <c r="AR1988" s="374"/>
      <c r="AS1988" s="374"/>
      <c r="AT1988" s="374"/>
      <c r="AU1988" s="374"/>
      <c r="AV1988" s="374"/>
      <c r="AW1988" s="374"/>
      <c r="AX1988" s="374"/>
      <c r="AY1988" s="374"/>
      <c r="AZ1988" s="374"/>
      <c r="BA1988" s="374"/>
      <c r="BB1988" s="374"/>
      <c r="BC1988" s="374"/>
      <c r="BD1988" s="374"/>
      <c r="BE1988" s="374"/>
      <c r="BF1988" s="374"/>
      <c r="BG1988" s="374"/>
      <c r="BH1988" s="374"/>
      <c r="BI1988" s="374"/>
      <c r="BJ1988" s="374"/>
      <c r="BK1988" s="374"/>
    </row>
    <row r="1989" spans="1:63" x14ac:dyDescent="0.2">
      <c r="A1989" s="560"/>
      <c r="B1989" s="502"/>
      <c r="C1989" s="502"/>
      <c r="D1989" s="559"/>
      <c r="E1989" s="496"/>
      <c r="F1989" s="427"/>
      <c r="G1989" s="427"/>
      <c r="H1989" s="427"/>
      <c r="I1989" s="428"/>
      <c r="N1989" s="372"/>
      <c r="O1989" s="372"/>
      <c r="P1989" s="372"/>
      <c r="R1989" s="372"/>
      <c r="S1989" s="374"/>
      <c r="T1989" s="374"/>
      <c r="U1989" s="374"/>
      <c r="V1989" s="374"/>
      <c r="W1989" s="374"/>
      <c r="X1989" s="374"/>
      <c r="Y1989" s="374"/>
      <c r="Z1989" s="374"/>
      <c r="AA1989" s="374"/>
      <c r="AB1989" s="374"/>
      <c r="AC1989" s="374"/>
      <c r="AD1989" s="374"/>
      <c r="AE1989" s="374"/>
      <c r="AF1989" s="374"/>
      <c r="AG1989" s="374"/>
      <c r="AH1989" s="374"/>
      <c r="AI1989" s="374"/>
      <c r="AJ1989" s="374"/>
      <c r="AK1989" s="374"/>
      <c r="AL1989" s="374"/>
      <c r="AM1989" s="374"/>
      <c r="AN1989" s="374"/>
      <c r="AO1989" s="374"/>
      <c r="AP1989" s="374"/>
      <c r="AQ1989" s="374"/>
      <c r="AR1989" s="374"/>
      <c r="AS1989" s="374"/>
      <c r="AT1989" s="374"/>
      <c r="AU1989" s="374"/>
      <c r="AV1989" s="374"/>
      <c r="AW1989" s="374"/>
      <c r="AX1989" s="374"/>
      <c r="AY1989" s="374"/>
      <c r="AZ1989" s="374"/>
      <c r="BA1989" s="374"/>
      <c r="BB1989" s="374"/>
      <c r="BC1989" s="374"/>
      <c r="BD1989" s="374"/>
      <c r="BE1989" s="374"/>
      <c r="BF1989" s="374"/>
      <c r="BG1989" s="374"/>
      <c r="BH1989" s="374"/>
      <c r="BI1989" s="374"/>
      <c r="BJ1989" s="374"/>
      <c r="BK1989" s="374"/>
    </row>
    <row r="1990" spans="1:63" x14ac:dyDescent="0.2">
      <c r="A1990" s="560"/>
      <c r="B1990" s="502"/>
      <c r="C1990" s="502"/>
      <c r="D1990" s="559"/>
      <c r="E1990" s="496"/>
      <c r="F1990" s="427"/>
      <c r="G1990" s="427"/>
      <c r="H1990" s="427"/>
      <c r="I1990" s="428"/>
      <c r="N1990" s="372"/>
      <c r="O1990" s="372"/>
      <c r="P1990" s="372"/>
      <c r="R1990" s="372"/>
      <c r="S1990" s="374"/>
      <c r="T1990" s="374"/>
      <c r="U1990" s="374"/>
      <c r="V1990" s="374"/>
      <c r="W1990" s="374"/>
      <c r="X1990" s="374"/>
      <c r="Y1990" s="374"/>
      <c r="Z1990" s="374"/>
      <c r="AA1990" s="374"/>
      <c r="AB1990" s="374"/>
      <c r="AC1990" s="374"/>
      <c r="AD1990" s="374"/>
      <c r="AE1990" s="374"/>
      <c r="AF1990" s="374"/>
      <c r="AG1990" s="374"/>
      <c r="AH1990" s="374"/>
      <c r="AI1990" s="374"/>
      <c r="AJ1990" s="374"/>
      <c r="AK1990" s="374"/>
      <c r="AL1990" s="374"/>
      <c r="AM1990" s="374"/>
      <c r="AN1990" s="374"/>
      <c r="AO1990" s="374"/>
      <c r="AP1990" s="374"/>
      <c r="AQ1990" s="374"/>
      <c r="AR1990" s="374"/>
      <c r="AS1990" s="374"/>
      <c r="AT1990" s="374"/>
      <c r="AU1990" s="374"/>
      <c r="AV1990" s="374"/>
      <c r="AW1990" s="374"/>
      <c r="AX1990" s="374"/>
      <c r="AY1990" s="374"/>
      <c r="AZ1990" s="374"/>
      <c r="BA1990" s="374"/>
      <c r="BB1990" s="374"/>
      <c r="BC1990" s="374"/>
      <c r="BD1990" s="374"/>
      <c r="BE1990" s="374"/>
      <c r="BF1990" s="374"/>
      <c r="BG1990" s="374"/>
      <c r="BH1990" s="374"/>
      <c r="BI1990" s="374"/>
      <c r="BJ1990" s="374"/>
      <c r="BK1990" s="374"/>
    </row>
    <row r="1991" spans="1:63" x14ac:dyDescent="0.2">
      <c r="A1991" s="560"/>
      <c r="B1991" s="502"/>
      <c r="C1991" s="502"/>
      <c r="D1991" s="559"/>
      <c r="E1991" s="496"/>
      <c r="F1991" s="427"/>
      <c r="G1991" s="427"/>
      <c r="H1991" s="427"/>
      <c r="I1991" s="428"/>
      <c r="N1991" s="372"/>
      <c r="O1991" s="372"/>
      <c r="P1991" s="372"/>
      <c r="R1991" s="372"/>
      <c r="S1991" s="374"/>
      <c r="T1991" s="374"/>
      <c r="U1991" s="374"/>
      <c r="V1991" s="374"/>
      <c r="W1991" s="374"/>
      <c r="X1991" s="374"/>
      <c r="Y1991" s="374"/>
      <c r="Z1991" s="374"/>
      <c r="AA1991" s="374"/>
      <c r="AB1991" s="374"/>
      <c r="AC1991" s="374"/>
      <c r="AD1991" s="374"/>
      <c r="AE1991" s="374"/>
      <c r="AF1991" s="374"/>
      <c r="AG1991" s="374"/>
      <c r="AH1991" s="374"/>
      <c r="AI1991" s="374"/>
      <c r="AJ1991" s="374"/>
      <c r="AK1991" s="374"/>
      <c r="AL1991" s="374"/>
      <c r="AM1991" s="374"/>
      <c r="AN1991" s="374"/>
      <c r="AO1991" s="374"/>
      <c r="AP1991" s="374"/>
      <c r="AQ1991" s="374"/>
      <c r="AR1991" s="374"/>
      <c r="AS1991" s="374"/>
      <c r="AT1991" s="374"/>
      <c r="AU1991" s="374"/>
      <c r="AV1991" s="374"/>
      <c r="AW1991" s="374"/>
      <c r="AX1991" s="374"/>
      <c r="AY1991" s="374"/>
      <c r="AZ1991" s="374"/>
      <c r="BA1991" s="374"/>
      <c r="BB1991" s="374"/>
      <c r="BC1991" s="374"/>
      <c r="BD1991" s="374"/>
      <c r="BE1991" s="374"/>
      <c r="BF1991" s="374"/>
      <c r="BG1991" s="374"/>
      <c r="BH1991" s="374"/>
      <c r="BI1991" s="374"/>
      <c r="BJ1991" s="374"/>
      <c r="BK1991" s="374"/>
    </row>
    <row r="1992" spans="1:63" x14ac:dyDescent="0.2">
      <c r="A1992" s="560"/>
      <c r="B1992" s="502"/>
      <c r="C1992" s="502"/>
      <c r="D1992" s="559"/>
      <c r="E1992" s="496"/>
      <c r="F1992" s="427"/>
      <c r="G1992" s="427"/>
      <c r="H1992" s="427"/>
      <c r="I1992" s="428"/>
      <c r="N1992" s="372"/>
      <c r="O1992" s="372"/>
      <c r="P1992" s="372"/>
      <c r="R1992" s="372"/>
      <c r="S1992" s="374"/>
      <c r="T1992" s="374"/>
      <c r="U1992" s="374"/>
      <c r="V1992" s="374"/>
      <c r="W1992" s="374"/>
      <c r="X1992" s="374"/>
      <c r="Y1992" s="374"/>
      <c r="Z1992" s="374"/>
      <c r="AA1992" s="374"/>
      <c r="AB1992" s="374"/>
      <c r="AC1992" s="374"/>
      <c r="AD1992" s="374"/>
      <c r="AE1992" s="374"/>
      <c r="AF1992" s="374"/>
      <c r="AG1992" s="374"/>
      <c r="AH1992" s="374"/>
      <c r="AI1992" s="374"/>
      <c r="AJ1992" s="374"/>
      <c r="AK1992" s="374"/>
      <c r="AL1992" s="374"/>
      <c r="AM1992" s="374"/>
      <c r="AN1992" s="374"/>
      <c r="AO1992" s="374"/>
      <c r="AP1992" s="374"/>
      <c r="AQ1992" s="374"/>
      <c r="AR1992" s="374"/>
      <c r="AS1992" s="374"/>
      <c r="AT1992" s="374"/>
      <c r="AU1992" s="374"/>
      <c r="AV1992" s="374"/>
      <c r="AW1992" s="374"/>
      <c r="AX1992" s="374"/>
      <c r="AY1992" s="374"/>
      <c r="AZ1992" s="374"/>
      <c r="BA1992" s="374"/>
      <c r="BB1992" s="374"/>
      <c r="BC1992" s="374"/>
      <c r="BD1992" s="374"/>
      <c r="BE1992" s="374"/>
      <c r="BF1992" s="374"/>
      <c r="BG1992" s="374"/>
      <c r="BH1992" s="374"/>
      <c r="BI1992" s="374"/>
      <c r="BJ1992" s="374"/>
      <c r="BK1992" s="374"/>
    </row>
    <row r="1993" spans="1:63" x14ac:dyDescent="0.2">
      <c r="A1993" s="560"/>
      <c r="B1993" s="502"/>
      <c r="C1993" s="502"/>
      <c r="D1993" s="559"/>
      <c r="E1993" s="496"/>
      <c r="F1993" s="427"/>
      <c r="G1993" s="427"/>
      <c r="H1993" s="427"/>
      <c r="I1993" s="428"/>
      <c r="N1993" s="372"/>
      <c r="O1993" s="372"/>
      <c r="P1993" s="372"/>
      <c r="R1993" s="372"/>
      <c r="S1993" s="374"/>
      <c r="T1993" s="374"/>
      <c r="U1993" s="374"/>
      <c r="V1993" s="374"/>
      <c r="W1993" s="374"/>
      <c r="X1993" s="374"/>
      <c r="Y1993" s="374"/>
      <c r="Z1993" s="374"/>
      <c r="AA1993" s="374"/>
      <c r="AB1993" s="374"/>
      <c r="AC1993" s="374"/>
      <c r="AD1993" s="374"/>
      <c r="AE1993" s="374"/>
      <c r="AF1993" s="374"/>
      <c r="AG1993" s="374"/>
      <c r="AH1993" s="374"/>
      <c r="AI1993" s="374"/>
      <c r="AJ1993" s="374"/>
      <c r="AK1993" s="374"/>
      <c r="AL1993" s="374"/>
      <c r="AM1993" s="374"/>
      <c r="AN1993" s="374"/>
      <c r="AO1993" s="374"/>
      <c r="AP1993" s="374"/>
      <c r="AQ1993" s="374"/>
      <c r="AR1993" s="374"/>
      <c r="AS1993" s="374"/>
      <c r="AT1993" s="374"/>
      <c r="AU1993" s="374"/>
      <c r="AV1993" s="374"/>
      <c r="AW1993" s="374"/>
      <c r="AX1993" s="374"/>
      <c r="AY1993" s="374"/>
      <c r="AZ1993" s="374"/>
      <c r="BA1993" s="374"/>
      <c r="BB1993" s="374"/>
      <c r="BC1993" s="374"/>
      <c r="BD1993" s="374"/>
      <c r="BE1993" s="374"/>
      <c r="BF1993" s="374"/>
      <c r="BG1993" s="374"/>
      <c r="BH1993" s="374"/>
      <c r="BI1993" s="374"/>
      <c r="BJ1993" s="374"/>
      <c r="BK1993" s="374"/>
    </row>
    <row r="1994" spans="1:63" x14ac:dyDescent="0.2">
      <c r="A1994" s="560"/>
      <c r="B1994" s="502"/>
      <c r="C1994" s="502"/>
      <c r="D1994" s="559"/>
      <c r="E1994" s="496"/>
      <c r="F1994" s="427"/>
      <c r="G1994" s="427"/>
      <c r="H1994" s="427"/>
      <c r="I1994" s="428"/>
      <c r="N1994" s="372"/>
      <c r="O1994" s="372"/>
      <c r="P1994" s="372"/>
      <c r="R1994" s="372"/>
      <c r="S1994" s="374"/>
      <c r="T1994" s="374"/>
      <c r="U1994" s="374"/>
      <c r="V1994" s="374"/>
      <c r="W1994" s="374"/>
      <c r="X1994" s="374"/>
      <c r="Y1994" s="374"/>
      <c r="Z1994" s="374"/>
      <c r="AA1994" s="374"/>
      <c r="AB1994" s="374"/>
      <c r="AC1994" s="374"/>
      <c r="AD1994" s="374"/>
      <c r="AE1994" s="374"/>
      <c r="AF1994" s="374"/>
      <c r="AG1994" s="374"/>
      <c r="AH1994" s="374"/>
      <c r="AI1994" s="374"/>
      <c r="AJ1994" s="374"/>
      <c r="AK1994" s="374"/>
      <c r="AL1994" s="374"/>
      <c r="AM1994" s="374"/>
      <c r="AN1994" s="374"/>
      <c r="AO1994" s="374"/>
      <c r="AP1994" s="374"/>
      <c r="AQ1994" s="374"/>
      <c r="AR1994" s="374"/>
      <c r="AS1994" s="374"/>
      <c r="AT1994" s="374"/>
      <c r="AU1994" s="374"/>
      <c r="AV1994" s="374"/>
      <c r="AW1994" s="374"/>
      <c r="AX1994" s="374"/>
      <c r="AY1994" s="374"/>
      <c r="AZ1994" s="374"/>
      <c r="BA1994" s="374"/>
      <c r="BB1994" s="374"/>
      <c r="BC1994" s="374"/>
      <c r="BD1994" s="374"/>
      <c r="BE1994" s="374"/>
      <c r="BF1994" s="374"/>
      <c r="BG1994" s="374"/>
      <c r="BH1994" s="374"/>
      <c r="BI1994" s="374"/>
      <c r="BJ1994" s="374"/>
      <c r="BK1994" s="374"/>
    </row>
    <row r="1995" spans="1:63" x14ac:dyDescent="0.2">
      <c r="A1995" s="560"/>
      <c r="B1995" s="502"/>
      <c r="C1995" s="502"/>
      <c r="D1995" s="559"/>
      <c r="E1995" s="496"/>
      <c r="F1995" s="427"/>
      <c r="G1995" s="427"/>
      <c r="H1995" s="427"/>
      <c r="I1995" s="428"/>
      <c r="N1995" s="372"/>
      <c r="O1995" s="372"/>
      <c r="P1995" s="372"/>
      <c r="R1995" s="372"/>
      <c r="S1995" s="374"/>
      <c r="T1995" s="374"/>
      <c r="U1995" s="374"/>
      <c r="V1995" s="374"/>
      <c r="W1995" s="374"/>
      <c r="X1995" s="374"/>
      <c r="Y1995" s="374"/>
      <c r="Z1995" s="374"/>
      <c r="AA1995" s="374"/>
      <c r="AB1995" s="374"/>
      <c r="AC1995" s="374"/>
      <c r="AD1995" s="374"/>
      <c r="AE1995" s="374"/>
      <c r="AF1995" s="374"/>
      <c r="AG1995" s="374"/>
      <c r="AH1995" s="374"/>
      <c r="AI1995" s="374"/>
      <c r="AJ1995" s="374"/>
      <c r="AK1995" s="374"/>
      <c r="AL1995" s="374"/>
      <c r="AM1995" s="374"/>
      <c r="AN1995" s="374"/>
      <c r="AO1995" s="374"/>
      <c r="AP1995" s="374"/>
      <c r="AQ1995" s="374"/>
      <c r="AR1995" s="374"/>
      <c r="AS1995" s="374"/>
      <c r="AT1995" s="374"/>
      <c r="AU1995" s="374"/>
      <c r="AV1995" s="374"/>
      <c r="AW1995" s="374"/>
      <c r="AX1995" s="374"/>
      <c r="AY1995" s="374"/>
      <c r="AZ1995" s="374"/>
      <c r="BA1995" s="374"/>
      <c r="BB1995" s="374"/>
      <c r="BC1995" s="374"/>
      <c r="BD1995" s="374"/>
      <c r="BE1995" s="374"/>
      <c r="BF1995" s="374"/>
      <c r="BG1995" s="374"/>
      <c r="BH1995" s="374"/>
      <c r="BI1995" s="374"/>
      <c r="BJ1995" s="374"/>
      <c r="BK1995" s="374"/>
    </row>
    <row r="1996" spans="1:63" x14ac:dyDescent="0.2">
      <c r="A1996" s="560"/>
      <c r="B1996" s="502"/>
      <c r="C1996" s="502"/>
      <c r="D1996" s="559"/>
      <c r="E1996" s="496"/>
      <c r="F1996" s="427"/>
      <c r="G1996" s="427"/>
      <c r="H1996" s="427"/>
      <c r="I1996" s="428"/>
      <c r="N1996" s="372"/>
      <c r="O1996" s="372"/>
      <c r="P1996" s="372"/>
      <c r="R1996" s="372"/>
      <c r="S1996" s="374"/>
      <c r="T1996" s="374"/>
      <c r="U1996" s="374"/>
      <c r="V1996" s="374"/>
      <c r="W1996" s="374"/>
      <c r="X1996" s="374"/>
      <c r="Y1996" s="374"/>
      <c r="Z1996" s="374"/>
      <c r="AA1996" s="374"/>
      <c r="AB1996" s="374"/>
      <c r="AC1996" s="374"/>
      <c r="AD1996" s="374"/>
      <c r="AE1996" s="374"/>
      <c r="AF1996" s="374"/>
      <c r="AG1996" s="374"/>
      <c r="AH1996" s="374"/>
      <c r="AI1996" s="374"/>
      <c r="AJ1996" s="374"/>
      <c r="AK1996" s="374"/>
      <c r="AL1996" s="374"/>
      <c r="AM1996" s="374"/>
      <c r="AN1996" s="374"/>
      <c r="AO1996" s="374"/>
      <c r="AP1996" s="374"/>
      <c r="AQ1996" s="374"/>
      <c r="AR1996" s="374"/>
      <c r="AS1996" s="374"/>
      <c r="AT1996" s="374"/>
      <c r="AU1996" s="374"/>
      <c r="AV1996" s="374"/>
      <c r="AW1996" s="374"/>
      <c r="AX1996" s="374"/>
      <c r="AY1996" s="374"/>
      <c r="AZ1996" s="374"/>
      <c r="BA1996" s="374"/>
      <c r="BB1996" s="374"/>
      <c r="BC1996" s="374"/>
      <c r="BD1996" s="374"/>
      <c r="BE1996" s="374"/>
      <c r="BF1996" s="374"/>
      <c r="BG1996" s="374"/>
      <c r="BH1996" s="374"/>
      <c r="BI1996" s="374"/>
      <c r="BJ1996" s="374"/>
      <c r="BK1996" s="374"/>
    </row>
    <row r="1997" spans="1:63" x14ac:dyDescent="0.2">
      <c r="A1997" s="560"/>
      <c r="B1997" s="502"/>
      <c r="C1997" s="502"/>
      <c r="D1997" s="559"/>
      <c r="E1997" s="496"/>
      <c r="F1997" s="427"/>
      <c r="G1997" s="427"/>
      <c r="H1997" s="427"/>
      <c r="I1997" s="428"/>
      <c r="N1997" s="372"/>
      <c r="O1997" s="372"/>
      <c r="P1997" s="372"/>
      <c r="R1997" s="372"/>
      <c r="S1997" s="374"/>
      <c r="T1997" s="374"/>
      <c r="U1997" s="374"/>
      <c r="V1997" s="374"/>
      <c r="W1997" s="374"/>
      <c r="X1997" s="374"/>
      <c r="Y1997" s="374"/>
      <c r="Z1997" s="374"/>
      <c r="AA1997" s="374"/>
      <c r="AB1997" s="374"/>
      <c r="AC1997" s="374"/>
      <c r="AD1997" s="374"/>
      <c r="AE1997" s="374"/>
      <c r="AF1997" s="374"/>
      <c r="AG1997" s="374"/>
      <c r="AH1997" s="374"/>
      <c r="AI1997" s="374"/>
      <c r="AJ1997" s="374"/>
      <c r="AK1997" s="374"/>
      <c r="AL1997" s="374"/>
      <c r="AM1997" s="374"/>
      <c r="AN1997" s="374"/>
      <c r="AO1997" s="374"/>
      <c r="AP1997" s="374"/>
      <c r="AQ1997" s="374"/>
      <c r="AR1997" s="374"/>
      <c r="AS1997" s="374"/>
      <c r="AT1997" s="374"/>
      <c r="AU1997" s="374"/>
      <c r="AV1997" s="374"/>
      <c r="AW1997" s="374"/>
      <c r="AX1997" s="374"/>
      <c r="AY1997" s="374"/>
      <c r="AZ1997" s="374"/>
      <c r="BA1997" s="374"/>
      <c r="BB1997" s="374"/>
      <c r="BC1997" s="374"/>
      <c r="BD1997" s="374"/>
      <c r="BE1997" s="374"/>
      <c r="BF1997" s="374"/>
      <c r="BG1997" s="374"/>
      <c r="BH1997" s="374"/>
      <c r="BI1997" s="374"/>
      <c r="BJ1997" s="374"/>
      <c r="BK1997" s="374"/>
    </row>
    <row r="1998" spans="1:63" x14ac:dyDescent="0.2">
      <c r="A1998" s="560"/>
      <c r="B1998" s="502"/>
      <c r="C1998" s="502"/>
      <c r="D1998" s="559"/>
      <c r="E1998" s="496"/>
      <c r="F1998" s="427"/>
      <c r="G1998" s="427"/>
      <c r="H1998" s="427"/>
      <c r="I1998" s="428"/>
      <c r="N1998" s="372"/>
      <c r="O1998" s="372"/>
      <c r="P1998" s="372"/>
      <c r="R1998" s="372"/>
      <c r="S1998" s="374"/>
      <c r="T1998" s="374"/>
      <c r="U1998" s="374"/>
      <c r="V1998" s="374"/>
      <c r="W1998" s="374"/>
      <c r="X1998" s="374"/>
      <c r="Y1998" s="374"/>
      <c r="Z1998" s="374"/>
      <c r="AA1998" s="374"/>
      <c r="AB1998" s="374"/>
      <c r="AC1998" s="374"/>
      <c r="AD1998" s="374"/>
      <c r="AE1998" s="374"/>
      <c r="AF1998" s="374"/>
      <c r="AG1998" s="374"/>
      <c r="AH1998" s="374"/>
      <c r="AI1998" s="374"/>
      <c r="AJ1998" s="374"/>
      <c r="AK1998" s="374"/>
      <c r="AL1998" s="374"/>
      <c r="AM1998" s="374"/>
      <c r="AN1998" s="374"/>
      <c r="AO1998" s="374"/>
      <c r="AP1998" s="374"/>
      <c r="AQ1998" s="374"/>
      <c r="AR1998" s="374"/>
      <c r="AS1998" s="374"/>
      <c r="AT1998" s="374"/>
      <c r="AU1998" s="374"/>
      <c r="AV1998" s="374"/>
      <c r="AW1998" s="374"/>
      <c r="AX1998" s="374"/>
      <c r="AY1998" s="374"/>
      <c r="AZ1998" s="374"/>
      <c r="BA1998" s="374"/>
      <c r="BB1998" s="374"/>
      <c r="BC1998" s="374"/>
      <c r="BD1998" s="374"/>
      <c r="BE1998" s="374"/>
      <c r="BF1998" s="374"/>
      <c r="BG1998" s="374"/>
      <c r="BH1998" s="374"/>
      <c r="BI1998" s="374"/>
      <c r="BJ1998" s="374"/>
      <c r="BK1998" s="374"/>
    </row>
    <row r="1999" spans="1:63" x14ac:dyDescent="0.2">
      <c r="A1999" s="560"/>
      <c r="B1999" s="502"/>
      <c r="C1999" s="502"/>
      <c r="D1999" s="559"/>
      <c r="E1999" s="496"/>
      <c r="F1999" s="427"/>
      <c r="G1999" s="427"/>
      <c r="H1999" s="427"/>
      <c r="I1999" s="428"/>
      <c r="N1999" s="372"/>
      <c r="O1999" s="372"/>
      <c r="P1999" s="372"/>
      <c r="R1999" s="372"/>
      <c r="S1999" s="374"/>
      <c r="T1999" s="374"/>
      <c r="U1999" s="374"/>
      <c r="V1999" s="374"/>
      <c r="W1999" s="374"/>
      <c r="X1999" s="374"/>
      <c r="Y1999" s="374"/>
      <c r="Z1999" s="374"/>
      <c r="AA1999" s="374"/>
      <c r="AB1999" s="374"/>
      <c r="AC1999" s="374"/>
      <c r="AD1999" s="374"/>
      <c r="AE1999" s="374"/>
      <c r="AF1999" s="374"/>
      <c r="AG1999" s="374"/>
      <c r="AH1999" s="374"/>
      <c r="AI1999" s="374"/>
      <c r="AJ1999" s="374"/>
      <c r="AK1999" s="374"/>
      <c r="AL1999" s="374"/>
      <c r="AM1999" s="374"/>
      <c r="AN1999" s="374"/>
      <c r="AO1999" s="374"/>
      <c r="AP1999" s="374"/>
      <c r="AQ1999" s="374"/>
      <c r="AR1999" s="374"/>
      <c r="AS1999" s="374"/>
      <c r="AT1999" s="374"/>
      <c r="AU1999" s="374"/>
      <c r="AV1999" s="374"/>
      <c r="AW1999" s="374"/>
      <c r="AX1999" s="374"/>
      <c r="AY1999" s="374"/>
      <c r="AZ1999" s="374"/>
      <c r="BA1999" s="374"/>
      <c r="BB1999" s="374"/>
      <c r="BC1999" s="374"/>
      <c r="BD1999" s="374"/>
      <c r="BE1999" s="374"/>
      <c r="BF1999" s="374"/>
      <c r="BG1999" s="374"/>
      <c r="BH1999" s="374"/>
      <c r="BI1999" s="374"/>
      <c r="BJ1999" s="374"/>
      <c r="BK1999" s="374"/>
    </row>
    <row r="2000" spans="1:63" x14ac:dyDescent="0.2">
      <c r="A2000" s="560"/>
      <c r="B2000" s="502"/>
      <c r="C2000" s="502"/>
      <c r="D2000" s="559"/>
      <c r="E2000" s="496"/>
      <c r="F2000" s="427"/>
      <c r="G2000" s="427"/>
      <c r="H2000" s="427"/>
      <c r="I2000" s="428"/>
      <c r="N2000" s="372"/>
      <c r="O2000" s="372"/>
      <c r="P2000" s="372"/>
      <c r="R2000" s="372"/>
      <c r="S2000" s="374"/>
      <c r="T2000" s="374"/>
      <c r="U2000" s="374"/>
      <c r="V2000" s="374"/>
      <c r="W2000" s="374"/>
      <c r="X2000" s="374"/>
      <c r="Y2000" s="374"/>
      <c r="Z2000" s="374"/>
      <c r="AA2000" s="374"/>
      <c r="AB2000" s="374"/>
      <c r="AC2000" s="374"/>
      <c r="AD2000" s="374"/>
      <c r="AE2000" s="374"/>
      <c r="AF2000" s="374"/>
      <c r="AG2000" s="374"/>
      <c r="AH2000" s="374"/>
      <c r="AI2000" s="374"/>
      <c r="AJ2000" s="374"/>
      <c r="AK2000" s="374"/>
      <c r="AL2000" s="374"/>
      <c r="AM2000" s="374"/>
      <c r="AN2000" s="374"/>
      <c r="AO2000" s="374"/>
      <c r="AP2000" s="374"/>
      <c r="AQ2000" s="374"/>
      <c r="AR2000" s="374"/>
      <c r="AS2000" s="374"/>
      <c r="AT2000" s="374"/>
      <c r="AU2000" s="374"/>
      <c r="AV2000" s="374"/>
      <c r="AW2000" s="374"/>
      <c r="AX2000" s="374"/>
      <c r="AY2000" s="374"/>
      <c r="AZ2000" s="374"/>
      <c r="BA2000" s="374"/>
      <c r="BB2000" s="374"/>
      <c r="BC2000" s="374"/>
      <c r="BD2000" s="374"/>
      <c r="BE2000" s="374"/>
      <c r="BF2000" s="374"/>
      <c r="BG2000" s="374"/>
      <c r="BH2000" s="374"/>
      <c r="BI2000" s="374"/>
      <c r="BJ2000" s="374"/>
      <c r="BK2000" s="374"/>
    </row>
    <row r="2001" spans="1:63" x14ac:dyDescent="0.2">
      <c r="A2001" s="560"/>
      <c r="B2001" s="502"/>
      <c r="C2001" s="502"/>
      <c r="D2001" s="559"/>
      <c r="E2001" s="496"/>
      <c r="F2001" s="427"/>
      <c r="G2001" s="427"/>
      <c r="H2001" s="427"/>
      <c r="I2001" s="428"/>
      <c r="N2001" s="372"/>
      <c r="O2001" s="372"/>
      <c r="P2001" s="372"/>
      <c r="R2001" s="372"/>
      <c r="S2001" s="374"/>
      <c r="T2001" s="374"/>
      <c r="U2001" s="374"/>
      <c r="V2001" s="374"/>
      <c r="W2001" s="374"/>
      <c r="X2001" s="374"/>
      <c r="Y2001" s="374"/>
      <c r="Z2001" s="374"/>
      <c r="AA2001" s="374"/>
      <c r="AB2001" s="374"/>
      <c r="AC2001" s="374"/>
      <c r="AD2001" s="374"/>
      <c r="AE2001" s="374"/>
      <c r="AF2001" s="374"/>
      <c r="AG2001" s="374"/>
      <c r="AH2001" s="374"/>
      <c r="AI2001" s="374"/>
      <c r="AJ2001" s="374"/>
      <c r="AK2001" s="374"/>
      <c r="AL2001" s="374"/>
      <c r="AM2001" s="374"/>
      <c r="AN2001" s="374"/>
      <c r="AO2001" s="374"/>
      <c r="AP2001" s="374"/>
      <c r="AQ2001" s="374"/>
      <c r="AR2001" s="374"/>
      <c r="AS2001" s="374"/>
      <c r="AT2001" s="374"/>
      <c r="AU2001" s="374"/>
      <c r="AV2001" s="374"/>
      <c r="AW2001" s="374"/>
      <c r="AX2001" s="374"/>
      <c r="AY2001" s="374"/>
      <c r="AZ2001" s="374"/>
      <c r="BA2001" s="374"/>
      <c r="BB2001" s="374"/>
      <c r="BC2001" s="374"/>
      <c r="BD2001" s="374"/>
      <c r="BE2001" s="374"/>
      <c r="BF2001" s="374"/>
      <c r="BG2001" s="374"/>
      <c r="BH2001" s="374"/>
      <c r="BI2001" s="374"/>
      <c r="BJ2001" s="374"/>
      <c r="BK2001" s="374"/>
    </row>
    <row r="2002" spans="1:63" x14ac:dyDescent="0.2">
      <c r="A2002" s="560"/>
      <c r="B2002" s="502"/>
      <c r="C2002" s="502"/>
      <c r="D2002" s="559"/>
      <c r="E2002" s="496"/>
      <c r="F2002" s="427"/>
      <c r="G2002" s="427"/>
      <c r="H2002" s="427"/>
      <c r="I2002" s="428"/>
      <c r="N2002" s="372"/>
      <c r="O2002" s="372"/>
      <c r="P2002" s="372"/>
      <c r="R2002" s="372"/>
      <c r="S2002" s="374"/>
      <c r="T2002" s="374"/>
      <c r="U2002" s="374"/>
      <c r="V2002" s="374"/>
      <c r="W2002" s="374"/>
      <c r="X2002" s="374"/>
      <c r="Y2002" s="374"/>
      <c r="Z2002" s="374"/>
      <c r="AA2002" s="374"/>
      <c r="AB2002" s="374"/>
      <c r="AC2002" s="374"/>
      <c r="AD2002" s="374"/>
      <c r="AE2002" s="374"/>
      <c r="AF2002" s="374"/>
      <c r="AG2002" s="374"/>
      <c r="AH2002" s="374"/>
      <c r="AI2002" s="374"/>
      <c r="AJ2002" s="374"/>
      <c r="AK2002" s="374"/>
      <c r="AL2002" s="374"/>
      <c r="AM2002" s="374"/>
      <c r="AN2002" s="374"/>
      <c r="AO2002" s="374"/>
      <c r="AP2002" s="374"/>
      <c r="AQ2002" s="374"/>
      <c r="AR2002" s="374"/>
      <c r="AS2002" s="374"/>
      <c r="AT2002" s="374"/>
      <c r="AU2002" s="374"/>
      <c r="AV2002" s="374"/>
      <c r="AW2002" s="374"/>
      <c r="AX2002" s="374"/>
      <c r="AY2002" s="374"/>
      <c r="AZ2002" s="374"/>
      <c r="BA2002" s="374"/>
      <c r="BB2002" s="374"/>
      <c r="BC2002" s="374"/>
      <c r="BD2002" s="374"/>
      <c r="BE2002" s="374"/>
      <c r="BF2002" s="374"/>
      <c r="BG2002" s="374"/>
      <c r="BH2002" s="374"/>
      <c r="BI2002" s="374"/>
      <c r="BJ2002" s="374"/>
      <c r="BK2002" s="374"/>
    </row>
    <row r="2003" spans="1:63" x14ac:dyDescent="0.2">
      <c r="A2003" s="560"/>
      <c r="B2003" s="502"/>
      <c r="C2003" s="502"/>
      <c r="D2003" s="559"/>
      <c r="E2003" s="496"/>
      <c r="F2003" s="427"/>
      <c r="G2003" s="427"/>
      <c r="H2003" s="427"/>
      <c r="I2003" s="428"/>
      <c r="N2003" s="372"/>
      <c r="O2003" s="372"/>
      <c r="P2003" s="372"/>
      <c r="R2003" s="372"/>
      <c r="S2003" s="374"/>
      <c r="T2003" s="374"/>
      <c r="U2003" s="374"/>
      <c r="V2003" s="374"/>
      <c r="W2003" s="374"/>
      <c r="X2003" s="374"/>
      <c r="Y2003" s="374"/>
      <c r="Z2003" s="374"/>
      <c r="AA2003" s="374"/>
      <c r="AB2003" s="374"/>
      <c r="AC2003" s="374"/>
      <c r="AD2003" s="374"/>
      <c r="AE2003" s="374"/>
      <c r="AF2003" s="374"/>
      <c r="AG2003" s="374"/>
      <c r="AH2003" s="374"/>
      <c r="AI2003" s="374"/>
      <c r="AJ2003" s="374"/>
      <c r="AK2003" s="374"/>
      <c r="AL2003" s="374"/>
      <c r="AM2003" s="374"/>
      <c r="AN2003" s="374"/>
      <c r="AO2003" s="374"/>
      <c r="AP2003" s="374"/>
      <c r="AQ2003" s="374"/>
      <c r="AR2003" s="374"/>
      <c r="AS2003" s="374"/>
      <c r="AT2003" s="374"/>
      <c r="AU2003" s="374"/>
      <c r="AV2003" s="374"/>
      <c r="AW2003" s="374"/>
      <c r="AX2003" s="374"/>
      <c r="AY2003" s="374"/>
      <c r="AZ2003" s="374"/>
      <c r="BA2003" s="374"/>
      <c r="BB2003" s="374"/>
      <c r="BC2003" s="374"/>
      <c r="BD2003" s="374"/>
      <c r="BE2003" s="374"/>
      <c r="BF2003" s="374"/>
      <c r="BG2003" s="374"/>
      <c r="BH2003" s="374"/>
      <c r="BI2003" s="374"/>
      <c r="BJ2003" s="374"/>
      <c r="BK2003" s="374"/>
    </row>
    <row r="2004" spans="1:63" x14ac:dyDescent="0.2">
      <c r="A2004" s="560"/>
      <c r="B2004" s="502"/>
      <c r="C2004" s="502"/>
      <c r="D2004" s="559"/>
      <c r="E2004" s="496"/>
      <c r="F2004" s="427"/>
      <c r="G2004" s="427"/>
      <c r="H2004" s="427"/>
      <c r="I2004" s="428"/>
      <c r="N2004" s="372"/>
      <c r="O2004" s="372"/>
      <c r="P2004" s="372"/>
      <c r="R2004" s="372"/>
      <c r="S2004" s="374"/>
      <c r="T2004" s="374"/>
      <c r="U2004" s="374"/>
      <c r="V2004" s="374"/>
      <c r="W2004" s="374"/>
      <c r="X2004" s="374"/>
      <c r="Y2004" s="374"/>
      <c r="Z2004" s="374"/>
      <c r="AA2004" s="374"/>
      <c r="AB2004" s="374"/>
      <c r="AC2004" s="374"/>
      <c r="AD2004" s="374"/>
      <c r="AE2004" s="374"/>
      <c r="AF2004" s="374"/>
      <c r="AG2004" s="374"/>
      <c r="AH2004" s="374"/>
      <c r="AI2004" s="374"/>
      <c r="AJ2004" s="374"/>
      <c r="AK2004" s="374"/>
      <c r="AL2004" s="374"/>
      <c r="AM2004" s="374"/>
      <c r="AN2004" s="374"/>
      <c r="AO2004" s="374"/>
      <c r="AP2004" s="374"/>
      <c r="AQ2004" s="374"/>
      <c r="AR2004" s="374"/>
      <c r="AS2004" s="374"/>
      <c r="AT2004" s="374"/>
      <c r="AU2004" s="374"/>
      <c r="AV2004" s="374"/>
      <c r="AW2004" s="374"/>
      <c r="AX2004" s="374"/>
      <c r="AY2004" s="374"/>
      <c r="AZ2004" s="374"/>
      <c r="BA2004" s="374"/>
      <c r="BB2004" s="374"/>
      <c r="BC2004" s="374"/>
      <c r="BD2004" s="374"/>
      <c r="BE2004" s="374"/>
      <c r="BF2004" s="374"/>
      <c r="BG2004" s="374"/>
      <c r="BH2004" s="374"/>
      <c r="BI2004" s="374"/>
      <c r="BJ2004" s="374"/>
      <c r="BK2004" s="374"/>
    </row>
    <row r="2005" spans="1:63" x14ac:dyDescent="0.2">
      <c r="A2005" s="560"/>
      <c r="B2005" s="502"/>
      <c r="C2005" s="502"/>
      <c r="D2005" s="559"/>
      <c r="E2005" s="496"/>
      <c r="F2005" s="427"/>
      <c r="G2005" s="427"/>
      <c r="H2005" s="427"/>
      <c r="I2005" s="428"/>
      <c r="N2005" s="372"/>
      <c r="O2005" s="372"/>
      <c r="P2005" s="372"/>
      <c r="R2005" s="372"/>
      <c r="S2005" s="374"/>
      <c r="T2005" s="374"/>
      <c r="U2005" s="374"/>
      <c r="V2005" s="374"/>
      <c r="W2005" s="374"/>
      <c r="X2005" s="374"/>
      <c r="Y2005" s="374"/>
      <c r="Z2005" s="374"/>
      <c r="AA2005" s="374"/>
      <c r="AB2005" s="374"/>
      <c r="AC2005" s="374"/>
      <c r="AD2005" s="374"/>
      <c r="AE2005" s="374"/>
      <c r="AF2005" s="374"/>
      <c r="AG2005" s="374"/>
      <c r="AH2005" s="374"/>
      <c r="AI2005" s="374"/>
      <c r="AJ2005" s="374"/>
      <c r="AK2005" s="374"/>
      <c r="AL2005" s="374"/>
      <c r="AM2005" s="374"/>
      <c r="AN2005" s="374"/>
      <c r="AO2005" s="374"/>
      <c r="AP2005" s="374"/>
      <c r="AQ2005" s="374"/>
      <c r="AR2005" s="374"/>
      <c r="AS2005" s="374"/>
      <c r="AT2005" s="374"/>
      <c r="AU2005" s="374"/>
      <c r="AV2005" s="374"/>
      <c r="AW2005" s="374"/>
      <c r="AX2005" s="374"/>
      <c r="AY2005" s="374"/>
      <c r="AZ2005" s="374"/>
      <c r="BA2005" s="374"/>
      <c r="BB2005" s="374"/>
      <c r="BC2005" s="374"/>
      <c r="BD2005" s="374"/>
      <c r="BE2005" s="374"/>
      <c r="BF2005" s="374"/>
      <c r="BG2005" s="374"/>
      <c r="BH2005" s="374"/>
      <c r="BI2005" s="374"/>
      <c r="BJ2005" s="374"/>
      <c r="BK2005" s="374"/>
    </row>
    <row r="2006" spans="1:63" x14ac:dyDescent="0.2">
      <c r="A2006" s="560"/>
      <c r="B2006" s="502"/>
      <c r="C2006" s="502"/>
      <c r="D2006" s="559"/>
      <c r="E2006" s="496"/>
      <c r="F2006" s="427"/>
      <c r="G2006" s="427"/>
      <c r="H2006" s="427"/>
      <c r="I2006" s="428"/>
      <c r="N2006" s="372"/>
      <c r="O2006" s="372"/>
      <c r="P2006" s="372"/>
      <c r="R2006" s="372"/>
      <c r="S2006" s="374"/>
      <c r="T2006" s="374"/>
      <c r="U2006" s="374"/>
      <c r="V2006" s="374"/>
      <c r="W2006" s="374"/>
      <c r="X2006" s="374"/>
      <c r="Y2006" s="374"/>
      <c r="Z2006" s="374"/>
      <c r="AA2006" s="374"/>
      <c r="AB2006" s="374"/>
      <c r="AC2006" s="374"/>
      <c r="AD2006" s="374"/>
      <c r="AE2006" s="374"/>
      <c r="AF2006" s="374"/>
      <c r="AG2006" s="374"/>
      <c r="AH2006" s="374"/>
      <c r="AI2006" s="374"/>
      <c r="AJ2006" s="374"/>
      <c r="AK2006" s="374"/>
      <c r="AL2006" s="374"/>
      <c r="AM2006" s="374"/>
      <c r="AN2006" s="374"/>
      <c r="AO2006" s="374"/>
      <c r="AP2006" s="374"/>
      <c r="AQ2006" s="374"/>
      <c r="AR2006" s="374"/>
      <c r="AS2006" s="374"/>
      <c r="AT2006" s="374"/>
      <c r="AU2006" s="374"/>
      <c r="AV2006" s="374"/>
      <c r="AW2006" s="374"/>
      <c r="AX2006" s="374"/>
      <c r="AY2006" s="374"/>
      <c r="AZ2006" s="374"/>
      <c r="BA2006" s="374"/>
      <c r="BB2006" s="374"/>
      <c r="BC2006" s="374"/>
      <c r="BD2006" s="374"/>
      <c r="BE2006" s="374"/>
      <c r="BF2006" s="374"/>
      <c r="BG2006" s="374"/>
      <c r="BH2006" s="374"/>
      <c r="BI2006" s="374"/>
      <c r="BJ2006" s="374"/>
      <c r="BK2006" s="374"/>
    </row>
    <row r="2007" spans="1:63" x14ac:dyDescent="0.2">
      <c r="A2007" s="560"/>
      <c r="B2007" s="502"/>
      <c r="C2007" s="502"/>
      <c r="D2007" s="559"/>
      <c r="E2007" s="496"/>
      <c r="F2007" s="427"/>
      <c r="G2007" s="427"/>
      <c r="H2007" s="427"/>
      <c r="I2007" s="428"/>
      <c r="N2007" s="372"/>
      <c r="O2007" s="372"/>
      <c r="P2007" s="372"/>
      <c r="R2007" s="372"/>
      <c r="S2007" s="374"/>
      <c r="T2007" s="374"/>
      <c r="U2007" s="374"/>
      <c r="V2007" s="374"/>
      <c r="W2007" s="374"/>
      <c r="X2007" s="374"/>
      <c r="Y2007" s="374"/>
      <c r="Z2007" s="374"/>
      <c r="AA2007" s="374"/>
      <c r="AB2007" s="374"/>
      <c r="AC2007" s="374"/>
      <c r="AD2007" s="374"/>
      <c r="AE2007" s="374"/>
      <c r="AF2007" s="374"/>
      <c r="AG2007" s="374"/>
      <c r="AH2007" s="374"/>
      <c r="AI2007" s="374"/>
      <c r="AJ2007" s="374"/>
      <c r="AK2007" s="374"/>
      <c r="AL2007" s="374"/>
      <c r="AM2007" s="374"/>
      <c r="AN2007" s="374"/>
      <c r="AO2007" s="374"/>
      <c r="AP2007" s="374"/>
      <c r="AQ2007" s="374"/>
      <c r="AR2007" s="374"/>
      <c r="AS2007" s="374"/>
      <c r="AT2007" s="374"/>
      <c r="AU2007" s="374"/>
      <c r="AV2007" s="374"/>
      <c r="AW2007" s="374"/>
      <c r="AX2007" s="374"/>
      <c r="AY2007" s="374"/>
      <c r="AZ2007" s="374"/>
      <c r="BA2007" s="374"/>
      <c r="BB2007" s="374"/>
      <c r="BC2007" s="374"/>
      <c r="BD2007" s="374"/>
      <c r="BE2007" s="374"/>
      <c r="BF2007" s="374"/>
      <c r="BG2007" s="374"/>
      <c r="BH2007" s="374"/>
      <c r="BI2007" s="374"/>
      <c r="BJ2007" s="374"/>
      <c r="BK2007" s="374"/>
    </row>
    <row r="2008" spans="1:63" x14ac:dyDescent="0.2">
      <c r="A2008" s="560"/>
      <c r="B2008" s="502"/>
      <c r="C2008" s="502"/>
      <c r="D2008" s="559"/>
      <c r="E2008" s="496"/>
      <c r="F2008" s="427"/>
      <c r="G2008" s="427"/>
      <c r="H2008" s="427"/>
      <c r="I2008" s="428"/>
      <c r="N2008" s="372"/>
      <c r="O2008" s="372"/>
      <c r="P2008" s="372"/>
      <c r="R2008" s="372"/>
      <c r="S2008" s="374"/>
      <c r="T2008" s="374"/>
      <c r="U2008" s="374"/>
      <c r="V2008" s="374"/>
      <c r="W2008" s="374"/>
      <c r="X2008" s="374"/>
      <c r="Y2008" s="374"/>
      <c r="Z2008" s="374"/>
      <c r="AA2008" s="374"/>
      <c r="AB2008" s="374"/>
      <c r="AC2008" s="374"/>
      <c r="AD2008" s="374"/>
      <c r="AE2008" s="374"/>
      <c r="AF2008" s="374"/>
      <c r="AG2008" s="374"/>
      <c r="AH2008" s="374"/>
      <c r="AI2008" s="374"/>
      <c r="AJ2008" s="374"/>
      <c r="AK2008" s="374"/>
      <c r="AL2008" s="374"/>
      <c r="AM2008" s="374"/>
      <c r="AN2008" s="374"/>
      <c r="AO2008" s="374"/>
      <c r="AP2008" s="374"/>
      <c r="AQ2008" s="374"/>
      <c r="AR2008" s="374"/>
      <c r="AS2008" s="374"/>
      <c r="AT2008" s="374"/>
      <c r="AU2008" s="374"/>
      <c r="AV2008" s="374"/>
      <c r="AW2008" s="374"/>
      <c r="AX2008" s="374"/>
      <c r="AY2008" s="374"/>
      <c r="AZ2008" s="374"/>
      <c r="BA2008" s="374"/>
      <c r="BB2008" s="374"/>
      <c r="BC2008" s="374"/>
      <c r="BD2008" s="374"/>
      <c r="BE2008" s="374"/>
      <c r="BF2008" s="374"/>
      <c r="BG2008" s="374"/>
      <c r="BH2008" s="374"/>
      <c r="BI2008" s="374"/>
      <c r="BJ2008" s="374"/>
      <c r="BK2008" s="374"/>
    </row>
    <row r="2009" spans="1:63" x14ac:dyDescent="0.2">
      <c r="A2009" s="560"/>
      <c r="B2009" s="502"/>
      <c r="C2009" s="502"/>
      <c r="D2009" s="559"/>
      <c r="E2009" s="496"/>
      <c r="F2009" s="427"/>
      <c r="G2009" s="427"/>
      <c r="H2009" s="427"/>
      <c r="I2009" s="428"/>
      <c r="N2009" s="372"/>
      <c r="O2009" s="372"/>
      <c r="P2009" s="372"/>
      <c r="R2009" s="372"/>
      <c r="S2009" s="374"/>
      <c r="T2009" s="374"/>
      <c r="U2009" s="374"/>
      <c r="V2009" s="374"/>
      <c r="W2009" s="374"/>
      <c r="X2009" s="374"/>
      <c r="Y2009" s="374"/>
      <c r="Z2009" s="374"/>
      <c r="AA2009" s="374"/>
      <c r="AB2009" s="374"/>
      <c r="AC2009" s="374"/>
      <c r="AD2009" s="374"/>
      <c r="AE2009" s="374"/>
      <c r="AF2009" s="374"/>
      <c r="AG2009" s="374"/>
      <c r="AH2009" s="374"/>
      <c r="AI2009" s="374"/>
      <c r="AJ2009" s="374"/>
      <c r="AK2009" s="374"/>
      <c r="AL2009" s="374"/>
      <c r="AM2009" s="374"/>
      <c r="AN2009" s="374"/>
      <c r="AO2009" s="374"/>
      <c r="AP2009" s="374"/>
      <c r="AQ2009" s="374"/>
      <c r="AR2009" s="374"/>
      <c r="AS2009" s="374"/>
      <c r="AT2009" s="374"/>
      <c r="AU2009" s="374"/>
      <c r="AV2009" s="374"/>
      <c r="AW2009" s="374"/>
      <c r="AX2009" s="374"/>
      <c r="AY2009" s="374"/>
      <c r="AZ2009" s="374"/>
      <c r="BA2009" s="374"/>
      <c r="BB2009" s="374"/>
      <c r="BC2009" s="374"/>
      <c r="BD2009" s="374"/>
      <c r="BE2009" s="374"/>
      <c r="BF2009" s="374"/>
      <c r="BG2009" s="374"/>
      <c r="BH2009" s="374"/>
      <c r="BI2009" s="374"/>
      <c r="BJ2009" s="374"/>
      <c r="BK2009" s="374"/>
    </row>
    <row r="2010" spans="1:63" x14ac:dyDescent="0.2">
      <c r="A2010" s="560"/>
      <c r="B2010" s="502"/>
      <c r="C2010" s="502"/>
      <c r="D2010" s="559"/>
      <c r="E2010" s="496"/>
      <c r="F2010" s="427"/>
      <c r="G2010" s="427"/>
      <c r="H2010" s="427"/>
      <c r="I2010" s="428"/>
      <c r="N2010" s="372"/>
      <c r="O2010" s="372"/>
      <c r="P2010" s="372"/>
      <c r="R2010" s="372"/>
      <c r="S2010" s="374"/>
      <c r="T2010" s="374"/>
      <c r="U2010" s="374"/>
      <c r="V2010" s="374"/>
      <c r="W2010" s="374"/>
      <c r="X2010" s="374"/>
      <c r="Y2010" s="374"/>
      <c r="Z2010" s="374"/>
      <c r="AA2010" s="374"/>
      <c r="AB2010" s="374"/>
      <c r="AC2010" s="374"/>
      <c r="AD2010" s="374"/>
      <c r="AE2010" s="374"/>
      <c r="AF2010" s="374"/>
      <c r="AG2010" s="374"/>
      <c r="AH2010" s="374"/>
      <c r="AI2010" s="374"/>
      <c r="AJ2010" s="374"/>
      <c r="AK2010" s="374"/>
      <c r="AL2010" s="374"/>
      <c r="AM2010" s="374"/>
      <c r="AN2010" s="374"/>
      <c r="AO2010" s="374"/>
      <c r="AP2010" s="374"/>
      <c r="AQ2010" s="374"/>
      <c r="AR2010" s="374"/>
      <c r="AS2010" s="374"/>
      <c r="AT2010" s="374"/>
      <c r="AU2010" s="374"/>
      <c r="AV2010" s="374"/>
      <c r="AW2010" s="374"/>
      <c r="AX2010" s="374"/>
      <c r="AY2010" s="374"/>
      <c r="AZ2010" s="374"/>
      <c r="BA2010" s="374"/>
      <c r="BB2010" s="374"/>
      <c r="BC2010" s="374"/>
      <c r="BD2010" s="374"/>
      <c r="BE2010" s="374"/>
      <c r="BF2010" s="374"/>
      <c r="BG2010" s="374"/>
      <c r="BH2010" s="374"/>
      <c r="BI2010" s="374"/>
      <c r="BJ2010" s="374"/>
      <c r="BK2010" s="374"/>
    </row>
    <row r="2011" spans="1:63" x14ac:dyDescent="0.2">
      <c r="A2011" s="560"/>
      <c r="B2011" s="502"/>
      <c r="C2011" s="502"/>
      <c r="D2011" s="559"/>
      <c r="E2011" s="496"/>
      <c r="F2011" s="427"/>
      <c r="G2011" s="427"/>
      <c r="H2011" s="427"/>
      <c r="I2011" s="428"/>
      <c r="N2011" s="372"/>
      <c r="O2011" s="372"/>
      <c r="P2011" s="372"/>
      <c r="R2011" s="372"/>
      <c r="S2011" s="374"/>
      <c r="T2011" s="374"/>
      <c r="U2011" s="374"/>
      <c r="V2011" s="374"/>
      <c r="W2011" s="374"/>
      <c r="X2011" s="374"/>
      <c r="Y2011" s="374"/>
      <c r="Z2011" s="374"/>
      <c r="AA2011" s="374"/>
      <c r="AB2011" s="374"/>
      <c r="AC2011" s="374"/>
      <c r="AD2011" s="374"/>
      <c r="AE2011" s="374"/>
      <c r="AF2011" s="374"/>
      <c r="AG2011" s="374"/>
      <c r="AH2011" s="374"/>
      <c r="AI2011" s="374"/>
      <c r="AJ2011" s="374"/>
      <c r="AK2011" s="374"/>
      <c r="AL2011" s="374"/>
      <c r="AM2011" s="374"/>
      <c r="AN2011" s="374"/>
      <c r="AO2011" s="374"/>
      <c r="AP2011" s="374"/>
      <c r="AQ2011" s="374"/>
      <c r="AR2011" s="374"/>
      <c r="AS2011" s="374"/>
      <c r="AT2011" s="374"/>
      <c r="AU2011" s="374"/>
      <c r="AV2011" s="374"/>
      <c r="AW2011" s="374"/>
      <c r="AX2011" s="374"/>
      <c r="AY2011" s="374"/>
      <c r="AZ2011" s="374"/>
      <c r="BA2011" s="374"/>
      <c r="BB2011" s="374"/>
      <c r="BC2011" s="374"/>
      <c r="BD2011" s="374"/>
      <c r="BE2011" s="374"/>
      <c r="BF2011" s="374"/>
      <c r="BG2011" s="374"/>
      <c r="BH2011" s="374"/>
      <c r="BI2011" s="374"/>
      <c r="BJ2011" s="374"/>
      <c r="BK2011" s="374"/>
    </row>
    <row r="2012" spans="1:63" x14ac:dyDescent="0.2">
      <c r="A2012" s="560"/>
      <c r="B2012" s="502"/>
      <c r="C2012" s="502"/>
      <c r="D2012" s="559"/>
      <c r="E2012" s="496"/>
      <c r="F2012" s="427"/>
      <c r="G2012" s="427"/>
      <c r="H2012" s="427"/>
      <c r="I2012" s="428"/>
      <c r="N2012" s="372"/>
      <c r="O2012" s="372"/>
      <c r="P2012" s="372"/>
      <c r="R2012" s="372"/>
      <c r="S2012" s="374"/>
      <c r="T2012" s="374"/>
      <c r="U2012" s="374"/>
      <c r="V2012" s="374"/>
      <c r="W2012" s="374"/>
      <c r="X2012" s="374"/>
      <c r="Y2012" s="374"/>
      <c r="Z2012" s="374"/>
      <c r="AA2012" s="374"/>
      <c r="AB2012" s="374"/>
      <c r="AC2012" s="374"/>
      <c r="AD2012" s="374"/>
      <c r="AE2012" s="374"/>
      <c r="AF2012" s="374"/>
      <c r="AG2012" s="374"/>
      <c r="AH2012" s="374"/>
      <c r="AI2012" s="374"/>
      <c r="AJ2012" s="374"/>
      <c r="AK2012" s="374"/>
      <c r="AL2012" s="374"/>
      <c r="AM2012" s="374"/>
      <c r="AN2012" s="374"/>
      <c r="AO2012" s="374"/>
      <c r="AP2012" s="374"/>
      <c r="AQ2012" s="374"/>
      <c r="AR2012" s="374"/>
      <c r="AS2012" s="374"/>
      <c r="AT2012" s="374"/>
      <c r="AU2012" s="374"/>
      <c r="AV2012" s="374"/>
      <c r="AW2012" s="374"/>
      <c r="AX2012" s="374"/>
      <c r="AY2012" s="374"/>
      <c r="AZ2012" s="374"/>
      <c r="BA2012" s="374"/>
      <c r="BB2012" s="374"/>
      <c r="BC2012" s="374"/>
      <c r="BD2012" s="374"/>
      <c r="BE2012" s="374"/>
      <c r="BF2012" s="374"/>
      <c r="BG2012" s="374"/>
      <c r="BH2012" s="374"/>
      <c r="BI2012" s="374"/>
      <c r="BJ2012" s="374"/>
      <c r="BK2012" s="374"/>
    </row>
    <row r="2013" spans="1:63" x14ac:dyDescent="0.2">
      <c r="A2013" s="560"/>
      <c r="B2013" s="502"/>
      <c r="C2013" s="502"/>
      <c r="D2013" s="559"/>
      <c r="E2013" s="496"/>
      <c r="F2013" s="427"/>
      <c r="G2013" s="427"/>
      <c r="H2013" s="427"/>
      <c r="I2013" s="428"/>
      <c r="N2013" s="372"/>
      <c r="O2013" s="372"/>
      <c r="P2013" s="372"/>
      <c r="R2013" s="372"/>
      <c r="S2013" s="374"/>
      <c r="T2013" s="374"/>
      <c r="U2013" s="374"/>
      <c r="V2013" s="374"/>
      <c r="W2013" s="374"/>
      <c r="X2013" s="374"/>
      <c r="Y2013" s="374"/>
      <c r="Z2013" s="374"/>
      <c r="AA2013" s="374"/>
      <c r="AB2013" s="374"/>
      <c r="AC2013" s="374"/>
      <c r="AD2013" s="374"/>
      <c r="AE2013" s="374"/>
      <c r="AF2013" s="374"/>
      <c r="AG2013" s="374"/>
      <c r="AH2013" s="374"/>
      <c r="AI2013" s="374"/>
      <c r="AJ2013" s="374"/>
      <c r="AK2013" s="374"/>
      <c r="AL2013" s="374"/>
      <c r="AM2013" s="374"/>
      <c r="AN2013" s="374"/>
      <c r="AO2013" s="374"/>
      <c r="AP2013" s="374"/>
      <c r="AQ2013" s="374"/>
      <c r="AR2013" s="374"/>
      <c r="AS2013" s="374"/>
      <c r="AT2013" s="374"/>
      <c r="AU2013" s="374"/>
      <c r="AV2013" s="374"/>
      <c r="AW2013" s="374"/>
      <c r="AX2013" s="374"/>
      <c r="AY2013" s="374"/>
      <c r="AZ2013" s="374"/>
      <c r="BA2013" s="374"/>
      <c r="BB2013" s="374"/>
      <c r="BC2013" s="374"/>
      <c r="BD2013" s="374"/>
      <c r="BE2013" s="374"/>
      <c r="BF2013" s="374"/>
      <c r="BG2013" s="374"/>
      <c r="BH2013" s="374"/>
      <c r="BI2013" s="374"/>
      <c r="BJ2013" s="374"/>
      <c r="BK2013" s="374"/>
    </row>
    <row r="2014" spans="1:63" x14ac:dyDescent="0.2">
      <c r="A2014" s="560"/>
      <c r="B2014" s="502"/>
      <c r="C2014" s="502"/>
      <c r="D2014" s="559"/>
      <c r="E2014" s="496"/>
      <c r="F2014" s="427"/>
      <c r="G2014" s="427"/>
      <c r="H2014" s="427"/>
      <c r="I2014" s="428"/>
      <c r="N2014" s="372"/>
      <c r="O2014" s="372"/>
      <c r="P2014" s="372"/>
      <c r="R2014" s="372"/>
      <c r="S2014" s="374"/>
      <c r="T2014" s="374"/>
      <c r="U2014" s="374"/>
      <c r="V2014" s="374"/>
      <c r="W2014" s="374"/>
      <c r="X2014" s="374"/>
      <c r="Y2014" s="374"/>
      <c r="Z2014" s="374"/>
      <c r="AA2014" s="374"/>
      <c r="AB2014" s="374"/>
      <c r="AC2014" s="374"/>
      <c r="AD2014" s="374"/>
      <c r="AE2014" s="374"/>
      <c r="AF2014" s="374"/>
      <c r="AG2014" s="374"/>
      <c r="AH2014" s="374"/>
      <c r="AI2014" s="374"/>
      <c r="AJ2014" s="374"/>
      <c r="AK2014" s="374"/>
      <c r="AL2014" s="374"/>
      <c r="AM2014" s="374"/>
      <c r="AN2014" s="374"/>
      <c r="AO2014" s="374"/>
      <c r="AP2014" s="374"/>
      <c r="AQ2014" s="374"/>
      <c r="AR2014" s="374"/>
      <c r="AS2014" s="374"/>
      <c r="AT2014" s="374"/>
      <c r="AU2014" s="374"/>
      <c r="AV2014" s="374"/>
      <c r="AW2014" s="374"/>
      <c r="AX2014" s="374"/>
      <c r="AY2014" s="374"/>
      <c r="AZ2014" s="374"/>
      <c r="BA2014" s="374"/>
      <c r="BB2014" s="374"/>
      <c r="BC2014" s="374"/>
      <c r="BD2014" s="374"/>
      <c r="BE2014" s="374"/>
      <c r="BF2014" s="374"/>
      <c r="BG2014" s="374"/>
      <c r="BH2014" s="374"/>
      <c r="BI2014" s="374"/>
      <c r="BJ2014" s="374"/>
      <c r="BK2014" s="374"/>
    </row>
    <row r="2015" spans="1:63" x14ac:dyDescent="0.2">
      <c r="A2015" s="560"/>
      <c r="B2015" s="502"/>
      <c r="C2015" s="502"/>
      <c r="D2015" s="559"/>
      <c r="E2015" s="496"/>
      <c r="F2015" s="427"/>
      <c r="G2015" s="427"/>
      <c r="H2015" s="427"/>
      <c r="I2015" s="428"/>
      <c r="N2015" s="372"/>
      <c r="O2015" s="372"/>
      <c r="P2015" s="372"/>
      <c r="R2015" s="372"/>
      <c r="S2015" s="374"/>
      <c r="T2015" s="374"/>
      <c r="U2015" s="374"/>
      <c r="V2015" s="374"/>
      <c r="W2015" s="374"/>
      <c r="X2015" s="374"/>
      <c r="Y2015" s="374"/>
      <c r="Z2015" s="374"/>
      <c r="AA2015" s="374"/>
      <c r="AB2015" s="374"/>
      <c r="AC2015" s="374"/>
      <c r="AD2015" s="374"/>
      <c r="AE2015" s="374"/>
      <c r="AF2015" s="374"/>
      <c r="AG2015" s="374"/>
      <c r="AH2015" s="374"/>
      <c r="AI2015" s="374"/>
      <c r="AJ2015" s="374"/>
      <c r="AK2015" s="374"/>
      <c r="AL2015" s="374"/>
      <c r="AM2015" s="374"/>
      <c r="AN2015" s="374"/>
      <c r="AO2015" s="374"/>
      <c r="AP2015" s="374"/>
      <c r="AQ2015" s="374"/>
      <c r="AR2015" s="374"/>
      <c r="AS2015" s="374"/>
      <c r="AT2015" s="374"/>
      <c r="AU2015" s="374"/>
      <c r="AV2015" s="374"/>
      <c r="AW2015" s="374"/>
      <c r="AX2015" s="374"/>
      <c r="AY2015" s="374"/>
      <c r="AZ2015" s="374"/>
      <c r="BA2015" s="374"/>
      <c r="BB2015" s="374"/>
      <c r="BC2015" s="374"/>
      <c r="BD2015" s="374"/>
      <c r="BE2015" s="374"/>
      <c r="BF2015" s="374"/>
      <c r="BG2015" s="374"/>
      <c r="BH2015" s="374"/>
      <c r="BI2015" s="374"/>
      <c r="BJ2015" s="374"/>
      <c r="BK2015" s="374"/>
    </row>
    <row r="2016" spans="1:63" x14ac:dyDescent="0.2">
      <c r="A2016" s="560"/>
      <c r="B2016" s="502"/>
      <c r="C2016" s="502"/>
      <c r="D2016" s="559"/>
      <c r="E2016" s="496"/>
      <c r="F2016" s="427"/>
      <c r="G2016" s="427"/>
      <c r="H2016" s="427"/>
      <c r="I2016" s="428"/>
      <c r="N2016" s="372"/>
      <c r="O2016" s="372"/>
      <c r="P2016" s="372"/>
      <c r="R2016" s="372"/>
      <c r="S2016" s="374"/>
      <c r="T2016" s="374"/>
      <c r="U2016" s="374"/>
      <c r="V2016" s="374"/>
      <c r="W2016" s="374"/>
      <c r="X2016" s="374"/>
      <c r="Y2016" s="374"/>
      <c r="Z2016" s="374"/>
      <c r="AA2016" s="374"/>
      <c r="AB2016" s="374"/>
      <c r="AC2016" s="374"/>
      <c r="AD2016" s="374"/>
      <c r="AE2016" s="374"/>
      <c r="AF2016" s="374"/>
      <c r="AG2016" s="374"/>
      <c r="AH2016" s="374"/>
      <c r="AI2016" s="374"/>
      <c r="AJ2016" s="374"/>
      <c r="AK2016" s="374"/>
      <c r="AL2016" s="374"/>
      <c r="AM2016" s="374"/>
      <c r="AN2016" s="374"/>
      <c r="AO2016" s="374"/>
      <c r="AP2016" s="374"/>
      <c r="AQ2016" s="374"/>
      <c r="AR2016" s="374"/>
      <c r="AS2016" s="374"/>
      <c r="AT2016" s="374"/>
      <c r="AU2016" s="374"/>
      <c r="AV2016" s="374"/>
      <c r="AW2016" s="374"/>
      <c r="AX2016" s="374"/>
      <c r="AY2016" s="374"/>
      <c r="AZ2016" s="374"/>
      <c r="BA2016" s="374"/>
      <c r="BB2016" s="374"/>
      <c r="BC2016" s="374"/>
      <c r="BD2016" s="374"/>
      <c r="BE2016" s="374"/>
      <c r="BF2016" s="374"/>
      <c r="BG2016" s="374"/>
      <c r="BH2016" s="374"/>
      <c r="BI2016" s="374"/>
      <c r="BJ2016" s="374"/>
      <c r="BK2016" s="374"/>
    </row>
    <row r="2017" spans="1:63" x14ac:dyDescent="0.2">
      <c r="A2017" s="560"/>
      <c r="B2017" s="502"/>
      <c r="C2017" s="502"/>
      <c r="D2017" s="559"/>
      <c r="E2017" s="496"/>
      <c r="F2017" s="427"/>
      <c r="G2017" s="427"/>
      <c r="H2017" s="427"/>
      <c r="I2017" s="428"/>
      <c r="N2017" s="372"/>
      <c r="O2017" s="372"/>
      <c r="P2017" s="372"/>
      <c r="R2017" s="372"/>
      <c r="S2017" s="374"/>
      <c r="T2017" s="374"/>
      <c r="U2017" s="374"/>
      <c r="V2017" s="374"/>
      <c r="W2017" s="374"/>
      <c r="X2017" s="374"/>
      <c r="Y2017" s="374"/>
      <c r="Z2017" s="374"/>
      <c r="AA2017" s="374"/>
      <c r="AB2017" s="374"/>
      <c r="AC2017" s="374"/>
      <c r="AD2017" s="374"/>
      <c r="AE2017" s="374"/>
      <c r="AF2017" s="374"/>
      <c r="AG2017" s="374"/>
      <c r="AH2017" s="374"/>
      <c r="AI2017" s="374"/>
      <c r="AJ2017" s="374"/>
      <c r="AK2017" s="374"/>
      <c r="AL2017" s="374"/>
      <c r="AM2017" s="374"/>
      <c r="AN2017" s="374"/>
      <c r="AO2017" s="374"/>
      <c r="AP2017" s="374"/>
      <c r="AQ2017" s="374"/>
      <c r="AR2017" s="374"/>
      <c r="AS2017" s="374"/>
      <c r="AT2017" s="374"/>
      <c r="AU2017" s="374"/>
      <c r="AV2017" s="374"/>
      <c r="AW2017" s="374"/>
      <c r="AX2017" s="374"/>
      <c r="AY2017" s="374"/>
      <c r="AZ2017" s="374"/>
      <c r="BA2017" s="374"/>
      <c r="BB2017" s="374"/>
      <c r="BC2017" s="374"/>
      <c r="BD2017" s="374"/>
      <c r="BE2017" s="374"/>
      <c r="BF2017" s="374"/>
      <c r="BG2017" s="374"/>
      <c r="BH2017" s="374"/>
      <c r="BI2017" s="374"/>
      <c r="BJ2017" s="374"/>
      <c r="BK2017" s="374"/>
    </row>
    <row r="2018" spans="1:63" x14ac:dyDescent="0.2">
      <c r="A2018" s="560"/>
      <c r="B2018" s="502"/>
      <c r="C2018" s="502"/>
      <c r="D2018" s="559"/>
      <c r="E2018" s="496"/>
      <c r="F2018" s="427"/>
      <c r="G2018" s="427"/>
      <c r="H2018" s="427"/>
      <c r="I2018" s="428"/>
      <c r="N2018" s="372"/>
      <c r="O2018" s="372"/>
      <c r="P2018" s="372"/>
      <c r="R2018" s="372"/>
      <c r="S2018" s="374"/>
      <c r="T2018" s="374"/>
      <c r="U2018" s="374"/>
      <c r="V2018" s="374"/>
      <c r="W2018" s="374"/>
      <c r="X2018" s="374"/>
      <c r="Y2018" s="374"/>
      <c r="Z2018" s="374"/>
      <c r="AA2018" s="374"/>
      <c r="AB2018" s="374"/>
      <c r="AC2018" s="374"/>
      <c r="AD2018" s="374"/>
      <c r="AE2018" s="374"/>
      <c r="AF2018" s="374"/>
      <c r="AG2018" s="374"/>
      <c r="AH2018" s="374"/>
      <c r="AI2018" s="374"/>
      <c r="AJ2018" s="374"/>
      <c r="AK2018" s="374"/>
      <c r="AL2018" s="374"/>
      <c r="AM2018" s="374"/>
      <c r="AN2018" s="374"/>
      <c r="AO2018" s="374"/>
      <c r="AP2018" s="374"/>
      <c r="AQ2018" s="374"/>
      <c r="AR2018" s="374"/>
      <c r="AS2018" s="374"/>
      <c r="AT2018" s="374"/>
      <c r="AU2018" s="374"/>
      <c r="AV2018" s="374"/>
      <c r="AW2018" s="374"/>
      <c r="AX2018" s="374"/>
      <c r="AY2018" s="374"/>
      <c r="AZ2018" s="374"/>
      <c r="BA2018" s="374"/>
      <c r="BB2018" s="374"/>
      <c r="BC2018" s="374"/>
      <c r="BD2018" s="374"/>
      <c r="BE2018" s="374"/>
      <c r="BF2018" s="374"/>
      <c r="BG2018" s="374"/>
      <c r="BH2018" s="374"/>
      <c r="BI2018" s="374"/>
      <c r="BJ2018" s="374"/>
      <c r="BK2018" s="374"/>
    </row>
    <row r="2019" spans="1:63" x14ac:dyDescent="0.2">
      <c r="A2019" s="560"/>
      <c r="B2019" s="502"/>
      <c r="C2019" s="502"/>
      <c r="D2019" s="559"/>
      <c r="E2019" s="496"/>
      <c r="F2019" s="427"/>
      <c r="G2019" s="427"/>
      <c r="H2019" s="427"/>
      <c r="I2019" s="428"/>
      <c r="N2019" s="372"/>
      <c r="O2019" s="372"/>
      <c r="P2019" s="372"/>
      <c r="R2019" s="372"/>
      <c r="S2019" s="374"/>
      <c r="T2019" s="374"/>
      <c r="U2019" s="374"/>
      <c r="V2019" s="374"/>
      <c r="W2019" s="374"/>
      <c r="X2019" s="374"/>
      <c r="Y2019" s="374"/>
      <c r="Z2019" s="374"/>
      <c r="AA2019" s="374"/>
      <c r="AB2019" s="374"/>
      <c r="AC2019" s="374"/>
      <c r="AD2019" s="374"/>
      <c r="AE2019" s="374"/>
      <c r="AF2019" s="374"/>
      <c r="AG2019" s="374"/>
      <c r="AH2019" s="374"/>
      <c r="AI2019" s="374"/>
      <c r="AJ2019" s="374"/>
      <c r="AK2019" s="374"/>
      <c r="AL2019" s="374"/>
      <c r="AM2019" s="374"/>
      <c r="AN2019" s="374"/>
      <c r="AO2019" s="374"/>
      <c r="AP2019" s="374"/>
      <c r="AQ2019" s="374"/>
      <c r="AR2019" s="374"/>
      <c r="AS2019" s="374"/>
      <c r="AT2019" s="374"/>
      <c r="AU2019" s="374"/>
      <c r="AV2019" s="374"/>
      <c r="AW2019" s="374"/>
      <c r="AX2019" s="374"/>
      <c r="AY2019" s="374"/>
      <c r="AZ2019" s="374"/>
      <c r="BA2019" s="374"/>
      <c r="BB2019" s="374"/>
      <c r="BC2019" s="374"/>
      <c r="BD2019" s="374"/>
      <c r="BE2019" s="374"/>
      <c r="BF2019" s="374"/>
      <c r="BG2019" s="374"/>
      <c r="BH2019" s="374"/>
      <c r="BI2019" s="374"/>
      <c r="BJ2019" s="374"/>
      <c r="BK2019" s="374"/>
    </row>
    <row r="2020" spans="1:63" x14ac:dyDescent="0.2">
      <c r="A2020" s="560"/>
      <c r="B2020" s="502"/>
      <c r="C2020" s="502"/>
      <c r="D2020" s="559"/>
      <c r="E2020" s="496"/>
      <c r="F2020" s="427"/>
      <c r="G2020" s="427"/>
      <c r="H2020" s="427"/>
      <c r="I2020" s="428"/>
      <c r="N2020" s="372"/>
      <c r="O2020" s="372"/>
      <c r="P2020" s="372"/>
      <c r="R2020" s="372"/>
      <c r="S2020" s="374"/>
      <c r="T2020" s="374"/>
      <c r="U2020" s="374"/>
      <c r="V2020" s="374"/>
      <c r="W2020" s="374"/>
      <c r="X2020" s="374"/>
      <c r="Y2020" s="374"/>
      <c r="Z2020" s="374"/>
      <c r="AA2020" s="374"/>
      <c r="AB2020" s="374"/>
      <c r="AC2020" s="374"/>
      <c r="AD2020" s="374"/>
      <c r="AE2020" s="374"/>
      <c r="AF2020" s="374"/>
      <c r="AG2020" s="374"/>
      <c r="AH2020" s="374"/>
      <c r="AI2020" s="374"/>
      <c r="AJ2020" s="374"/>
      <c r="AK2020" s="374"/>
      <c r="AL2020" s="374"/>
      <c r="AM2020" s="374"/>
      <c r="AN2020" s="374"/>
      <c r="AO2020" s="374"/>
      <c r="AP2020" s="374"/>
      <c r="AQ2020" s="374"/>
      <c r="AR2020" s="374"/>
      <c r="AS2020" s="374"/>
      <c r="AT2020" s="374"/>
      <c r="AU2020" s="374"/>
      <c r="AV2020" s="374"/>
      <c r="AW2020" s="374"/>
      <c r="AX2020" s="374"/>
      <c r="AY2020" s="374"/>
      <c r="AZ2020" s="374"/>
      <c r="BA2020" s="374"/>
      <c r="BB2020" s="374"/>
      <c r="BC2020" s="374"/>
      <c r="BD2020" s="374"/>
      <c r="BE2020" s="374"/>
      <c r="BF2020" s="374"/>
      <c r="BG2020" s="374"/>
      <c r="BH2020" s="374"/>
      <c r="BI2020" s="374"/>
      <c r="BJ2020" s="374"/>
      <c r="BK2020" s="374"/>
    </row>
    <row r="2021" spans="1:63" x14ac:dyDescent="0.2">
      <c r="A2021" s="560"/>
      <c r="B2021" s="502"/>
      <c r="C2021" s="502"/>
      <c r="D2021" s="559"/>
      <c r="E2021" s="496"/>
      <c r="F2021" s="427"/>
      <c r="G2021" s="427"/>
      <c r="H2021" s="427"/>
      <c r="I2021" s="428"/>
      <c r="N2021" s="372"/>
      <c r="O2021" s="372"/>
      <c r="P2021" s="372"/>
      <c r="R2021" s="372"/>
      <c r="S2021" s="374"/>
      <c r="T2021" s="374"/>
      <c r="U2021" s="374"/>
      <c r="V2021" s="374"/>
      <c r="W2021" s="374"/>
      <c r="X2021" s="374"/>
      <c r="Y2021" s="374"/>
      <c r="Z2021" s="374"/>
      <c r="AA2021" s="374"/>
      <c r="AB2021" s="374"/>
      <c r="AC2021" s="374"/>
      <c r="AD2021" s="374"/>
      <c r="AE2021" s="374"/>
      <c r="AF2021" s="374"/>
      <c r="AG2021" s="374"/>
      <c r="AH2021" s="374"/>
      <c r="AI2021" s="374"/>
      <c r="AJ2021" s="374"/>
      <c r="AK2021" s="374"/>
      <c r="AL2021" s="374"/>
      <c r="AM2021" s="374"/>
      <c r="AN2021" s="374"/>
      <c r="AO2021" s="374"/>
      <c r="AP2021" s="374"/>
      <c r="AQ2021" s="374"/>
      <c r="AR2021" s="374"/>
      <c r="AS2021" s="374"/>
      <c r="AT2021" s="374"/>
      <c r="AU2021" s="374"/>
      <c r="AV2021" s="374"/>
      <c r="AW2021" s="374"/>
      <c r="AX2021" s="374"/>
      <c r="AY2021" s="374"/>
      <c r="AZ2021" s="374"/>
      <c r="BA2021" s="374"/>
      <c r="BB2021" s="374"/>
      <c r="BC2021" s="374"/>
      <c r="BD2021" s="374"/>
      <c r="BE2021" s="374"/>
      <c r="BF2021" s="374"/>
      <c r="BG2021" s="374"/>
      <c r="BH2021" s="374"/>
      <c r="BI2021" s="374"/>
      <c r="BJ2021" s="374"/>
      <c r="BK2021" s="374"/>
    </row>
    <row r="2022" spans="1:63" x14ac:dyDescent="0.2">
      <c r="A2022" s="560"/>
      <c r="B2022" s="502"/>
      <c r="C2022" s="502"/>
      <c r="D2022" s="559"/>
      <c r="E2022" s="496"/>
      <c r="F2022" s="427"/>
      <c r="G2022" s="427"/>
      <c r="H2022" s="427"/>
      <c r="I2022" s="428"/>
      <c r="N2022" s="372"/>
      <c r="O2022" s="372"/>
      <c r="P2022" s="372"/>
      <c r="R2022" s="372"/>
      <c r="S2022" s="374"/>
      <c r="T2022" s="374"/>
      <c r="U2022" s="374"/>
      <c r="V2022" s="374"/>
      <c r="W2022" s="374"/>
      <c r="X2022" s="374"/>
      <c r="Y2022" s="374"/>
      <c r="Z2022" s="374"/>
      <c r="AA2022" s="374"/>
      <c r="AB2022" s="374"/>
      <c r="AC2022" s="374"/>
      <c r="AD2022" s="374"/>
      <c r="AE2022" s="374"/>
      <c r="AF2022" s="374"/>
      <c r="AG2022" s="374"/>
      <c r="AH2022" s="374"/>
      <c r="AI2022" s="374"/>
      <c r="AJ2022" s="374"/>
      <c r="AK2022" s="374"/>
      <c r="AL2022" s="374"/>
      <c r="AM2022" s="374"/>
      <c r="AN2022" s="374"/>
      <c r="AO2022" s="374"/>
      <c r="AP2022" s="374"/>
      <c r="AQ2022" s="374"/>
      <c r="AR2022" s="374"/>
      <c r="AS2022" s="374"/>
      <c r="AT2022" s="374"/>
      <c r="AU2022" s="374"/>
      <c r="AV2022" s="374"/>
      <c r="AW2022" s="374"/>
      <c r="AX2022" s="374"/>
      <c r="AY2022" s="374"/>
      <c r="AZ2022" s="374"/>
      <c r="BA2022" s="374"/>
      <c r="BB2022" s="374"/>
      <c r="BC2022" s="374"/>
      <c r="BD2022" s="374"/>
      <c r="BE2022" s="374"/>
      <c r="BF2022" s="374"/>
      <c r="BG2022" s="374"/>
      <c r="BH2022" s="374"/>
      <c r="BI2022" s="374"/>
      <c r="BJ2022" s="374"/>
      <c r="BK2022" s="374"/>
    </row>
    <row r="2023" spans="1:63" x14ac:dyDescent="0.2">
      <c r="A2023" s="560"/>
      <c r="B2023" s="502"/>
      <c r="C2023" s="502"/>
      <c r="D2023" s="559"/>
      <c r="E2023" s="496"/>
      <c r="F2023" s="427"/>
      <c r="G2023" s="427"/>
      <c r="H2023" s="427"/>
      <c r="I2023" s="428"/>
      <c r="N2023" s="372"/>
      <c r="O2023" s="372"/>
      <c r="P2023" s="372"/>
      <c r="R2023" s="372"/>
      <c r="S2023" s="374"/>
      <c r="T2023" s="374"/>
      <c r="U2023" s="374"/>
      <c r="V2023" s="374"/>
      <c r="W2023" s="374"/>
      <c r="X2023" s="374"/>
      <c r="Y2023" s="374"/>
      <c r="Z2023" s="374"/>
      <c r="AA2023" s="374"/>
      <c r="AB2023" s="374"/>
      <c r="AC2023" s="374"/>
      <c r="AD2023" s="374"/>
      <c r="AE2023" s="374"/>
      <c r="AF2023" s="374"/>
      <c r="AG2023" s="374"/>
      <c r="AH2023" s="374"/>
      <c r="AI2023" s="374"/>
      <c r="AJ2023" s="374"/>
      <c r="AK2023" s="374"/>
      <c r="AL2023" s="374"/>
      <c r="AM2023" s="374"/>
      <c r="AN2023" s="374"/>
      <c r="AO2023" s="374"/>
      <c r="AP2023" s="374"/>
      <c r="AQ2023" s="374"/>
      <c r="AR2023" s="374"/>
      <c r="AS2023" s="374"/>
      <c r="AT2023" s="374"/>
      <c r="AU2023" s="374"/>
      <c r="AV2023" s="374"/>
      <c r="AW2023" s="374"/>
      <c r="AX2023" s="374"/>
      <c r="AY2023" s="374"/>
      <c r="AZ2023" s="374"/>
      <c r="BA2023" s="374"/>
      <c r="BB2023" s="374"/>
      <c r="BC2023" s="374"/>
      <c r="BD2023" s="374"/>
      <c r="BE2023" s="374"/>
      <c r="BF2023" s="374"/>
      <c r="BG2023" s="374"/>
      <c r="BH2023" s="374"/>
      <c r="BI2023" s="374"/>
      <c r="BJ2023" s="374"/>
      <c r="BK2023" s="374"/>
    </row>
    <row r="2024" spans="1:63" x14ac:dyDescent="0.2">
      <c r="A2024" s="560"/>
      <c r="B2024" s="502"/>
      <c r="C2024" s="502"/>
      <c r="D2024" s="559"/>
      <c r="E2024" s="496"/>
      <c r="F2024" s="427"/>
      <c r="G2024" s="427"/>
      <c r="H2024" s="427"/>
      <c r="I2024" s="428"/>
      <c r="S2024" s="374"/>
      <c r="T2024" s="374"/>
      <c r="U2024" s="374"/>
      <c r="V2024" s="374"/>
      <c r="W2024" s="374"/>
      <c r="X2024" s="374"/>
      <c r="Y2024" s="374"/>
      <c r="Z2024" s="374"/>
      <c r="AA2024" s="374"/>
      <c r="AB2024" s="374"/>
      <c r="AC2024" s="374"/>
      <c r="AD2024" s="374"/>
      <c r="AE2024" s="374"/>
      <c r="AF2024" s="374"/>
      <c r="AG2024" s="374"/>
      <c r="AH2024" s="374"/>
      <c r="AI2024" s="374"/>
      <c r="AJ2024" s="374"/>
      <c r="AK2024" s="374"/>
      <c r="AL2024" s="374"/>
      <c r="AM2024" s="374"/>
      <c r="AN2024" s="374"/>
      <c r="AO2024" s="374"/>
      <c r="AP2024" s="374"/>
      <c r="AQ2024" s="374"/>
      <c r="AR2024" s="374"/>
      <c r="AS2024" s="374"/>
      <c r="AT2024" s="374"/>
      <c r="AU2024" s="374"/>
      <c r="AV2024" s="374"/>
      <c r="AW2024" s="374"/>
      <c r="AX2024" s="374"/>
      <c r="AY2024" s="374"/>
      <c r="AZ2024" s="374"/>
      <c r="BA2024" s="374"/>
      <c r="BB2024" s="374"/>
      <c r="BC2024" s="374"/>
      <c r="BD2024" s="374"/>
      <c r="BE2024" s="374"/>
      <c r="BF2024" s="374"/>
      <c r="BG2024" s="374"/>
      <c r="BH2024" s="374"/>
      <c r="BI2024" s="374"/>
      <c r="BJ2024" s="374"/>
      <c r="BK2024" s="374"/>
    </row>
    <row r="2025" spans="1:63" x14ac:dyDescent="0.2">
      <c r="A2025" s="564"/>
      <c r="B2025" s="565"/>
      <c r="C2025" s="565"/>
      <c r="D2025" s="566"/>
      <c r="E2025" s="496"/>
      <c r="F2025" s="427"/>
      <c r="G2025" s="427"/>
      <c r="H2025" s="427"/>
      <c r="I2025" s="428"/>
      <c r="S2025" s="374"/>
      <c r="T2025" s="374"/>
      <c r="U2025" s="374"/>
      <c r="V2025" s="374"/>
      <c r="W2025" s="374"/>
      <c r="X2025" s="374"/>
      <c r="Y2025" s="374"/>
      <c r="Z2025" s="374"/>
      <c r="AA2025" s="374"/>
      <c r="AB2025" s="374"/>
      <c r="AC2025" s="374"/>
      <c r="AD2025" s="374"/>
      <c r="AE2025" s="374"/>
      <c r="AF2025" s="374"/>
      <c r="AG2025" s="374"/>
      <c r="AH2025" s="374"/>
      <c r="AI2025" s="374"/>
      <c r="AJ2025" s="374"/>
      <c r="AK2025" s="374"/>
      <c r="AL2025" s="374"/>
      <c r="AM2025" s="374"/>
      <c r="AN2025" s="374"/>
      <c r="AO2025" s="374"/>
      <c r="AP2025" s="374"/>
      <c r="AQ2025" s="374"/>
      <c r="AR2025" s="374"/>
      <c r="AS2025" s="374"/>
      <c r="AT2025" s="374"/>
      <c r="AU2025" s="374"/>
      <c r="AV2025" s="374"/>
      <c r="AW2025" s="374"/>
      <c r="AX2025" s="374"/>
      <c r="AY2025" s="374"/>
      <c r="AZ2025" s="374"/>
      <c r="BA2025" s="374"/>
      <c r="BB2025" s="374"/>
      <c r="BC2025" s="374"/>
      <c r="BD2025" s="374"/>
      <c r="BE2025" s="374"/>
      <c r="BF2025" s="374"/>
      <c r="BG2025" s="374"/>
      <c r="BH2025" s="374"/>
      <c r="BI2025" s="374"/>
      <c r="BJ2025" s="374"/>
      <c r="BK2025" s="374"/>
    </row>
    <row r="2026" spans="1:63" x14ac:dyDescent="0.2">
      <c r="A2026" s="480"/>
      <c r="B2026" s="481"/>
      <c r="C2026" s="481"/>
      <c r="S2026" s="374"/>
      <c r="T2026" s="374"/>
      <c r="U2026" s="374"/>
      <c r="V2026" s="374"/>
      <c r="W2026" s="374"/>
      <c r="X2026" s="374"/>
      <c r="Y2026" s="374"/>
      <c r="Z2026" s="374"/>
      <c r="AA2026" s="374"/>
      <c r="AB2026" s="374"/>
      <c r="AC2026" s="374"/>
      <c r="AD2026" s="374"/>
      <c r="AE2026" s="374"/>
      <c r="AF2026" s="374"/>
      <c r="AG2026" s="374"/>
      <c r="AH2026" s="374"/>
      <c r="AI2026" s="374"/>
      <c r="AJ2026" s="374"/>
      <c r="AK2026" s="374"/>
      <c r="AL2026" s="374"/>
      <c r="AM2026" s="374"/>
      <c r="AN2026" s="374"/>
      <c r="AO2026" s="374"/>
      <c r="AP2026" s="374"/>
      <c r="AQ2026" s="374"/>
      <c r="AR2026" s="374"/>
      <c r="AS2026" s="374"/>
      <c r="AT2026" s="374"/>
      <c r="AU2026" s="374"/>
      <c r="AV2026" s="374"/>
      <c r="AW2026" s="374"/>
      <c r="AX2026" s="374"/>
      <c r="AY2026" s="374"/>
      <c r="AZ2026" s="374"/>
      <c r="BA2026" s="374"/>
      <c r="BB2026" s="374"/>
      <c r="BC2026" s="374"/>
      <c r="BD2026" s="374"/>
      <c r="BE2026" s="374"/>
      <c r="BF2026" s="374"/>
      <c r="BG2026" s="374"/>
      <c r="BH2026" s="374"/>
      <c r="BI2026" s="374"/>
      <c r="BJ2026" s="374"/>
      <c r="BK2026" s="374"/>
    </row>
    <row r="2027" spans="1:63" x14ac:dyDescent="0.2">
      <c r="A2027" s="480"/>
      <c r="B2027" s="481"/>
      <c r="C2027" s="481"/>
      <c r="H2027" s="484" t="s">
        <v>451</v>
      </c>
      <c r="I2027" s="479" t="e">
        <f>#REF!+#REF!+#REF!+#REF!+#REF!+#REF!+#REF!+#REF!+I1195+I1286+I1298+I1383+I1395+I1707+I1480+#REF!+I1488+I1828+I1890+#REF!+I1602+#REF!</f>
        <v>#REF!</v>
      </c>
      <c r="S2027" s="374"/>
      <c r="T2027" s="374"/>
      <c r="U2027" s="374"/>
      <c r="V2027" s="374"/>
      <c r="W2027" s="374"/>
      <c r="X2027" s="374"/>
      <c r="Y2027" s="374"/>
      <c r="Z2027" s="374"/>
      <c r="AA2027" s="374"/>
      <c r="AB2027" s="374"/>
      <c r="AC2027" s="374"/>
      <c r="AD2027" s="374"/>
      <c r="AE2027" s="374"/>
      <c r="AF2027" s="374"/>
      <c r="AG2027" s="374"/>
      <c r="AH2027" s="374"/>
      <c r="AI2027" s="374"/>
      <c r="AJ2027" s="374"/>
      <c r="AK2027" s="374"/>
      <c r="AL2027" s="374"/>
      <c r="AM2027" s="374"/>
      <c r="AN2027" s="374"/>
      <c r="AO2027" s="374"/>
      <c r="AP2027" s="374"/>
      <c r="AQ2027" s="374"/>
      <c r="AR2027" s="374"/>
      <c r="AS2027" s="374"/>
      <c r="AT2027" s="374"/>
      <c r="AU2027" s="374"/>
      <c r="AV2027" s="374"/>
      <c r="AW2027" s="374"/>
      <c r="AX2027" s="374"/>
      <c r="AY2027" s="374"/>
      <c r="AZ2027" s="374"/>
      <c r="BA2027" s="374"/>
      <c r="BB2027" s="374"/>
      <c r="BC2027" s="374"/>
      <c r="BD2027" s="374"/>
      <c r="BE2027" s="374"/>
      <c r="BF2027" s="374"/>
      <c r="BG2027" s="374"/>
      <c r="BH2027" s="374"/>
      <c r="BI2027" s="374"/>
      <c r="BJ2027" s="374"/>
      <c r="BK2027" s="374"/>
    </row>
    <row r="2028" spans="1:63" x14ac:dyDescent="0.2">
      <c r="A2028" s="480"/>
      <c r="B2028" s="481"/>
      <c r="C2028" s="481"/>
      <c r="J2028" s="374"/>
      <c r="K2028" s="374"/>
      <c r="L2028" s="374"/>
      <c r="M2028" s="374"/>
      <c r="N2028" s="374"/>
      <c r="O2028" s="374"/>
      <c r="P2028" s="374"/>
      <c r="Q2028" s="374"/>
      <c r="R2028" s="374"/>
      <c r="S2028" s="374"/>
      <c r="T2028" s="374"/>
      <c r="U2028" s="374"/>
      <c r="V2028" s="374"/>
      <c r="W2028" s="374"/>
      <c r="X2028" s="374"/>
      <c r="Y2028" s="374"/>
      <c r="Z2028" s="374"/>
      <c r="AA2028" s="374"/>
      <c r="AB2028" s="374"/>
      <c r="AC2028" s="374"/>
      <c r="AD2028" s="374"/>
      <c r="AE2028" s="374"/>
      <c r="AF2028" s="374"/>
      <c r="AG2028" s="374"/>
      <c r="AH2028" s="374"/>
      <c r="AI2028" s="374"/>
      <c r="AJ2028" s="374"/>
      <c r="AK2028" s="374"/>
      <c r="AL2028" s="374"/>
      <c r="AM2028" s="374"/>
      <c r="AN2028" s="374"/>
      <c r="AO2028" s="374"/>
      <c r="AP2028" s="374"/>
      <c r="AQ2028" s="374"/>
      <c r="AR2028" s="374"/>
      <c r="AS2028" s="374"/>
      <c r="AT2028" s="374"/>
      <c r="AU2028" s="374"/>
      <c r="AV2028" s="374"/>
      <c r="AW2028" s="374"/>
      <c r="AX2028" s="374"/>
      <c r="AY2028" s="374"/>
      <c r="AZ2028" s="374"/>
      <c r="BA2028" s="374"/>
      <c r="BB2028" s="374"/>
      <c r="BC2028" s="374"/>
      <c r="BD2028" s="374"/>
      <c r="BE2028" s="374"/>
      <c r="BF2028" s="374"/>
      <c r="BG2028" s="374"/>
      <c r="BH2028" s="374"/>
      <c r="BI2028" s="374"/>
      <c r="BJ2028" s="374"/>
      <c r="BK2028" s="374"/>
    </row>
    <row r="2029" spans="1:63" x14ac:dyDescent="0.2">
      <c r="A2029" s="480"/>
      <c r="B2029" s="481"/>
      <c r="C2029" s="481"/>
      <c r="H2029" s="484" t="s">
        <v>453</v>
      </c>
      <c r="I2029" s="479" t="e">
        <f>I54-I2027</f>
        <v>#REF!</v>
      </c>
      <c r="J2029" s="374"/>
      <c r="K2029" s="374"/>
      <c r="L2029" s="374"/>
      <c r="M2029" s="374"/>
      <c r="N2029" s="374"/>
      <c r="O2029" s="374"/>
      <c r="P2029" s="374"/>
      <c r="Q2029" s="374"/>
      <c r="R2029" s="374"/>
      <c r="S2029" s="374"/>
      <c r="T2029" s="374"/>
      <c r="U2029" s="374"/>
      <c r="V2029" s="374"/>
      <c r="W2029" s="374"/>
      <c r="X2029" s="374"/>
      <c r="Y2029" s="374"/>
      <c r="Z2029" s="374"/>
      <c r="AA2029" s="374"/>
      <c r="AB2029" s="374"/>
      <c r="AC2029" s="374"/>
      <c r="AD2029" s="374"/>
      <c r="AE2029" s="374"/>
      <c r="AF2029" s="374"/>
      <c r="AG2029" s="374"/>
      <c r="AH2029" s="374"/>
      <c r="AI2029" s="374"/>
      <c r="AJ2029" s="374"/>
      <c r="AK2029" s="374"/>
      <c r="AL2029" s="374"/>
      <c r="AM2029" s="374"/>
      <c r="AN2029" s="374"/>
      <c r="AO2029" s="374"/>
      <c r="AP2029" s="374"/>
      <c r="AQ2029" s="374"/>
      <c r="AR2029" s="374"/>
      <c r="AS2029" s="374"/>
      <c r="AT2029" s="374"/>
      <c r="AU2029" s="374"/>
      <c r="AV2029" s="374"/>
      <c r="AW2029" s="374"/>
      <c r="AX2029" s="374"/>
      <c r="AY2029" s="374"/>
      <c r="AZ2029" s="374"/>
      <c r="BA2029" s="374"/>
      <c r="BB2029" s="374"/>
      <c r="BC2029" s="374"/>
      <c r="BD2029" s="374"/>
      <c r="BE2029" s="374"/>
      <c r="BF2029" s="374"/>
      <c r="BG2029" s="374"/>
      <c r="BH2029" s="374"/>
      <c r="BI2029" s="374"/>
      <c r="BJ2029" s="374"/>
      <c r="BK2029" s="374"/>
    </row>
    <row r="2030" spans="1:63" x14ac:dyDescent="0.2">
      <c r="A2030" s="480"/>
      <c r="B2030" s="481"/>
      <c r="C2030" s="481"/>
      <c r="J2030" s="374"/>
      <c r="K2030" s="374"/>
      <c r="L2030" s="374"/>
      <c r="M2030" s="374"/>
      <c r="N2030" s="374"/>
      <c r="O2030" s="374"/>
      <c r="P2030" s="374"/>
      <c r="Q2030" s="374"/>
      <c r="R2030" s="374"/>
      <c r="S2030" s="374"/>
      <c r="T2030" s="374"/>
      <c r="U2030" s="374"/>
      <c r="V2030" s="374"/>
      <c r="W2030" s="374"/>
      <c r="X2030" s="374"/>
      <c r="Y2030" s="374"/>
      <c r="Z2030" s="374"/>
      <c r="AA2030" s="374"/>
      <c r="AB2030" s="374"/>
      <c r="AC2030" s="374"/>
      <c r="AD2030" s="374"/>
      <c r="AE2030" s="374"/>
      <c r="AF2030" s="374"/>
      <c r="AG2030" s="374"/>
      <c r="AH2030" s="374"/>
      <c r="AI2030" s="374"/>
      <c r="AJ2030" s="374"/>
      <c r="AK2030" s="374"/>
      <c r="AL2030" s="374"/>
      <c r="AM2030" s="374"/>
      <c r="AN2030" s="374"/>
      <c r="AO2030" s="374"/>
      <c r="AP2030" s="374"/>
      <c r="AQ2030" s="374"/>
      <c r="AR2030" s="374"/>
      <c r="AS2030" s="374"/>
      <c r="AT2030" s="374"/>
      <c r="AU2030" s="374"/>
      <c r="AV2030" s="374"/>
      <c r="AW2030" s="374"/>
      <c r="AX2030" s="374"/>
      <c r="AY2030" s="374"/>
      <c r="AZ2030" s="374"/>
      <c r="BA2030" s="374"/>
      <c r="BB2030" s="374"/>
      <c r="BC2030" s="374"/>
      <c r="BD2030" s="374"/>
      <c r="BE2030" s="374"/>
      <c r="BF2030" s="374"/>
      <c r="BG2030" s="374"/>
      <c r="BH2030" s="374"/>
      <c r="BI2030" s="374"/>
      <c r="BJ2030" s="374"/>
      <c r="BK2030" s="374"/>
    </row>
    <row r="2031" spans="1:63" ht="18" customHeight="1" x14ac:dyDescent="0.2">
      <c r="A2031" s="480"/>
      <c r="B2031" s="481"/>
      <c r="C2031" s="481"/>
      <c r="I2031" s="479" t="e">
        <f>I2027+I2029</f>
        <v>#REF!</v>
      </c>
      <c r="J2031" s="374"/>
      <c r="K2031" s="374"/>
      <c r="L2031" s="374"/>
      <c r="M2031" s="374"/>
      <c r="N2031" s="374"/>
      <c r="O2031" s="374"/>
      <c r="P2031" s="374"/>
      <c r="Q2031" s="374"/>
      <c r="R2031" s="374"/>
      <c r="S2031" s="374"/>
      <c r="T2031" s="374"/>
      <c r="U2031" s="374"/>
      <c r="V2031" s="374"/>
      <c r="W2031" s="374"/>
      <c r="X2031" s="374"/>
      <c r="Y2031" s="374"/>
      <c r="Z2031" s="374"/>
      <c r="AA2031" s="374"/>
      <c r="AB2031" s="374"/>
      <c r="AC2031" s="374"/>
      <c r="AD2031" s="374"/>
      <c r="AE2031" s="374"/>
      <c r="AF2031" s="374"/>
      <c r="AG2031" s="374"/>
      <c r="AH2031" s="374"/>
      <c r="AI2031" s="374"/>
      <c r="AJ2031" s="374"/>
      <c r="AK2031" s="374"/>
      <c r="AL2031" s="374"/>
      <c r="AM2031" s="374"/>
      <c r="AN2031" s="374"/>
      <c r="AO2031" s="374"/>
      <c r="AP2031" s="374"/>
      <c r="AQ2031" s="374"/>
      <c r="AR2031" s="374"/>
      <c r="AS2031" s="374"/>
      <c r="AT2031" s="374"/>
      <c r="AU2031" s="374"/>
      <c r="AV2031" s="374"/>
      <c r="AW2031" s="374"/>
      <c r="AX2031" s="374"/>
      <c r="AY2031" s="374"/>
      <c r="AZ2031" s="374"/>
      <c r="BA2031" s="374"/>
      <c r="BB2031" s="374"/>
      <c r="BC2031" s="374"/>
      <c r="BD2031" s="374"/>
      <c r="BE2031" s="374"/>
      <c r="BF2031" s="374"/>
      <c r="BG2031" s="374"/>
      <c r="BH2031" s="374"/>
      <c r="BI2031" s="374"/>
      <c r="BJ2031" s="374"/>
      <c r="BK2031" s="374"/>
    </row>
    <row r="2032" spans="1:63" x14ac:dyDescent="0.2">
      <c r="A2032" s="480"/>
      <c r="B2032" s="481"/>
      <c r="C2032" s="481"/>
      <c r="J2032" s="374"/>
      <c r="K2032" s="374"/>
      <c r="L2032" s="374"/>
      <c r="M2032" s="374"/>
      <c r="N2032" s="374"/>
      <c r="O2032" s="374"/>
      <c r="P2032" s="374"/>
      <c r="Q2032" s="374"/>
      <c r="R2032" s="374"/>
      <c r="S2032" s="374"/>
      <c r="T2032" s="374"/>
      <c r="U2032" s="374"/>
      <c r="V2032" s="374"/>
      <c r="W2032" s="374"/>
      <c r="X2032" s="374"/>
      <c r="Y2032" s="374"/>
      <c r="Z2032" s="374"/>
      <c r="AA2032" s="374"/>
      <c r="AB2032" s="374"/>
      <c r="AC2032" s="374"/>
      <c r="AD2032" s="374"/>
      <c r="AE2032" s="374"/>
      <c r="AF2032" s="374"/>
      <c r="AG2032" s="374"/>
      <c r="AH2032" s="374"/>
      <c r="AI2032" s="374"/>
      <c r="AJ2032" s="374"/>
      <c r="AK2032" s="374"/>
      <c r="AL2032" s="374"/>
      <c r="AM2032" s="374"/>
      <c r="AN2032" s="374"/>
      <c r="AO2032" s="374"/>
      <c r="AP2032" s="374"/>
      <c r="AQ2032" s="374"/>
      <c r="AR2032" s="374"/>
      <c r="AS2032" s="374"/>
      <c r="AT2032" s="374"/>
      <c r="AU2032" s="374"/>
      <c r="AV2032" s="374"/>
      <c r="AW2032" s="374"/>
      <c r="AX2032" s="374"/>
      <c r="AY2032" s="374"/>
      <c r="AZ2032" s="374"/>
      <c r="BA2032" s="374"/>
      <c r="BB2032" s="374"/>
      <c r="BC2032" s="374"/>
      <c r="BD2032" s="374"/>
      <c r="BE2032" s="374"/>
      <c r="BF2032" s="374"/>
      <c r="BG2032" s="374"/>
      <c r="BH2032" s="374"/>
      <c r="BI2032" s="374"/>
      <c r="BJ2032" s="374"/>
      <c r="BK2032" s="374"/>
    </row>
    <row r="2033" spans="1:63" x14ac:dyDescent="0.2">
      <c r="A2033" s="480"/>
      <c r="B2033" s="481"/>
      <c r="C2033" s="481"/>
      <c r="I2033" s="479">
        <v>4279800.83</v>
      </c>
      <c r="J2033" s="374"/>
      <c r="K2033" s="374"/>
      <c r="L2033" s="374"/>
      <c r="M2033" s="374"/>
      <c r="N2033" s="374"/>
      <c r="O2033" s="374"/>
      <c r="P2033" s="374"/>
      <c r="Q2033" s="374"/>
      <c r="R2033" s="374"/>
      <c r="S2033" s="374"/>
      <c r="T2033" s="374"/>
      <c r="U2033" s="374"/>
      <c r="V2033" s="374"/>
      <c r="W2033" s="374"/>
      <c r="X2033" s="374"/>
      <c r="Y2033" s="374"/>
      <c r="Z2033" s="374"/>
      <c r="AA2033" s="374"/>
      <c r="AB2033" s="374"/>
      <c r="AC2033" s="374"/>
      <c r="AD2033" s="374"/>
      <c r="AE2033" s="374"/>
      <c r="AF2033" s="374"/>
      <c r="AG2033" s="374"/>
      <c r="AH2033" s="374"/>
      <c r="AI2033" s="374"/>
      <c r="AJ2033" s="374"/>
      <c r="AK2033" s="374"/>
      <c r="AL2033" s="374"/>
      <c r="AM2033" s="374"/>
      <c r="AN2033" s="374"/>
      <c r="AO2033" s="374"/>
      <c r="AP2033" s="374"/>
      <c r="AQ2033" s="374"/>
      <c r="AR2033" s="374"/>
      <c r="AS2033" s="374"/>
      <c r="AT2033" s="374"/>
      <c r="AU2033" s="374"/>
      <c r="AV2033" s="374"/>
      <c r="AW2033" s="374"/>
      <c r="AX2033" s="374"/>
      <c r="AY2033" s="374"/>
      <c r="AZ2033" s="374"/>
      <c r="BA2033" s="374"/>
      <c r="BB2033" s="374"/>
      <c r="BC2033" s="374"/>
      <c r="BD2033" s="374"/>
      <c r="BE2033" s="374"/>
      <c r="BF2033" s="374"/>
      <c r="BG2033" s="374"/>
      <c r="BH2033" s="374"/>
      <c r="BI2033" s="374"/>
      <c r="BJ2033" s="374"/>
      <c r="BK2033" s="374"/>
    </row>
    <row r="2034" spans="1:63" x14ac:dyDescent="0.2">
      <c r="A2034" s="480"/>
      <c r="B2034" s="481"/>
      <c r="C2034" s="481"/>
      <c r="J2034" s="374"/>
      <c r="K2034" s="374"/>
      <c r="L2034" s="374"/>
      <c r="M2034" s="374"/>
      <c r="N2034" s="374"/>
      <c r="O2034" s="374"/>
      <c r="P2034" s="374"/>
      <c r="Q2034" s="374"/>
      <c r="R2034" s="374"/>
      <c r="S2034" s="374"/>
      <c r="T2034" s="374"/>
      <c r="U2034" s="374"/>
      <c r="V2034" s="374"/>
      <c r="W2034" s="374"/>
      <c r="X2034" s="374"/>
      <c r="Y2034" s="374"/>
      <c r="Z2034" s="374"/>
      <c r="AA2034" s="374"/>
      <c r="AB2034" s="374"/>
      <c r="AC2034" s="374"/>
      <c r="AD2034" s="374"/>
      <c r="AE2034" s="374"/>
      <c r="AF2034" s="374"/>
      <c r="AG2034" s="374"/>
      <c r="AH2034" s="374"/>
      <c r="AI2034" s="374"/>
      <c r="AJ2034" s="374"/>
      <c r="AK2034" s="374"/>
      <c r="AL2034" s="374"/>
      <c r="AM2034" s="374"/>
      <c r="AN2034" s="374"/>
      <c r="AO2034" s="374"/>
      <c r="AP2034" s="374"/>
      <c r="AQ2034" s="374"/>
      <c r="AR2034" s="374"/>
      <c r="AS2034" s="374"/>
      <c r="AT2034" s="374"/>
      <c r="AU2034" s="374"/>
      <c r="AV2034" s="374"/>
      <c r="AW2034" s="374"/>
      <c r="AX2034" s="374"/>
      <c r="AY2034" s="374"/>
      <c r="AZ2034" s="374"/>
      <c r="BA2034" s="374"/>
      <c r="BB2034" s="374"/>
      <c r="BC2034" s="374"/>
      <c r="BD2034" s="374"/>
      <c r="BE2034" s="374"/>
      <c r="BF2034" s="374"/>
      <c r="BG2034" s="374"/>
      <c r="BH2034" s="374"/>
      <c r="BI2034" s="374"/>
      <c r="BJ2034" s="374"/>
      <c r="BK2034" s="374"/>
    </row>
    <row r="2035" spans="1:63" x14ac:dyDescent="0.2">
      <c r="A2035" s="480"/>
      <c r="B2035" s="481"/>
      <c r="C2035" s="481"/>
      <c r="J2035" s="374"/>
      <c r="K2035" s="374"/>
      <c r="L2035" s="374"/>
      <c r="M2035" s="374"/>
      <c r="N2035" s="374"/>
      <c r="O2035" s="374"/>
      <c r="P2035" s="374"/>
      <c r="Q2035" s="374"/>
      <c r="R2035" s="374"/>
      <c r="S2035" s="374"/>
      <c r="T2035" s="374"/>
      <c r="U2035" s="374"/>
      <c r="V2035" s="374"/>
      <c r="W2035" s="374"/>
      <c r="X2035" s="374"/>
      <c r="Y2035" s="374"/>
      <c r="Z2035" s="374"/>
      <c r="AA2035" s="374"/>
      <c r="AB2035" s="374"/>
      <c r="AC2035" s="374"/>
      <c r="AD2035" s="374"/>
      <c r="AE2035" s="374"/>
      <c r="AF2035" s="374"/>
      <c r="AG2035" s="374"/>
      <c r="AH2035" s="374"/>
      <c r="AI2035" s="374"/>
      <c r="AJ2035" s="374"/>
      <c r="AK2035" s="374"/>
      <c r="AL2035" s="374"/>
      <c r="AM2035" s="374"/>
      <c r="AN2035" s="374"/>
      <c r="AO2035" s="374"/>
      <c r="AP2035" s="374"/>
      <c r="AQ2035" s="374"/>
      <c r="AR2035" s="374"/>
      <c r="AS2035" s="374"/>
      <c r="AT2035" s="374"/>
      <c r="AU2035" s="374"/>
      <c r="AV2035" s="374"/>
      <c r="AW2035" s="374"/>
      <c r="AX2035" s="374"/>
      <c r="AY2035" s="374"/>
      <c r="AZ2035" s="374"/>
      <c r="BA2035" s="374"/>
      <c r="BB2035" s="374"/>
      <c r="BC2035" s="374"/>
      <c r="BD2035" s="374"/>
      <c r="BE2035" s="374"/>
      <c r="BF2035" s="374"/>
      <c r="BG2035" s="374"/>
      <c r="BH2035" s="374"/>
      <c r="BI2035" s="374"/>
      <c r="BJ2035" s="374"/>
      <c r="BK2035" s="374"/>
    </row>
    <row r="2036" spans="1:63" x14ac:dyDescent="0.2">
      <c r="A2036" s="480"/>
      <c r="B2036" s="481"/>
      <c r="C2036" s="481"/>
      <c r="J2036" s="374"/>
      <c r="K2036" s="374"/>
      <c r="L2036" s="374"/>
      <c r="M2036" s="374"/>
      <c r="N2036" s="374"/>
      <c r="O2036" s="374"/>
      <c r="P2036" s="374"/>
      <c r="Q2036" s="374"/>
      <c r="R2036" s="374"/>
      <c r="S2036" s="374"/>
      <c r="T2036" s="374"/>
      <c r="U2036" s="374"/>
      <c r="V2036" s="374"/>
      <c r="W2036" s="374"/>
      <c r="X2036" s="374"/>
      <c r="Y2036" s="374"/>
      <c r="Z2036" s="374"/>
      <c r="AA2036" s="374"/>
      <c r="AB2036" s="374"/>
      <c r="AC2036" s="374"/>
      <c r="AD2036" s="374"/>
      <c r="AE2036" s="374"/>
      <c r="AF2036" s="374"/>
      <c r="AG2036" s="374"/>
      <c r="AH2036" s="374"/>
      <c r="AI2036" s="374"/>
      <c r="AJ2036" s="374"/>
      <c r="AK2036" s="374"/>
      <c r="AL2036" s="374"/>
      <c r="AM2036" s="374"/>
      <c r="AN2036" s="374"/>
      <c r="AO2036" s="374"/>
      <c r="AP2036" s="374"/>
      <c r="AQ2036" s="374"/>
      <c r="AR2036" s="374"/>
      <c r="AS2036" s="374"/>
      <c r="AT2036" s="374"/>
      <c r="AU2036" s="374"/>
      <c r="AV2036" s="374"/>
      <c r="AW2036" s="374"/>
      <c r="AX2036" s="374"/>
      <c r="AY2036" s="374"/>
      <c r="AZ2036" s="374"/>
      <c r="BA2036" s="374"/>
      <c r="BB2036" s="374"/>
      <c r="BC2036" s="374"/>
      <c r="BD2036" s="374"/>
      <c r="BE2036" s="374"/>
      <c r="BF2036" s="374"/>
      <c r="BG2036" s="374"/>
      <c r="BH2036" s="374"/>
      <c r="BI2036" s="374"/>
      <c r="BJ2036" s="374"/>
      <c r="BK2036" s="374"/>
    </row>
    <row r="2037" spans="1:63" x14ac:dyDescent="0.2">
      <c r="A2037" s="480"/>
      <c r="B2037" s="481"/>
      <c r="C2037" s="481"/>
      <c r="J2037" s="374"/>
      <c r="K2037" s="374"/>
      <c r="L2037" s="374"/>
      <c r="M2037" s="374"/>
      <c r="N2037" s="374"/>
      <c r="O2037" s="374"/>
      <c r="P2037" s="374"/>
      <c r="Q2037" s="374"/>
      <c r="R2037" s="374"/>
      <c r="S2037" s="374"/>
      <c r="T2037" s="374"/>
      <c r="U2037" s="374"/>
      <c r="V2037" s="374"/>
      <c r="W2037" s="374"/>
      <c r="X2037" s="374"/>
      <c r="Y2037" s="374"/>
      <c r="Z2037" s="374"/>
      <c r="AA2037" s="374"/>
      <c r="AB2037" s="374"/>
      <c r="AC2037" s="374"/>
      <c r="AD2037" s="374"/>
      <c r="AE2037" s="374"/>
      <c r="AF2037" s="374"/>
      <c r="AG2037" s="374"/>
      <c r="AH2037" s="374"/>
      <c r="AI2037" s="374"/>
      <c r="AJ2037" s="374"/>
      <c r="AK2037" s="374"/>
      <c r="AL2037" s="374"/>
      <c r="AM2037" s="374"/>
      <c r="AN2037" s="374"/>
      <c r="AO2037" s="374"/>
      <c r="AP2037" s="374"/>
      <c r="AQ2037" s="374"/>
      <c r="AR2037" s="374"/>
      <c r="AS2037" s="374"/>
      <c r="AT2037" s="374"/>
      <c r="AU2037" s="374"/>
      <c r="AV2037" s="374"/>
      <c r="AW2037" s="374"/>
      <c r="AX2037" s="374"/>
      <c r="AY2037" s="374"/>
      <c r="AZ2037" s="374"/>
      <c r="BA2037" s="374"/>
      <c r="BB2037" s="374"/>
      <c r="BC2037" s="374"/>
      <c r="BD2037" s="374"/>
      <c r="BE2037" s="374"/>
      <c r="BF2037" s="374"/>
      <c r="BG2037" s="374"/>
      <c r="BH2037" s="374"/>
      <c r="BI2037" s="374"/>
      <c r="BJ2037" s="374"/>
      <c r="BK2037" s="374"/>
    </row>
    <row r="2038" spans="1:63" x14ac:dyDescent="0.2">
      <c r="A2038" s="480"/>
      <c r="B2038" s="481"/>
      <c r="C2038" s="481"/>
      <c r="J2038" s="374"/>
      <c r="K2038" s="374"/>
      <c r="L2038" s="374"/>
      <c r="M2038" s="374"/>
      <c r="N2038" s="374"/>
      <c r="O2038" s="374"/>
      <c r="P2038" s="374"/>
      <c r="Q2038" s="374"/>
      <c r="R2038" s="374"/>
      <c r="S2038" s="374"/>
      <c r="T2038" s="374"/>
      <c r="U2038" s="374"/>
      <c r="V2038" s="374"/>
      <c r="W2038" s="374"/>
      <c r="X2038" s="374"/>
      <c r="Y2038" s="374"/>
      <c r="Z2038" s="374"/>
      <c r="AA2038" s="374"/>
      <c r="AB2038" s="374"/>
      <c r="AC2038" s="374"/>
      <c r="AD2038" s="374"/>
      <c r="AE2038" s="374"/>
      <c r="AF2038" s="374"/>
      <c r="AG2038" s="374"/>
      <c r="AH2038" s="374"/>
      <c r="AI2038" s="374"/>
      <c r="AJ2038" s="374"/>
      <c r="AK2038" s="374"/>
      <c r="AL2038" s="374"/>
      <c r="AM2038" s="374"/>
      <c r="AN2038" s="374"/>
      <c r="AO2038" s="374"/>
      <c r="AP2038" s="374"/>
      <c r="AQ2038" s="374"/>
      <c r="AR2038" s="374"/>
      <c r="AS2038" s="374"/>
      <c r="AT2038" s="374"/>
      <c r="AU2038" s="374"/>
      <c r="AV2038" s="374"/>
      <c r="AW2038" s="374"/>
      <c r="AX2038" s="374"/>
      <c r="AY2038" s="374"/>
      <c r="AZ2038" s="374"/>
      <c r="BA2038" s="374"/>
      <c r="BB2038" s="374"/>
      <c r="BC2038" s="374"/>
      <c r="BD2038" s="374"/>
      <c r="BE2038" s="374"/>
      <c r="BF2038" s="374"/>
      <c r="BG2038" s="374"/>
      <c r="BH2038" s="374"/>
      <c r="BI2038" s="374"/>
      <c r="BJ2038" s="374"/>
      <c r="BK2038" s="374"/>
    </row>
    <row r="2039" spans="1:63" x14ac:dyDescent="0.2">
      <c r="A2039" s="480"/>
      <c r="B2039" s="481"/>
      <c r="C2039" s="481"/>
      <c r="J2039" s="374"/>
      <c r="K2039" s="374"/>
      <c r="L2039" s="374"/>
      <c r="M2039" s="374"/>
      <c r="N2039" s="374"/>
      <c r="O2039" s="374"/>
      <c r="P2039" s="374"/>
      <c r="Q2039" s="374"/>
      <c r="R2039" s="374"/>
      <c r="S2039" s="374"/>
      <c r="T2039" s="374"/>
      <c r="U2039" s="374"/>
      <c r="V2039" s="374"/>
      <c r="W2039" s="374"/>
      <c r="X2039" s="374"/>
      <c r="Y2039" s="374"/>
      <c r="Z2039" s="374"/>
      <c r="AA2039" s="374"/>
      <c r="AB2039" s="374"/>
      <c r="AC2039" s="374"/>
      <c r="AD2039" s="374"/>
      <c r="AE2039" s="374"/>
      <c r="AF2039" s="374"/>
      <c r="AG2039" s="374"/>
      <c r="AH2039" s="374"/>
      <c r="AI2039" s="374"/>
      <c r="AJ2039" s="374"/>
      <c r="AK2039" s="374"/>
      <c r="AL2039" s="374"/>
      <c r="AM2039" s="374"/>
      <c r="AN2039" s="374"/>
      <c r="AO2039" s="374"/>
      <c r="AP2039" s="374"/>
      <c r="AQ2039" s="374"/>
      <c r="AR2039" s="374"/>
      <c r="AS2039" s="374"/>
      <c r="AT2039" s="374"/>
      <c r="AU2039" s="374"/>
      <c r="AV2039" s="374"/>
      <c r="AW2039" s="374"/>
      <c r="AX2039" s="374"/>
      <c r="AY2039" s="374"/>
      <c r="AZ2039" s="374"/>
      <c r="BA2039" s="374"/>
      <c r="BB2039" s="374"/>
      <c r="BC2039" s="374"/>
      <c r="BD2039" s="374"/>
      <c r="BE2039" s="374"/>
      <c r="BF2039" s="374"/>
      <c r="BG2039" s="374"/>
      <c r="BH2039" s="374"/>
      <c r="BI2039" s="374"/>
      <c r="BJ2039" s="374"/>
      <c r="BK2039" s="374"/>
    </row>
    <row r="2040" spans="1:63" x14ac:dyDescent="0.2">
      <c r="A2040" s="480"/>
      <c r="B2040" s="481"/>
      <c r="C2040" s="481"/>
      <c r="J2040" s="374"/>
      <c r="K2040" s="374"/>
      <c r="L2040" s="374"/>
      <c r="M2040" s="374"/>
      <c r="N2040" s="374"/>
      <c r="O2040" s="374"/>
      <c r="P2040" s="374"/>
      <c r="Q2040" s="374"/>
      <c r="R2040" s="374"/>
      <c r="S2040" s="374"/>
      <c r="T2040" s="374"/>
      <c r="U2040" s="374"/>
      <c r="V2040" s="374"/>
      <c r="W2040" s="374"/>
      <c r="X2040" s="374"/>
      <c r="Y2040" s="374"/>
      <c r="Z2040" s="374"/>
      <c r="AA2040" s="374"/>
      <c r="AB2040" s="374"/>
      <c r="AC2040" s="374"/>
      <c r="AD2040" s="374"/>
      <c r="AE2040" s="374"/>
      <c r="AF2040" s="374"/>
      <c r="AG2040" s="374"/>
      <c r="AH2040" s="374"/>
      <c r="AI2040" s="374"/>
      <c r="AJ2040" s="374"/>
      <c r="AK2040" s="374"/>
      <c r="AL2040" s="374"/>
      <c r="AM2040" s="374"/>
      <c r="AN2040" s="374"/>
      <c r="AO2040" s="374"/>
      <c r="AP2040" s="374"/>
      <c r="AQ2040" s="374"/>
      <c r="AR2040" s="374"/>
      <c r="AS2040" s="374"/>
      <c r="AT2040" s="374"/>
      <c r="AU2040" s="374"/>
      <c r="AV2040" s="374"/>
      <c r="AW2040" s="374"/>
      <c r="AX2040" s="374"/>
      <c r="AY2040" s="374"/>
      <c r="AZ2040" s="374"/>
      <c r="BA2040" s="374"/>
      <c r="BB2040" s="374"/>
      <c r="BC2040" s="374"/>
      <c r="BD2040" s="374"/>
      <c r="BE2040" s="374"/>
      <c r="BF2040" s="374"/>
      <c r="BG2040" s="374"/>
      <c r="BH2040" s="374"/>
      <c r="BI2040" s="374"/>
      <c r="BJ2040" s="374"/>
      <c r="BK2040" s="374"/>
    </row>
    <row r="2041" spans="1:63" x14ac:dyDescent="0.2">
      <c r="A2041" s="480"/>
      <c r="B2041" s="481"/>
      <c r="C2041" s="481"/>
      <c r="J2041" s="374"/>
      <c r="K2041" s="374"/>
      <c r="L2041" s="374"/>
      <c r="M2041" s="374"/>
      <c r="N2041" s="374"/>
      <c r="O2041" s="374"/>
      <c r="P2041" s="374"/>
      <c r="Q2041" s="374"/>
      <c r="R2041" s="374"/>
      <c r="S2041" s="374"/>
      <c r="T2041" s="374"/>
      <c r="U2041" s="374"/>
      <c r="V2041" s="374"/>
      <c r="W2041" s="374"/>
      <c r="X2041" s="374"/>
      <c r="Y2041" s="374"/>
      <c r="Z2041" s="374"/>
      <c r="AA2041" s="374"/>
      <c r="AB2041" s="374"/>
      <c r="AC2041" s="374"/>
      <c r="AD2041" s="374"/>
      <c r="AE2041" s="374"/>
      <c r="AF2041" s="374"/>
      <c r="AG2041" s="374"/>
      <c r="AH2041" s="374"/>
      <c r="AI2041" s="374"/>
      <c r="AJ2041" s="374"/>
      <c r="AK2041" s="374"/>
      <c r="AL2041" s="374"/>
      <c r="AM2041" s="374"/>
      <c r="AN2041" s="374"/>
      <c r="AO2041" s="374"/>
      <c r="AP2041" s="374"/>
      <c r="AQ2041" s="374"/>
      <c r="AR2041" s="374"/>
      <c r="AS2041" s="374"/>
      <c r="AT2041" s="374"/>
      <c r="AU2041" s="374"/>
      <c r="AV2041" s="374"/>
      <c r="AW2041" s="374"/>
      <c r="AX2041" s="374"/>
      <c r="AY2041" s="374"/>
      <c r="AZ2041" s="374"/>
      <c r="BA2041" s="374"/>
      <c r="BB2041" s="374"/>
      <c r="BC2041" s="374"/>
      <c r="BD2041" s="374"/>
      <c r="BE2041" s="374"/>
      <c r="BF2041" s="374"/>
      <c r="BG2041" s="374"/>
      <c r="BH2041" s="374"/>
      <c r="BI2041" s="374"/>
      <c r="BJ2041" s="374"/>
      <c r="BK2041" s="374"/>
    </row>
    <row r="2042" spans="1:63" x14ac:dyDescent="0.2">
      <c r="A2042" s="480"/>
      <c r="B2042" s="481"/>
      <c r="C2042" s="481"/>
      <c r="J2042" s="374"/>
      <c r="K2042" s="374"/>
      <c r="L2042" s="374"/>
      <c r="M2042" s="374"/>
      <c r="N2042" s="374"/>
      <c r="O2042" s="374"/>
      <c r="P2042" s="374"/>
      <c r="Q2042" s="374"/>
      <c r="R2042" s="374"/>
      <c r="S2042" s="374"/>
      <c r="T2042" s="374"/>
      <c r="U2042" s="374"/>
      <c r="V2042" s="374"/>
      <c r="W2042" s="374"/>
      <c r="X2042" s="374"/>
      <c r="Y2042" s="374"/>
      <c r="Z2042" s="374"/>
      <c r="AA2042" s="374"/>
      <c r="AB2042" s="374"/>
      <c r="AC2042" s="374"/>
      <c r="AD2042" s="374"/>
      <c r="AE2042" s="374"/>
      <c r="AF2042" s="374"/>
      <c r="AG2042" s="374"/>
      <c r="AH2042" s="374"/>
      <c r="AI2042" s="374"/>
      <c r="AJ2042" s="374"/>
      <c r="AK2042" s="374"/>
      <c r="AL2042" s="374"/>
      <c r="AM2042" s="374"/>
      <c r="AN2042" s="374"/>
      <c r="AO2042" s="374"/>
      <c r="AP2042" s="374"/>
      <c r="AQ2042" s="374"/>
      <c r="AR2042" s="374"/>
      <c r="AS2042" s="374"/>
      <c r="AT2042" s="374"/>
      <c r="AU2042" s="374"/>
      <c r="AV2042" s="374"/>
      <c r="AW2042" s="374"/>
      <c r="AX2042" s="374"/>
      <c r="AY2042" s="374"/>
      <c r="AZ2042" s="374"/>
      <c r="BA2042" s="374"/>
      <c r="BB2042" s="374"/>
      <c r="BC2042" s="374"/>
      <c r="BD2042" s="374"/>
      <c r="BE2042" s="374"/>
      <c r="BF2042" s="374"/>
      <c r="BG2042" s="374"/>
      <c r="BH2042" s="374"/>
      <c r="BI2042" s="374"/>
      <c r="BJ2042" s="374"/>
      <c r="BK2042" s="374"/>
    </row>
    <row r="2043" spans="1:63" x14ac:dyDescent="0.2">
      <c r="A2043" s="480"/>
      <c r="B2043" s="481"/>
      <c r="C2043" s="481"/>
      <c r="J2043" s="374"/>
      <c r="K2043" s="374"/>
      <c r="L2043" s="374"/>
      <c r="M2043" s="374"/>
      <c r="N2043" s="374"/>
      <c r="O2043" s="374"/>
      <c r="P2043" s="374"/>
      <c r="Q2043" s="374"/>
      <c r="R2043" s="374"/>
      <c r="S2043" s="374"/>
      <c r="T2043" s="374"/>
      <c r="U2043" s="374"/>
      <c r="V2043" s="374"/>
      <c r="W2043" s="374"/>
      <c r="X2043" s="374"/>
      <c r="Y2043" s="374"/>
      <c r="Z2043" s="374"/>
      <c r="AA2043" s="374"/>
      <c r="AB2043" s="374"/>
      <c r="AC2043" s="374"/>
      <c r="AD2043" s="374"/>
      <c r="AE2043" s="374"/>
      <c r="AF2043" s="374"/>
      <c r="AG2043" s="374"/>
      <c r="AH2043" s="374"/>
      <c r="AI2043" s="374"/>
      <c r="AJ2043" s="374"/>
      <c r="AK2043" s="374"/>
      <c r="AL2043" s="374"/>
      <c r="AM2043" s="374"/>
      <c r="AN2043" s="374"/>
      <c r="AO2043" s="374"/>
      <c r="AP2043" s="374"/>
      <c r="AQ2043" s="374"/>
      <c r="AR2043" s="374"/>
      <c r="AS2043" s="374"/>
      <c r="AT2043" s="374"/>
      <c r="AU2043" s="374"/>
      <c r="AV2043" s="374"/>
      <c r="AW2043" s="374"/>
      <c r="AX2043" s="374"/>
      <c r="AY2043" s="374"/>
      <c r="AZ2043" s="374"/>
      <c r="BA2043" s="374"/>
      <c r="BB2043" s="374"/>
      <c r="BC2043" s="374"/>
      <c r="BD2043" s="374"/>
      <c r="BE2043" s="374"/>
      <c r="BF2043" s="374"/>
      <c r="BG2043" s="374"/>
      <c r="BH2043" s="374"/>
      <c r="BI2043" s="374"/>
      <c r="BJ2043" s="374"/>
      <c r="BK2043" s="374"/>
    </row>
    <row r="2044" spans="1:63" x14ac:dyDescent="0.2">
      <c r="A2044" s="480"/>
      <c r="B2044" s="481"/>
      <c r="C2044" s="481"/>
      <c r="D2044" s="374"/>
      <c r="E2044" s="374"/>
      <c r="F2044" s="374"/>
      <c r="G2044" s="374"/>
      <c r="H2044" s="374"/>
      <c r="I2044" s="374"/>
      <c r="J2044" s="374"/>
      <c r="K2044" s="374"/>
      <c r="L2044" s="374"/>
      <c r="M2044" s="374"/>
      <c r="N2044" s="374"/>
      <c r="O2044" s="374"/>
      <c r="P2044" s="374"/>
      <c r="Q2044" s="374"/>
      <c r="R2044" s="374"/>
      <c r="S2044" s="374"/>
      <c r="T2044" s="374"/>
      <c r="U2044" s="374"/>
      <c r="V2044" s="374"/>
      <c r="W2044" s="374"/>
      <c r="X2044" s="374"/>
      <c r="Y2044" s="374"/>
      <c r="Z2044" s="374"/>
      <c r="AA2044" s="374"/>
      <c r="AB2044" s="374"/>
      <c r="AC2044" s="374"/>
      <c r="AD2044" s="374"/>
      <c r="AE2044" s="374"/>
      <c r="AF2044" s="374"/>
      <c r="AG2044" s="374"/>
      <c r="AH2044" s="374"/>
      <c r="AI2044" s="374"/>
      <c r="AJ2044" s="374"/>
      <c r="AK2044" s="374"/>
      <c r="AL2044" s="374"/>
      <c r="AM2044" s="374"/>
      <c r="AN2044" s="374"/>
      <c r="AO2044" s="374"/>
      <c r="AP2044" s="374"/>
      <c r="AQ2044" s="374"/>
      <c r="AR2044" s="374"/>
      <c r="AS2044" s="374"/>
      <c r="AT2044" s="374"/>
      <c r="AU2044" s="374"/>
      <c r="AV2044" s="374"/>
      <c r="AW2044" s="374"/>
      <c r="AX2044" s="374"/>
      <c r="AY2044" s="374"/>
      <c r="AZ2044" s="374"/>
      <c r="BA2044" s="374"/>
      <c r="BB2044" s="374"/>
      <c r="BC2044" s="374"/>
      <c r="BD2044" s="374"/>
      <c r="BE2044" s="374"/>
      <c r="BF2044" s="374"/>
      <c r="BG2044" s="374"/>
      <c r="BH2044" s="374"/>
      <c r="BI2044" s="374"/>
      <c r="BJ2044" s="374"/>
      <c r="BK2044" s="374"/>
    </row>
    <row r="2045" spans="1:63" x14ac:dyDescent="0.2">
      <c r="A2045" s="480"/>
      <c r="B2045" s="481"/>
      <c r="C2045" s="481"/>
      <c r="D2045" s="374"/>
      <c r="E2045" s="374"/>
      <c r="F2045" s="374"/>
      <c r="G2045" s="374"/>
      <c r="H2045" s="374"/>
      <c r="I2045" s="374"/>
      <c r="J2045" s="374"/>
      <c r="K2045" s="374"/>
      <c r="L2045" s="374"/>
      <c r="M2045" s="374"/>
      <c r="N2045" s="374"/>
      <c r="O2045" s="374"/>
      <c r="P2045" s="374"/>
      <c r="Q2045" s="374"/>
      <c r="R2045" s="374"/>
      <c r="S2045" s="374"/>
      <c r="T2045" s="374"/>
      <c r="U2045" s="374"/>
      <c r="V2045" s="374"/>
      <c r="W2045" s="374"/>
      <c r="X2045" s="374"/>
      <c r="Y2045" s="374"/>
      <c r="Z2045" s="374"/>
      <c r="AA2045" s="374"/>
      <c r="AB2045" s="374"/>
      <c r="AC2045" s="374"/>
      <c r="AD2045" s="374"/>
      <c r="AE2045" s="374"/>
      <c r="AF2045" s="374"/>
      <c r="AG2045" s="374"/>
      <c r="AH2045" s="374"/>
      <c r="AI2045" s="374"/>
      <c r="AJ2045" s="374"/>
      <c r="AK2045" s="374"/>
      <c r="AL2045" s="374"/>
      <c r="AM2045" s="374"/>
      <c r="AN2045" s="374"/>
      <c r="AO2045" s="374"/>
      <c r="AP2045" s="374"/>
      <c r="AQ2045" s="374"/>
      <c r="AR2045" s="374"/>
      <c r="AS2045" s="374"/>
      <c r="AT2045" s="374"/>
      <c r="AU2045" s="374"/>
      <c r="AV2045" s="374"/>
      <c r="AW2045" s="374"/>
      <c r="AX2045" s="374"/>
      <c r="AY2045" s="374"/>
      <c r="AZ2045" s="374"/>
      <c r="BA2045" s="374"/>
      <c r="BB2045" s="374"/>
      <c r="BC2045" s="374"/>
      <c r="BD2045" s="374"/>
      <c r="BE2045" s="374"/>
      <c r="BF2045" s="374"/>
      <c r="BG2045" s="374"/>
      <c r="BH2045" s="374"/>
      <c r="BI2045" s="374"/>
      <c r="BJ2045" s="374"/>
      <c r="BK2045" s="374"/>
    </row>
    <row r="2046" spans="1:63" x14ac:dyDescent="0.2">
      <c r="A2046" s="480"/>
      <c r="B2046" s="481"/>
      <c r="C2046" s="481"/>
      <c r="D2046" s="374"/>
      <c r="E2046" s="374"/>
      <c r="F2046" s="374"/>
      <c r="G2046" s="374"/>
      <c r="H2046" s="374"/>
      <c r="I2046" s="374"/>
      <c r="J2046" s="374"/>
      <c r="K2046" s="374"/>
      <c r="L2046" s="374"/>
      <c r="M2046" s="374"/>
      <c r="N2046" s="374"/>
      <c r="O2046" s="374"/>
      <c r="P2046" s="374"/>
      <c r="Q2046" s="374"/>
      <c r="R2046" s="374"/>
      <c r="S2046" s="374"/>
      <c r="T2046" s="374"/>
      <c r="U2046" s="374"/>
      <c r="V2046" s="374"/>
      <c r="W2046" s="374"/>
      <c r="X2046" s="374"/>
      <c r="Y2046" s="374"/>
      <c r="Z2046" s="374"/>
      <c r="AA2046" s="374"/>
      <c r="AB2046" s="374"/>
      <c r="AC2046" s="374"/>
      <c r="AD2046" s="374"/>
      <c r="AE2046" s="374"/>
      <c r="AF2046" s="374"/>
      <c r="AG2046" s="374"/>
      <c r="AH2046" s="374"/>
      <c r="AI2046" s="374"/>
      <c r="AJ2046" s="374"/>
      <c r="AK2046" s="374"/>
      <c r="AL2046" s="374"/>
      <c r="AM2046" s="374"/>
      <c r="AN2046" s="374"/>
      <c r="AO2046" s="374"/>
      <c r="AP2046" s="374"/>
      <c r="AQ2046" s="374"/>
      <c r="AR2046" s="374"/>
      <c r="AS2046" s="374"/>
      <c r="AT2046" s="374"/>
      <c r="AU2046" s="374"/>
      <c r="AV2046" s="374"/>
      <c r="AW2046" s="374"/>
      <c r="AX2046" s="374"/>
      <c r="AY2046" s="374"/>
      <c r="AZ2046" s="374"/>
      <c r="BA2046" s="374"/>
      <c r="BB2046" s="374"/>
      <c r="BC2046" s="374"/>
      <c r="BD2046" s="374"/>
      <c r="BE2046" s="374"/>
      <c r="BF2046" s="374"/>
      <c r="BG2046" s="374"/>
      <c r="BH2046" s="374"/>
      <c r="BI2046" s="374"/>
      <c r="BJ2046" s="374"/>
      <c r="BK2046" s="374"/>
    </row>
    <row r="2047" spans="1:63" x14ac:dyDescent="0.2">
      <c r="A2047" s="480"/>
      <c r="B2047" s="481"/>
      <c r="C2047" s="481"/>
      <c r="D2047" s="374"/>
      <c r="E2047" s="374"/>
      <c r="F2047" s="374"/>
      <c r="G2047" s="374"/>
      <c r="H2047" s="374"/>
      <c r="I2047" s="374"/>
      <c r="J2047" s="374"/>
      <c r="K2047" s="374"/>
      <c r="L2047" s="374"/>
      <c r="M2047" s="374"/>
      <c r="N2047" s="374"/>
      <c r="O2047" s="374"/>
      <c r="P2047" s="374"/>
      <c r="Q2047" s="374"/>
      <c r="R2047" s="374"/>
      <c r="S2047" s="374"/>
      <c r="T2047" s="374"/>
      <c r="U2047" s="374"/>
      <c r="V2047" s="374"/>
      <c r="W2047" s="374"/>
      <c r="X2047" s="374"/>
      <c r="Y2047" s="374"/>
      <c r="Z2047" s="374"/>
      <c r="AA2047" s="374"/>
      <c r="AB2047" s="374"/>
      <c r="AC2047" s="374"/>
      <c r="AD2047" s="374"/>
      <c r="AE2047" s="374"/>
      <c r="AF2047" s="374"/>
      <c r="AG2047" s="374"/>
      <c r="AH2047" s="374"/>
      <c r="AI2047" s="374"/>
      <c r="AJ2047" s="374"/>
      <c r="AK2047" s="374"/>
      <c r="AL2047" s="374"/>
      <c r="AM2047" s="374"/>
      <c r="AN2047" s="374"/>
      <c r="AO2047" s="374"/>
      <c r="AP2047" s="374"/>
      <c r="AQ2047" s="374"/>
      <c r="AR2047" s="374"/>
      <c r="AS2047" s="374"/>
      <c r="AT2047" s="374"/>
      <c r="AU2047" s="374"/>
      <c r="AV2047" s="374"/>
      <c r="AW2047" s="374"/>
      <c r="AX2047" s="374"/>
      <c r="AY2047" s="374"/>
      <c r="AZ2047" s="374"/>
      <c r="BA2047" s="374"/>
      <c r="BB2047" s="374"/>
      <c r="BC2047" s="374"/>
      <c r="BD2047" s="374"/>
      <c r="BE2047" s="374"/>
      <c r="BF2047" s="374"/>
      <c r="BG2047" s="374"/>
      <c r="BH2047" s="374"/>
      <c r="BI2047" s="374"/>
      <c r="BJ2047" s="374"/>
      <c r="BK2047" s="374"/>
    </row>
    <row r="2048" spans="1:63" x14ac:dyDescent="0.2">
      <c r="A2048" s="480"/>
      <c r="B2048" s="481"/>
      <c r="C2048" s="481"/>
      <c r="D2048" s="374"/>
      <c r="E2048" s="374"/>
      <c r="F2048" s="374"/>
      <c r="G2048" s="374"/>
      <c r="H2048" s="374"/>
      <c r="I2048" s="374"/>
      <c r="J2048" s="374"/>
      <c r="K2048" s="374"/>
      <c r="L2048" s="374"/>
      <c r="M2048" s="374"/>
      <c r="N2048" s="374"/>
      <c r="O2048" s="374"/>
      <c r="P2048" s="374"/>
      <c r="Q2048" s="374"/>
      <c r="R2048" s="374"/>
      <c r="S2048" s="374"/>
      <c r="T2048" s="374"/>
      <c r="U2048" s="374"/>
      <c r="V2048" s="374"/>
      <c r="W2048" s="374"/>
      <c r="X2048" s="374"/>
      <c r="Y2048" s="374"/>
      <c r="Z2048" s="374"/>
      <c r="AA2048" s="374"/>
      <c r="AB2048" s="374"/>
      <c r="AC2048" s="374"/>
      <c r="AD2048" s="374"/>
      <c r="AE2048" s="374"/>
      <c r="AF2048" s="374"/>
      <c r="AG2048" s="374"/>
      <c r="AH2048" s="374"/>
      <c r="AI2048" s="374"/>
      <c r="AJ2048" s="374"/>
      <c r="AK2048" s="374"/>
      <c r="AL2048" s="374"/>
      <c r="AM2048" s="374"/>
      <c r="AN2048" s="374"/>
      <c r="AO2048" s="374"/>
      <c r="AP2048" s="374"/>
      <c r="AQ2048" s="374"/>
      <c r="AR2048" s="374"/>
      <c r="AS2048" s="374"/>
      <c r="AT2048" s="374"/>
      <c r="AU2048" s="374"/>
      <c r="AV2048" s="374"/>
      <c r="AW2048" s="374"/>
      <c r="AX2048" s="374"/>
      <c r="AY2048" s="374"/>
      <c r="AZ2048" s="374"/>
      <c r="BA2048" s="374"/>
      <c r="BB2048" s="374"/>
      <c r="BC2048" s="374"/>
      <c r="BD2048" s="374"/>
      <c r="BE2048" s="374"/>
      <c r="BF2048" s="374"/>
      <c r="BG2048" s="374"/>
      <c r="BH2048" s="374"/>
      <c r="BI2048" s="374"/>
      <c r="BJ2048" s="374"/>
      <c r="BK2048" s="374"/>
    </row>
    <row r="2049" spans="1:63" x14ac:dyDescent="0.2">
      <c r="A2049" s="480"/>
      <c r="B2049" s="481"/>
      <c r="C2049" s="481"/>
      <c r="D2049" s="374"/>
      <c r="E2049" s="374"/>
      <c r="F2049" s="374"/>
      <c r="G2049" s="374"/>
      <c r="H2049" s="374"/>
      <c r="I2049" s="374"/>
      <c r="J2049" s="374"/>
      <c r="K2049" s="374"/>
      <c r="L2049" s="374"/>
      <c r="M2049" s="374"/>
      <c r="N2049" s="374"/>
      <c r="O2049" s="374"/>
      <c r="P2049" s="374"/>
      <c r="Q2049" s="374"/>
      <c r="R2049" s="374"/>
      <c r="S2049" s="374"/>
      <c r="T2049" s="374"/>
      <c r="U2049" s="374"/>
      <c r="V2049" s="374"/>
      <c r="W2049" s="374"/>
      <c r="X2049" s="374"/>
      <c r="Y2049" s="374"/>
      <c r="Z2049" s="374"/>
      <c r="AA2049" s="374"/>
      <c r="AB2049" s="374"/>
      <c r="AC2049" s="374"/>
      <c r="AD2049" s="374"/>
      <c r="AE2049" s="374"/>
      <c r="AF2049" s="374"/>
      <c r="AG2049" s="374"/>
      <c r="AH2049" s="374"/>
      <c r="AI2049" s="374"/>
      <c r="AJ2049" s="374"/>
      <c r="AK2049" s="374"/>
      <c r="AL2049" s="374"/>
      <c r="AM2049" s="374"/>
      <c r="AN2049" s="374"/>
      <c r="AO2049" s="374"/>
      <c r="AP2049" s="374"/>
      <c r="AQ2049" s="374"/>
      <c r="AR2049" s="374"/>
      <c r="AS2049" s="374"/>
      <c r="AT2049" s="374"/>
      <c r="AU2049" s="374"/>
      <c r="AV2049" s="374"/>
      <c r="AW2049" s="374"/>
      <c r="AX2049" s="374"/>
      <c r="AY2049" s="374"/>
      <c r="AZ2049" s="374"/>
      <c r="BA2049" s="374"/>
      <c r="BB2049" s="374"/>
      <c r="BC2049" s="374"/>
      <c r="BD2049" s="374"/>
      <c r="BE2049" s="374"/>
      <c r="BF2049" s="374"/>
      <c r="BG2049" s="374"/>
      <c r="BH2049" s="374"/>
      <c r="BI2049" s="374"/>
      <c r="BJ2049" s="374"/>
      <c r="BK2049" s="374"/>
    </row>
    <row r="2050" spans="1:63" x14ac:dyDescent="0.2">
      <c r="A2050" s="480"/>
      <c r="B2050" s="481"/>
      <c r="C2050" s="481"/>
      <c r="D2050" s="374"/>
      <c r="E2050" s="374"/>
      <c r="F2050" s="374"/>
      <c r="G2050" s="374"/>
      <c r="H2050" s="374"/>
      <c r="I2050" s="374"/>
      <c r="J2050" s="374"/>
      <c r="K2050" s="374"/>
      <c r="L2050" s="374"/>
      <c r="M2050" s="374"/>
      <c r="N2050" s="374"/>
      <c r="O2050" s="374"/>
      <c r="P2050" s="374"/>
      <c r="Q2050" s="374"/>
      <c r="R2050" s="374"/>
      <c r="S2050" s="374"/>
      <c r="T2050" s="374"/>
      <c r="U2050" s="374"/>
      <c r="V2050" s="374"/>
      <c r="W2050" s="374"/>
      <c r="X2050" s="374"/>
      <c r="Y2050" s="374"/>
      <c r="Z2050" s="374"/>
      <c r="AA2050" s="374"/>
      <c r="AB2050" s="374"/>
      <c r="AC2050" s="374"/>
      <c r="AD2050" s="374"/>
      <c r="AE2050" s="374"/>
      <c r="AF2050" s="374"/>
      <c r="AG2050" s="374"/>
      <c r="AH2050" s="374"/>
      <c r="AI2050" s="374"/>
      <c r="AJ2050" s="374"/>
      <c r="AK2050" s="374"/>
      <c r="AL2050" s="374"/>
      <c r="AM2050" s="374"/>
      <c r="AN2050" s="374"/>
      <c r="AO2050" s="374"/>
      <c r="AP2050" s="374"/>
      <c r="AQ2050" s="374"/>
      <c r="AR2050" s="374"/>
      <c r="AS2050" s="374"/>
      <c r="AT2050" s="374"/>
      <c r="AU2050" s="374"/>
      <c r="AV2050" s="374"/>
      <c r="AW2050" s="374"/>
      <c r="AX2050" s="374"/>
      <c r="AY2050" s="374"/>
      <c r="AZ2050" s="374"/>
      <c r="BA2050" s="374"/>
      <c r="BB2050" s="374"/>
      <c r="BC2050" s="374"/>
      <c r="BD2050" s="374"/>
      <c r="BE2050" s="374"/>
      <c r="BF2050" s="374"/>
      <c r="BG2050" s="374"/>
      <c r="BH2050" s="374"/>
      <c r="BI2050" s="374"/>
      <c r="BJ2050" s="374"/>
      <c r="BK2050" s="374"/>
    </row>
    <row r="2051" spans="1:63" x14ac:dyDescent="0.2">
      <c r="A2051" s="480"/>
      <c r="B2051" s="481"/>
      <c r="C2051" s="481"/>
      <c r="D2051" s="374"/>
      <c r="E2051" s="374"/>
      <c r="F2051" s="374"/>
      <c r="G2051" s="374"/>
      <c r="H2051" s="374"/>
      <c r="I2051" s="374"/>
      <c r="J2051" s="374"/>
      <c r="K2051" s="374"/>
      <c r="L2051" s="374"/>
      <c r="M2051" s="374"/>
      <c r="N2051" s="374"/>
      <c r="O2051" s="374"/>
      <c r="P2051" s="374"/>
      <c r="Q2051" s="374"/>
      <c r="R2051" s="374"/>
      <c r="S2051" s="374"/>
      <c r="T2051" s="374"/>
      <c r="U2051" s="374"/>
      <c r="V2051" s="374"/>
      <c r="W2051" s="374"/>
      <c r="X2051" s="374"/>
      <c r="Y2051" s="374"/>
      <c r="Z2051" s="374"/>
      <c r="AA2051" s="374"/>
      <c r="AB2051" s="374"/>
      <c r="AC2051" s="374"/>
      <c r="AD2051" s="374"/>
      <c r="AE2051" s="374"/>
      <c r="AF2051" s="374"/>
      <c r="AG2051" s="374"/>
      <c r="AH2051" s="374"/>
      <c r="AI2051" s="374"/>
      <c r="AJ2051" s="374"/>
      <c r="AK2051" s="374"/>
      <c r="AL2051" s="374"/>
      <c r="AM2051" s="374"/>
      <c r="AN2051" s="374"/>
      <c r="AO2051" s="374"/>
      <c r="AP2051" s="374"/>
      <c r="AQ2051" s="374"/>
      <c r="AR2051" s="374"/>
      <c r="AS2051" s="374"/>
      <c r="AT2051" s="374"/>
      <c r="AU2051" s="374"/>
      <c r="AV2051" s="374"/>
      <c r="AW2051" s="374"/>
      <c r="AX2051" s="374"/>
      <c r="AY2051" s="374"/>
      <c r="AZ2051" s="374"/>
      <c r="BA2051" s="374"/>
      <c r="BB2051" s="374"/>
      <c r="BC2051" s="374"/>
      <c r="BD2051" s="374"/>
      <c r="BE2051" s="374"/>
      <c r="BF2051" s="374"/>
      <c r="BG2051" s="374"/>
      <c r="BH2051" s="374"/>
      <c r="BI2051" s="374"/>
      <c r="BJ2051" s="374"/>
      <c r="BK2051" s="374"/>
    </row>
    <row r="2052" spans="1:63" x14ac:dyDescent="0.2">
      <c r="A2052" s="480"/>
      <c r="B2052" s="481"/>
      <c r="C2052" s="481"/>
      <c r="D2052" s="374"/>
      <c r="E2052" s="374"/>
      <c r="F2052" s="374"/>
      <c r="G2052" s="374"/>
      <c r="H2052" s="374"/>
      <c r="I2052" s="374"/>
      <c r="J2052" s="374"/>
      <c r="K2052" s="374"/>
      <c r="L2052" s="374"/>
      <c r="M2052" s="374"/>
      <c r="N2052" s="374"/>
      <c r="O2052" s="374"/>
      <c r="P2052" s="374"/>
      <c r="Q2052" s="374"/>
      <c r="R2052" s="374"/>
      <c r="S2052" s="374"/>
      <c r="T2052" s="374"/>
      <c r="U2052" s="374"/>
      <c r="V2052" s="374"/>
      <c r="W2052" s="374"/>
      <c r="X2052" s="374"/>
      <c r="Y2052" s="374"/>
      <c r="Z2052" s="374"/>
      <c r="AA2052" s="374"/>
      <c r="AB2052" s="374"/>
      <c r="AC2052" s="374"/>
      <c r="AD2052" s="374"/>
      <c r="AE2052" s="374"/>
      <c r="AF2052" s="374"/>
      <c r="AG2052" s="374"/>
      <c r="AH2052" s="374"/>
      <c r="AI2052" s="374"/>
      <c r="AJ2052" s="374"/>
      <c r="AK2052" s="374"/>
      <c r="AL2052" s="374"/>
      <c r="AM2052" s="374"/>
      <c r="AN2052" s="374"/>
      <c r="AO2052" s="374"/>
      <c r="AP2052" s="374"/>
      <c r="AQ2052" s="374"/>
      <c r="AR2052" s="374"/>
      <c r="AS2052" s="374"/>
      <c r="AT2052" s="374"/>
      <c r="AU2052" s="374"/>
      <c r="AV2052" s="374"/>
      <c r="AW2052" s="374"/>
      <c r="AX2052" s="374"/>
      <c r="AY2052" s="374"/>
      <c r="AZ2052" s="374"/>
      <c r="BA2052" s="374"/>
      <c r="BB2052" s="374"/>
      <c r="BC2052" s="374"/>
      <c r="BD2052" s="374"/>
      <c r="BE2052" s="374"/>
      <c r="BF2052" s="374"/>
      <c r="BG2052" s="374"/>
      <c r="BH2052" s="374"/>
      <c r="BI2052" s="374"/>
      <c r="BJ2052" s="374"/>
      <c r="BK2052" s="374"/>
    </row>
    <row r="2053" spans="1:63" x14ac:dyDescent="0.2">
      <c r="A2053" s="480"/>
      <c r="B2053" s="481"/>
      <c r="C2053" s="481"/>
      <c r="D2053" s="374"/>
      <c r="E2053" s="374"/>
      <c r="F2053" s="374"/>
      <c r="G2053" s="374"/>
      <c r="H2053" s="374"/>
      <c r="I2053" s="374"/>
      <c r="J2053" s="374"/>
      <c r="K2053" s="374"/>
      <c r="L2053" s="374"/>
      <c r="M2053" s="374"/>
      <c r="N2053" s="374"/>
      <c r="O2053" s="374"/>
      <c r="P2053" s="374"/>
      <c r="Q2053" s="374"/>
      <c r="R2053" s="374"/>
      <c r="S2053" s="374"/>
      <c r="T2053" s="374"/>
      <c r="U2053" s="374"/>
      <c r="V2053" s="374"/>
      <c r="W2053" s="374"/>
      <c r="X2053" s="374"/>
      <c r="Y2053" s="374"/>
      <c r="Z2053" s="374"/>
      <c r="AA2053" s="374"/>
      <c r="AB2053" s="374"/>
      <c r="AC2053" s="374"/>
      <c r="AD2053" s="374"/>
      <c r="AE2053" s="374"/>
      <c r="AF2053" s="374"/>
      <c r="AG2053" s="374"/>
      <c r="AH2053" s="374"/>
      <c r="AI2053" s="374"/>
      <c r="AJ2053" s="374"/>
      <c r="AK2053" s="374"/>
      <c r="AL2053" s="374"/>
      <c r="AM2053" s="374"/>
      <c r="AN2053" s="374"/>
      <c r="AO2053" s="374"/>
      <c r="AP2053" s="374"/>
      <c r="AQ2053" s="374"/>
      <c r="AR2053" s="374"/>
      <c r="AS2053" s="374"/>
      <c r="AT2053" s="374"/>
      <c r="AU2053" s="374"/>
      <c r="AV2053" s="374"/>
      <c r="AW2053" s="374"/>
      <c r="AX2053" s="374"/>
      <c r="AY2053" s="374"/>
      <c r="AZ2053" s="374"/>
      <c r="BA2053" s="374"/>
      <c r="BB2053" s="374"/>
      <c r="BC2053" s="374"/>
      <c r="BD2053" s="374"/>
      <c r="BE2053" s="374"/>
      <c r="BF2053" s="374"/>
      <c r="BG2053" s="374"/>
      <c r="BH2053" s="374"/>
      <c r="BI2053" s="374"/>
      <c r="BJ2053" s="374"/>
      <c r="BK2053" s="374"/>
    </row>
    <row r="2054" spans="1:63" x14ac:dyDescent="0.2">
      <c r="A2054" s="480"/>
      <c r="B2054" s="481"/>
      <c r="C2054" s="481"/>
      <c r="D2054" s="374"/>
      <c r="E2054" s="374"/>
      <c r="F2054" s="374"/>
      <c r="G2054" s="374"/>
      <c r="H2054" s="374"/>
      <c r="I2054" s="374"/>
      <c r="J2054" s="374"/>
      <c r="K2054" s="374"/>
      <c r="L2054" s="374"/>
      <c r="M2054" s="374"/>
      <c r="N2054" s="374"/>
      <c r="O2054" s="374"/>
      <c r="P2054" s="374"/>
      <c r="Q2054" s="374"/>
      <c r="R2054" s="374"/>
      <c r="S2054" s="374"/>
      <c r="T2054" s="374"/>
      <c r="U2054" s="374"/>
      <c r="V2054" s="374"/>
      <c r="W2054" s="374"/>
      <c r="X2054" s="374"/>
      <c r="Y2054" s="374"/>
      <c r="Z2054" s="374"/>
      <c r="AA2054" s="374"/>
      <c r="AB2054" s="374"/>
      <c r="AC2054" s="374"/>
      <c r="AD2054" s="374"/>
      <c r="AE2054" s="374"/>
      <c r="AF2054" s="374"/>
      <c r="AG2054" s="374"/>
      <c r="AH2054" s="374"/>
      <c r="AI2054" s="374"/>
      <c r="AJ2054" s="374"/>
      <c r="AK2054" s="374"/>
      <c r="AL2054" s="374"/>
      <c r="AM2054" s="374"/>
      <c r="AN2054" s="374"/>
      <c r="AO2054" s="374"/>
      <c r="AP2054" s="374"/>
      <c r="AQ2054" s="374"/>
      <c r="AR2054" s="374"/>
      <c r="AS2054" s="374"/>
      <c r="AT2054" s="374"/>
      <c r="AU2054" s="374"/>
      <c r="AV2054" s="374"/>
      <c r="AW2054" s="374"/>
      <c r="AX2054" s="374"/>
      <c r="AY2054" s="374"/>
      <c r="AZ2054" s="374"/>
      <c r="BA2054" s="374"/>
      <c r="BB2054" s="374"/>
      <c r="BC2054" s="374"/>
      <c r="BD2054" s="374"/>
      <c r="BE2054" s="374"/>
      <c r="BF2054" s="374"/>
      <c r="BG2054" s="374"/>
      <c r="BH2054" s="374"/>
      <c r="BI2054" s="374"/>
      <c r="BJ2054" s="374"/>
      <c r="BK2054" s="374"/>
    </row>
    <row r="2055" spans="1:63" x14ac:dyDescent="0.2">
      <c r="A2055" s="480"/>
      <c r="B2055" s="481"/>
      <c r="C2055" s="481"/>
      <c r="D2055" s="374"/>
      <c r="E2055" s="374"/>
      <c r="F2055" s="374"/>
      <c r="G2055" s="374"/>
      <c r="H2055" s="374"/>
      <c r="I2055" s="374"/>
      <c r="J2055" s="374"/>
      <c r="K2055" s="374"/>
      <c r="L2055" s="374"/>
      <c r="M2055" s="374"/>
      <c r="N2055" s="374"/>
      <c r="O2055" s="374"/>
      <c r="P2055" s="374"/>
      <c r="Q2055" s="374"/>
      <c r="R2055" s="374"/>
      <c r="S2055" s="374"/>
      <c r="T2055" s="374"/>
      <c r="U2055" s="374"/>
      <c r="V2055" s="374"/>
      <c r="W2055" s="374"/>
      <c r="X2055" s="374"/>
      <c r="Y2055" s="374"/>
      <c r="Z2055" s="374"/>
      <c r="AA2055" s="374"/>
      <c r="AB2055" s="374"/>
      <c r="AC2055" s="374"/>
      <c r="AD2055" s="374"/>
      <c r="AE2055" s="374"/>
      <c r="AF2055" s="374"/>
      <c r="AG2055" s="374"/>
      <c r="AH2055" s="374"/>
      <c r="AI2055" s="374"/>
      <c r="AJ2055" s="374"/>
      <c r="AK2055" s="374"/>
      <c r="AL2055" s="374"/>
      <c r="AM2055" s="374"/>
      <c r="AN2055" s="374"/>
      <c r="AO2055" s="374"/>
      <c r="AP2055" s="374"/>
      <c r="AQ2055" s="374"/>
      <c r="AR2055" s="374"/>
      <c r="AS2055" s="374"/>
      <c r="AT2055" s="374"/>
      <c r="AU2055" s="374"/>
      <c r="AV2055" s="374"/>
      <c r="AW2055" s="374"/>
      <c r="AX2055" s="374"/>
      <c r="AY2055" s="374"/>
      <c r="AZ2055" s="374"/>
      <c r="BA2055" s="374"/>
      <c r="BB2055" s="374"/>
      <c r="BC2055" s="374"/>
      <c r="BD2055" s="374"/>
      <c r="BE2055" s="374"/>
      <c r="BF2055" s="374"/>
      <c r="BG2055" s="374"/>
      <c r="BH2055" s="374"/>
      <c r="BI2055" s="374"/>
      <c r="BJ2055" s="374"/>
      <c r="BK2055" s="374"/>
    </row>
    <row r="2056" spans="1:63" x14ac:dyDescent="0.2">
      <c r="A2056" s="480"/>
      <c r="B2056" s="481"/>
      <c r="C2056" s="481"/>
      <c r="D2056" s="374"/>
      <c r="E2056" s="374"/>
      <c r="F2056" s="374"/>
      <c r="G2056" s="374"/>
      <c r="H2056" s="374"/>
      <c r="I2056" s="374"/>
      <c r="J2056" s="374"/>
      <c r="K2056" s="374"/>
      <c r="L2056" s="374"/>
      <c r="M2056" s="374"/>
      <c r="N2056" s="374"/>
      <c r="O2056" s="374"/>
      <c r="P2056" s="374"/>
      <c r="Q2056" s="374"/>
      <c r="R2056" s="374"/>
      <c r="S2056" s="374"/>
      <c r="T2056" s="374"/>
      <c r="U2056" s="374"/>
      <c r="V2056" s="374"/>
      <c r="W2056" s="374"/>
      <c r="X2056" s="374"/>
      <c r="Y2056" s="374"/>
      <c r="Z2056" s="374"/>
      <c r="AA2056" s="374"/>
      <c r="AB2056" s="374"/>
      <c r="AC2056" s="374"/>
      <c r="AD2056" s="374"/>
      <c r="AE2056" s="374"/>
      <c r="AF2056" s="374"/>
      <c r="AG2056" s="374"/>
      <c r="AH2056" s="374"/>
      <c r="AI2056" s="374"/>
      <c r="AJ2056" s="374"/>
      <c r="AK2056" s="374"/>
      <c r="AL2056" s="374"/>
      <c r="AM2056" s="374"/>
      <c r="AN2056" s="374"/>
      <c r="AO2056" s="374"/>
      <c r="AP2056" s="374"/>
      <c r="AQ2056" s="374"/>
      <c r="AR2056" s="374"/>
      <c r="AS2056" s="374"/>
      <c r="AT2056" s="374"/>
      <c r="AU2056" s="374"/>
      <c r="AV2056" s="374"/>
      <c r="AW2056" s="374"/>
      <c r="AX2056" s="374"/>
      <c r="AY2056" s="374"/>
      <c r="AZ2056" s="374"/>
      <c r="BA2056" s="374"/>
      <c r="BB2056" s="374"/>
      <c r="BC2056" s="374"/>
      <c r="BD2056" s="374"/>
      <c r="BE2056" s="374"/>
      <c r="BF2056" s="374"/>
      <c r="BG2056" s="374"/>
      <c r="BH2056" s="374"/>
      <c r="BI2056" s="374"/>
      <c r="BJ2056" s="374"/>
      <c r="BK2056" s="374"/>
    </row>
    <row r="2057" spans="1:63" x14ac:dyDescent="0.2">
      <c r="A2057" s="480"/>
      <c r="B2057" s="481"/>
      <c r="C2057" s="481"/>
      <c r="D2057" s="374"/>
      <c r="E2057" s="374"/>
      <c r="F2057" s="374"/>
      <c r="G2057" s="374"/>
      <c r="H2057" s="374"/>
      <c r="I2057" s="374"/>
      <c r="J2057" s="374"/>
      <c r="K2057" s="374"/>
      <c r="L2057" s="374"/>
      <c r="M2057" s="374"/>
      <c r="N2057" s="374"/>
      <c r="O2057" s="374"/>
      <c r="P2057" s="374"/>
      <c r="Q2057" s="374"/>
      <c r="R2057" s="374"/>
      <c r="S2057" s="374"/>
      <c r="T2057" s="374"/>
      <c r="U2057" s="374"/>
      <c r="V2057" s="374"/>
      <c r="W2057" s="374"/>
      <c r="X2057" s="374"/>
      <c r="Y2057" s="374"/>
      <c r="Z2057" s="374"/>
      <c r="AA2057" s="374"/>
      <c r="AB2057" s="374"/>
      <c r="AC2057" s="374"/>
      <c r="AD2057" s="374"/>
      <c r="AE2057" s="374"/>
      <c r="AF2057" s="374"/>
      <c r="AG2057" s="374"/>
      <c r="AH2057" s="374"/>
      <c r="AI2057" s="374"/>
      <c r="AJ2057" s="374"/>
      <c r="AK2057" s="374"/>
      <c r="AL2057" s="374"/>
      <c r="AM2057" s="374"/>
      <c r="AN2057" s="374"/>
      <c r="AO2057" s="374"/>
      <c r="AP2057" s="374"/>
      <c r="AQ2057" s="374"/>
      <c r="AR2057" s="374"/>
      <c r="AS2057" s="374"/>
      <c r="AT2057" s="374"/>
      <c r="AU2057" s="374"/>
      <c r="AV2057" s="374"/>
      <c r="AW2057" s="374"/>
      <c r="AX2057" s="374"/>
      <c r="AY2057" s="374"/>
      <c r="AZ2057" s="374"/>
      <c r="BA2057" s="374"/>
      <c r="BB2057" s="374"/>
      <c r="BC2057" s="374"/>
      <c r="BD2057" s="374"/>
      <c r="BE2057" s="374"/>
      <c r="BF2057" s="374"/>
      <c r="BG2057" s="374"/>
      <c r="BH2057" s="374"/>
      <c r="BI2057" s="374"/>
      <c r="BJ2057" s="374"/>
      <c r="BK2057" s="374"/>
    </row>
    <row r="2058" spans="1:63" x14ac:dyDescent="0.2">
      <c r="A2058" s="480"/>
      <c r="B2058" s="481"/>
      <c r="C2058" s="481"/>
      <c r="D2058" s="374"/>
      <c r="E2058" s="374"/>
      <c r="F2058" s="374"/>
      <c r="G2058" s="374"/>
      <c r="H2058" s="374"/>
      <c r="I2058" s="374"/>
      <c r="J2058" s="374"/>
      <c r="K2058" s="374"/>
      <c r="L2058" s="374"/>
      <c r="M2058" s="374"/>
      <c r="N2058" s="374"/>
      <c r="O2058" s="374"/>
      <c r="P2058" s="374"/>
      <c r="Q2058" s="374"/>
      <c r="R2058" s="374"/>
      <c r="S2058" s="374"/>
      <c r="T2058" s="374"/>
      <c r="U2058" s="374"/>
      <c r="V2058" s="374"/>
      <c r="W2058" s="374"/>
      <c r="X2058" s="374"/>
      <c r="Y2058" s="374"/>
      <c r="Z2058" s="374"/>
      <c r="AA2058" s="374"/>
      <c r="AB2058" s="374"/>
      <c r="AC2058" s="374"/>
      <c r="AD2058" s="374"/>
      <c r="AE2058" s="374"/>
      <c r="AF2058" s="374"/>
      <c r="AG2058" s="374"/>
      <c r="AH2058" s="374"/>
      <c r="AI2058" s="374"/>
      <c r="AJ2058" s="374"/>
      <c r="AK2058" s="374"/>
      <c r="AL2058" s="374"/>
      <c r="AM2058" s="374"/>
      <c r="AN2058" s="374"/>
      <c r="AO2058" s="374"/>
      <c r="AP2058" s="374"/>
      <c r="AQ2058" s="374"/>
      <c r="AR2058" s="374"/>
      <c r="AS2058" s="374"/>
      <c r="AT2058" s="374"/>
      <c r="AU2058" s="374"/>
      <c r="AV2058" s="374"/>
      <c r="AW2058" s="374"/>
      <c r="AX2058" s="374"/>
      <c r="AY2058" s="374"/>
      <c r="AZ2058" s="374"/>
      <c r="BA2058" s="374"/>
      <c r="BB2058" s="374"/>
      <c r="BC2058" s="374"/>
      <c r="BD2058" s="374"/>
      <c r="BE2058" s="374"/>
      <c r="BF2058" s="374"/>
      <c r="BG2058" s="374"/>
      <c r="BH2058" s="374"/>
      <c r="BI2058" s="374"/>
      <c r="BJ2058" s="374"/>
      <c r="BK2058" s="374"/>
    </row>
    <row r="2059" spans="1:63" x14ac:dyDescent="0.2">
      <c r="A2059" s="480"/>
      <c r="B2059" s="481"/>
      <c r="C2059" s="481"/>
      <c r="D2059" s="374"/>
      <c r="E2059" s="374"/>
      <c r="F2059" s="374"/>
      <c r="G2059" s="374"/>
      <c r="H2059" s="374"/>
      <c r="I2059" s="374"/>
      <c r="J2059" s="374"/>
      <c r="K2059" s="374"/>
      <c r="L2059" s="374"/>
      <c r="M2059" s="374"/>
      <c r="N2059" s="374"/>
      <c r="O2059" s="374"/>
      <c r="P2059" s="374"/>
      <c r="Q2059" s="374"/>
      <c r="R2059" s="374"/>
      <c r="S2059" s="374"/>
      <c r="T2059" s="374"/>
      <c r="U2059" s="374"/>
      <c r="V2059" s="374"/>
      <c r="W2059" s="374"/>
      <c r="X2059" s="374"/>
      <c r="Y2059" s="374"/>
      <c r="Z2059" s="374"/>
      <c r="AA2059" s="374"/>
      <c r="AB2059" s="374"/>
      <c r="AC2059" s="374"/>
      <c r="AD2059" s="374"/>
      <c r="AE2059" s="374"/>
      <c r="AF2059" s="374"/>
      <c r="AG2059" s="374"/>
      <c r="AH2059" s="374"/>
      <c r="AI2059" s="374"/>
      <c r="AJ2059" s="374"/>
      <c r="AK2059" s="374"/>
      <c r="AL2059" s="374"/>
      <c r="AM2059" s="374"/>
      <c r="AN2059" s="374"/>
      <c r="AO2059" s="374"/>
      <c r="AP2059" s="374"/>
      <c r="AQ2059" s="374"/>
      <c r="AR2059" s="374"/>
      <c r="AS2059" s="374"/>
      <c r="AT2059" s="374"/>
      <c r="AU2059" s="374"/>
      <c r="AV2059" s="374"/>
      <c r="AW2059" s="374"/>
      <c r="AX2059" s="374"/>
      <c r="AY2059" s="374"/>
      <c r="AZ2059" s="374"/>
      <c r="BA2059" s="374"/>
      <c r="BB2059" s="374"/>
      <c r="BC2059" s="374"/>
      <c r="BD2059" s="374"/>
      <c r="BE2059" s="374"/>
      <c r="BF2059" s="374"/>
      <c r="BG2059" s="374"/>
      <c r="BH2059" s="374"/>
      <c r="BI2059" s="374"/>
      <c r="BJ2059" s="374"/>
      <c r="BK2059" s="374"/>
    </row>
    <row r="2060" spans="1:63" x14ac:dyDescent="0.2">
      <c r="A2060" s="480"/>
      <c r="B2060" s="481"/>
      <c r="C2060" s="481"/>
      <c r="D2060" s="374"/>
      <c r="E2060" s="374"/>
      <c r="F2060" s="374"/>
      <c r="G2060" s="374"/>
      <c r="H2060" s="374"/>
      <c r="I2060" s="374"/>
      <c r="J2060" s="374"/>
      <c r="K2060" s="374"/>
      <c r="L2060" s="374"/>
      <c r="M2060" s="374"/>
      <c r="N2060" s="374"/>
      <c r="O2060" s="374"/>
      <c r="P2060" s="374"/>
      <c r="Q2060" s="374"/>
      <c r="R2060" s="374"/>
      <c r="S2060" s="374"/>
      <c r="T2060" s="374"/>
      <c r="U2060" s="374"/>
      <c r="V2060" s="374"/>
      <c r="W2060" s="374"/>
      <c r="X2060" s="374"/>
      <c r="Y2060" s="374"/>
      <c r="Z2060" s="374"/>
      <c r="AA2060" s="374"/>
      <c r="AB2060" s="374"/>
      <c r="AC2060" s="374"/>
      <c r="AD2060" s="374"/>
      <c r="AE2060" s="374"/>
      <c r="AF2060" s="374"/>
      <c r="AG2060" s="374"/>
      <c r="AH2060" s="374"/>
      <c r="AI2060" s="374"/>
      <c r="AJ2060" s="374"/>
      <c r="AK2060" s="374"/>
      <c r="AL2060" s="374"/>
      <c r="AM2060" s="374"/>
      <c r="AN2060" s="374"/>
      <c r="AO2060" s="374"/>
      <c r="AP2060" s="374"/>
      <c r="AQ2060" s="374"/>
      <c r="AR2060" s="374"/>
      <c r="AS2060" s="374"/>
      <c r="AT2060" s="374"/>
      <c r="AU2060" s="374"/>
      <c r="AV2060" s="374"/>
      <c r="AW2060" s="374"/>
      <c r="AX2060" s="374"/>
      <c r="AY2060" s="374"/>
      <c r="AZ2060" s="374"/>
      <c r="BA2060" s="374"/>
      <c r="BB2060" s="374"/>
      <c r="BC2060" s="374"/>
      <c r="BD2060" s="374"/>
      <c r="BE2060" s="374"/>
      <c r="BF2060" s="374"/>
      <c r="BG2060" s="374"/>
      <c r="BH2060" s="374"/>
      <c r="BI2060" s="374"/>
      <c r="BJ2060" s="374"/>
      <c r="BK2060" s="374"/>
    </row>
    <row r="2061" spans="1:63" x14ac:dyDescent="0.2">
      <c r="A2061" s="480"/>
      <c r="B2061" s="481"/>
      <c r="C2061" s="481"/>
      <c r="D2061" s="374"/>
      <c r="E2061" s="374"/>
      <c r="F2061" s="374"/>
      <c r="G2061" s="374"/>
      <c r="H2061" s="374"/>
      <c r="I2061" s="374"/>
      <c r="J2061" s="374"/>
      <c r="K2061" s="374"/>
      <c r="L2061" s="374"/>
      <c r="M2061" s="374"/>
      <c r="N2061" s="374"/>
      <c r="O2061" s="374"/>
      <c r="P2061" s="374"/>
      <c r="Q2061" s="374"/>
      <c r="R2061" s="374"/>
      <c r="S2061" s="374"/>
      <c r="T2061" s="374"/>
      <c r="U2061" s="374"/>
      <c r="V2061" s="374"/>
      <c r="W2061" s="374"/>
      <c r="X2061" s="374"/>
      <c r="Y2061" s="374"/>
      <c r="Z2061" s="374"/>
      <c r="AA2061" s="374"/>
      <c r="AB2061" s="374"/>
      <c r="AC2061" s="374"/>
      <c r="AD2061" s="374"/>
      <c r="AE2061" s="374"/>
      <c r="AF2061" s="374"/>
      <c r="AG2061" s="374"/>
      <c r="AH2061" s="374"/>
      <c r="AI2061" s="374"/>
      <c r="AJ2061" s="374"/>
      <c r="AK2061" s="374"/>
      <c r="AL2061" s="374"/>
      <c r="AM2061" s="374"/>
      <c r="AN2061" s="374"/>
      <c r="AO2061" s="374"/>
      <c r="AP2061" s="374"/>
      <c r="AQ2061" s="374"/>
      <c r="AR2061" s="374"/>
      <c r="AS2061" s="374"/>
      <c r="AT2061" s="374"/>
      <c r="AU2061" s="374"/>
      <c r="AV2061" s="374"/>
      <c r="AW2061" s="374"/>
      <c r="AX2061" s="374"/>
      <c r="AY2061" s="374"/>
      <c r="AZ2061" s="374"/>
      <c r="BA2061" s="374"/>
      <c r="BB2061" s="374"/>
      <c r="BC2061" s="374"/>
      <c r="BD2061" s="374"/>
      <c r="BE2061" s="374"/>
      <c r="BF2061" s="374"/>
      <c r="BG2061" s="374"/>
      <c r="BH2061" s="374"/>
      <c r="BI2061" s="374"/>
      <c r="BJ2061" s="374"/>
      <c r="BK2061" s="374"/>
    </row>
    <row r="2062" spans="1:63" x14ac:dyDescent="0.2">
      <c r="A2062" s="480"/>
      <c r="B2062" s="481"/>
      <c r="C2062" s="481"/>
      <c r="D2062" s="374"/>
      <c r="E2062" s="374"/>
      <c r="F2062" s="374"/>
      <c r="G2062" s="374"/>
      <c r="H2062" s="374"/>
      <c r="I2062" s="374"/>
      <c r="J2062" s="374"/>
      <c r="K2062" s="374"/>
      <c r="L2062" s="374"/>
      <c r="M2062" s="374"/>
      <c r="N2062" s="374"/>
      <c r="O2062" s="374"/>
      <c r="P2062" s="374"/>
      <c r="Q2062" s="374"/>
      <c r="R2062" s="374"/>
      <c r="S2062" s="374"/>
      <c r="T2062" s="374"/>
      <c r="U2062" s="374"/>
      <c r="V2062" s="374"/>
      <c r="W2062" s="374"/>
      <c r="X2062" s="374"/>
      <c r="Y2062" s="374"/>
      <c r="Z2062" s="374"/>
      <c r="AA2062" s="374"/>
      <c r="AB2062" s="374"/>
      <c r="AC2062" s="374"/>
      <c r="AD2062" s="374"/>
      <c r="AE2062" s="374"/>
      <c r="AF2062" s="374"/>
      <c r="AG2062" s="374"/>
      <c r="AH2062" s="374"/>
      <c r="AI2062" s="374"/>
      <c r="AJ2062" s="374"/>
      <c r="AK2062" s="374"/>
      <c r="AL2062" s="374"/>
      <c r="AM2062" s="374"/>
      <c r="AN2062" s="374"/>
      <c r="AO2062" s="374"/>
      <c r="AP2062" s="374"/>
      <c r="AQ2062" s="374"/>
      <c r="AR2062" s="374"/>
      <c r="AS2062" s="374"/>
      <c r="AT2062" s="374"/>
      <c r="AU2062" s="374"/>
      <c r="AV2062" s="374"/>
      <c r="AW2062" s="374"/>
      <c r="AX2062" s="374"/>
      <c r="AY2062" s="374"/>
      <c r="AZ2062" s="374"/>
      <c r="BA2062" s="374"/>
      <c r="BB2062" s="374"/>
      <c r="BC2062" s="374"/>
      <c r="BD2062" s="374"/>
      <c r="BE2062" s="374"/>
      <c r="BF2062" s="374"/>
      <c r="BG2062" s="374"/>
      <c r="BH2062" s="374"/>
      <c r="BI2062" s="374"/>
      <c r="BJ2062" s="374"/>
      <c r="BK2062" s="374"/>
    </row>
    <row r="2063" spans="1:63" x14ac:dyDescent="0.2">
      <c r="A2063" s="480"/>
      <c r="B2063" s="481"/>
      <c r="C2063" s="481"/>
      <c r="D2063" s="374"/>
      <c r="E2063" s="374"/>
      <c r="F2063" s="374"/>
      <c r="G2063" s="374"/>
      <c r="H2063" s="374"/>
      <c r="I2063" s="374"/>
      <c r="J2063" s="374"/>
      <c r="K2063" s="374"/>
      <c r="L2063" s="374"/>
      <c r="M2063" s="374"/>
      <c r="N2063" s="374"/>
      <c r="O2063" s="374"/>
      <c r="P2063" s="374"/>
      <c r="Q2063" s="374"/>
      <c r="R2063" s="374"/>
      <c r="S2063" s="374"/>
      <c r="T2063" s="374"/>
      <c r="U2063" s="374"/>
      <c r="V2063" s="374"/>
      <c r="W2063" s="374"/>
      <c r="X2063" s="374"/>
      <c r="Y2063" s="374"/>
      <c r="Z2063" s="374"/>
      <c r="AA2063" s="374"/>
      <c r="AB2063" s="374"/>
      <c r="AC2063" s="374"/>
      <c r="AD2063" s="374"/>
      <c r="AE2063" s="374"/>
      <c r="AF2063" s="374"/>
      <c r="AG2063" s="374"/>
      <c r="AH2063" s="374"/>
      <c r="AI2063" s="374"/>
      <c r="AJ2063" s="374"/>
      <c r="AK2063" s="374"/>
      <c r="AL2063" s="374"/>
      <c r="AM2063" s="374"/>
      <c r="AN2063" s="374"/>
      <c r="AO2063" s="374"/>
      <c r="AP2063" s="374"/>
      <c r="AQ2063" s="374"/>
      <c r="AR2063" s="374"/>
      <c r="AS2063" s="374"/>
      <c r="AT2063" s="374"/>
      <c r="AU2063" s="374"/>
      <c r="AV2063" s="374"/>
      <c r="AW2063" s="374"/>
      <c r="AX2063" s="374"/>
      <c r="AY2063" s="374"/>
      <c r="AZ2063" s="374"/>
      <c r="BA2063" s="374"/>
      <c r="BB2063" s="374"/>
      <c r="BC2063" s="374"/>
      <c r="BD2063" s="374"/>
      <c r="BE2063" s="374"/>
      <c r="BF2063" s="374"/>
      <c r="BG2063" s="374"/>
      <c r="BH2063" s="374"/>
      <c r="BI2063" s="374"/>
      <c r="BJ2063" s="374"/>
      <c r="BK2063" s="374"/>
    </row>
    <row r="2064" spans="1:63" x14ac:dyDescent="0.2">
      <c r="A2064" s="480"/>
      <c r="B2064" s="481"/>
      <c r="C2064" s="481"/>
      <c r="D2064" s="374"/>
      <c r="E2064" s="374"/>
      <c r="F2064" s="374"/>
      <c r="G2064" s="374"/>
      <c r="H2064" s="374"/>
      <c r="I2064" s="374"/>
      <c r="J2064" s="374"/>
      <c r="K2064" s="374"/>
      <c r="L2064" s="374"/>
      <c r="M2064" s="374"/>
      <c r="N2064" s="374"/>
      <c r="O2064" s="374"/>
      <c r="P2064" s="374"/>
      <c r="Q2064" s="374"/>
      <c r="R2064" s="374"/>
      <c r="S2064" s="374"/>
      <c r="T2064" s="374"/>
      <c r="U2064" s="374"/>
      <c r="V2064" s="374"/>
      <c r="W2064" s="374"/>
      <c r="X2064" s="374"/>
      <c r="Y2064" s="374"/>
      <c r="Z2064" s="374"/>
      <c r="AA2064" s="374"/>
      <c r="AB2064" s="374"/>
      <c r="AC2064" s="374"/>
      <c r="AD2064" s="374"/>
      <c r="AE2064" s="374"/>
      <c r="AF2064" s="374"/>
      <c r="AG2064" s="374"/>
      <c r="AH2064" s="374"/>
      <c r="AI2064" s="374"/>
      <c r="AJ2064" s="374"/>
      <c r="AK2064" s="374"/>
      <c r="AL2064" s="374"/>
      <c r="AM2064" s="374"/>
      <c r="AN2064" s="374"/>
      <c r="AO2064" s="374"/>
      <c r="AP2064" s="374"/>
      <c r="AQ2064" s="374"/>
      <c r="AR2064" s="374"/>
      <c r="AS2064" s="374"/>
      <c r="AT2064" s="374"/>
      <c r="AU2064" s="374"/>
      <c r="AV2064" s="374"/>
      <c r="AW2064" s="374"/>
      <c r="AX2064" s="374"/>
      <c r="AY2064" s="374"/>
      <c r="AZ2064" s="374"/>
      <c r="BA2064" s="374"/>
      <c r="BB2064" s="374"/>
      <c r="BC2064" s="374"/>
      <c r="BD2064" s="374"/>
      <c r="BE2064" s="374"/>
      <c r="BF2064" s="374"/>
      <c r="BG2064" s="374"/>
      <c r="BH2064" s="374"/>
      <c r="BI2064" s="374"/>
      <c r="BJ2064" s="374"/>
      <c r="BK2064" s="374"/>
    </row>
    <row r="2065" spans="1:63" x14ac:dyDescent="0.2">
      <c r="A2065" s="480"/>
      <c r="B2065" s="481"/>
      <c r="C2065" s="481"/>
      <c r="D2065" s="374"/>
      <c r="E2065" s="374"/>
      <c r="F2065" s="374"/>
      <c r="G2065" s="374"/>
      <c r="H2065" s="374"/>
      <c r="I2065" s="374"/>
      <c r="J2065" s="374"/>
      <c r="K2065" s="374"/>
      <c r="L2065" s="374"/>
      <c r="M2065" s="374"/>
      <c r="N2065" s="374"/>
      <c r="O2065" s="374"/>
      <c r="P2065" s="374"/>
      <c r="Q2065" s="374"/>
      <c r="R2065" s="374"/>
      <c r="S2065" s="374"/>
      <c r="T2065" s="374"/>
      <c r="U2065" s="374"/>
      <c r="V2065" s="374"/>
      <c r="W2065" s="374"/>
      <c r="X2065" s="374"/>
      <c r="Y2065" s="374"/>
      <c r="Z2065" s="374"/>
      <c r="AA2065" s="374"/>
      <c r="AB2065" s="374"/>
      <c r="AC2065" s="374"/>
      <c r="AD2065" s="374"/>
      <c r="AE2065" s="374"/>
      <c r="AF2065" s="374"/>
      <c r="AG2065" s="374"/>
      <c r="AH2065" s="374"/>
      <c r="AI2065" s="374"/>
      <c r="AJ2065" s="374"/>
      <c r="AK2065" s="374"/>
      <c r="AL2065" s="374"/>
      <c r="AM2065" s="374"/>
      <c r="AN2065" s="374"/>
      <c r="AO2065" s="374"/>
      <c r="AP2065" s="374"/>
      <c r="AQ2065" s="374"/>
      <c r="AR2065" s="374"/>
      <c r="AS2065" s="374"/>
      <c r="AT2065" s="374"/>
      <c r="AU2065" s="374"/>
      <c r="AV2065" s="374"/>
      <c r="AW2065" s="374"/>
      <c r="AX2065" s="374"/>
      <c r="AY2065" s="374"/>
      <c r="AZ2065" s="374"/>
      <c r="BA2065" s="374"/>
      <c r="BB2065" s="374"/>
      <c r="BC2065" s="374"/>
      <c r="BD2065" s="374"/>
      <c r="BE2065" s="374"/>
      <c r="BF2065" s="374"/>
      <c r="BG2065" s="374"/>
      <c r="BH2065" s="374"/>
      <c r="BI2065" s="374"/>
      <c r="BJ2065" s="374"/>
      <c r="BK2065" s="374"/>
    </row>
    <row r="2066" spans="1:63" x14ac:dyDescent="0.2">
      <c r="A2066" s="480"/>
      <c r="B2066" s="481"/>
      <c r="C2066" s="481"/>
      <c r="D2066" s="374"/>
      <c r="E2066" s="374"/>
      <c r="F2066" s="374"/>
      <c r="G2066" s="374"/>
      <c r="H2066" s="374"/>
      <c r="I2066" s="374"/>
      <c r="J2066" s="374"/>
      <c r="K2066" s="374"/>
      <c r="L2066" s="374"/>
      <c r="M2066" s="374"/>
      <c r="N2066" s="374"/>
      <c r="O2066" s="374"/>
      <c r="P2066" s="374"/>
      <c r="Q2066" s="374"/>
      <c r="R2066" s="374"/>
      <c r="S2066" s="374"/>
      <c r="T2066" s="374"/>
      <c r="U2066" s="374"/>
      <c r="V2066" s="374"/>
      <c r="W2066" s="374"/>
      <c r="X2066" s="374"/>
      <c r="Y2066" s="374"/>
      <c r="Z2066" s="374"/>
      <c r="AA2066" s="374"/>
      <c r="AB2066" s="374"/>
      <c r="AC2066" s="374"/>
      <c r="AD2066" s="374"/>
      <c r="AE2066" s="374"/>
      <c r="AF2066" s="374"/>
      <c r="AG2066" s="374"/>
      <c r="AH2066" s="374"/>
      <c r="AI2066" s="374"/>
      <c r="AJ2066" s="374"/>
      <c r="AK2066" s="374"/>
      <c r="AL2066" s="374"/>
      <c r="AM2066" s="374"/>
      <c r="AN2066" s="374"/>
      <c r="AO2066" s="374"/>
      <c r="AP2066" s="374"/>
      <c r="AQ2066" s="374"/>
      <c r="AR2066" s="374"/>
      <c r="AS2066" s="374"/>
      <c r="AT2066" s="374"/>
      <c r="AU2066" s="374"/>
      <c r="AV2066" s="374"/>
      <c r="AW2066" s="374"/>
      <c r="AX2066" s="374"/>
      <c r="AY2066" s="374"/>
      <c r="AZ2066" s="374"/>
      <c r="BA2066" s="374"/>
      <c r="BB2066" s="374"/>
      <c r="BC2066" s="374"/>
      <c r="BD2066" s="374"/>
      <c r="BE2066" s="374"/>
      <c r="BF2066" s="374"/>
      <c r="BG2066" s="374"/>
      <c r="BH2066" s="374"/>
      <c r="BI2066" s="374"/>
      <c r="BJ2066" s="374"/>
      <c r="BK2066" s="374"/>
    </row>
    <row r="2067" spans="1:63" x14ac:dyDescent="0.2">
      <c r="A2067" s="480"/>
      <c r="B2067" s="481"/>
      <c r="C2067" s="481"/>
      <c r="D2067" s="374"/>
      <c r="E2067" s="374"/>
      <c r="F2067" s="374"/>
      <c r="G2067" s="374"/>
      <c r="H2067" s="374"/>
      <c r="I2067" s="374"/>
      <c r="J2067" s="374"/>
      <c r="K2067" s="374"/>
      <c r="L2067" s="374"/>
      <c r="M2067" s="374"/>
      <c r="N2067" s="374"/>
      <c r="O2067" s="374"/>
      <c r="P2067" s="374"/>
      <c r="Q2067" s="374"/>
      <c r="R2067" s="374"/>
      <c r="S2067" s="374"/>
      <c r="T2067" s="374"/>
      <c r="U2067" s="374"/>
      <c r="V2067" s="374"/>
      <c r="W2067" s="374"/>
      <c r="X2067" s="374"/>
      <c r="Y2067" s="374"/>
      <c r="Z2067" s="374"/>
      <c r="AA2067" s="374"/>
      <c r="AB2067" s="374"/>
      <c r="AC2067" s="374"/>
      <c r="AD2067" s="374"/>
      <c r="AE2067" s="374"/>
      <c r="AF2067" s="374"/>
      <c r="AG2067" s="374"/>
      <c r="AH2067" s="374"/>
      <c r="AI2067" s="374"/>
      <c r="AJ2067" s="374"/>
      <c r="AK2067" s="374"/>
      <c r="AL2067" s="374"/>
      <c r="AM2067" s="374"/>
      <c r="AN2067" s="374"/>
      <c r="AO2067" s="374"/>
      <c r="AP2067" s="374"/>
      <c r="AQ2067" s="374"/>
      <c r="AR2067" s="374"/>
      <c r="AS2067" s="374"/>
      <c r="AT2067" s="374"/>
      <c r="AU2067" s="374"/>
      <c r="AV2067" s="374"/>
      <c r="AW2067" s="374"/>
      <c r="AX2067" s="374"/>
      <c r="AY2067" s="374"/>
      <c r="AZ2067" s="374"/>
      <c r="BA2067" s="374"/>
      <c r="BB2067" s="374"/>
      <c r="BC2067" s="374"/>
      <c r="BD2067" s="374"/>
      <c r="BE2067" s="374"/>
      <c r="BF2067" s="374"/>
      <c r="BG2067" s="374"/>
      <c r="BH2067" s="374"/>
      <c r="BI2067" s="374"/>
      <c r="BJ2067" s="374"/>
      <c r="BK2067" s="374"/>
    </row>
    <row r="2068" spans="1:63" x14ac:dyDescent="0.2">
      <c r="A2068" s="480"/>
      <c r="B2068" s="481"/>
      <c r="C2068" s="481"/>
      <c r="D2068" s="374"/>
      <c r="E2068" s="374"/>
      <c r="F2068" s="374"/>
      <c r="G2068" s="374"/>
      <c r="H2068" s="374"/>
      <c r="I2068" s="374"/>
      <c r="J2068" s="374"/>
      <c r="K2068" s="374"/>
      <c r="L2068" s="374"/>
      <c r="M2068" s="374"/>
      <c r="N2068" s="374"/>
      <c r="O2068" s="374"/>
      <c r="P2068" s="374"/>
      <c r="Q2068" s="374"/>
      <c r="R2068" s="374"/>
      <c r="S2068" s="374"/>
      <c r="T2068" s="374"/>
      <c r="U2068" s="374"/>
      <c r="V2068" s="374"/>
      <c r="W2068" s="374"/>
      <c r="X2068" s="374"/>
      <c r="Y2068" s="374"/>
      <c r="Z2068" s="374"/>
      <c r="AA2068" s="374"/>
      <c r="AB2068" s="374"/>
      <c r="AC2068" s="374"/>
      <c r="AD2068" s="374"/>
      <c r="AE2068" s="374"/>
      <c r="AF2068" s="374"/>
      <c r="AG2068" s="374"/>
      <c r="AH2068" s="374"/>
      <c r="AI2068" s="374"/>
      <c r="AJ2068" s="374"/>
      <c r="AK2068" s="374"/>
      <c r="AL2068" s="374"/>
      <c r="AM2068" s="374"/>
      <c r="AN2068" s="374"/>
      <c r="AO2068" s="374"/>
      <c r="AP2068" s="374"/>
      <c r="AQ2068" s="374"/>
      <c r="AR2068" s="374"/>
      <c r="AS2068" s="374"/>
      <c r="AT2068" s="374"/>
      <c r="AU2068" s="374"/>
      <c r="AV2068" s="374"/>
      <c r="AW2068" s="374"/>
      <c r="AX2068" s="374"/>
      <c r="AY2068" s="374"/>
      <c r="AZ2068" s="374"/>
      <c r="BA2068" s="374"/>
      <c r="BB2068" s="374"/>
      <c r="BC2068" s="374"/>
      <c r="BD2068" s="374"/>
      <c r="BE2068" s="374"/>
      <c r="BF2068" s="374"/>
      <c r="BG2068" s="374"/>
      <c r="BH2068" s="374"/>
      <c r="BI2068" s="374"/>
      <c r="BJ2068" s="374"/>
      <c r="BK2068" s="374"/>
    </row>
    <row r="2069" spans="1:63" x14ac:dyDescent="0.2">
      <c r="A2069" s="480"/>
      <c r="B2069" s="481"/>
      <c r="C2069" s="481"/>
      <c r="D2069" s="374"/>
      <c r="E2069" s="374"/>
      <c r="F2069" s="374"/>
      <c r="G2069" s="374"/>
      <c r="H2069" s="374"/>
      <c r="I2069" s="374"/>
      <c r="J2069" s="374"/>
      <c r="K2069" s="374"/>
      <c r="L2069" s="374"/>
      <c r="M2069" s="374"/>
      <c r="N2069" s="374"/>
      <c r="O2069" s="374"/>
      <c r="P2069" s="374"/>
      <c r="Q2069" s="374"/>
      <c r="R2069" s="374"/>
      <c r="S2069" s="374"/>
      <c r="T2069" s="374"/>
      <c r="U2069" s="374"/>
      <c r="V2069" s="374"/>
      <c r="W2069" s="374"/>
      <c r="X2069" s="374"/>
      <c r="Y2069" s="374"/>
      <c r="Z2069" s="374"/>
      <c r="AA2069" s="374"/>
      <c r="AB2069" s="374"/>
      <c r="AC2069" s="374"/>
      <c r="AD2069" s="374"/>
      <c r="AE2069" s="374"/>
      <c r="AF2069" s="374"/>
      <c r="AG2069" s="374"/>
      <c r="AH2069" s="374"/>
      <c r="AI2069" s="374"/>
      <c r="AJ2069" s="374"/>
      <c r="AK2069" s="374"/>
      <c r="AL2069" s="374"/>
      <c r="AM2069" s="374"/>
      <c r="AN2069" s="374"/>
      <c r="AO2069" s="374"/>
      <c r="AP2069" s="374"/>
      <c r="AQ2069" s="374"/>
      <c r="AR2069" s="374"/>
      <c r="AS2069" s="374"/>
      <c r="AT2069" s="374"/>
      <c r="AU2069" s="374"/>
      <c r="AV2069" s="374"/>
      <c r="AW2069" s="374"/>
      <c r="AX2069" s="374"/>
      <c r="AY2069" s="374"/>
      <c r="AZ2069" s="374"/>
      <c r="BA2069" s="374"/>
      <c r="BB2069" s="374"/>
      <c r="BC2069" s="374"/>
      <c r="BD2069" s="374"/>
      <c r="BE2069" s="374"/>
      <c r="BF2069" s="374"/>
      <c r="BG2069" s="374"/>
      <c r="BH2069" s="374"/>
      <c r="BI2069" s="374"/>
      <c r="BJ2069" s="374"/>
      <c r="BK2069" s="374"/>
    </row>
    <row r="2070" spans="1:63" x14ac:dyDescent="0.2">
      <c r="A2070" s="480"/>
      <c r="B2070" s="481"/>
      <c r="C2070" s="481"/>
      <c r="D2070" s="374"/>
      <c r="E2070" s="374"/>
      <c r="F2070" s="374"/>
      <c r="G2070" s="374"/>
      <c r="H2070" s="374"/>
      <c r="I2070" s="374"/>
      <c r="J2070" s="374"/>
      <c r="K2070" s="374"/>
      <c r="L2070" s="374"/>
      <c r="M2070" s="374"/>
      <c r="N2070" s="374"/>
      <c r="O2070" s="374"/>
      <c r="P2070" s="374"/>
      <c r="Q2070" s="374"/>
      <c r="R2070" s="374"/>
      <c r="S2070" s="374"/>
      <c r="T2070" s="374"/>
      <c r="U2070" s="374"/>
      <c r="V2070" s="374"/>
      <c r="W2070" s="374"/>
      <c r="X2070" s="374"/>
      <c r="Y2070" s="374"/>
      <c r="Z2070" s="374"/>
      <c r="AA2070" s="374"/>
      <c r="AB2070" s="374"/>
      <c r="AC2070" s="374"/>
      <c r="AD2070" s="374"/>
      <c r="AE2070" s="374"/>
      <c r="AF2070" s="374"/>
      <c r="AG2070" s="374"/>
      <c r="AH2070" s="374"/>
      <c r="AI2070" s="374"/>
      <c r="AJ2070" s="374"/>
      <c r="AK2070" s="374"/>
      <c r="AL2070" s="374"/>
      <c r="AM2070" s="374"/>
      <c r="AN2070" s="374"/>
      <c r="AO2070" s="374"/>
      <c r="AP2070" s="374"/>
      <c r="AQ2070" s="374"/>
      <c r="AR2070" s="374"/>
      <c r="AS2070" s="374"/>
      <c r="AT2070" s="374"/>
      <c r="AU2070" s="374"/>
      <c r="AV2070" s="374"/>
      <c r="AW2070" s="374"/>
      <c r="AX2070" s="374"/>
      <c r="AY2070" s="374"/>
      <c r="AZ2070" s="374"/>
      <c r="BA2070" s="374"/>
      <c r="BB2070" s="374"/>
      <c r="BC2070" s="374"/>
      <c r="BD2070" s="374"/>
      <c r="BE2070" s="374"/>
      <c r="BF2070" s="374"/>
      <c r="BG2070" s="374"/>
      <c r="BH2070" s="374"/>
      <c r="BI2070" s="374"/>
      <c r="BJ2070" s="374"/>
      <c r="BK2070" s="374"/>
    </row>
    <row r="2071" spans="1:63" x14ac:dyDescent="0.2">
      <c r="A2071" s="480"/>
      <c r="B2071" s="481"/>
      <c r="C2071" s="481"/>
      <c r="D2071" s="374"/>
      <c r="E2071" s="374"/>
      <c r="F2071" s="374"/>
      <c r="G2071" s="374"/>
      <c r="H2071" s="374"/>
      <c r="I2071" s="374"/>
      <c r="J2071" s="374"/>
      <c r="K2071" s="374"/>
      <c r="L2071" s="374"/>
      <c r="M2071" s="374"/>
      <c r="N2071" s="374"/>
      <c r="O2071" s="374"/>
      <c r="P2071" s="374"/>
      <c r="Q2071" s="374"/>
      <c r="R2071" s="374"/>
      <c r="S2071" s="374"/>
      <c r="T2071" s="374"/>
      <c r="U2071" s="374"/>
      <c r="V2071" s="374"/>
      <c r="W2071" s="374"/>
      <c r="X2071" s="374"/>
      <c r="Y2071" s="374"/>
      <c r="Z2071" s="374"/>
      <c r="AA2071" s="374"/>
      <c r="AB2071" s="374"/>
      <c r="AC2071" s="374"/>
      <c r="AD2071" s="374"/>
      <c r="AE2071" s="374"/>
      <c r="AF2071" s="374"/>
      <c r="AG2071" s="374"/>
      <c r="AH2071" s="374"/>
      <c r="AI2071" s="374"/>
      <c r="AJ2071" s="374"/>
      <c r="AK2071" s="374"/>
      <c r="AL2071" s="374"/>
      <c r="AM2071" s="374"/>
      <c r="AN2071" s="374"/>
      <c r="AO2071" s="374"/>
      <c r="AP2071" s="374"/>
      <c r="AQ2071" s="374"/>
      <c r="AR2071" s="374"/>
      <c r="AS2071" s="374"/>
      <c r="AT2071" s="374"/>
      <c r="AU2071" s="374"/>
      <c r="AV2071" s="374"/>
      <c r="AW2071" s="374"/>
      <c r="AX2071" s="374"/>
      <c r="AY2071" s="374"/>
      <c r="AZ2071" s="374"/>
      <c r="BA2071" s="374"/>
      <c r="BB2071" s="374"/>
      <c r="BC2071" s="374"/>
      <c r="BD2071" s="374"/>
      <c r="BE2071" s="374"/>
      <c r="BF2071" s="374"/>
      <c r="BG2071" s="374"/>
      <c r="BH2071" s="374"/>
      <c r="BI2071" s="374"/>
      <c r="BJ2071" s="374"/>
      <c r="BK2071" s="374"/>
    </row>
    <row r="2072" spans="1:63" x14ac:dyDescent="0.2">
      <c r="A2072" s="480"/>
      <c r="B2072" s="481"/>
      <c r="C2072" s="481"/>
      <c r="D2072" s="374"/>
      <c r="E2072" s="374"/>
      <c r="F2072" s="374"/>
      <c r="G2072" s="374"/>
      <c r="H2072" s="374"/>
      <c r="I2072" s="374"/>
      <c r="J2072" s="374"/>
      <c r="K2072" s="374"/>
      <c r="L2072" s="374"/>
      <c r="M2072" s="374"/>
      <c r="N2072" s="374"/>
      <c r="O2072" s="374"/>
      <c r="P2072" s="374"/>
      <c r="Q2072" s="374"/>
      <c r="R2072" s="374"/>
      <c r="S2072" s="374"/>
      <c r="T2072" s="374"/>
      <c r="U2072" s="374"/>
      <c r="V2072" s="374"/>
      <c r="W2072" s="374"/>
      <c r="X2072" s="374"/>
      <c r="Y2072" s="374"/>
      <c r="Z2072" s="374"/>
      <c r="AA2072" s="374"/>
      <c r="AB2072" s="374"/>
      <c r="AC2072" s="374"/>
      <c r="AD2072" s="374"/>
      <c r="AE2072" s="374"/>
      <c r="AF2072" s="374"/>
      <c r="AG2072" s="374"/>
      <c r="AH2072" s="374"/>
      <c r="AI2072" s="374"/>
      <c r="AJ2072" s="374"/>
      <c r="AK2072" s="374"/>
      <c r="AL2072" s="374"/>
      <c r="AM2072" s="374"/>
      <c r="AN2072" s="374"/>
      <c r="AO2072" s="374"/>
      <c r="AP2072" s="374"/>
      <c r="AQ2072" s="374"/>
      <c r="AR2072" s="374"/>
      <c r="AS2072" s="374"/>
      <c r="AT2072" s="374"/>
      <c r="AU2072" s="374"/>
      <c r="AV2072" s="374"/>
      <c r="AW2072" s="374"/>
      <c r="AX2072" s="374"/>
      <c r="AY2072" s="374"/>
      <c r="AZ2072" s="374"/>
      <c r="BA2072" s="374"/>
      <c r="BB2072" s="374"/>
      <c r="BC2072" s="374"/>
      <c r="BD2072" s="374"/>
      <c r="BE2072" s="374"/>
      <c r="BF2072" s="374"/>
      <c r="BG2072" s="374"/>
      <c r="BH2072" s="374"/>
      <c r="BI2072" s="374"/>
      <c r="BJ2072" s="374"/>
      <c r="BK2072" s="374"/>
    </row>
    <row r="2073" spans="1:63" x14ac:dyDescent="0.2">
      <c r="A2073" s="480"/>
      <c r="B2073" s="481"/>
      <c r="C2073" s="481"/>
      <c r="D2073" s="374"/>
      <c r="E2073" s="374"/>
      <c r="F2073" s="374"/>
      <c r="G2073" s="374"/>
      <c r="H2073" s="374"/>
      <c r="I2073" s="374"/>
      <c r="J2073" s="374"/>
      <c r="K2073" s="374"/>
      <c r="L2073" s="374"/>
      <c r="M2073" s="374"/>
      <c r="N2073" s="374"/>
      <c r="O2073" s="374"/>
      <c r="P2073" s="374"/>
      <c r="Q2073" s="374"/>
      <c r="R2073" s="374"/>
      <c r="S2073" s="374"/>
      <c r="T2073" s="374"/>
      <c r="U2073" s="374"/>
      <c r="V2073" s="374"/>
      <c r="W2073" s="374"/>
      <c r="X2073" s="374"/>
      <c r="Y2073" s="374"/>
      <c r="Z2073" s="374"/>
      <c r="AA2073" s="374"/>
      <c r="AB2073" s="374"/>
      <c r="AC2073" s="374"/>
      <c r="AD2073" s="374"/>
      <c r="AE2073" s="374"/>
      <c r="AF2073" s="374"/>
      <c r="AG2073" s="374"/>
      <c r="AH2073" s="374"/>
      <c r="AI2073" s="374"/>
      <c r="AJ2073" s="374"/>
      <c r="AK2073" s="374"/>
      <c r="AL2073" s="374"/>
      <c r="AM2073" s="374"/>
      <c r="AN2073" s="374"/>
      <c r="AO2073" s="374"/>
      <c r="AP2073" s="374"/>
      <c r="AQ2073" s="374"/>
      <c r="AR2073" s="374"/>
      <c r="AS2073" s="374"/>
      <c r="AT2073" s="374"/>
      <c r="AU2073" s="374"/>
      <c r="AV2073" s="374"/>
      <c r="AW2073" s="374"/>
      <c r="AX2073" s="374"/>
      <c r="AY2073" s="374"/>
      <c r="AZ2073" s="374"/>
      <c r="BA2073" s="374"/>
      <c r="BB2073" s="374"/>
      <c r="BC2073" s="374"/>
      <c r="BD2073" s="374"/>
      <c r="BE2073" s="374"/>
      <c r="BF2073" s="374"/>
      <c r="BG2073" s="374"/>
      <c r="BH2073" s="374"/>
      <c r="BI2073" s="374"/>
      <c r="BJ2073" s="374"/>
      <c r="BK2073" s="374"/>
    </row>
    <row r="2074" spans="1:63" x14ac:dyDescent="0.2">
      <c r="A2074" s="480"/>
      <c r="B2074" s="481"/>
      <c r="C2074" s="481"/>
      <c r="D2074" s="374"/>
      <c r="E2074" s="374"/>
      <c r="F2074" s="374"/>
      <c r="G2074" s="374"/>
      <c r="H2074" s="374"/>
      <c r="I2074" s="374"/>
      <c r="J2074" s="374"/>
      <c r="K2074" s="374"/>
      <c r="L2074" s="374"/>
      <c r="M2074" s="374"/>
      <c r="N2074" s="374"/>
      <c r="O2074" s="374"/>
      <c r="P2074" s="374"/>
      <c r="Q2074" s="374"/>
      <c r="R2074" s="374"/>
      <c r="S2074" s="374"/>
      <c r="T2074" s="374"/>
      <c r="U2074" s="374"/>
      <c r="V2074" s="374"/>
      <c r="W2074" s="374"/>
      <c r="X2074" s="374"/>
      <c r="Y2074" s="374"/>
      <c r="Z2074" s="374"/>
      <c r="AA2074" s="374"/>
      <c r="AB2074" s="374"/>
      <c r="AC2074" s="374"/>
      <c r="AD2074" s="374"/>
      <c r="AE2074" s="374"/>
      <c r="AF2074" s="374"/>
      <c r="AG2074" s="374"/>
      <c r="AH2074" s="374"/>
      <c r="AI2074" s="374"/>
      <c r="AJ2074" s="374"/>
      <c r="AK2074" s="374"/>
      <c r="AL2074" s="374"/>
      <c r="AM2074" s="374"/>
      <c r="AN2074" s="374"/>
      <c r="AO2074" s="374"/>
      <c r="AP2074" s="374"/>
      <c r="AQ2074" s="374"/>
      <c r="AR2074" s="374"/>
      <c r="AS2074" s="374"/>
      <c r="AT2074" s="374"/>
      <c r="AU2074" s="374"/>
      <c r="AV2074" s="374"/>
      <c r="AW2074" s="374"/>
      <c r="AX2074" s="374"/>
      <c r="AY2074" s="374"/>
      <c r="AZ2074" s="374"/>
      <c r="BA2074" s="374"/>
      <c r="BB2074" s="374"/>
      <c r="BC2074" s="374"/>
      <c r="BD2074" s="374"/>
      <c r="BE2074" s="374"/>
      <c r="BF2074" s="374"/>
      <c r="BG2074" s="374"/>
      <c r="BH2074" s="374"/>
      <c r="BI2074" s="374"/>
      <c r="BJ2074" s="374"/>
      <c r="BK2074" s="374"/>
    </row>
    <row r="2075" spans="1:63" x14ac:dyDescent="0.2">
      <c r="A2075" s="480"/>
      <c r="B2075" s="481"/>
      <c r="C2075" s="481"/>
      <c r="D2075" s="374"/>
      <c r="E2075" s="374"/>
      <c r="F2075" s="374"/>
      <c r="G2075" s="374"/>
      <c r="H2075" s="374"/>
      <c r="I2075" s="374"/>
      <c r="J2075" s="374"/>
      <c r="K2075" s="374"/>
      <c r="L2075" s="374"/>
      <c r="M2075" s="374"/>
      <c r="N2075" s="374"/>
      <c r="O2075" s="374"/>
      <c r="P2075" s="374"/>
      <c r="Q2075" s="374"/>
      <c r="R2075" s="374"/>
      <c r="S2075" s="374"/>
      <c r="T2075" s="374"/>
      <c r="U2075" s="374"/>
      <c r="V2075" s="374"/>
      <c r="W2075" s="374"/>
      <c r="X2075" s="374"/>
      <c r="Y2075" s="374"/>
      <c r="Z2075" s="374"/>
      <c r="AA2075" s="374"/>
      <c r="AB2075" s="374"/>
      <c r="AC2075" s="374"/>
      <c r="AD2075" s="374"/>
      <c r="AE2075" s="374"/>
      <c r="AF2075" s="374"/>
      <c r="AG2075" s="374"/>
      <c r="AH2075" s="374"/>
      <c r="AI2075" s="374"/>
      <c r="AJ2075" s="374"/>
      <c r="AK2075" s="374"/>
      <c r="AL2075" s="374"/>
      <c r="AM2075" s="374"/>
      <c r="AN2075" s="374"/>
      <c r="AO2075" s="374"/>
      <c r="AP2075" s="374"/>
      <c r="AQ2075" s="374"/>
      <c r="AR2075" s="374"/>
      <c r="AS2075" s="374"/>
      <c r="AT2075" s="374"/>
      <c r="AU2075" s="374"/>
      <c r="AV2075" s="374"/>
      <c r="AW2075" s="374"/>
      <c r="AX2075" s="374"/>
      <c r="AY2075" s="374"/>
      <c r="AZ2075" s="374"/>
      <c r="BA2075" s="374"/>
      <c r="BB2075" s="374"/>
      <c r="BC2075" s="374"/>
      <c r="BD2075" s="374"/>
      <c r="BE2075" s="374"/>
      <c r="BF2075" s="374"/>
      <c r="BG2075" s="374"/>
      <c r="BH2075" s="374"/>
      <c r="BI2075" s="374"/>
      <c r="BJ2075" s="374"/>
      <c r="BK2075" s="374"/>
    </row>
    <row r="2076" spans="1:63" x14ac:dyDescent="0.2">
      <c r="A2076" s="480"/>
      <c r="B2076" s="481"/>
      <c r="C2076" s="481"/>
      <c r="D2076" s="374"/>
      <c r="E2076" s="374"/>
      <c r="F2076" s="374"/>
      <c r="G2076" s="374"/>
      <c r="H2076" s="374"/>
      <c r="I2076" s="374"/>
      <c r="J2076" s="374"/>
      <c r="K2076" s="374"/>
      <c r="L2076" s="374"/>
      <c r="M2076" s="374"/>
      <c r="N2076" s="374"/>
      <c r="O2076" s="374"/>
      <c r="P2076" s="374"/>
      <c r="Q2076" s="374"/>
      <c r="R2076" s="374"/>
      <c r="S2076" s="374"/>
      <c r="T2076" s="374"/>
      <c r="U2076" s="374"/>
      <c r="V2076" s="374"/>
      <c r="W2076" s="374"/>
      <c r="X2076" s="374"/>
      <c r="Y2076" s="374"/>
      <c r="Z2076" s="374"/>
      <c r="AA2076" s="374"/>
      <c r="AB2076" s="374"/>
      <c r="AC2076" s="374"/>
      <c r="AD2076" s="374"/>
      <c r="AE2076" s="374"/>
      <c r="AF2076" s="374"/>
      <c r="AG2076" s="374"/>
      <c r="AH2076" s="374"/>
      <c r="AI2076" s="374"/>
      <c r="AJ2076" s="374"/>
      <c r="AK2076" s="374"/>
      <c r="AL2076" s="374"/>
      <c r="AM2076" s="374"/>
      <c r="AN2076" s="374"/>
      <c r="AO2076" s="374"/>
      <c r="AP2076" s="374"/>
      <c r="AQ2076" s="374"/>
      <c r="AR2076" s="374"/>
      <c r="AS2076" s="374"/>
      <c r="AT2076" s="374"/>
      <c r="AU2076" s="374"/>
      <c r="AV2076" s="374"/>
      <c r="AW2076" s="374"/>
      <c r="AX2076" s="374"/>
      <c r="AY2076" s="374"/>
      <c r="AZ2076" s="374"/>
      <c r="BA2076" s="374"/>
      <c r="BB2076" s="374"/>
      <c r="BC2076" s="374"/>
      <c r="BD2076" s="374"/>
      <c r="BE2076" s="374"/>
      <c r="BF2076" s="374"/>
      <c r="BG2076" s="374"/>
      <c r="BH2076" s="374"/>
      <c r="BI2076" s="374"/>
      <c r="BJ2076" s="374"/>
      <c r="BK2076" s="374"/>
    </row>
    <row r="2077" spans="1:63" x14ac:dyDescent="0.2">
      <c r="A2077" s="480"/>
      <c r="B2077" s="481"/>
      <c r="C2077" s="481"/>
      <c r="D2077" s="374"/>
      <c r="E2077" s="374"/>
      <c r="F2077" s="374"/>
      <c r="G2077" s="374"/>
      <c r="H2077" s="374"/>
      <c r="I2077" s="374"/>
      <c r="J2077" s="374"/>
      <c r="K2077" s="374"/>
      <c r="L2077" s="374"/>
      <c r="M2077" s="374"/>
      <c r="N2077" s="374"/>
      <c r="O2077" s="374"/>
      <c r="P2077" s="374"/>
      <c r="Q2077" s="374"/>
      <c r="R2077" s="374"/>
      <c r="S2077" s="374"/>
      <c r="T2077" s="374"/>
      <c r="U2077" s="374"/>
      <c r="V2077" s="374"/>
      <c r="W2077" s="374"/>
      <c r="X2077" s="374"/>
      <c r="Y2077" s="374"/>
      <c r="Z2077" s="374"/>
      <c r="AA2077" s="374"/>
      <c r="AB2077" s="374"/>
      <c r="AC2077" s="374"/>
      <c r="AD2077" s="374"/>
      <c r="AE2077" s="374"/>
      <c r="AF2077" s="374"/>
      <c r="AG2077" s="374"/>
      <c r="AH2077" s="374"/>
      <c r="AI2077" s="374"/>
      <c r="AJ2077" s="374"/>
      <c r="AK2077" s="374"/>
      <c r="AL2077" s="374"/>
      <c r="AM2077" s="374"/>
      <c r="AN2077" s="374"/>
      <c r="AO2077" s="374"/>
      <c r="AP2077" s="374"/>
      <c r="AQ2077" s="374"/>
      <c r="AR2077" s="374"/>
      <c r="AS2077" s="374"/>
      <c r="AT2077" s="374"/>
      <c r="AU2077" s="374"/>
      <c r="AV2077" s="374"/>
      <c r="AW2077" s="374"/>
      <c r="AX2077" s="374"/>
      <c r="AY2077" s="374"/>
      <c r="AZ2077" s="374"/>
      <c r="BA2077" s="374"/>
      <c r="BB2077" s="374"/>
      <c r="BC2077" s="374"/>
      <c r="BD2077" s="374"/>
      <c r="BE2077" s="374"/>
      <c r="BF2077" s="374"/>
      <c r="BG2077" s="374"/>
      <c r="BH2077" s="374"/>
      <c r="BI2077" s="374"/>
      <c r="BJ2077" s="374"/>
      <c r="BK2077" s="374"/>
    </row>
    <row r="2078" spans="1:63" x14ac:dyDescent="0.2">
      <c r="A2078" s="480"/>
      <c r="B2078" s="481"/>
      <c r="C2078" s="481"/>
      <c r="D2078" s="374"/>
      <c r="E2078" s="374"/>
      <c r="F2078" s="374"/>
      <c r="G2078" s="374"/>
      <c r="H2078" s="374"/>
      <c r="I2078" s="374"/>
      <c r="J2078" s="374"/>
      <c r="K2078" s="374"/>
      <c r="L2078" s="374"/>
      <c r="M2078" s="374"/>
      <c r="N2078" s="374"/>
      <c r="O2078" s="374"/>
      <c r="P2078" s="374"/>
      <c r="Q2078" s="374"/>
      <c r="R2078" s="374"/>
      <c r="S2078" s="374"/>
      <c r="T2078" s="374"/>
      <c r="U2078" s="374"/>
      <c r="V2078" s="374"/>
      <c r="W2078" s="374"/>
      <c r="X2078" s="374"/>
      <c r="Y2078" s="374"/>
      <c r="Z2078" s="374"/>
      <c r="AA2078" s="374"/>
      <c r="AB2078" s="374"/>
      <c r="AC2078" s="374"/>
      <c r="AD2078" s="374"/>
      <c r="AE2078" s="374"/>
      <c r="AF2078" s="374"/>
      <c r="AG2078" s="374"/>
      <c r="AH2078" s="374"/>
      <c r="AI2078" s="374"/>
      <c r="AJ2078" s="374"/>
      <c r="AK2078" s="374"/>
      <c r="AL2078" s="374"/>
      <c r="AM2078" s="374"/>
      <c r="AN2078" s="374"/>
      <c r="AO2078" s="374"/>
      <c r="AP2078" s="374"/>
      <c r="AQ2078" s="374"/>
      <c r="AR2078" s="374"/>
      <c r="AS2078" s="374"/>
      <c r="AT2078" s="374"/>
      <c r="AU2078" s="374"/>
      <c r="AV2078" s="374"/>
      <c r="AW2078" s="374"/>
      <c r="AX2078" s="374"/>
      <c r="AY2078" s="374"/>
      <c r="AZ2078" s="374"/>
      <c r="BA2078" s="374"/>
      <c r="BB2078" s="374"/>
      <c r="BC2078" s="374"/>
      <c r="BD2078" s="374"/>
      <c r="BE2078" s="374"/>
      <c r="BF2078" s="374"/>
      <c r="BG2078" s="374"/>
      <c r="BH2078" s="374"/>
      <c r="BI2078" s="374"/>
      <c r="BJ2078" s="374"/>
      <c r="BK2078" s="374"/>
    </row>
    <row r="2079" spans="1:63" x14ac:dyDescent="0.2">
      <c r="A2079" s="480"/>
      <c r="B2079" s="481"/>
      <c r="C2079" s="481"/>
      <c r="D2079" s="374"/>
      <c r="E2079" s="374"/>
      <c r="F2079" s="374"/>
      <c r="G2079" s="374"/>
      <c r="H2079" s="374"/>
      <c r="I2079" s="374"/>
      <c r="J2079" s="374"/>
      <c r="K2079" s="374"/>
      <c r="L2079" s="374"/>
      <c r="M2079" s="374"/>
      <c r="N2079" s="374"/>
      <c r="O2079" s="374"/>
      <c r="P2079" s="374"/>
      <c r="Q2079" s="374"/>
      <c r="R2079" s="374"/>
      <c r="S2079" s="374"/>
      <c r="T2079" s="374"/>
      <c r="U2079" s="374"/>
      <c r="V2079" s="374"/>
      <c r="W2079" s="374"/>
      <c r="X2079" s="374"/>
      <c r="Y2079" s="374"/>
      <c r="Z2079" s="374"/>
      <c r="AA2079" s="374"/>
      <c r="AB2079" s="374"/>
      <c r="AC2079" s="374"/>
      <c r="AD2079" s="374"/>
      <c r="AE2079" s="374"/>
      <c r="AF2079" s="374"/>
      <c r="AG2079" s="374"/>
      <c r="AH2079" s="374"/>
      <c r="AI2079" s="374"/>
      <c r="AJ2079" s="374"/>
      <c r="AK2079" s="374"/>
      <c r="AL2079" s="374"/>
      <c r="AM2079" s="374"/>
      <c r="AN2079" s="374"/>
      <c r="AO2079" s="374"/>
      <c r="AP2079" s="374"/>
      <c r="AQ2079" s="374"/>
      <c r="AR2079" s="374"/>
      <c r="AS2079" s="374"/>
      <c r="AT2079" s="374"/>
      <c r="AU2079" s="374"/>
      <c r="AV2079" s="374"/>
      <c r="AW2079" s="374"/>
      <c r="AX2079" s="374"/>
      <c r="AY2079" s="374"/>
      <c r="AZ2079" s="374"/>
      <c r="BA2079" s="374"/>
      <c r="BB2079" s="374"/>
      <c r="BC2079" s="374"/>
      <c r="BD2079" s="374"/>
      <c r="BE2079" s="374"/>
      <c r="BF2079" s="374"/>
      <c r="BG2079" s="374"/>
      <c r="BH2079" s="374"/>
      <c r="BI2079" s="374"/>
      <c r="BJ2079" s="374"/>
      <c r="BK2079" s="374"/>
    </row>
    <row r="2080" spans="1:63" x14ac:dyDescent="0.2">
      <c r="A2080" s="480"/>
      <c r="B2080" s="481"/>
      <c r="C2080" s="481"/>
      <c r="D2080" s="374"/>
      <c r="E2080" s="374"/>
      <c r="F2080" s="374"/>
      <c r="G2080" s="374"/>
      <c r="H2080" s="374"/>
      <c r="I2080" s="374"/>
      <c r="J2080" s="374"/>
      <c r="K2080" s="374"/>
      <c r="L2080" s="374"/>
      <c r="M2080" s="374"/>
      <c r="N2080" s="374"/>
      <c r="O2080" s="374"/>
      <c r="P2080" s="374"/>
      <c r="Q2080" s="374"/>
      <c r="R2080" s="374"/>
      <c r="S2080" s="374"/>
      <c r="T2080" s="374"/>
      <c r="U2080" s="374"/>
      <c r="V2080" s="374"/>
      <c r="W2080" s="374"/>
      <c r="X2080" s="374"/>
      <c r="Y2080" s="374"/>
      <c r="Z2080" s="374"/>
      <c r="AA2080" s="374"/>
      <c r="AB2080" s="374"/>
      <c r="AC2080" s="374"/>
      <c r="AD2080" s="374"/>
      <c r="AE2080" s="374"/>
      <c r="AF2080" s="374"/>
      <c r="AG2080" s="374"/>
      <c r="AH2080" s="374"/>
      <c r="AI2080" s="374"/>
      <c r="AJ2080" s="374"/>
      <c r="AK2080" s="374"/>
      <c r="AL2080" s="374"/>
      <c r="AM2080" s="374"/>
      <c r="AN2080" s="374"/>
      <c r="AO2080" s="374"/>
      <c r="AP2080" s="374"/>
      <c r="AQ2080" s="374"/>
      <c r="AR2080" s="374"/>
      <c r="AS2080" s="374"/>
      <c r="AT2080" s="374"/>
      <c r="AU2080" s="374"/>
      <c r="AV2080" s="374"/>
      <c r="AW2080" s="374"/>
      <c r="AX2080" s="374"/>
      <c r="AY2080" s="374"/>
      <c r="AZ2080" s="374"/>
      <c r="BA2080" s="374"/>
      <c r="BB2080" s="374"/>
      <c r="BC2080" s="374"/>
      <c r="BD2080" s="374"/>
      <c r="BE2080" s="374"/>
      <c r="BF2080" s="374"/>
      <c r="BG2080" s="374"/>
      <c r="BH2080" s="374"/>
      <c r="BI2080" s="374"/>
      <c r="BJ2080" s="374"/>
      <c r="BK2080" s="374"/>
    </row>
    <row r="2081" spans="1:63" x14ac:dyDescent="0.2">
      <c r="A2081" s="480"/>
      <c r="B2081" s="481"/>
      <c r="C2081" s="481"/>
      <c r="D2081" s="374"/>
      <c r="E2081" s="374"/>
      <c r="F2081" s="374"/>
      <c r="G2081" s="374"/>
      <c r="H2081" s="374"/>
      <c r="I2081" s="374"/>
      <c r="J2081" s="374"/>
      <c r="K2081" s="374"/>
      <c r="L2081" s="374"/>
      <c r="M2081" s="374"/>
      <c r="N2081" s="374"/>
      <c r="O2081" s="374"/>
      <c r="P2081" s="374"/>
      <c r="Q2081" s="374"/>
      <c r="R2081" s="374"/>
      <c r="S2081" s="374"/>
      <c r="T2081" s="374"/>
      <c r="U2081" s="374"/>
      <c r="V2081" s="374"/>
      <c r="W2081" s="374"/>
      <c r="X2081" s="374"/>
      <c r="Y2081" s="374"/>
      <c r="Z2081" s="374"/>
      <c r="AA2081" s="374"/>
      <c r="AB2081" s="374"/>
      <c r="AC2081" s="374"/>
      <c r="AD2081" s="374"/>
      <c r="AE2081" s="374"/>
      <c r="AF2081" s="374"/>
      <c r="AG2081" s="374"/>
      <c r="AH2081" s="374"/>
      <c r="AI2081" s="374"/>
      <c r="AJ2081" s="374"/>
      <c r="AK2081" s="374"/>
      <c r="AL2081" s="374"/>
      <c r="AM2081" s="374"/>
      <c r="AN2081" s="374"/>
      <c r="AO2081" s="374"/>
      <c r="AP2081" s="374"/>
      <c r="AQ2081" s="374"/>
      <c r="AR2081" s="374"/>
      <c r="AS2081" s="374"/>
      <c r="AT2081" s="374"/>
      <c r="AU2081" s="374"/>
      <c r="AV2081" s="374"/>
      <c r="AW2081" s="374"/>
      <c r="AX2081" s="374"/>
      <c r="AY2081" s="374"/>
      <c r="AZ2081" s="374"/>
      <c r="BA2081" s="374"/>
      <c r="BB2081" s="374"/>
      <c r="BC2081" s="374"/>
      <c r="BD2081" s="374"/>
      <c r="BE2081" s="374"/>
      <c r="BF2081" s="374"/>
      <c r="BG2081" s="374"/>
      <c r="BH2081" s="374"/>
      <c r="BI2081" s="374"/>
      <c r="BJ2081" s="374"/>
      <c r="BK2081" s="374"/>
    </row>
    <row r="2082" spans="1:63" x14ac:dyDescent="0.2">
      <c r="A2082" s="480"/>
      <c r="B2082" s="481"/>
      <c r="C2082" s="481"/>
      <c r="D2082" s="374"/>
      <c r="E2082" s="374"/>
      <c r="F2082" s="374"/>
      <c r="G2082" s="374"/>
      <c r="H2082" s="374"/>
      <c r="I2082" s="374"/>
      <c r="J2082" s="374"/>
      <c r="K2082" s="374"/>
      <c r="L2082" s="374"/>
      <c r="M2082" s="374"/>
      <c r="N2082" s="374"/>
      <c r="O2082" s="374"/>
      <c r="P2082" s="374"/>
      <c r="Q2082" s="374"/>
      <c r="R2082" s="374"/>
      <c r="S2082" s="374"/>
      <c r="T2082" s="374"/>
      <c r="U2082" s="374"/>
      <c r="V2082" s="374"/>
      <c r="W2082" s="374"/>
      <c r="X2082" s="374"/>
      <c r="Y2082" s="374"/>
      <c r="Z2082" s="374"/>
      <c r="AA2082" s="374"/>
      <c r="AB2082" s="374"/>
      <c r="AC2082" s="374"/>
      <c r="AD2082" s="374"/>
      <c r="AE2082" s="374"/>
      <c r="AF2082" s="374"/>
      <c r="AG2082" s="374"/>
      <c r="AH2082" s="374"/>
      <c r="AI2082" s="374"/>
      <c r="AJ2082" s="374"/>
      <c r="AK2082" s="374"/>
      <c r="AL2082" s="374"/>
      <c r="AM2082" s="374"/>
      <c r="AN2082" s="374"/>
      <c r="AO2082" s="374"/>
      <c r="AP2082" s="374"/>
      <c r="AQ2082" s="374"/>
      <c r="AR2082" s="374"/>
      <c r="AS2082" s="374"/>
      <c r="AT2082" s="374"/>
      <c r="AU2082" s="374"/>
      <c r="AV2082" s="374"/>
      <c r="AW2082" s="374"/>
      <c r="AX2082" s="374"/>
      <c r="AY2082" s="374"/>
      <c r="AZ2082" s="374"/>
      <c r="BA2082" s="374"/>
      <c r="BB2082" s="374"/>
      <c r="BC2082" s="374"/>
      <c r="BD2082" s="374"/>
      <c r="BE2082" s="374"/>
      <c r="BF2082" s="374"/>
      <c r="BG2082" s="374"/>
      <c r="BH2082" s="374"/>
      <c r="BI2082" s="374"/>
      <c r="BJ2082" s="374"/>
      <c r="BK2082" s="374"/>
    </row>
    <row r="2083" spans="1:63" x14ac:dyDescent="0.2">
      <c r="A2083" s="480"/>
      <c r="B2083" s="481"/>
      <c r="C2083" s="481"/>
      <c r="D2083" s="374"/>
      <c r="E2083" s="374"/>
      <c r="F2083" s="374"/>
      <c r="G2083" s="374"/>
      <c r="H2083" s="374"/>
      <c r="I2083" s="374"/>
      <c r="J2083" s="374"/>
      <c r="K2083" s="374"/>
      <c r="L2083" s="374"/>
      <c r="M2083" s="374"/>
      <c r="N2083" s="374"/>
      <c r="O2083" s="374"/>
      <c r="P2083" s="374"/>
      <c r="Q2083" s="374"/>
      <c r="R2083" s="374"/>
      <c r="S2083" s="374"/>
      <c r="T2083" s="374"/>
      <c r="U2083" s="374"/>
      <c r="V2083" s="374"/>
      <c r="W2083" s="374"/>
      <c r="X2083" s="374"/>
      <c r="Y2083" s="374"/>
      <c r="Z2083" s="374"/>
      <c r="AA2083" s="374"/>
      <c r="AB2083" s="374"/>
      <c r="AC2083" s="374"/>
      <c r="AD2083" s="374"/>
      <c r="AE2083" s="374"/>
      <c r="AF2083" s="374"/>
      <c r="AG2083" s="374"/>
      <c r="AH2083" s="374"/>
      <c r="AI2083" s="374"/>
      <c r="AJ2083" s="374"/>
      <c r="AK2083" s="374"/>
      <c r="AL2083" s="374"/>
      <c r="AM2083" s="374"/>
      <c r="AN2083" s="374"/>
      <c r="AO2083" s="374"/>
      <c r="AP2083" s="374"/>
      <c r="AQ2083" s="374"/>
      <c r="AR2083" s="374"/>
      <c r="AS2083" s="374"/>
      <c r="AT2083" s="374"/>
      <c r="AU2083" s="374"/>
      <c r="AV2083" s="374"/>
      <c r="AW2083" s="374"/>
      <c r="AX2083" s="374"/>
      <c r="AY2083" s="374"/>
      <c r="AZ2083" s="374"/>
      <c r="BA2083" s="374"/>
      <c r="BB2083" s="374"/>
      <c r="BC2083" s="374"/>
      <c r="BD2083" s="374"/>
      <c r="BE2083" s="374"/>
      <c r="BF2083" s="374"/>
      <c r="BG2083" s="374"/>
      <c r="BH2083" s="374"/>
      <c r="BI2083" s="374"/>
      <c r="BJ2083" s="374"/>
      <c r="BK2083" s="374"/>
    </row>
    <row r="2084" spans="1:63" x14ac:dyDescent="0.2">
      <c r="A2084" s="480"/>
      <c r="B2084" s="481"/>
      <c r="C2084" s="481"/>
      <c r="D2084" s="374"/>
      <c r="E2084" s="374"/>
      <c r="F2084" s="374"/>
      <c r="G2084" s="374"/>
      <c r="H2084" s="374"/>
      <c r="I2084" s="374"/>
      <c r="J2084" s="374"/>
      <c r="K2084" s="374"/>
      <c r="L2084" s="374"/>
      <c r="M2084" s="374"/>
      <c r="N2084" s="374"/>
      <c r="O2084" s="374"/>
      <c r="P2084" s="374"/>
      <c r="Q2084" s="374"/>
      <c r="R2084" s="374"/>
      <c r="S2084" s="374"/>
      <c r="T2084" s="374"/>
      <c r="U2084" s="374"/>
      <c r="V2084" s="374"/>
      <c r="W2084" s="374"/>
      <c r="X2084" s="374"/>
      <c r="Y2084" s="374"/>
      <c r="Z2084" s="374"/>
      <c r="AA2084" s="374"/>
      <c r="AB2084" s="374"/>
      <c r="AC2084" s="374"/>
      <c r="AD2084" s="374"/>
      <c r="AE2084" s="374"/>
      <c r="AF2084" s="374"/>
      <c r="AG2084" s="374"/>
      <c r="AH2084" s="374"/>
      <c r="AI2084" s="374"/>
      <c r="AJ2084" s="374"/>
      <c r="AK2084" s="374"/>
      <c r="AL2084" s="374"/>
      <c r="AM2084" s="374"/>
      <c r="AN2084" s="374"/>
      <c r="AO2084" s="374"/>
      <c r="AP2084" s="374"/>
      <c r="AQ2084" s="374"/>
      <c r="AR2084" s="374"/>
      <c r="AS2084" s="374"/>
      <c r="AT2084" s="374"/>
      <c r="AU2084" s="374"/>
      <c r="AV2084" s="374"/>
      <c r="AW2084" s="374"/>
      <c r="AX2084" s="374"/>
      <c r="AY2084" s="374"/>
      <c r="AZ2084" s="374"/>
      <c r="BA2084" s="374"/>
      <c r="BB2084" s="374"/>
      <c r="BC2084" s="374"/>
      <c r="BD2084" s="374"/>
      <c r="BE2084" s="374"/>
      <c r="BF2084" s="374"/>
      <c r="BG2084" s="374"/>
      <c r="BH2084" s="374"/>
      <c r="BI2084" s="374"/>
      <c r="BJ2084" s="374"/>
      <c r="BK2084" s="374"/>
    </row>
    <row r="2085" spans="1:63" x14ac:dyDescent="0.2">
      <c r="A2085" s="480"/>
      <c r="B2085" s="481"/>
      <c r="C2085" s="481"/>
      <c r="D2085" s="374"/>
      <c r="E2085" s="374"/>
      <c r="F2085" s="374"/>
      <c r="G2085" s="374"/>
      <c r="H2085" s="374"/>
      <c r="I2085" s="374"/>
      <c r="J2085" s="374"/>
      <c r="K2085" s="374"/>
      <c r="L2085" s="374"/>
      <c r="M2085" s="374"/>
      <c r="N2085" s="374"/>
      <c r="O2085" s="374"/>
      <c r="P2085" s="374"/>
      <c r="Q2085" s="374"/>
      <c r="R2085" s="374"/>
      <c r="S2085" s="374"/>
      <c r="T2085" s="374"/>
      <c r="U2085" s="374"/>
      <c r="V2085" s="374"/>
      <c r="W2085" s="374"/>
      <c r="X2085" s="374"/>
      <c r="Y2085" s="374"/>
      <c r="Z2085" s="374"/>
      <c r="AA2085" s="374"/>
      <c r="AB2085" s="374"/>
      <c r="AC2085" s="374"/>
      <c r="AD2085" s="374"/>
      <c r="AE2085" s="374"/>
      <c r="AF2085" s="374"/>
      <c r="AG2085" s="374"/>
      <c r="AH2085" s="374"/>
      <c r="AI2085" s="374"/>
      <c r="AJ2085" s="374"/>
      <c r="AK2085" s="374"/>
      <c r="AL2085" s="374"/>
      <c r="AM2085" s="374"/>
      <c r="AN2085" s="374"/>
      <c r="AO2085" s="374"/>
      <c r="AP2085" s="374"/>
      <c r="AQ2085" s="374"/>
      <c r="AR2085" s="374"/>
      <c r="AS2085" s="374"/>
      <c r="AT2085" s="374"/>
      <c r="AU2085" s="374"/>
      <c r="AV2085" s="374"/>
      <c r="AW2085" s="374"/>
      <c r="AX2085" s="374"/>
      <c r="AY2085" s="374"/>
      <c r="AZ2085" s="374"/>
      <c r="BA2085" s="374"/>
      <c r="BB2085" s="374"/>
      <c r="BC2085" s="374"/>
      <c r="BD2085" s="374"/>
      <c r="BE2085" s="374"/>
      <c r="BF2085" s="374"/>
      <c r="BG2085" s="374"/>
      <c r="BH2085" s="374"/>
      <c r="BI2085" s="374"/>
      <c r="BJ2085" s="374"/>
      <c r="BK2085" s="374"/>
    </row>
    <row r="2086" spans="1:63" x14ac:dyDescent="0.2">
      <c r="A2086" s="480"/>
      <c r="B2086" s="481"/>
      <c r="C2086" s="481"/>
      <c r="D2086" s="374"/>
      <c r="E2086" s="374"/>
      <c r="F2086" s="374"/>
      <c r="G2086" s="374"/>
      <c r="H2086" s="374"/>
      <c r="I2086" s="374"/>
      <c r="J2086" s="374"/>
      <c r="K2086" s="374"/>
      <c r="L2086" s="374"/>
      <c r="M2086" s="374"/>
      <c r="N2086" s="374"/>
      <c r="O2086" s="374"/>
      <c r="P2086" s="374"/>
      <c r="Q2086" s="374"/>
      <c r="R2086" s="374"/>
      <c r="S2086" s="374"/>
      <c r="T2086" s="374"/>
      <c r="U2086" s="374"/>
      <c r="V2086" s="374"/>
      <c r="W2086" s="374"/>
      <c r="X2086" s="374"/>
      <c r="Y2086" s="374"/>
      <c r="Z2086" s="374"/>
      <c r="AA2086" s="374"/>
      <c r="AB2086" s="374"/>
      <c r="AC2086" s="374"/>
      <c r="AD2086" s="374"/>
      <c r="AE2086" s="374"/>
      <c r="AF2086" s="374"/>
      <c r="AG2086" s="374"/>
      <c r="AH2086" s="374"/>
      <c r="AI2086" s="374"/>
      <c r="AJ2086" s="374"/>
      <c r="AK2086" s="374"/>
      <c r="AL2086" s="374"/>
      <c r="AM2086" s="374"/>
      <c r="AN2086" s="374"/>
      <c r="AO2086" s="374"/>
      <c r="AP2086" s="374"/>
      <c r="AQ2086" s="374"/>
      <c r="AR2086" s="374"/>
      <c r="AS2086" s="374"/>
      <c r="AT2086" s="374"/>
      <c r="AU2086" s="374"/>
      <c r="AV2086" s="374"/>
      <c r="AW2086" s="374"/>
      <c r="AX2086" s="374"/>
      <c r="AY2086" s="374"/>
      <c r="AZ2086" s="374"/>
      <c r="BA2086" s="374"/>
      <c r="BB2086" s="374"/>
      <c r="BC2086" s="374"/>
      <c r="BD2086" s="374"/>
      <c r="BE2086" s="374"/>
      <c r="BF2086" s="374"/>
      <c r="BG2086" s="374"/>
      <c r="BH2086" s="374"/>
      <c r="BI2086" s="374"/>
      <c r="BJ2086" s="374"/>
      <c r="BK2086" s="374"/>
    </row>
    <row r="2087" spans="1:63" x14ac:dyDescent="0.2">
      <c r="A2087" s="480"/>
      <c r="B2087" s="481"/>
      <c r="C2087" s="481"/>
      <c r="D2087" s="374"/>
      <c r="E2087" s="374"/>
      <c r="F2087" s="374"/>
      <c r="G2087" s="374"/>
      <c r="H2087" s="374"/>
      <c r="I2087" s="374"/>
      <c r="J2087" s="374"/>
      <c r="K2087" s="374"/>
      <c r="L2087" s="374"/>
      <c r="M2087" s="374"/>
      <c r="N2087" s="374"/>
      <c r="O2087" s="374"/>
      <c r="P2087" s="374"/>
      <c r="Q2087" s="374"/>
      <c r="R2087" s="374"/>
      <c r="S2087" s="374"/>
      <c r="T2087" s="374"/>
      <c r="U2087" s="374"/>
      <c r="V2087" s="374"/>
      <c r="W2087" s="374"/>
      <c r="X2087" s="374"/>
      <c r="Y2087" s="374"/>
      <c r="Z2087" s="374"/>
      <c r="AA2087" s="374"/>
      <c r="AB2087" s="374"/>
      <c r="AC2087" s="374"/>
      <c r="AD2087" s="374"/>
      <c r="AE2087" s="374"/>
      <c r="AF2087" s="374"/>
      <c r="AG2087" s="374"/>
      <c r="AH2087" s="374"/>
      <c r="AI2087" s="374"/>
      <c r="AJ2087" s="374"/>
      <c r="AK2087" s="374"/>
      <c r="AL2087" s="374"/>
      <c r="AM2087" s="374"/>
      <c r="AN2087" s="374"/>
      <c r="AO2087" s="374"/>
      <c r="AP2087" s="374"/>
      <c r="AQ2087" s="374"/>
      <c r="AR2087" s="374"/>
      <c r="AS2087" s="374"/>
      <c r="AT2087" s="374"/>
      <c r="AU2087" s="374"/>
      <c r="AV2087" s="374"/>
      <c r="AW2087" s="374"/>
      <c r="AX2087" s="374"/>
      <c r="AY2087" s="374"/>
      <c r="AZ2087" s="374"/>
      <c r="BA2087" s="374"/>
      <c r="BB2087" s="374"/>
      <c r="BC2087" s="374"/>
      <c r="BD2087" s="374"/>
      <c r="BE2087" s="374"/>
      <c r="BF2087" s="374"/>
      <c r="BG2087" s="374"/>
      <c r="BH2087" s="374"/>
      <c r="BI2087" s="374"/>
      <c r="BJ2087" s="374"/>
      <c r="BK2087" s="374"/>
    </row>
    <row r="2088" spans="1:63" x14ac:dyDescent="0.2">
      <c r="A2088" s="480"/>
      <c r="B2088" s="481"/>
      <c r="C2088" s="481"/>
      <c r="D2088" s="374"/>
      <c r="E2088" s="374"/>
      <c r="F2088" s="374"/>
      <c r="G2088" s="374"/>
      <c r="H2088" s="374"/>
      <c r="I2088" s="374"/>
      <c r="J2088" s="374"/>
      <c r="K2088" s="374"/>
      <c r="L2088" s="374"/>
      <c r="M2088" s="374"/>
      <c r="N2088" s="374"/>
      <c r="O2088" s="374"/>
      <c r="P2088" s="374"/>
      <c r="Q2088" s="374"/>
      <c r="R2088" s="374"/>
      <c r="S2088" s="374"/>
      <c r="T2088" s="374"/>
      <c r="U2088" s="374"/>
      <c r="V2088" s="374"/>
      <c r="W2088" s="374"/>
      <c r="X2088" s="374"/>
      <c r="Y2088" s="374"/>
      <c r="Z2088" s="374"/>
      <c r="AA2088" s="374"/>
      <c r="AB2088" s="374"/>
      <c r="AC2088" s="374"/>
      <c r="AD2088" s="374"/>
      <c r="AE2088" s="374"/>
      <c r="AF2088" s="374"/>
      <c r="AG2088" s="374"/>
      <c r="AH2088" s="374"/>
      <c r="AI2088" s="374"/>
      <c r="AJ2088" s="374"/>
      <c r="AK2088" s="374"/>
      <c r="AL2088" s="374"/>
      <c r="AM2088" s="374"/>
      <c r="AN2088" s="374"/>
      <c r="AO2088" s="374"/>
      <c r="AP2088" s="374"/>
      <c r="AQ2088" s="374"/>
      <c r="AR2088" s="374"/>
      <c r="AS2088" s="374"/>
      <c r="AT2088" s="374"/>
      <c r="AU2088" s="374"/>
      <c r="AV2088" s="374"/>
      <c r="AW2088" s="374"/>
      <c r="AX2088" s="374"/>
      <c r="AY2088" s="374"/>
      <c r="AZ2088" s="374"/>
      <c r="BA2088" s="374"/>
      <c r="BB2088" s="374"/>
      <c r="BC2088" s="374"/>
      <c r="BD2088" s="374"/>
      <c r="BE2088" s="374"/>
      <c r="BF2088" s="374"/>
      <c r="BG2088" s="374"/>
      <c r="BH2088" s="374"/>
      <c r="BI2088" s="374"/>
      <c r="BJ2088" s="374"/>
      <c r="BK2088" s="374"/>
    </row>
    <row r="2089" spans="1:63" x14ac:dyDescent="0.2">
      <c r="A2089" s="480"/>
      <c r="B2089" s="481"/>
      <c r="C2089" s="481"/>
      <c r="D2089" s="374"/>
      <c r="E2089" s="374"/>
      <c r="F2089" s="374"/>
      <c r="G2089" s="374"/>
      <c r="H2089" s="374"/>
      <c r="I2089" s="374"/>
      <c r="J2089" s="374"/>
      <c r="K2089" s="374"/>
      <c r="L2089" s="374"/>
      <c r="M2089" s="374"/>
      <c r="N2089" s="374"/>
      <c r="O2089" s="374"/>
      <c r="P2089" s="374"/>
      <c r="Q2089" s="374"/>
      <c r="R2089" s="374"/>
      <c r="S2089" s="374"/>
      <c r="T2089" s="374"/>
      <c r="U2089" s="374"/>
      <c r="V2089" s="374"/>
      <c r="W2089" s="374"/>
      <c r="X2089" s="374"/>
      <c r="Y2089" s="374"/>
      <c r="Z2089" s="374"/>
      <c r="AA2089" s="374"/>
      <c r="AB2089" s="374"/>
      <c r="AC2089" s="374"/>
      <c r="AD2089" s="374"/>
      <c r="AE2089" s="374"/>
      <c r="AF2089" s="374"/>
      <c r="AG2089" s="374"/>
      <c r="AH2089" s="374"/>
      <c r="AI2089" s="374"/>
      <c r="AJ2089" s="374"/>
      <c r="AK2089" s="374"/>
      <c r="AL2089" s="374"/>
      <c r="AM2089" s="374"/>
      <c r="AN2089" s="374"/>
      <c r="AO2089" s="374"/>
      <c r="AP2089" s="374"/>
      <c r="AQ2089" s="374"/>
      <c r="AR2089" s="374"/>
      <c r="AS2089" s="374"/>
      <c r="AT2089" s="374"/>
      <c r="AU2089" s="374"/>
      <c r="AV2089" s="374"/>
      <c r="AW2089" s="374"/>
      <c r="AX2089" s="374"/>
      <c r="AY2089" s="374"/>
      <c r="AZ2089" s="374"/>
      <c r="BA2089" s="374"/>
      <c r="BB2089" s="374"/>
      <c r="BC2089" s="374"/>
      <c r="BD2089" s="374"/>
      <c r="BE2089" s="374"/>
      <c r="BF2089" s="374"/>
      <c r="BG2089" s="374"/>
      <c r="BH2089" s="374"/>
      <c r="BI2089" s="374"/>
      <c r="BJ2089" s="374"/>
      <c r="BK2089" s="374"/>
    </row>
    <row r="2090" spans="1:63" x14ac:dyDescent="0.2">
      <c r="A2090" s="480"/>
      <c r="B2090" s="481"/>
      <c r="C2090" s="481"/>
      <c r="D2090" s="374"/>
      <c r="E2090" s="374"/>
      <c r="F2090" s="374"/>
      <c r="G2090" s="374"/>
      <c r="H2090" s="374"/>
      <c r="I2090" s="374"/>
      <c r="J2090" s="374"/>
      <c r="K2090" s="374"/>
      <c r="L2090" s="374"/>
      <c r="M2090" s="374"/>
      <c r="N2090" s="374"/>
      <c r="O2090" s="374"/>
      <c r="P2090" s="374"/>
      <c r="Q2090" s="374"/>
      <c r="R2090" s="374"/>
      <c r="S2090" s="374"/>
      <c r="T2090" s="374"/>
      <c r="U2090" s="374"/>
      <c r="V2090" s="374"/>
      <c r="W2090" s="374"/>
      <c r="X2090" s="374"/>
      <c r="Y2090" s="374"/>
      <c r="Z2090" s="374"/>
      <c r="AA2090" s="374"/>
      <c r="AB2090" s="374"/>
      <c r="AC2090" s="374"/>
      <c r="AD2090" s="374"/>
      <c r="AE2090" s="374"/>
      <c r="AF2090" s="374"/>
      <c r="AG2090" s="374"/>
      <c r="AH2090" s="374"/>
      <c r="AI2090" s="374"/>
      <c r="AJ2090" s="374"/>
      <c r="AK2090" s="374"/>
      <c r="AL2090" s="374"/>
      <c r="AM2090" s="374"/>
      <c r="AN2090" s="374"/>
      <c r="AO2090" s="374"/>
      <c r="AP2090" s="374"/>
      <c r="AQ2090" s="374"/>
      <c r="AR2090" s="374"/>
      <c r="AS2090" s="374"/>
      <c r="AT2090" s="374"/>
      <c r="AU2090" s="374"/>
      <c r="AV2090" s="374"/>
      <c r="AW2090" s="374"/>
      <c r="AX2090" s="374"/>
      <c r="AY2090" s="374"/>
      <c r="AZ2090" s="374"/>
      <c r="BA2090" s="374"/>
      <c r="BB2090" s="374"/>
      <c r="BC2090" s="374"/>
      <c r="BD2090" s="374"/>
      <c r="BE2090" s="374"/>
      <c r="BF2090" s="374"/>
      <c r="BG2090" s="374"/>
      <c r="BH2090" s="374"/>
      <c r="BI2090" s="374"/>
      <c r="BJ2090" s="374"/>
      <c r="BK2090" s="374"/>
    </row>
    <row r="2091" spans="1:63" x14ac:dyDescent="0.2">
      <c r="A2091" s="480"/>
      <c r="B2091" s="481"/>
      <c r="C2091" s="481"/>
      <c r="D2091" s="374"/>
      <c r="E2091" s="374"/>
      <c r="F2091" s="374"/>
      <c r="G2091" s="374"/>
      <c r="H2091" s="374"/>
      <c r="I2091" s="374"/>
      <c r="J2091" s="374"/>
      <c r="K2091" s="374"/>
      <c r="L2091" s="374"/>
      <c r="M2091" s="374"/>
      <c r="N2091" s="374"/>
      <c r="O2091" s="374"/>
      <c r="P2091" s="374"/>
      <c r="Q2091" s="374"/>
      <c r="R2091" s="374"/>
      <c r="S2091" s="374"/>
      <c r="T2091" s="374"/>
      <c r="U2091" s="374"/>
      <c r="V2091" s="374"/>
      <c r="W2091" s="374"/>
      <c r="X2091" s="374"/>
      <c r="Y2091" s="374"/>
      <c r="Z2091" s="374"/>
      <c r="AA2091" s="374"/>
      <c r="AB2091" s="374"/>
      <c r="AC2091" s="374"/>
      <c r="AD2091" s="374"/>
      <c r="AE2091" s="374"/>
      <c r="AF2091" s="374"/>
      <c r="AG2091" s="374"/>
      <c r="AH2091" s="374"/>
      <c r="AI2091" s="374"/>
      <c r="AJ2091" s="374"/>
      <c r="AK2091" s="374"/>
      <c r="AL2091" s="374"/>
      <c r="AM2091" s="374"/>
      <c r="AN2091" s="374"/>
      <c r="AO2091" s="374"/>
      <c r="AP2091" s="374"/>
      <c r="AQ2091" s="374"/>
      <c r="AR2091" s="374"/>
      <c r="AS2091" s="374"/>
      <c r="AT2091" s="374"/>
      <c r="AU2091" s="374"/>
      <c r="AV2091" s="374"/>
      <c r="AW2091" s="374"/>
      <c r="AX2091" s="374"/>
      <c r="AY2091" s="374"/>
      <c r="AZ2091" s="374"/>
      <c r="BA2091" s="374"/>
      <c r="BB2091" s="374"/>
      <c r="BC2091" s="374"/>
      <c r="BD2091" s="374"/>
      <c r="BE2091" s="374"/>
      <c r="BF2091" s="374"/>
      <c r="BG2091" s="374"/>
      <c r="BH2091" s="374"/>
      <c r="BI2091" s="374"/>
      <c r="BJ2091" s="374"/>
      <c r="BK2091" s="374"/>
    </row>
    <row r="2092" spans="1:63" x14ac:dyDescent="0.2">
      <c r="A2092" s="480"/>
      <c r="B2092" s="481"/>
      <c r="C2092" s="481"/>
      <c r="D2092" s="374"/>
      <c r="E2092" s="374"/>
      <c r="F2092" s="374"/>
      <c r="G2092" s="374"/>
      <c r="H2092" s="374"/>
      <c r="I2092" s="374"/>
      <c r="J2092" s="374"/>
      <c r="K2092" s="374"/>
      <c r="L2092" s="374"/>
      <c r="M2092" s="374"/>
      <c r="N2092" s="374"/>
      <c r="O2092" s="374"/>
      <c r="P2092" s="374"/>
      <c r="Q2092" s="374"/>
      <c r="R2092" s="374"/>
      <c r="S2092" s="374"/>
      <c r="T2092" s="374"/>
      <c r="U2092" s="374"/>
      <c r="V2092" s="374"/>
      <c r="W2092" s="374"/>
      <c r="X2092" s="374"/>
      <c r="Y2092" s="374"/>
      <c r="Z2092" s="374"/>
      <c r="AA2092" s="374"/>
      <c r="AB2092" s="374"/>
      <c r="AC2092" s="374"/>
      <c r="AD2092" s="374"/>
      <c r="AE2092" s="374"/>
      <c r="AF2092" s="374"/>
      <c r="AG2092" s="374"/>
      <c r="AH2092" s="374"/>
      <c r="AI2092" s="374"/>
      <c r="AJ2092" s="374"/>
      <c r="AK2092" s="374"/>
      <c r="AL2092" s="374"/>
      <c r="AM2092" s="374"/>
      <c r="AN2092" s="374"/>
      <c r="AO2092" s="374"/>
      <c r="AP2092" s="374"/>
      <c r="AQ2092" s="374"/>
      <c r="AR2092" s="374"/>
      <c r="AS2092" s="374"/>
      <c r="AT2092" s="374"/>
      <c r="AU2092" s="374"/>
      <c r="AV2092" s="374"/>
      <c r="AW2092" s="374"/>
      <c r="AX2092" s="374"/>
      <c r="AY2092" s="374"/>
      <c r="AZ2092" s="374"/>
      <c r="BA2092" s="374"/>
      <c r="BB2092" s="374"/>
      <c r="BC2092" s="374"/>
      <c r="BD2092" s="374"/>
      <c r="BE2092" s="374"/>
      <c r="BF2092" s="374"/>
      <c r="BG2092" s="374"/>
      <c r="BH2092" s="374"/>
      <c r="BI2092" s="374"/>
      <c r="BJ2092" s="374"/>
      <c r="BK2092" s="374"/>
    </row>
    <row r="2093" spans="1:63" x14ac:dyDescent="0.2">
      <c r="A2093" s="480"/>
      <c r="B2093" s="481"/>
      <c r="C2093" s="481"/>
      <c r="D2093" s="374"/>
      <c r="E2093" s="374"/>
      <c r="F2093" s="374"/>
      <c r="G2093" s="374"/>
      <c r="H2093" s="374"/>
      <c r="I2093" s="374"/>
      <c r="J2093" s="374"/>
      <c r="K2093" s="374"/>
      <c r="L2093" s="374"/>
      <c r="M2093" s="374"/>
      <c r="N2093" s="374"/>
      <c r="O2093" s="374"/>
      <c r="P2093" s="374"/>
      <c r="Q2093" s="374"/>
      <c r="R2093" s="374"/>
      <c r="S2093" s="374"/>
      <c r="T2093" s="374"/>
      <c r="U2093" s="374"/>
      <c r="V2093" s="374"/>
      <c r="W2093" s="374"/>
      <c r="X2093" s="374"/>
      <c r="Y2093" s="374"/>
      <c r="Z2093" s="374"/>
      <c r="AA2093" s="374"/>
      <c r="AB2093" s="374"/>
      <c r="AC2093" s="374"/>
      <c r="AD2093" s="374"/>
      <c r="AE2093" s="374"/>
      <c r="AF2093" s="374"/>
      <c r="AG2093" s="374"/>
      <c r="AH2093" s="374"/>
      <c r="AI2093" s="374"/>
      <c r="AJ2093" s="374"/>
      <c r="AK2093" s="374"/>
      <c r="AL2093" s="374"/>
      <c r="AM2093" s="374"/>
      <c r="AN2093" s="374"/>
      <c r="AO2093" s="374"/>
      <c r="AP2093" s="374"/>
      <c r="AQ2093" s="374"/>
      <c r="AR2093" s="374"/>
      <c r="AS2093" s="374"/>
      <c r="AT2093" s="374"/>
      <c r="AU2093" s="374"/>
      <c r="AV2093" s="374"/>
      <c r="AW2093" s="374"/>
      <c r="AX2093" s="374"/>
      <c r="AY2093" s="374"/>
      <c r="AZ2093" s="374"/>
      <c r="BA2093" s="374"/>
      <c r="BB2093" s="374"/>
      <c r="BC2093" s="374"/>
      <c r="BD2093" s="374"/>
      <c r="BE2093" s="374"/>
      <c r="BF2093" s="374"/>
      <c r="BG2093" s="374"/>
      <c r="BH2093" s="374"/>
      <c r="BI2093" s="374"/>
      <c r="BJ2093" s="374"/>
      <c r="BK2093" s="374"/>
    </row>
    <row r="2094" spans="1:63" x14ac:dyDescent="0.2">
      <c r="A2094" s="480"/>
      <c r="B2094" s="481"/>
      <c r="C2094" s="481"/>
      <c r="D2094" s="374"/>
      <c r="E2094" s="374"/>
      <c r="F2094" s="374"/>
      <c r="G2094" s="374"/>
      <c r="H2094" s="374"/>
      <c r="I2094" s="374"/>
      <c r="J2094" s="374"/>
      <c r="K2094" s="374"/>
      <c r="L2094" s="374"/>
      <c r="M2094" s="374"/>
      <c r="N2094" s="374"/>
      <c r="O2094" s="374"/>
      <c r="P2094" s="374"/>
      <c r="Q2094" s="374"/>
      <c r="R2094" s="374"/>
      <c r="S2094" s="374"/>
      <c r="T2094" s="374"/>
      <c r="U2094" s="374"/>
      <c r="V2094" s="374"/>
      <c r="W2094" s="374"/>
      <c r="X2094" s="374"/>
      <c r="Y2094" s="374"/>
      <c r="Z2094" s="374"/>
      <c r="AA2094" s="374"/>
      <c r="AB2094" s="374"/>
      <c r="AC2094" s="374"/>
      <c r="AD2094" s="374"/>
      <c r="AE2094" s="374"/>
      <c r="AF2094" s="374"/>
      <c r="AG2094" s="374"/>
      <c r="AH2094" s="374"/>
      <c r="AI2094" s="374"/>
      <c r="AJ2094" s="374"/>
      <c r="AK2094" s="374"/>
      <c r="AL2094" s="374"/>
      <c r="AM2094" s="374"/>
      <c r="AN2094" s="374"/>
      <c r="AO2094" s="374"/>
      <c r="AP2094" s="374"/>
      <c r="AQ2094" s="374"/>
      <c r="AR2094" s="374"/>
      <c r="AS2094" s="374"/>
      <c r="AT2094" s="374"/>
      <c r="AU2094" s="374"/>
      <c r="AV2094" s="374"/>
      <c r="AW2094" s="374"/>
      <c r="AX2094" s="374"/>
      <c r="AY2094" s="374"/>
      <c r="AZ2094" s="374"/>
      <c r="BA2094" s="374"/>
      <c r="BB2094" s="374"/>
      <c r="BC2094" s="374"/>
      <c r="BD2094" s="374"/>
      <c r="BE2094" s="374"/>
      <c r="BF2094" s="374"/>
      <c r="BG2094" s="374"/>
      <c r="BH2094" s="374"/>
      <c r="BI2094" s="374"/>
      <c r="BJ2094" s="374"/>
      <c r="BK2094" s="374"/>
    </row>
    <row r="2095" spans="1:63" x14ac:dyDescent="0.2">
      <c r="A2095" s="480"/>
      <c r="B2095" s="481"/>
      <c r="C2095" s="481"/>
      <c r="D2095" s="374"/>
      <c r="E2095" s="374"/>
      <c r="F2095" s="374"/>
      <c r="G2095" s="374"/>
      <c r="H2095" s="374"/>
      <c r="I2095" s="374"/>
      <c r="J2095" s="374"/>
      <c r="K2095" s="374"/>
      <c r="L2095" s="374"/>
      <c r="M2095" s="374"/>
      <c r="N2095" s="374"/>
      <c r="O2095" s="374"/>
      <c r="P2095" s="374"/>
      <c r="Q2095" s="374"/>
      <c r="R2095" s="374"/>
      <c r="S2095" s="374"/>
      <c r="T2095" s="374"/>
      <c r="U2095" s="374"/>
      <c r="V2095" s="374"/>
      <c r="W2095" s="374"/>
      <c r="X2095" s="374"/>
      <c r="Y2095" s="374"/>
      <c r="Z2095" s="374"/>
      <c r="AA2095" s="374"/>
      <c r="AB2095" s="374"/>
      <c r="AC2095" s="374"/>
      <c r="AD2095" s="374"/>
      <c r="AE2095" s="374"/>
      <c r="AF2095" s="374"/>
      <c r="AG2095" s="374"/>
      <c r="AH2095" s="374"/>
      <c r="AI2095" s="374"/>
      <c r="AJ2095" s="374"/>
      <c r="AK2095" s="374"/>
      <c r="AL2095" s="374"/>
      <c r="AM2095" s="374"/>
      <c r="AN2095" s="374"/>
      <c r="AO2095" s="374"/>
      <c r="AP2095" s="374"/>
      <c r="AQ2095" s="374"/>
      <c r="AR2095" s="374"/>
      <c r="AS2095" s="374"/>
      <c r="AT2095" s="374"/>
      <c r="AU2095" s="374"/>
      <c r="AV2095" s="374"/>
      <c r="AW2095" s="374"/>
      <c r="AX2095" s="374"/>
      <c r="AY2095" s="374"/>
      <c r="AZ2095" s="374"/>
      <c r="BA2095" s="374"/>
      <c r="BB2095" s="374"/>
      <c r="BC2095" s="374"/>
      <c r="BD2095" s="374"/>
      <c r="BE2095" s="374"/>
      <c r="BF2095" s="374"/>
      <c r="BG2095" s="374"/>
      <c r="BH2095" s="374"/>
      <c r="BI2095" s="374"/>
      <c r="BJ2095" s="374"/>
      <c r="BK2095" s="374"/>
    </row>
  </sheetData>
  <mergeCells count="24">
    <mergeCell ref="K48:L48"/>
    <mergeCell ref="K50:L50"/>
    <mergeCell ref="K44:L44"/>
    <mergeCell ref="K52:L52"/>
    <mergeCell ref="K34:L34"/>
    <mergeCell ref="K36:L36"/>
    <mergeCell ref="K38:L38"/>
    <mergeCell ref="K46:L46"/>
    <mergeCell ref="K40:L40"/>
    <mergeCell ref="I9:I11"/>
    <mergeCell ref="D9:D11"/>
    <mergeCell ref="K28:L28"/>
    <mergeCell ref="K30:L30"/>
    <mergeCell ref="K32:L32"/>
    <mergeCell ref="K14:L14"/>
    <mergeCell ref="E9:E11"/>
    <mergeCell ref="F9:F11"/>
    <mergeCell ref="A1:D1"/>
    <mergeCell ref="A5:D5"/>
    <mergeCell ref="A7:D7"/>
    <mergeCell ref="A9:A11"/>
    <mergeCell ref="B9:B11"/>
    <mergeCell ref="C9:C11"/>
    <mergeCell ref="A3:D3"/>
  </mergeCells>
  <phoneticPr fontId="2" type="noConversion"/>
  <printOptions horizontalCentered="1"/>
  <pageMargins left="0.39370078740157483" right="0.39370078740157483" top="0.78740157480314965" bottom="0.59055118110236227" header="0.35433070866141736" footer="0.23622047244094491"/>
  <pageSetup paperSize="9" scale="63" fitToHeight="20" orientation="portrait" horizontalDpi="360" verticalDpi="360" r:id="rId1"/>
  <headerFooter alignWithMargins="0">
    <oddHeader>&amp;L&amp;G&amp;R&amp;G</oddHeader>
    <oddFooter>&amp;C&amp;K03+000
Rua Nilton Baldo, 744 – Bairro Jardim Paquetá - CEP 31.330-660 – Belo Horizonte / Minas Gerais.
Endereço Eletrônico: ottawaeng@terra.com.br – Telefax (31) 3418-2175 – CNPJ: 04.472.311/0001-04
&amp;R&amp;K03+000Página &amp;P de &amp;N</oddFooter>
  </headerFooter>
  <ignoredErrors>
    <ignoredError sqref="B999:C999 B1000 B1074 B1200:C1200 B1201 B964:C964 B1073:C1073 B1286:C1286 B963:C963" numberStoredAsText="1"/>
  </ignoredError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42"/>
  <sheetViews>
    <sheetView view="pageBreakPreview" zoomScale="85" zoomScaleNormal="90" zoomScaleSheetLayoutView="85" workbookViewId="0">
      <selection activeCell="B7" sqref="B7"/>
    </sheetView>
  </sheetViews>
  <sheetFormatPr defaultRowHeight="17.100000000000001" customHeight="1" x14ac:dyDescent="0.2"/>
  <cols>
    <col min="1" max="1" width="13" style="35" customWidth="1"/>
    <col min="2" max="2" width="55.7109375" style="35" customWidth="1"/>
    <col min="3" max="3" width="9.7109375" style="35" customWidth="1"/>
    <col min="4" max="4" width="13.28515625" style="35" customWidth="1"/>
    <col min="5" max="5" width="13.28515625" style="36" customWidth="1"/>
    <col min="6" max="6" width="13.28515625" style="35" customWidth="1"/>
    <col min="7" max="15" width="13.28515625" style="36" customWidth="1"/>
    <col min="16" max="16" width="14.7109375" style="35" customWidth="1"/>
    <col min="17" max="17" width="3" style="35" customWidth="1"/>
    <col min="18" max="18" width="8.7109375" style="35" customWidth="1"/>
    <col min="19" max="19" width="3.5703125" style="35" customWidth="1"/>
    <col min="20" max="23" width="12.7109375" style="35" customWidth="1"/>
    <col min="24" max="24" width="12.7109375" style="38" customWidth="1"/>
    <col min="25" max="31" width="12.7109375" style="35" customWidth="1"/>
    <col min="32" max="32" width="9.140625" style="35"/>
    <col min="33" max="33" width="18.7109375" style="35" customWidth="1"/>
    <col min="34" max="16384" width="9.140625" style="35"/>
  </cols>
  <sheetData>
    <row r="1" spans="1:31" s="7" customFormat="1" ht="30" customHeight="1" thickBot="1" x14ac:dyDescent="0.25">
      <c r="A1" s="596" t="s">
        <v>12</v>
      </c>
      <c r="B1" s="597"/>
      <c r="C1" s="597"/>
      <c r="D1" s="597"/>
      <c r="E1" s="597"/>
      <c r="F1" s="597"/>
      <c r="G1" s="597"/>
      <c r="H1" s="597"/>
      <c r="I1" s="597"/>
      <c r="J1" s="597"/>
      <c r="K1" s="597"/>
      <c r="L1" s="597"/>
      <c r="M1" s="597"/>
      <c r="N1" s="597"/>
      <c r="O1" s="597"/>
      <c r="P1" s="598"/>
    </row>
    <row r="2" spans="1:31" s="7" customFormat="1" ht="5.0999999999999996" customHeight="1" thickBot="1" x14ac:dyDescent="0.25">
      <c r="A2" s="203"/>
      <c r="B2" s="204"/>
      <c r="C2" s="204"/>
      <c r="D2" s="205"/>
      <c r="E2" s="204"/>
      <c r="F2" s="204"/>
      <c r="G2" s="204"/>
      <c r="H2" s="204"/>
      <c r="I2" s="204"/>
      <c r="J2" s="204"/>
      <c r="K2" s="204"/>
      <c r="L2" s="204"/>
      <c r="M2" s="204"/>
      <c r="N2" s="204"/>
      <c r="O2" s="204"/>
      <c r="P2" s="206"/>
    </row>
    <row r="3" spans="1:31" s="7" customFormat="1" ht="20.100000000000001" customHeight="1" thickBot="1" x14ac:dyDescent="0.25">
      <c r="A3" s="207" t="s">
        <v>38</v>
      </c>
      <c r="B3" s="208" t="s">
        <v>716</v>
      </c>
      <c r="C3" s="208"/>
      <c r="D3" s="209"/>
      <c r="E3" s="210"/>
      <c r="F3" s="210"/>
      <c r="G3" s="137"/>
      <c r="H3" s="137"/>
      <c r="I3" s="137"/>
      <c r="J3" s="137"/>
      <c r="K3" s="137"/>
      <c r="L3" s="137"/>
      <c r="M3" s="137"/>
      <c r="N3" s="137"/>
      <c r="O3" s="137" t="s">
        <v>7</v>
      </c>
      <c r="P3" s="138" t="s">
        <v>455</v>
      </c>
    </row>
    <row r="4" spans="1:31" s="7" customFormat="1" ht="5.0999999999999996" customHeight="1" thickBot="1" x14ac:dyDescent="0.25">
      <c r="A4" s="211"/>
      <c r="B4" s="212"/>
      <c r="C4" s="212"/>
      <c r="D4" s="213"/>
      <c r="E4" s="214"/>
      <c r="F4" s="214"/>
      <c r="G4" s="106"/>
      <c r="H4" s="106"/>
      <c r="I4" s="106"/>
      <c r="J4" s="106"/>
      <c r="K4" s="106"/>
      <c r="L4" s="106"/>
      <c r="M4" s="106"/>
      <c r="N4" s="106"/>
      <c r="O4" s="106"/>
      <c r="P4" s="215"/>
    </row>
    <row r="5" spans="1:31" s="7" customFormat="1" ht="20.100000000000001" customHeight="1" thickBot="1" x14ac:dyDescent="0.25">
      <c r="A5" s="216" t="s">
        <v>22</v>
      </c>
      <c r="B5" s="217" t="s">
        <v>718</v>
      </c>
      <c r="C5" s="217"/>
      <c r="D5" s="218"/>
      <c r="E5" s="219"/>
      <c r="F5" s="219"/>
      <c r="G5" s="220"/>
      <c r="H5" s="220"/>
      <c r="I5" s="220"/>
      <c r="J5" s="220"/>
      <c r="K5" s="220"/>
      <c r="L5" s="220"/>
      <c r="M5" s="220"/>
      <c r="N5" s="220"/>
      <c r="O5" s="220"/>
      <c r="P5" s="221"/>
      <c r="Q5" s="3"/>
    </row>
    <row r="6" spans="1:31" s="7" customFormat="1" ht="5.0999999999999996" customHeight="1" thickBot="1" x14ac:dyDescent="0.25">
      <c r="A6" s="222"/>
      <c r="B6" s="223"/>
      <c r="C6" s="223"/>
      <c r="D6" s="224"/>
      <c r="E6" s="223"/>
      <c r="F6" s="223"/>
      <c r="G6" s="225"/>
      <c r="H6" s="225"/>
      <c r="I6" s="225"/>
      <c r="J6" s="225"/>
      <c r="K6" s="225"/>
      <c r="L6" s="225"/>
      <c r="M6" s="225"/>
      <c r="N6" s="225"/>
      <c r="O6" s="225"/>
      <c r="P6" s="226"/>
    </row>
    <row r="7" spans="1:31" s="7" customFormat="1" ht="20.100000000000001" customHeight="1" thickBot="1" x14ac:dyDescent="0.25">
      <c r="A7" s="216" t="s">
        <v>39</v>
      </c>
      <c r="B7" s="217" t="s">
        <v>721</v>
      </c>
      <c r="C7" s="217"/>
      <c r="D7" s="218"/>
      <c r="E7" s="217"/>
      <c r="F7" s="217"/>
      <c r="G7" s="220"/>
      <c r="H7" s="220"/>
      <c r="I7" s="220"/>
      <c r="J7" s="220"/>
      <c r="K7" s="220"/>
      <c r="L7" s="220"/>
      <c r="M7" s="220"/>
      <c r="N7" s="220"/>
      <c r="O7" s="220"/>
      <c r="P7" s="221"/>
    </row>
    <row r="8" spans="1:31" s="10" customFormat="1" ht="30" customHeight="1" thickBot="1" x14ac:dyDescent="0.25">
      <c r="A8" s="227" t="s">
        <v>23</v>
      </c>
      <c r="B8" s="228" t="s">
        <v>24</v>
      </c>
      <c r="C8" s="228" t="s">
        <v>25</v>
      </c>
      <c r="D8" s="228" t="s">
        <v>26</v>
      </c>
      <c r="E8" s="228" t="s">
        <v>27</v>
      </c>
      <c r="F8" s="228" t="s">
        <v>28</v>
      </c>
      <c r="G8" s="228" t="s">
        <v>29</v>
      </c>
      <c r="H8" s="228" t="s">
        <v>94</v>
      </c>
      <c r="I8" s="228" t="s">
        <v>95</v>
      </c>
      <c r="J8" s="228" t="s">
        <v>51</v>
      </c>
      <c r="K8" s="228" t="s">
        <v>52</v>
      </c>
      <c r="L8" s="228" t="s">
        <v>53</v>
      </c>
      <c r="M8" s="228" t="s">
        <v>54</v>
      </c>
      <c r="N8" s="228" t="s">
        <v>55</v>
      </c>
      <c r="O8" s="228" t="s">
        <v>56</v>
      </c>
      <c r="P8" s="229" t="s">
        <v>30</v>
      </c>
      <c r="Q8" s="9"/>
      <c r="R8" s="9"/>
      <c r="S8" s="9"/>
      <c r="T8" s="9"/>
      <c r="U8" s="9"/>
      <c r="V8" s="9"/>
      <c r="X8" s="11"/>
    </row>
    <row r="9" spans="1:31" s="10" customFormat="1" ht="20.100000000000001" customHeight="1" thickBot="1" x14ac:dyDescent="0.25">
      <c r="A9" s="12"/>
      <c r="B9" s="13"/>
      <c r="C9" s="14"/>
      <c r="D9" s="15"/>
      <c r="E9" s="15"/>
      <c r="F9" s="15"/>
      <c r="G9" s="15"/>
      <c r="H9" s="16"/>
      <c r="I9" s="16"/>
      <c r="J9" s="16"/>
      <c r="K9" s="16"/>
      <c r="L9" s="16"/>
      <c r="M9" s="16"/>
      <c r="N9" s="16"/>
      <c r="O9" s="16"/>
      <c r="P9" s="17"/>
      <c r="Q9" s="18"/>
      <c r="R9" s="18"/>
      <c r="S9" s="18"/>
      <c r="T9" s="18"/>
      <c r="V9" s="11"/>
    </row>
    <row r="10" spans="1:31" s="10" customFormat="1" ht="20.100000000000001" customHeight="1" thickTop="1" thickBot="1" x14ac:dyDescent="0.25">
      <c r="A10" s="19" t="str">
        <f>ORÇAMENTO!A14</f>
        <v>01</v>
      </c>
      <c r="B10" s="20" t="str">
        <f>ORÇAMENTO!D14</f>
        <v xml:space="preserve">MOBILIZAÇÃO E DESMOBILIZAÇÃO                                 </v>
      </c>
      <c r="C10" s="21" t="e">
        <f>P10/$P$36*100</f>
        <v>#REF!</v>
      </c>
      <c r="D10" s="234">
        <v>60</v>
      </c>
      <c r="E10" s="22"/>
      <c r="F10" s="22"/>
      <c r="G10" s="22"/>
      <c r="H10" s="23"/>
      <c r="I10" s="23"/>
      <c r="J10" s="23"/>
      <c r="K10" s="23"/>
      <c r="L10" s="23"/>
      <c r="M10" s="23"/>
      <c r="N10" s="23"/>
      <c r="O10" s="235">
        <v>40</v>
      </c>
      <c r="P10" s="24">
        <f>ORÇAMENTO!I14</f>
        <v>309399.90999999997</v>
      </c>
      <c r="Q10" s="18"/>
      <c r="R10" s="160">
        <f>SUM(D10:O10)</f>
        <v>100</v>
      </c>
      <c r="S10" s="18"/>
      <c r="T10" s="163">
        <f>D10*$P10/100</f>
        <v>185639.94599999997</v>
      </c>
      <c r="U10" s="166">
        <f t="shared" ref="U10:AE10" si="0">E10*$P10/100</f>
        <v>0</v>
      </c>
      <c r="V10" s="166">
        <f t="shared" si="0"/>
        <v>0</v>
      </c>
      <c r="W10" s="166">
        <f t="shared" si="0"/>
        <v>0</v>
      </c>
      <c r="X10" s="166">
        <f t="shared" si="0"/>
        <v>0</v>
      </c>
      <c r="Y10" s="166">
        <f t="shared" si="0"/>
        <v>0</v>
      </c>
      <c r="Z10" s="166">
        <f t="shared" si="0"/>
        <v>0</v>
      </c>
      <c r="AA10" s="166">
        <f t="shared" si="0"/>
        <v>0</v>
      </c>
      <c r="AB10" s="166">
        <f t="shared" si="0"/>
        <v>0</v>
      </c>
      <c r="AC10" s="166">
        <f t="shared" si="0"/>
        <v>0</v>
      </c>
      <c r="AD10" s="166">
        <f t="shared" si="0"/>
        <v>0</v>
      </c>
      <c r="AE10" s="167">
        <f t="shared" si="0"/>
        <v>123759.96399999998</v>
      </c>
    </row>
    <row r="11" spans="1:31" s="10" customFormat="1" ht="20.100000000000001" customHeight="1" thickTop="1" thickBot="1" x14ac:dyDescent="0.25">
      <c r="A11" s="19" t="str">
        <f>ORÇAMENTO!A16</f>
        <v>02</v>
      </c>
      <c r="B11" s="20" t="str">
        <f>ORÇAMENTO!D16</f>
        <v>ADMINISTRAÇÃO DA OBRA</v>
      </c>
      <c r="C11" s="21" t="e">
        <f>P11/$P$36*100</f>
        <v>#REF!</v>
      </c>
      <c r="D11" s="234">
        <v>8</v>
      </c>
      <c r="E11" s="234">
        <v>7</v>
      </c>
      <c r="F11" s="234">
        <v>8</v>
      </c>
      <c r="G11" s="234">
        <v>8</v>
      </c>
      <c r="H11" s="235">
        <v>8</v>
      </c>
      <c r="I11" s="235">
        <v>8</v>
      </c>
      <c r="J11" s="235">
        <v>8</v>
      </c>
      <c r="K11" s="235">
        <v>8</v>
      </c>
      <c r="L11" s="235">
        <v>8</v>
      </c>
      <c r="M11" s="235">
        <v>8</v>
      </c>
      <c r="N11" s="235">
        <v>8</v>
      </c>
      <c r="O11" s="235">
        <v>13</v>
      </c>
      <c r="P11" s="24">
        <f>ORÇAMENTO!I16</f>
        <v>687585.08</v>
      </c>
      <c r="Q11" s="18"/>
      <c r="R11" s="160">
        <f t="shared" ref="R11:R13" si="1">SUM(D11:O11)</f>
        <v>100</v>
      </c>
      <c r="S11" s="18"/>
      <c r="T11" s="164">
        <f t="shared" ref="T11:T25" si="2">D11*$P11/100</f>
        <v>55006.806399999994</v>
      </c>
      <c r="U11" s="18">
        <f t="shared" ref="U11:U25" si="3">E11*$P11/100</f>
        <v>48130.955599999994</v>
      </c>
      <c r="V11" s="18">
        <f t="shared" ref="V11:V25" si="4">F11*$P11/100</f>
        <v>55006.806399999994</v>
      </c>
      <c r="W11" s="18">
        <f t="shared" ref="W11:W25" si="5">G11*$P11/100</f>
        <v>55006.806399999994</v>
      </c>
      <c r="X11" s="18">
        <f t="shared" ref="X11:X25" si="6">H11*$P11/100</f>
        <v>55006.806399999994</v>
      </c>
      <c r="Y11" s="18">
        <f t="shared" ref="Y11:Y25" si="7">I11*$P11/100</f>
        <v>55006.806399999994</v>
      </c>
      <c r="Z11" s="18">
        <f t="shared" ref="Z11:Z25" si="8">J11*$P11/100</f>
        <v>55006.806399999994</v>
      </c>
      <c r="AA11" s="18">
        <f t="shared" ref="AA11:AA25" si="9">K11*$P11/100</f>
        <v>55006.806399999994</v>
      </c>
      <c r="AB11" s="18">
        <f t="shared" ref="AB11:AB25" si="10">L11*$P11/100</f>
        <v>55006.806399999994</v>
      </c>
      <c r="AC11" s="18">
        <f t="shared" ref="AC11:AC25" si="11">M11*$P11/100</f>
        <v>55006.806399999994</v>
      </c>
      <c r="AD11" s="18">
        <f t="shared" ref="AD11:AD25" si="12">N11*$P11/100</f>
        <v>55006.806399999994</v>
      </c>
      <c r="AE11" s="168">
        <f t="shared" ref="AE11:AE25" si="13">O11*$P11/100</f>
        <v>89386.060399999988</v>
      </c>
    </row>
    <row r="12" spans="1:31" s="10" customFormat="1" ht="20.100000000000001" customHeight="1" thickTop="1" thickBot="1" x14ac:dyDescent="0.25">
      <c r="A12" s="19" t="str">
        <f>ORÇAMENTO!A18</f>
        <v>03</v>
      </c>
      <c r="B12" s="20" t="str">
        <f>ORÇAMENTO!D18</f>
        <v>ELEVATÓRIA 01</v>
      </c>
      <c r="C12" s="21" t="e">
        <f>P12/$P$36*100</f>
        <v>#REF!</v>
      </c>
      <c r="D12" s="234">
        <v>10</v>
      </c>
      <c r="E12" s="234">
        <v>15</v>
      </c>
      <c r="F12" s="234">
        <v>15</v>
      </c>
      <c r="G12" s="234">
        <v>15</v>
      </c>
      <c r="H12" s="235">
        <v>15</v>
      </c>
      <c r="I12" s="235">
        <v>15</v>
      </c>
      <c r="J12" s="235">
        <v>15</v>
      </c>
      <c r="K12" s="22"/>
      <c r="L12" s="22"/>
      <c r="M12" s="22"/>
      <c r="N12" s="22"/>
      <c r="O12" s="22"/>
      <c r="P12" s="24">
        <f>ORÇAMENTO!I18</f>
        <v>226805.13</v>
      </c>
      <c r="Q12" s="18"/>
      <c r="R12" s="160">
        <f t="shared" si="1"/>
        <v>100</v>
      </c>
      <c r="S12" s="18"/>
      <c r="T12" s="164">
        <f t="shared" si="2"/>
        <v>22680.512999999999</v>
      </c>
      <c r="U12" s="18">
        <f t="shared" si="3"/>
        <v>34020.769500000002</v>
      </c>
      <c r="V12" s="18">
        <f t="shared" si="4"/>
        <v>34020.769500000002</v>
      </c>
      <c r="W12" s="18">
        <f t="shared" si="5"/>
        <v>34020.769500000002</v>
      </c>
      <c r="X12" s="18">
        <f t="shared" si="6"/>
        <v>34020.769500000002</v>
      </c>
      <c r="Y12" s="18">
        <f t="shared" si="7"/>
        <v>34020.769500000002</v>
      </c>
      <c r="Z12" s="18">
        <f t="shared" si="8"/>
        <v>34020.769500000002</v>
      </c>
      <c r="AA12" s="18">
        <f t="shared" si="9"/>
        <v>0</v>
      </c>
      <c r="AB12" s="18">
        <f t="shared" si="10"/>
        <v>0</v>
      </c>
      <c r="AC12" s="18">
        <f t="shared" si="11"/>
        <v>0</v>
      </c>
      <c r="AD12" s="18">
        <f t="shared" si="12"/>
        <v>0</v>
      </c>
      <c r="AE12" s="168">
        <f t="shared" si="13"/>
        <v>0</v>
      </c>
    </row>
    <row r="13" spans="1:31" s="10" customFormat="1" ht="20.100000000000001" customHeight="1" thickTop="1" x14ac:dyDescent="0.2">
      <c r="A13" s="237" t="str">
        <f>ORÇAMENTO!A28</f>
        <v>08</v>
      </c>
      <c r="B13" s="238" t="str">
        <f>ORÇAMENTO!D28</f>
        <v>ESTAÇÃO DE TRATAMENTO DE ESGOTOS</v>
      </c>
      <c r="C13" s="239"/>
      <c r="D13" s="240"/>
      <c r="E13" s="240"/>
      <c r="F13" s="240"/>
      <c r="G13" s="240"/>
      <c r="H13" s="241"/>
      <c r="I13" s="241"/>
      <c r="J13" s="241"/>
      <c r="K13" s="241"/>
      <c r="L13" s="241"/>
      <c r="M13" s="241"/>
      <c r="N13" s="241"/>
      <c r="O13" s="241"/>
      <c r="P13" s="242"/>
      <c r="Q13" s="18"/>
      <c r="R13" s="160">
        <f t="shared" si="1"/>
        <v>0</v>
      </c>
      <c r="S13" s="18"/>
      <c r="T13" s="164">
        <f t="shared" si="2"/>
        <v>0</v>
      </c>
      <c r="U13" s="18">
        <f t="shared" si="3"/>
        <v>0</v>
      </c>
      <c r="V13" s="18">
        <f t="shared" si="4"/>
        <v>0</v>
      </c>
      <c r="W13" s="18">
        <f t="shared" si="5"/>
        <v>0</v>
      </c>
      <c r="X13" s="18">
        <f t="shared" si="6"/>
        <v>0</v>
      </c>
      <c r="Y13" s="18">
        <f t="shared" si="7"/>
        <v>0</v>
      </c>
      <c r="Z13" s="18">
        <f t="shared" si="8"/>
        <v>0</v>
      </c>
      <c r="AA13" s="18">
        <f t="shared" si="9"/>
        <v>0</v>
      </c>
      <c r="AB13" s="18">
        <f t="shared" si="10"/>
        <v>0</v>
      </c>
      <c r="AC13" s="18">
        <f t="shared" si="11"/>
        <v>0</v>
      </c>
      <c r="AD13" s="18">
        <f t="shared" si="12"/>
        <v>0</v>
      </c>
      <c r="AE13" s="168">
        <f t="shared" si="13"/>
        <v>0</v>
      </c>
    </row>
    <row r="14" spans="1:31" s="10" customFormat="1" ht="20.100000000000001" customHeight="1" x14ac:dyDescent="0.2">
      <c r="A14" s="19" t="str">
        <f>ORÇAMENTO!A30</f>
        <v>08.01</v>
      </c>
      <c r="B14" s="20" t="str">
        <f>ORÇAMENTO!D30</f>
        <v>TERRAPLENAGEM GERAL</v>
      </c>
      <c r="C14" s="21" t="e">
        <f t="shared" ref="C14:C26" si="14">P14/$P$36*100</f>
        <v>#REF!</v>
      </c>
      <c r="D14" s="234">
        <v>70</v>
      </c>
      <c r="E14" s="234">
        <v>30</v>
      </c>
      <c r="F14" s="253"/>
      <c r="G14" s="253"/>
      <c r="H14" s="253"/>
      <c r="I14" s="22"/>
      <c r="J14" s="22"/>
      <c r="K14" s="22"/>
      <c r="L14" s="22"/>
      <c r="M14" s="22"/>
      <c r="N14" s="22"/>
      <c r="O14" s="22"/>
      <c r="P14" s="24">
        <f>ORÇAMENTO!I30</f>
        <v>728678.55</v>
      </c>
      <c r="Q14" s="18"/>
      <c r="R14" s="161">
        <f t="shared" ref="R14:R25" si="15">SUM(D14:O14)</f>
        <v>100</v>
      </c>
      <c r="S14" s="18"/>
      <c r="T14" s="164">
        <f t="shared" si="2"/>
        <v>510074.98499999999</v>
      </c>
      <c r="U14" s="18">
        <f t="shared" si="3"/>
        <v>218603.565</v>
      </c>
      <c r="V14" s="18">
        <f t="shared" si="4"/>
        <v>0</v>
      </c>
      <c r="W14" s="18">
        <f t="shared" si="5"/>
        <v>0</v>
      </c>
      <c r="X14" s="18">
        <f t="shared" si="6"/>
        <v>0</v>
      </c>
      <c r="Y14" s="18">
        <f t="shared" si="7"/>
        <v>0</v>
      </c>
      <c r="Z14" s="18">
        <f t="shared" si="8"/>
        <v>0</v>
      </c>
      <c r="AA14" s="18">
        <f t="shared" si="9"/>
        <v>0</v>
      </c>
      <c r="AB14" s="18">
        <f t="shared" si="10"/>
        <v>0</v>
      </c>
      <c r="AC14" s="18">
        <f t="shared" si="11"/>
        <v>0</v>
      </c>
      <c r="AD14" s="18">
        <f t="shared" si="12"/>
        <v>0</v>
      </c>
      <c r="AE14" s="168">
        <f t="shared" si="13"/>
        <v>0</v>
      </c>
    </row>
    <row r="15" spans="1:31" s="10" customFormat="1" ht="20.100000000000001" customHeight="1" x14ac:dyDescent="0.2">
      <c r="A15" s="19" t="e">
        <f>ORÇAMENTO!#REF!</f>
        <v>#REF!</v>
      </c>
      <c r="B15" s="20" t="e">
        <f>ORÇAMENTO!#REF!</f>
        <v>#REF!</v>
      </c>
      <c r="C15" s="21" t="e">
        <f t="shared" si="14"/>
        <v>#REF!</v>
      </c>
      <c r="D15" s="22"/>
      <c r="E15" s="22"/>
      <c r="F15" s="22"/>
      <c r="G15" s="22"/>
      <c r="H15" s="253"/>
      <c r="I15" s="253"/>
      <c r="J15" s="253"/>
      <c r="K15" s="234">
        <v>25</v>
      </c>
      <c r="L15" s="234">
        <v>20</v>
      </c>
      <c r="M15" s="234">
        <v>25</v>
      </c>
      <c r="N15" s="234">
        <v>30</v>
      </c>
      <c r="O15" s="234"/>
      <c r="P15" s="24" t="e">
        <f>ORÇAMENTO!#REF!</f>
        <v>#REF!</v>
      </c>
      <c r="Q15" s="18"/>
      <c r="R15" s="161">
        <f t="shared" si="15"/>
        <v>100</v>
      </c>
      <c r="S15" s="18"/>
      <c r="T15" s="164" t="e">
        <f t="shared" ref="T15" si="16">D15*$P15/100</f>
        <v>#REF!</v>
      </c>
      <c r="U15" s="18" t="e">
        <f t="shared" ref="U15" si="17">E15*$P15/100</f>
        <v>#REF!</v>
      </c>
      <c r="V15" s="18" t="e">
        <f t="shared" ref="V15" si="18">F15*$P15/100</f>
        <v>#REF!</v>
      </c>
      <c r="W15" s="18" t="e">
        <f t="shared" ref="W15" si="19">G15*$P15/100</f>
        <v>#REF!</v>
      </c>
      <c r="X15" s="18" t="e">
        <f t="shared" ref="X15" si="20">H15*$P15/100</f>
        <v>#REF!</v>
      </c>
      <c r="Y15" s="18" t="e">
        <f t="shared" ref="Y15" si="21">I15*$P15/100</f>
        <v>#REF!</v>
      </c>
      <c r="Z15" s="18" t="e">
        <f t="shared" ref="Z15" si="22">J15*$P15/100</f>
        <v>#REF!</v>
      </c>
      <c r="AA15" s="18" t="e">
        <f t="shared" ref="AA15" si="23">K15*$P15/100</f>
        <v>#REF!</v>
      </c>
      <c r="AB15" s="18" t="e">
        <f t="shared" ref="AB15" si="24">L15*$P15/100</f>
        <v>#REF!</v>
      </c>
      <c r="AC15" s="18" t="e">
        <f t="shared" ref="AC15" si="25">M15*$P15/100</f>
        <v>#REF!</v>
      </c>
      <c r="AD15" s="18" t="e">
        <f t="shared" ref="AD15" si="26">N15*$P15/100</f>
        <v>#REF!</v>
      </c>
      <c r="AE15" s="168" t="e">
        <f t="shared" ref="AE15" si="27">O15*$P15/100</f>
        <v>#REF!</v>
      </c>
    </row>
    <row r="16" spans="1:31" s="10" customFormat="1" ht="20.100000000000001" customHeight="1" x14ac:dyDescent="0.2">
      <c r="A16" s="19" t="str">
        <f>ORÇAMENTO!A32</f>
        <v>08.02</v>
      </c>
      <c r="B16" s="20" t="str">
        <f>ORÇAMENTO!D32</f>
        <v>TRATAMENTO PRELIMINAR MECANIZADO</v>
      </c>
      <c r="C16" s="21" t="e">
        <f t="shared" si="14"/>
        <v>#REF!</v>
      </c>
      <c r="D16" s="22"/>
      <c r="E16" s="22"/>
      <c r="F16" s="22"/>
      <c r="G16" s="22"/>
      <c r="H16" s="253"/>
      <c r="I16" s="253"/>
      <c r="J16" s="253"/>
      <c r="K16" s="234">
        <v>25</v>
      </c>
      <c r="L16" s="234">
        <v>20</v>
      </c>
      <c r="M16" s="234">
        <v>25</v>
      </c>
      <c r="N16" s="234">
        <v>30</v>
      </c>
      <c r="O16" s="234"/>
      <c r="P16" s="24">
        <f>ORÇAMENTO!I32</f>
        <v>690912.19</v>
      </c>
      <c r="Q16" s="18"/>
      <c r="R16" s="161">
        <f t="shared" si="15"/>
        <v>100</v>
      </c>
      <c r="S16" s="18"/>
      <c r="T16" s="164">
        <f t="shared" si="2"/>
        <v>0</v>
      </c>
      <c r="U16" s="18">
        <f t="shared" si="3"/>
        <v>0</v>
      </c>
      <c r="V16" s="18">
        <f t="shared" si="4"/>
        <v>0</v>
      </c>
      <c r="W16" s="18">
        <f t="shared" si="5"/>
        <v>0</v>
      </c>
      <c r="X16" s="18">
        <f t="shared" si="6"/>
        <v>0</v>
      </c>
      <c r="Y16" s="18">
        <f t="shared" si="7"/>
        <v>0</v>
      </c>
      <c r="Z16" s="18">
        <f t="shared" si="8"/>
        <v>0</v>
      </c>
      <c r="AA16" s="18">
        <f t="shared" si="9"/>
        <v>172728.04749999999</v>
      </c>
      <c r="AB16" s="18">
        <f t="shared" si="10"/>
        <v>138182.43799999999</v>
      </c>
      <c r="AC16" s="18">
        <f t="shared" si="11"/>
        <v>172728.04749999999</v>
      </c>
      <c r="AD16" s="18">
        <f t="shared" si="12"/>
        <v>207273.65700000001</v>
      </c>
      <c r="AE16" s="168">
        <f t="shared" si="13"/>
        <v>0</v>
      </c>
    </row>
    <row r="17" spans="1:31" s="10" customFormat="1" ht="20.100000000000001" customHeight="1" x14ac:dyDescent="0.2">
      <c r="A17" s="19" t="e">
        <f>ORÇAMENTO!#REF!</f>
        <v>#REF!</v>
      </c>
      <c r="B17" s="20" t="e">
        <f>ORÇAMENTO!#REF!</f>
        <v>#REF!</v>
      </c>
      <c r="C17" s="21" t="e">
        <f t="shared" si="14"/>
        <v>#REF!</v>
      </c>
      <c r="D17" s="22"/>
      <c r="E17" s="22"/>
      <c r="F17" s="22"/>
      <c r="G17" s="22"/>
      <c r="H17" s="253"/>
      <c r="I17" s="253"/>
      <c r="J17" s="253"/>
      <c r="K17" s="234">
        <v>25</v>
      </c>
      <c r="L17" s="234">
        <v>20</v>
      </c>
      <c r="M17" s="234">
        <v>25</v>
      </c>
      <c r="N17" s="234">
        <v>30</v>
      </c>
      <c r="O17" s="234"/>
      <c r="P17" s="24" t="e">
        <f>ORÇAMENTO!#REF!</f>
        <v>#REF!</v>
      </c>
      <c r="Q17" s="18"/>
      <c r="R17" s="161">
        <f t="shared" si="15"/>
        <v>100</v>
      </c>
      <c r="S17" s="18"/>
      <c r="T17" s="164" t="e">
        <f t="shared" si="2"/>
        <v>#REF!</v>
      </c>
      <c r="U17" s="18" t="e">
        <f t="shared" si="3"/>
        <v>#REF!</v>
      </c>
      <c r="V17" s="18" t="e">
        <f t="shared" si="4"/>
        <v>#REF!</v>
      </c>
      <c r="W17" s="18" t="e">
        <f t="shared" si="5"/>
        <v>#REF!</v>
      </c>
      <c r="X17" s="18" t="e">
        <f t="shared" si="6"/>
        <v>#REF!</v>
      </c>
      <c r="Y17" s="18" t="e">
        <f t="shared" si="7"/>
        <v>#REF!</v>
      </c>
      <c r="Z17" s="18" t="e">
        <f t="shared" si="8"/>
        <v>#REF!</v>
      </c>
      <c r="AA17" s="18" t="e">
        <f t="shared" si="9"/>
        <v>#REF!</v>
      </c>
      <c r="AB17" s="18" t="e">
        <f t="shared" si="10"/>
        <v>#REF!</v>
      </c>
      <c r="AC17" s="18" t="e">
        <f t="shared" si="11"/>
        <v>#REF!</v>
      </c>
      <c r="AD17" s="18" t="e">
        <f t="shared" si="12"/>
        <v>#REF!</v>
      </c>
      <c r="AE17" s="168" t="e">
        <f t="shared" si="13"/>
        <v>#REF!</v>
      </c>
    </row>
    <row r="18" spans="1:31" s="10" customFormat="1" ht="20.100000000000001" customHeight="1" x14ac:dyDescent="0.2">
      <c r="A18" s="19" t="str">
        <f>ORÇAMENTO!A34</f>
        <v>08.03</v>
      </c>
      <c r="B18" s="20" t="str">
        <f>ORÇAMENTO!D34</f>
        <v xml:space="preserve">REATORES UASB </v>
      </c>
      <c r="C18" s="21" t="e">
        <f t="shared" si="14"/>
        <v>#REF!</v>
      </c>
      <c r="D18" s="22"/>
      <c r="E18" s="22"/>
      <c r="F18" s="22"/>
      <c r="G18" s="253"/>
      <c r="H18" s="253"/>
      <c r="I18" s="253"/>
      <c r="J18" s="253"/>
      <c r="K18" s="234">
        <v>25</v>
      </c>
      <c r="L18" s="234">
        <v>30</v>
      </c>
      <c r="M18" s="234">
        <v>25</v>
      </c>
      <c r="N18" s="253">
        <v>20</v>
      </c>
      <c r="O18" s="253"/>
      <c r="P18" s="24">
        <f>ORÇAMENTO!I34</f>
        <v>1155126.08</v>
      </c>
      <c r="Q18" s="18"/>
      <c r="R18" s="161">
        <f t="shared" si="15"/>
        <v>100</v>
      </c>
      <c r="S18" s="18"/>
      <c r="T18" s="164">
        <f t="shared" si="2"/>
        <v>0</v>
      </c>
      <c r="U18" s="18">
        <f t="shared" si="3"/>
        <v>0</v>
      </c>
      <c r="V18" s="18">
        <f t="shared" si="4"/>
        <v>0</v>
      </c>
      <c r="W18" s="18">
        <f t="shared" si="5"/>
        <v>0</v>
      </c>
      <c r="X18" s="18">
        <f t="shared" si="6"/>
        <v>0</v>
      </c>
      <c r="Y18" s="18">
        <f t="shared" si="7"/>
        <v>0</v>
      </c>
      <c r="Z18" s="18">
        <f t="shared" si="8"/>
        <v>0</v>
      </c>
      <c r="AA18" s="18">
        <f t="shared" si="9"/>
        <v>288781.52</v>
      </c>
      <c r="AB18" s="18">
        <f t="shared" si="10"/>
        <v>346537.82400000008</v>
      </c>
      <c r="AC18" s="18">
        <f t="shared" si="11"/>
        <v>288781.52</v>
      </c>
      <c r="AD18" s="18">
        <f t="shared" si="12"/>
        <v>231025.21600000001</v>
      </c>
      <c r="AE18" s="168">
        <f t="shared" si="13"/>
        <v>0</v>
      </c>
    </row>
    <row r="19" spans="1:31" s="10" customFormat="1" ht="20.100000000000001" customHeight="1" x14ac:dyDescent="0.2">
      <c r="A19" s="19" t="str">
        <f>ORÇAMENTO!A36</f>
        <v>08.04</v>
      </c>
      <c r="B19" s="20" t="str">
        <f>ORÇAMENTO!D36</f>
        <v>FILTRO BIOLÓGICO PERCOLADOR</v>
      </c>
      <c r="C19" s="21" t="e">
        <f t="shared" si="14"/>
        <v>#REF!</v>
      </c>
      <c r="D19" s="22"/>
      <c r="E19" s="22"/>
      <c r="F19" s="253"/>
      <c r="G19" s="253"/>
      <c r="H19" s="253"/>
      <c r="I19" s="253"/>
      <c r="J19" s="253"/>
      <c r="K19" s="234">
        <v>25</v>
      </c>
      <c r="L19" s="234">
        <v>25</v>
      </c>
      <c r="M19" s="234">
        <v>20</v>
      </c>
      <c r="N19" s="253">
        <v>30</v>
      </c>
      <c r="O19" s="253"/>
      <c r="P19" s="24">
        <f>ORÇAMENTO!I36</f>
        <v>661675.11999999988</v>
      </c>
      <c r="Q19" s="18"/>
      <c r="R19" s="161">
        <f t="shared" si="15"/>
        <v>100</v>
      </c>
      <c r="S19" s="18"/>
      <c r="T19" s="164">
        <f t="shared" si="2"/>
        <v>0</v>
      </c>
      <c r="U19" s="18">
        <f t="shared" si="3"/>
        <v>0</v>
      </c>
      <c r="V19" s="18">
        <f t="shared" si="4"/>
        <v>0</v>
      </c>
      <c r="W19" s="18">
        <f t="shared" si="5"/>
        <v>0</v>
      </c>
      <c r="X19" s="18">
        <f t="shared" si="6"/>
        <v>0</v>
      </c>
      <c r="Y19" s="18">
        <f t="shared" si="7"/>
        <v>0</v>
      </c>
      <c r="Z19" s="18">
        <f t="shared" si="8"/>
        <v>0</v>
      </c>
      <c r="AA19" s="18">
        <f t="shared" si="9"/>
        <v>165418.77999999997</v>
      </c>
      <c r="AB19" s="18">
        <f t="shared" si="10"/>
        <v>165418.77999999997</v>
      </c>
      <c r="AC19" s="18">
        <f t="shared" si="11"/>
        <v>132335.02399999998</v>
      </c>
      <c r="AD19" s="18">
        <f t="shared" si="12"/>
        <v>198502.53599999996</v>
      </c>
      <c r="AE19" s="168">
        <f t="shared" si="13"/>
        <v>0</v>
      </c>
    </row>
    <row r="20" spans="1:31" s="10" customFormat="1" ht="20.100000000000001" customHeight="1" x14ac:dyDescent="0.2">
      <c r="A20" s="19" t="str">
        <f>ORÇAMENTO!A38</f>
        <v>08.05</v>
      </c>
      <c r="B20" s="20" t="str">
        <f>ORÇAMENTO!D38</f>
        <v>DECANTADOR</v>
      </c>
      <c r="C20" s="21" t="e">
        <f t="shared" si="14"/>
        <v>#REF!</v>
      </c>
      <c r="D20" s="22"/>
      <c r="E20" s="22"/>
      <c r="F20" s="253"/>
      <c r="G20" s="253"/>
      <c r="H20" s="253"/>
      <c r="I20" s="253"/>
      <c r="J20" s="253"/>
      <c r="K20" s="234">
        <v>25</v>
      </c>
      <c r="L20" s="234">
        <v>25</v>
      </c>
      <c r="M20" s="234">
        <v>25</v>
      </c>
      <c r="N20" s="253">
        <v>25</v>
      </c>
      <c r="O20" s="253"/>
      <c r="P20" s="24">
        <f>ORÇAMENTO!I38</f>
        <v>352361.24</v>
      </c>
      <c r="Q20" s="18"/>
      <c r="R20" s="161">
        <f t="shared" si="15"/>
        <v>100</v>
      </c>
      <c r="S20" s="18"/>
      <c r="T20" s="164">
        <f t="shared" si="2"/>
        <v>0</v>
      </c>
      <c r="U20" s="18">
        <f t="shared" si="3"/>
        <v>0</v>
      </c>
      <c r="V20" s="18">
        <f t="shared" si="4"/>
        <v>0</v>
      </c>
      <c r="W20" s="18">
        <f t="shared" si="5"/>
        <v>0</v>
      </c>
      <c r="X20" s="18">
        <f t="shared" si="6"/>
        <v>0</v>
      </c>
      <c r="Y20" s="18">
        <f t="shared" si="7"/>
        <v>0</v>
      </c>
      <c r="Z20" s="18">
        <f t="shared" si="8"/>
        <v>0</v>
      </c>
      <c r="AA20" s="18">
        <f t="shared" si="9"/>
        <v>88090.31</v>
      </c>
      <c r="AB20" s="18">
        <f t="shared" si="10"/>
        <v>88090.31</v>
      </c>
      <c r="AC20" s="18">
        <f t="shared" si="11"/>
        <v>88090.31</v>
      </c>
      <c r="AD20" s="18">
        <f t="shared" si="12"/>
        <v>88090.31</v>
      </c>
      <c r="AE20" s="168">
        <f t="shared" si="13"/>
        <v>0</v>
      </c>
    </row>
    <row r="21" spans="1:31" s="10" customFormat="1" ht="20.100000000000001" customHeight="1" x14ac:dyDescent="0.2">
      <c r="A21" s="19" t="str">
        <f>ORÇAMENTO!A46</f>
        <v>08.09</v>
      </c>
      <c r="B21" s="20" t="str">
        <f>ORÇAMENTO!D46</f>
        <v>LEITOS DE SECAGEM</v>
      </c>
      <c r="C21" s="21" t="e">
        <f t="shared" si="14"/>
        <v>#REF!</v>
      </c>
      <c r="D21" s="22"/>
      <c r="E21" s="22"/>
      <c r="F21" s="22"/>
      <c r="G21" s="22"/>
      <c r="H21" s="22"/>
      <c r="I21" s="253"/>
      <c r="J21" s="253"/>
      <c r="K21" s="234">
        <v>25</v>
      </c>
      <c r="L21" s="234">
        <v>25</v>
      </c>
      <c r="M21" s="234">
        <v>25</v>
      </c>
      <c r="N21" s="234">
        <v>25</v>
      </c>
      <c r="O21" s="234"/>
      <c r="P21" s="24">
        <f>ORÇAMENTO!I46</f>
        <v>209283.28000000003</v>
      </c>
      <c r="Q21" s="18"/>
      <c r="R21" s="161">
        <f t="shared" si="15"/>
        <v>100</v>
      </c>
      <c r="S21" s="18"/>
      <c r="T21" s="164">
        <f t="shared" si="2"/>
        <v>0</v>
      </c>
      <c r="U21" s="18">
        <f t="shared" si="3"/>
        <v>0</v>
      </c>
      <c r="V21" s="18">
        <f t="shared" si="4"/>
        <v>0</v>
      </c>
      <c r="W21" s="18">
        <f t="shared" si="5"/>
        <v>0</v>
      </c>
      <c r="X21" s="18">
        <f t="shared" si="6"/>
        <v>0</v>
      </c>
      <c r="Y21" s="18">
        <f t="shared" si="7"/>
        <v>0</v>
      </c>
      <c r="Z21" s="18">
        <f t="shared" si="8"/>
        <v>0</v>
      </c>
      <c r="AA21" s="18">
        <f t="shared" si="9"/>
        <v>52320.820000000007</v>
      </c>
      <c r="AB21" s="18">
        <f t="shared" si="10"/>
        <v>52320.820000000007</v>
      </c>
      <c r="AC21" s="18">
        <f t="shared" si="11"/>
        <v>52320.820000000007</v>
      </c>
      <c r="AD21" s="18">
        <f t="shared" si="12"/>
        <v>52320.820000000007</v>
      </c>
      <c r="AE21" s="168">
        <f t="shared" si="13"/>
        <v>0</v>
      </c>
    </row>
    <row r="22" spans="1:31" s="10" customFormat="1" ht="20.100000000000001" customHeight="1" x14ac:dyDescent="0.2">
      <c r="A22" s="19" t="str">
        <f>ORÇAMENTO!A40</f>
        <v>08.06</v>
      </c>
      <c r="B22" s="20" t="str">
        <f>ORÇAMENTO!D40</f>
        <v>ELEVATÓRIA DE RECIRCULAÇÃO</v>
      </c>
      <c r="C22" s="21" t="e">
        <f t="shared" si="14"/>
        <v>#REF!</v>
      </c>
      <c r="D22" s="22"/>
      <c r="E22" s="22"/>
      <c r="F22" s="22"/>
      <c r="G22" s="22"/>
      <c r="H22" s="22"/>
      <c r="I22" s="253"/>
      <c r="J22" s="253"/>
      <c r="K22" s="234">
        <v>25</v>
      </c>
      <c r="L22" s="234">
        <v>25</v>
      </c>
      <c r="M22" s="234">
        <v>25</v>
      </c>
      <c r="N22" s="234">
        <v>25</v>
      </c>
      <c r="O22" s="234"/>
      <c r="P22" s="24">
        <f>ORÇAMENTO!I40</f>
        <v>145653.47999999998</v>
      </c>
      <c r="Q22" s="18"/>
      <c r="R22" s="161">
        <f t="shared" si="15"/>
        <v>100</v>
      </c>
      <c r="S22" s="18"/>
      <c r="T22" s="164">
        <f t="shared" si="2"/>
        <v>0</v>
      </c>
      <c r="U22" s="18">
        <f t="shared" si="3"/>
        <v>0</v>
      </c>
      <c r="V22" s="18">
        <f t="shared" si="4"/>
        <v>0</v>
      </c>
      <c r="W22" s="18">
        <f t="shared" si="5"/>
        <v>0</v>
      </c>
      <c r="X22" s="18">
        <f t="shared" si="6"/>
        <v>0</v>
      </c>
      <c r="Y22" s="18">
        <f t="shared" si="7"/>
        <v>0</v>
      </c>
      <c r="Z22" s="18">
        <f t="shared" si="8"/>
        <v>0</v>
      </c>
      <c r="AA22" s="18">
        <f t="shared" si="9"/>
        <v>36413.369999999995</v>
      </c>
      <c r="AB22" s="18">
        <f t="shared" si="10"/>
        <v>36413.369999999995</v>
      </c>
      <c r="AC22" s="18">
        <f t="shared" si="11"/>
        <v>36413.369999999995</v>
      </c>
      <c r="AD22" s="18">
        <f t="shared" si="12"/>
        <v>36413.369999999995</v>
      </c>
      <c r="AE22" s="168">
        <f t="shared" si="13"/>
        <v>0</v>
      </c>
    </row>
    <row r="23" spans="1:31" s="10" customFormat="1" ht="20.100000000000001" customHeight="1" x14ac:dyDescent="0.2">
      <c r="A23" s="19" t="str">
        <f>ORÇAMENTO!A48</f>
        <v>08.10</v>
      </c>
      <c r="B23" s="20" t="str">
        <f>ORÇAMENTO!D48</f>
        <v>EDIFICAÇÃO ADMINISTRATIVA - UNIDADE DE APOIO</v>
      </c>
      <c r="C23" s="21" t="e">
        <f t="shared" si="14"/>
        <v>#REF!</v>
      </c>
      <c r="D23" s="22"/>
      <c r="E23" s="22"/>
      <c r="F23" s="22"/>
      <c r="G23" s="22"/>
      <c r="H23" s="22"/>
      <c r="I23" s="253"/>
      <c r="J23" s="253"/>
      <c r="K23" s="234">
        <v>25</v>
      </c>
      <c r="L23" s="234">
        <v>25</v>
      </c>
      <c r="M23" s="234">
        <v>25</v>
      </c>
      <c r="N23" s="234">
        <v>25</v>
      </c>
      <c r="O23" s="234"/>
      <c r="P23" s="24" t="e">
        <f>ORÇAMENTO!I48</f>
        <v>#REF!</v>
      </c>
      <c r="Q23" s="18"/>
      <c r="R23" s="161">
        <f t="shared" si="15"/>
        <v>100</v>
      </c>
      <c r="S23" s="18"/>
      <c r="T23" s="164" t="e">
        <f t="shared" si="2"/>
        <v>#REF!</v>
      </c>
      <c r="U23" s="18" t="e">
        <f t="shared" si="3"/>
        <v>#REF!</v>
      </c>
      <c r="V23" s="18" t="e">
        <f t="shared" si="4"/>
        <v>#REF!</v>
      </c>
      <c r="W23" s="18" t="e">
        <f t="shared" si="5"/>
        <v>#REF!</v>
      </c>
      <c r="X23" s="18" t="e">
        <f t="shared" si="6"/>
        <v>#REF!</v>
      </c>
      <c r="Y23" s="18" t="e">
        <f t="shared" si="7"/>
        <v>#REF!</v>
      </c>
      <c r="Z23" s="18" t="e">
        <f t="shared" si="8"/>
        <v>#REF!</v>
      </c>
      <c r="AA23" s="18" t="e">
        <f t="shared" si="9"/>
        <v>#REF!</v>
      </c>
      <c r="AB23" s="18" t="e">
        <f t="shared" si="10"/>
        <v>#REF!</v>
      </c>
      <c r="AC23" s="18" t="e">
        <f t="shared" si="11"/>
        <v>#REF!</v>
      </c>
      <c r="AD23" s="18" t="e">
        <f t="shared" si="12"/>
        <v>#REF!</v>
      </c>
      <c r="AE23" s="168" t="e">
        <f t="shared" si="13"/>
        <v>#REF!</v>
      </c>
    </row>
    <row r="24" spans="1:31" s="10" customFormat="1" ht="20.100000000000001" customHeight="1" x14ac:dyDescent="0.2">
      <c r="A24" s="19" t="str">
        <f>ORÇAMENTO!A50</f>
        <v>08.11</v>
      </c>
      <c r="B24" s="20" t="str">
        <f>ORÇAMENTO!D50</f>
        <v>INTERLIGAÇÕES DE PROCESSOS, DRENAGEM E ÁGUA FRIA</v>
      </c>
      <c r="C24" s="21" t="e">
        <f t="shared" si="14"/>
        <v>#REF!</v>
      </c>
      <c r="D24" s="22"/>
      <c r="E24" s="22"/>
      <c r="F24" s="22"/>
      <c r="G24" s="22"/>
      <c r="H24" s="22"/>
      <c r="I24" s="253"/>
      <c r="J24" s="253"/>
      <c r="K24" s="234">
        <v>25</v>
      </c>
      <c r="L24" s="234">
        <v>25</v>
      </c>
      <c r="M24" s="234">
        <v>30</v>
      </c>
      <c r="N24" s="234">
        <v>20</v>
      </c>
      <c r="O24" s="234"/>
      <c r="P24" s="24">
        <f>ORÇAMENTO!I50</f>
        <v>240355.44</v>
      </c>
      <c r="Q24" s="18"/>
      <c r="R24" s="161">
        <f t="shared" si="15"/>
        <v>100</v>
      </c>
      <c r="S24" s="18"/>
      <c r="T24" s="164">
        <f t="shared" si="2"/>
        <v>0</v>
      </c>
      <c r="U24" s="18">
        <f t="shared" si="3"/>
        <v>0</v>
      </c>
      <c r="V24" s="18">
        <f t="shared" si="4"/>
        <v>0</v>
      </c>
      <c r="W24" s="18">
        <f t="shared" si="5"/>
        <v>0</v>
      </c>
      <c r="X24" s="18">
        <f t="shared" si="6"/>
        <v>0</v>
      </c>
      <c r="Y24" s="18">
        <f t="shared" si="7"/>
        <v>0</v>
      </c>
      <c r="Z24" s="18">
        <f t="shared" si="8"/>
        <v>0</v>
      </c>
      <c r="AA24" s="18">
        <f t="shared" si="9"/>
        <v>60088.86</v>
      </c>
      <c r="AB24" s="18">
        <f t="shared" si="10"/>
        <v>60088.86</v>
      </c>
      <c r="AC24" s="18">
        <f t="shared" si="11"/>
        <v>72106.631999999998</v>
      </c>
      <c r="AD24" s="18">
        <f t="shared" si="12"/>
        <v>48071.087999999996</v>
      </c>
      <c r="AE24" s="168">
        <f t="shared" si="13"/>
        <v>0</v>
      </c>
    </row>
    <row r="25" spans="1:31" s="10" customFormat="1" ht="20.100000000000001" customHeight="1" thickBot="1" x14ac:dyDescent="0.25">
      <c r="A25" s="19" t="str">
        <f>ORÇAMENTO!A44</f>
        <v>08.08</v>
      </c>
      <c r="B25" s="20" t="str">
        <f>ORÇAMENTO!D44</f>
        <v>QUEIMADOR DE BIOGÁS</v>
      </c>
      <c r="C25" s="21" t="e">
        <f t="shared" si="14"/>
        <v>#REF!</v>
      </c>
      <c r="D25" s="22"/>
      <c r="E25" s="22"/>
      <c r="F25" s="22"/>
      <c r="G25" s="22"/>
      <c r="H25" s="22"/>
      <c r="I25" s="253"/>
      <c r="J25" s="253"/>
      <c r="K25" s="253"/>
      <c r="L25" s="253"/>
      <c r="M25" s="253"/>
      <c r="N25" s="253"/>
      <c r="O25" s="234">
        <v>100</v>
      </c>
      <c r="P25" s="24">
        <f>ORÇAMENTO!I44</f>
        <v>12185.630000000001</v>
      </c>
      <c r="Q25" s="18"/>
      <c r="R25" s="162">
        <f t="shared" si="15"/>
        <v>100</v>
      </c>
      <c r="S25" s="18"/>
      <c r="T25" s="165">
        <f t="shared" si="2"/>
        <v>0</v>
      </c>
      <c r="U25" s="169">
        <f t="shared" si="3"/>
        <v>0</v>
      </c>
      <c r="V25" s="169">
        <f t="shared" si="4"/>
        <v>0</v>
      </c>
      <c r="W25" s="169">
        <f t="shared" si="5"/>
        <v>0</v>
      </c>
      <c r="X25" s="169">
        <f t="shared" si="6"/>
        <v>0</v>
      </c>
      <c r="Y25" s="169">
        <f t="shared" si="7"/>
        <v>0</v>
      </c>
      <c r="Z25" s="169">
        <f t="shared" si="8"/>
        <v>0</v>
      </c>
      <c r="AA25" s="169">
        <f t="shared" si="9"/>
        <v>0</v>
      </c>
      <c r="AB25" s="169">
        <f t="shared" si="10"/>
        <v>0</v>
      </c>
      <c r="AC25" s="169">
        <f t="shared" si="11"/>
        <v>0</v>
      </c>
      <c r="AD25" s="169">
        <f t="shared" si="12"/>
        <v>0</v>
      </c>
      <c r="AE25" s="170">
        <f t="shared" si="13"/>
        <v>12185.63</v>
      </c>
    </row>
    <row r="26" spans="1:31" s="10" customFormat="1" ht="14.25" thickTop="1" thickBot="1" x14ac:dyDescent="0.25">
      <c r="A26" s="19" t="str">
        <f>ORÇAMENTO!A52</f>
        <v>08.12</v>
      </c>
      <c r="B26" s="236" t="str">
        <f>ORÇAMENTO!D52</f>
        <v>URBANIZAÇÃO</v>
      </c>
      <c r="C26" s="21" t="e">
        <f t="shared" si="14"/>
        <v>#REF!</v>
      </c>
      <c r="D26" s="22"/>
      <c r="E26" s="22"/>
      <c r="F26" s="22"/>
      <c r="G26" s="22"/>
      <c r="H26" s="23"/>
      <c r="I26" s="254"/>
      <c r="J26" s="254"/>
      <c r="K26" s="253"/>
      <c r="L26" s="253"/>
      <c r="M26" s="253"/>
      <c r="N26" s="253"/>
      <c r="O26" s="234">
        <v>100</v>
      </c>
      <c r="P26" s="24">
        <f>ORÇAMENTO!I52</f>
        <v>437168.72000000003</v>
      </c>
      <c r="Q26" s="18"/>
      <c r="R26" s="162">
        <f t="shared" ref="R26" si="28">SUM(D26:O26)</f>
        <v>100</v>
      </c>
      <c r="S26" s="18"/>
      <c r="T26" s="165">
        <f t="shared" ref="T26" si="29">D26*$P26/100</f>
        <v>0</v>
      </c>
      <c r="U26" s="169">
        <f t="shared" ref="U26" si="30">E26*$P26/100</f>
        <v>0</v>
      </c>
      <c r="V26" s="169">
        <f t="shared" ref="V26" si="31">F26*$P26/100</f>
        <v>0</v>
      </c>
      <c r="W26" s="169">
        <f t="shared" ref="W26" si="32">G26*$P26/100</f>
        <v>0</v>
      </c>
      <c r="X26" s="169">
        <f t="shared" ref="X26" si="33">H26*$P26/100</f>
        <v>0</v>
      </c>
      <c r="Y26" s="169">
        <f t="shared" ref="Y26" si="34">I26*$P26/100</f>
        <v>0</v>
      </c>
      <c r="Z26" s="169">
        <f t="shared" ref="Z26" si="35">J26*$P26/100</f>
        <v>0</v>
      </c>
      <c r="AA26" s="169">
        <f t="shared" ref="AA26" si="36">K26*$P26/100</f>
        <v>0</v>
      </c>
      <c r="AB26" s="169">
        <f t="shared" ref="AB26" si="37">L26*$P26/100</f>
        <v>0</v>
      </c>
      <c r="AC26" s="169">
        <f t="shared" ref="AC26" si="38">M26*$P26/100</f>
        <v>0</v>
      </c>
      <c r="AD26" s="169">
        <f t="shared" ref="AD26" si="39">N26*$P26/100</f>
        <v>0</v>
      </c>
      <c r="AE26" s="170">
        <f t="shared" ref="AE26" si="40">O26*$P26/100</f>
        <v>437168.72</v>
      </c>
    </row>
    <row r="27" spans="1:31" s="10" customFormat="1" ht="20.100000000000001" customHeight="1" thickTop="1" x14ac:dyDescent="0.2">
      <c r="A27" s="19"/>
      <c r="B27" s="20"/>
      <c r="C27" s="21"/>
      <c r="D27" s="22"/>
      <c r="E27" s="22"/>
      <c r="F27" s="22"/>
      <c r="G27" s="22"/>
      <c r="H27" s="23"/>
      <c r="I27" s="23"/>
      <c r="J27" s="23"/>
      <c r="K27" s="23"/>
      <c r="L27" s="23"/>
      <c r="M27" s="23"/>
      <c r="N27" s="23"/>
      <c r="O27" s="23"/>
      <c r="P27" s="24"/>
      <c r="Q27" s="18"/>
      <c r="R27" s="18"/>
      <c r="S27" s="18"/>
      <c r="T27" s="18"/>
      <c r="V27" s="11"/>
    </row>
    <row r="28" spans="1:31" s="10" customFormat="1" ht="20.100000000000001" customHeight="1" x14ac:dyDescent="0.2">
      <c r="A28" s="19"/>
      <c r="B28" s="20"/>
      <c r="C28" s="21"/>
      <c r="D28" s="22"/>
      <c r="E28" s="22"/>
      <c r="F28" s="22"/>
      <c r="G28" s="22"/>
      <c r="H28" s="23"/>
      <c r="I28" s="23"/>
      <c r="J28" s="23"/>
      <c r="K28" s="23"/>
      <c r="L28" s="23"/>
      <c r="M28" s="23"/>
      <c r="N28" s="23"/>
      <c r="O28" s="23"/>
      <c r="P28" s="24"/>
      <c r="Q28" s="18"/>
      <c r="R28" s="18"/>
      <c r="S28" s="18"/>
      <c r="T28" s="18"/>
      <c r="V28" s="11"/>
    </row>
    <row r="29" spans="1:31" s="10" customFormat="1" ht="20.100000000000001" customHeight="1" x14ac:dyDescent="0.2">
      <c r="A29" s="19"/>
      <c r="B29" s="20"/>
      <c r="C29" s="21"/>
      <c r="D29" s="22"/>
      <c r="E29" s="22"/>
      <c r="F29" s="22"/>
      <c r="G29" s="22"/>
      <c r="H29" s="23"/>
      <c r="I29" s="23"/>
      <c r="J29" s="23"/>
      <c r="K29" s="23"/>
      <c r="L29" s="23"/>
      <c r="M29" s="23"/>
      <c r="N29" s="23"/>
      <c r="O29" s="23"/>
      <c r="P29" s="24"/>
      <c r="Q29" s="18"/>
      <c r="R29" s="18"/>
      <c r="S29" s="18"/>
      <c r="T29" s="18"/>
      <c r="V29" s="11"/>
    </row>
    <row r="30" spans="1:31" s="10" customFormat="1" ht="20.100000000000001" customHeight="1" x14ac:dyDescent="0.2">
      <c r="A30" s="19"/>
      <c r="B30" s="20"/>
      <c r="C30" s="21"/>
      <c r="D30" s="22"/>
      <c r="E30" s="22"/>
      <c r="F30" s="22"/>
      <c r="G30" s="22"/>
      <c r="H30" s="23"/>
      <c r="I30" s="23"/>
      <c r="J30" s="23"/>
      <c r="K30" s="23"/>
      <c r="L30" s="23"/>
      <c r="M30" s="23"/>
      <c r="N30" s="23"/>
      <c r="O30" s="23"/>
      <c r="P30" s="24"/>
      <c r="Q30" s="18"/>
      <c r="R30" s="18"/>
      <c r="S30" s="18"/>
      <c r="T30" s="18"/>
      <c r="V30" s="11"/>
    </row>
    <row r="31" spans="1:31" s="10" customFormat="1" ht="20.100000000000001" customHeight="1" x14ac:dyDescent="0.2">
      <c r="A31" s="19"/>
      <c r="B31" s="20"/>
      <c r="C31" s="26"/>
      <c r="D31" s="27"/>
      <c r="E31" s="27"/>
      <c r="F31" s="27"/>
      <c r="G31" s="27"/>
      <c r="H31" s="28"/>
      <c r="I31" s="28"/>
      <c r="J31" s="28"/>
      <c r="K31" s="28"/>
      <c r="L31" s="28"/>
      <c r="M31" s="28"/>
      <c r="N31" s="28"/>
      <c r="O31" s="28"/>
      <c r="P31" s="24"/>
      <c r="Q31" s="18"/>
      <c r="R31" s="18"/>
      <c r="S31" s="18"/>
      <c r="T31" s="18"/>
      <c r="V31" s="11"/>
    </row>
    <row r="32" spans="1:31" s="10" customFormat="1" ht="20.100000000000001" customHeight="1" x14ac:dyDescent="0.2">
      <c r="A32" s="19"/>
      <c r="B32" s="25"/>
      <c r="C32" s="26"/>
      <c r="D32" s="27"/>
      <c r="E32" s="27"/>
      <c r="F32" s="27"/>
      <c r="G32" s="27"/>
      <c r="H32" s="28"/>
      <c r="I32" s="28"/>
      <c r="J32" s="28"/>
      <c r="K32" s="28"/>
      <c r="L32" s="28"/>
      <c r="M32" s="28"/>
      <c r="N32" s="28"/>
      <c r="O32" s="28"/>
      <c r="P32" s="24"/>
      <c r="Q32" s="18"/>
      <c r="R32" s="18"/>
      <c r="S32" s="18"/>
      <c r="T32" s="18"/>
      <c r="V32" s="11"/>
    </row>
    <row r="33" spans="1:24" s="10" customFormat="1" ht="20.100000000000001" customHeight="1" x14ac:dyDescent="0.2">
      <c r="A33" s="19"/>
      <c r="B33" s="20"/>
      <c r="C33" s="26"/>
      <c r="D33" s="27"/>
      <c r="E33" s="27"/>
      <c r="F33" s="27"/>
      <c r="G33" s="27"/>
      <c r="H33" s="28"/>
      <c r="I33" s="28"/>
      <c r="J33" s="28"/>
      <c r="K33" s="28"/>
      <c r="L33" s="28"/>
      <c r="M33" s="28"/>
      <c r="N33" s="28"/>
      <c r="O33" s="28"/>
      <c r="P33" s="24"/>
      <c r="Q33" s="18"/>
      <c r="R33" s="18"/>
      <c r="S33" s="18"/>
      <c r="T33" s="18"/>
      <c r="V33" s="11"/>
    </row>
    <row r="34" spans="1:24" s="10" customFormat="1" ht="20.100000000000001" customHeight="1" thickBot="1" x14ac:dyDescent="0.25">
      <c r="A34" s="29"/>
      <c r="B34" s="30"/>
      <c r="C34" s="31"/>
      <c r="D34" s="30"/>
      <c r="E34" s="30"/>
      <c r="F34" s="30"/>
      <c r="G34" s="30"/>
      <c r="H34" s="32"/>
      <c r="I34" s="32"/>
      <c r="J34" s="32"/>
      <c r="K34" s="32"/>
      <c r="L34" s="32"/>
      <c r="M34" s="32"/>
      <c r="N34" s="32"/>
      <c r="O34" s="32"/>
      <c r="P34" s="33"/>
      <c r="Q34" s="18"/>
      <c r="R34" s="18"/>
      <c r="S34" s="18"/>
      <c r="T34" s="18"/>
      <c r="V34" s="11"/>
    </row>
    <row r="35" spans="1:24" s="10" customFormat="1" ht="29.25" customHeight="1" x14ac:dyDescent="0.2">
      <c r="A35" s="599" t="s">
        <v>31</v>
      </c>
      <c r="B35" s="600"/>
      <c r="C35" s="601"/>
      <c r="D35" s="109" t="e">
        <f>D36/$P36*100</f>
        <v>#REF!</v>
      </c>
      <c r="E35" s="109" t="e">
        <f t="shared" ref="E35:O35" si="41">E36/$P36*100</f>
        <v>#REF!</v>
      </c>
      <c r="F35" s="109" t="e">
        <f t="shared" si="41"/>
        <v>#REF!</v>
      </c>
      <c r="G35" s="109" t="e">
        <f t="shared" si="41"/>
        <v>#REF!</v>
      </c>
      <c r="H35" s="109" t="e">
        <f t="shared" si="41"/>
        <v>#REF!</v>
      </c>
      <c r="I35" s="109" t="e">
        <f t="shared" si="41"/>
        <v>#REF!</v>
      </c>
      <c r="J35" s="109" t="e">
        <f t="shared" si="41"/>
        <v>#REF!</v>
      </c>
      <c r="K35" s="109" t="e">
        <f t="shared" si="41"/>
        <v>#REF!</v>
      </c>
      <c r="L35" s="109" t="e">
        <f t="shared" si="41"/>
        <v>#REF!</v>
      </c>
      <c r="M35" s="109" t="e">
        <f t="shared" si="41"/>
        <v>#REF!</v>
      </c>
      <c r="N35" s="109" t="e">
        <f t="shared" si="41"/>
        <v>#REF!</v>
      </c>
      <c r="O35" s="109" t="e">
        <f t="shared" si="41"/>
        <v>#REF!</v>
      </c>
      <c r="P35" s="110" t="e">
        <f>SUM(P10:P26)-P13</f>
        <v>#REF!</v>
      </c>
      <c r="Q35" s="18"/>
      <c r="R35" s="18"/>
      <c r="S35" s="18"/>
      <c r="T35" s="18"/>
      <c r="V35" s="11"/>
    </row>
    <row r="36" spans="1:24" s="10" customFormat="1" ht="29.25" customHeight="1" x14ac:dyDescent="0.2">
      <c r="A36" s="602" t="s">
        <v>32</v>
      </c>
      <c r="B36" s="603"/>
      <c r="C36" s="604"/>
      <c r="D36" s="111" t="e">
        <f t="shared" ref="D36:O36" si="42">SUM(T10:T35)</f>
        <v>#REF!</v>
      </c>
      <c r="E36" s="111" t="e">
        <f t="shared" si="42"/>
        <v>#REF!</v>
      </c>
      <c r="F36" s="111" t="e">
        <f t="shared" si="42"/>
        <v>#REF!</v>
      </c>
      <c r="G36" s="111" t="e">
        <f t="shared" si="42"/>
        <v>#REF!</v>
      </c>
      <c r="H36" s="111" t="e">
        <f t="shared" si="42"/>
        <v>#REF!</v>
      </c>
      <c r="I36" s="111" t="e">
        <f t="shared" si="42"/>
        <v>#REF!</v>
      </c>
      <c r="J36" s="111" t="e">
        <f t="shared" si="42"/>
        <v>#REF!</v>
      </c>
      <c r="K36" s="111" t="e">
        <f t="shared" si="42"/>
        <v>#REF!</v>
      </c>
      <c r="L36" s="111" t="e">
        <f t="shared" si="42"/>
        <v>#REF!</v>
      </c>
      <c r="M36" s="111" t="e">
        <f t="shared" si="42"/>
        <v>#REF!</v>
      </c>
      <c r="N36" s="111" t="e">
        <f t="shared" si="42"/>
        <v>#REF!</v>
      </c>
      <c r="O36" s="111" t="e">
        <f t="shared" si="42"/>
        <v>#REF!</v>
      </c>
      <c r="P36" s="112" t="e">
        <f>SUM(P10:P34)</f>
        <v>#REF!</v>
      </c>
      <c r="Q36" s="18"/>
      <c r="R36" s="18"/>
      <c r="S36" s="18"/>
    </row>
    <row r="37" spans="1:24" s="10" customFormat="1" ht="29.25" customHeight="1" x14ac:dyDescent="0.2">
      <c r="A37" s="602" t="s">
        <v>33</v>
      </c>
      <c r="B37" s="603"/>
      <c r="C37" s="604"/>
      <c r="D37" s="113" t="e">
        <f>D35</f>
        <v>#REF!</v>
      </c>
      <c r="E37" s="113" t="e">
        <f t="shared" ref="E37:O37" si="43">D37+E35</f>
        <v>#REF!</v>
      </c>
      <c r="F37" s="113" t="e">
        <f t="shared" si="43"/>
        <v>#REF!</v>
      </c>
      <c r="G37" s="113" t="e">
        <f t="shared" si="43"/>
        <v>#REF!</v>
      </c>
      <c r="H37" s="113" t="e">
        <f t="shared" si="43"/>
        <v>#REF!</v>
      </c>
      <c r="I37" s="113" t="e">
        <f t="shared" si="43"/>
        <v>#REF!</v>
      </c>
      <c r="J37" s="113" t="e">
        <f t="shared" si="43"/>
        <v>#REF!</v>
      </c>
      <c r="K37" s="113" t="e">
        <f t="shared" si="43"/>
        <v>#REF!</v>
      </c>
      <c r="L37" s="113" t="e">
        <f t="shared" si="43"/>
        <v>#REF!</v>
      </c>
      <c r="M37" s="113" t="e">
        <f t="shared" si="43"/>
        <v>#REF!</v>
      </c>
      <c r="N37" s="113" t="e">
        <f t="shared" si="43"/>
        <v>#REF!</v>
      </c>
      <c r="O37" s="113" t="e">
        <f t="shared" si="43"/>
        <v>#REF!</v>
      </c>
      <c r="P37" s="114"/>
      <c r="Q37" s="18"/>
      <c r="R37" s="18"/>
      <c r="S37" s="18"/>
      <c r="T37" s="18"/>
      <c r="V37" s="11"/>
    </row>
    <row r="38" spans="1:24" s="10" customFormat="1" ht="29.25" customHeight="1" thickBot="1" x14ac:dyDescent="0.25">
      <c r="A38" s="593" t="s">
        <v>34</v>
      </c>
      <c r="B38" s="594"/>
      <c r="C38" s="595"/>
      <c r="D38" s="115" t="e">
        <f>D36</f>
        <v>#REF!</v>
      </c>
      <c r="E38" s="115" t="e">
        <f>D38+E36</f>
        <v>#REF!</v>
      </c>
      <c r="F38" s="115" t="e">
        <f t="shared" ref="F38:O38" si="44">E38+F36</f>
        <v>#REF!</v>
      </c>
      <c r="G38" s="115" t="e">
        <f t="shared" si="44"/>
        <v>#REF!</v>
      </c>
      <c r="H38" s="115" t="e">
        <f t="shared" si="44"/>
        <v>#REF!</v>
      </c>
      <c r="I38" s="115" t="e">
        <f t="shared" si="44"/>
        <v>#REF!</v>
      </c>
      <c r="J38" s="115" t="e">
        <f t="shared" si="44"/>
        <v>#REF!</v>
      </c>
      <c r="K38" s="115" t="e">
        <f t="shared" si="44"/>
        <v>#REF!</v>
      </c>
      <c r="L38" s="115" t="e">
        <f t="shared" si="44"/>
        <v>#REF!</v>
      </c>
      <c r="M38" s="115" t="e">
        <f t="shared" si="44"/>
        <v>#REF!</v>
      </c>
      <c r="N38" s="115" t="e">
        <f t="shared" si="44"/>
        <v>#REF!</v>
      </c>
      <c r="O38" s="115" t="e">
        <f t="shared" si="44"/>
        <v>#REF!</v>
      </c>
      <c r="P38" s="116"/>
      <c r="Q38" s="18"/>
      <c r="R38" s="18"/>
      <c r="S38" s="18"/>
      <c r="T38" s="18"/>
      <c r="V38" s="11"/>
    </row>
    <row r="39" spans="1:24" s="10" customFormat="1" ht="18" customHeight="1" x14ac:dyDescent="0.2">
      <c r="B39" s="8"/>
      <c r="D39" s="34"/>
      <c r="F39" s="34"/>
      <c r="U39" s="11"/>
    </row>
    <row r="40" spans="1:24" s="10" customFormat="1" ht="17.100000000000001" customHeight="1" x14ac:dyDescent="0.2">
      <c r="B40" s="8"/>
      <c r="E40" s="34"/>
      <c r="G40" s="34"/>
      <c r="H40" s="34"/>
      <c r="I40" s="34"/>
      <c r="J40" s="34"/>
      <c r="K40" s="34"/>
      <c r="L40" s="34"/>
      <c r="M40" s="34"/>
      <c r="N40" s="34"/>
      <c r="O40" s="34"/>
      <c r="X40" s="11"/>
    </row>
    <row r="41" spans="1:24" s="10" customFormat="1" ht="17.100000000000001" customHeight="1" x14ac:dyDescent="0.2">
      <c r="A41" s="35"/>
      <c r="B41" s="8"/>
      <c r="E41" s="34"/>
      <c r="G41" s="34"/>
      <c r="H41" s="34"/>
      <c r="I41" s="34"/>
      <c r="J41" s="34"/>
      <c r="K41" s="34"/>
      <c r="L41" s="34"/>
      <c r="M41" s="34"/>
      <c r="N41" s="34"/>
      <c r="O41" s="34"/>
      <c r="X41" s="11"/>
    </row>
    <row r="42" spans="1:24" ht="17.100000000000001" customHeight="1" x14ac:dyDescent="0.2">
      <c r="P42" s="35" t="e">
        <f>ORÇAMENTO!I54</f>
        <v>#REF!</v>
      </c>
      <c r="R42" s="37"/>
    </row>
  </sheetData>
  <mergeCells count="5">
    <mergeCell ref="A38:C38"/>
    <mergeCell ref="A1:P1"/>
    <mergeCell ref="A35:C35"/>
    <mergeCell ref="A36:C36"/>
    <mergeCell ref="A37:C37"/>
  </mergeCells>
  <phoneticPr fontId="0" type="noConversion"/>
  <printOptions horizontalCentered="1"/>
  <pageMargins left="0.19685039370078741" right="0.39370078740157483" top="1.1811023622047245" bottom="0.98425196850393704" header="0.31496062992125984" footer="0.51181102362204722"/>
  <pageSetup paperSize="9" scale="55" orientation="landscape" r:id="rId1"/>
  <headerFooter alignWithMargins="0">
    <oddHeader>&amp;L
&amp;G&amp;R
&amp;G</oddHeader>
    <oddFooter>&amp;C&amp;12&amp;K03+000
Rua Nilton Baldo, 744 – Bairro Jardim Paquetá - CEP 31.330-660 – Belo Horizonte / Minas Gerais.
Endereço Eletrônico: ottawaeng@terra.com.br – Telefax (31) 3418-2175 – CNPJ: 04.472.311/0001-04
&amp;RPágina &amp;P de &amp;P</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786"/>
  <sheetViews>
    <sheetView view="pageBreakPreview" topLeftCell="A511" zoomScale="80" zoomScaleNormal="100" zoomScaleSheetLayoutView="80" workbookViewId="0">
      <selection activeCell="B7" sqref="B7"/>
    </sheetView>
  </sheetViews>
  <sheetFormatPr defaultRowHeight="15" x14ac:dyDescent="0.2"/>
  <cols>
    <col min="1" max="1" width="16" style="52" customWidth="1"/>
    <col min="2" max="2" width="16" style="2" customWidth="1"/>
    <col min="3" max="3" width="15.140625" style="2" customWidth="1"/>
    <col min="4" max="4" width="90.7109375" style="53" customWidth="1"/>
    <col min="5" max="5" width="11" style="2" customWidth="1"/>
    <col min="6" max="6" width="13.5703125" style="54" customWidth="1"/>
    <col min="7" max="7" width="12.140625" style="55" customWidth="1"/>
    <col min="8" max="8" width="13.5703125" style="55" bestFit="1" customWidth="1"/>
    <col min="9" max="9" width="17.42578125" style="56" customWidth="1"/>
    <col min="10" max="10" width="21" style="1" customWidth="1"/>
    <col min="11" max="11" width="12.5703125" style="1" customWidth="1"/>
    <col min="12" max="12" width="9.28515625" style="1" bestFit="1" customWidth="1"/>
    <col min="13" max="13" width="12.140625" style="1" customWidth="1"/>
    <col min="14" max="16384" width="9.140625" style="1"/>
  </cols>
  <sheetData>
    <row r="1" spans="1:17" ht="28.5" customHeight="1" thickBot="1" x14ac:dyDescent="0.25">
      <c r="A1" s="605" t="s">
        <v>195</v>
      </c>
      <c r="B1" s="606"/>
      <c r="C1" s="606"/>
      <c r="D1" s="606"/>
      <c r="E1" s="606"/>
      <c r="F1" s="606"/>
      <c r="G1" s="606"/>
      <c r="H1" s="606"/>
      <c r="I1" s="607"/>
      <c r="J1" s="43"/>
      <c r="K1" s="44"/>
      <c r="L1" s="44"/>
      <c r="M1" s="44"/>
      <c r="N1" s="44"/>
      <c r="O1" s="44"/>
      <c r="P1" s="44"/>
      <c r="Q1" s="44"/>
    </row>
    <row r="2" spans="1:17" ht="5.0999999999999996" customHeight="1" thickBot="1" x14ac:dyDescent="0.25">
      <c r="A2" s="171"/>
      <c r="B2" s="172"/>
      <c r="C2" s="172"/>
      <c r="D2" s="173"/>
      <c r="E2" s="172"/>
      <c r="F2" s="174"/>
      <c r="G2" s="175"/>
      <c r="H2" s="175"/>
      <c r="I2" s="176"/>
      <c r="J2" s="43"/>
      <c r="K2" s="44"/>
      <c r="L2" s="44"/>
      <c r="M2" s="44"/>
      <c r="N2" s="44"/>
      <c r="O2" s="44"/>
      <c r="P2" s="44"/>
      <c r="Q2" s="44"/>
    </row>
    <row r="3" spans="1:17" ht="14.25" customHeight="1" thickBot="1" x14ac:dyDescent="0.25">
      <c r="A3" s="117" t="s">
        <v>38</v>
      </c>
      <c r="B3" s="608" t="s">
        <v>716</v>
      </c>
      <c r="C3" s="608"/>
      <c r="D3" s="608"/>
      <c r="E3" s="118"/>
      <c r="F3" s="119"/>
      <c r="G3" s="120"/>
      <c r="H3" s="120" t="s">
        <v>196</v>
      </c>
      <c r="I3" s="243" t="s">
        <v>456</v>
      </c>
      <c r="J3" s="43"/>
      <c r="K3" s="44"/>
      <c r="L3" s="44"/>
      <c r="M3" s="44"/>
      <c r="N3" s="44"/>
      <c r="O3" s="44"/>
      <c r="P3" s="44"/>
      <c r="Q3" s="44"/>
    </row>
    <row r="4" spans="1:17" ht="5.0999999999999996" customHeight="1" thickBot="1" x14ac:dyDescent="0.25">
      <c r="A4" s="45"/>
      <c r="B4" s="46"/>
      <c r="C4" s="46"/>
      <c r="D4" s="47"/>
      <c r="E4" s="46"/>
      <c r="F4" s="48"/>
      <c r="G4" s="49"/>
      <c r="H4" s="49"/>
      <c r="I4" s="50"/>
      <c r="J4" s="43"/>
      <c r="K4" s="44"/>
      <c r="L4" s="44"/>
      <c r="M4" s="44"/>
      <c r="N4" s="44"/>
      <c r="O4" s="44"/>
      <c r="P4" s="44"/>
      <c r="Q4" s="44"/>
    </row>
    <row r="5" spans="1:17" ht="14.25" customHeight="1" thickBot="1" x14ac:dyDescent="0.25">
      <c r="A5" s="121" t="s">
        <v>197</v>
      </c>
      <c r="B5" s="609" t="s">
        <v>718</v>
      </c>
      <c r="C5" s="610"/>
      <c r="D5" s="610"/>
      <c r="E5" s="108"/>
      <c r="F5" s="122"/>
      <c r="G5" s="123"/>
      <c r="H5" s="123"/>
      <c r="I5" s="124"/>
      <c r="J5" s="43"/>
      <c r="K5" s="44"/>
      <c r="L5" s="44"/>
      <c r="M5" s="44"/>
      <c r="N5" s="44"/>
      <c r="O5" s="44"/>
      <c r="P5" s="44"/>
      <c r="Q5" s="44"/>
    </row>
    <row r="6" spans="1:17" ht="5.0999999999999996" customHeight="1" thickBot="1" x14ac:dyDescent="0.25">
      <c r="A6" s="45"/>
      <c r="B6" s="46"/>
      <c r="C6" s="46"/>
      <c r="D6" s="47"/>
      <c r="E6" s="46"/>
      <c r="F6" s="48"/>
      <c r="G6" s="49"/>
      <c r="H6" s="49"/>
      <c r="I6" s="50"/>
      <c r="J6" s="43"/>
      <c r="K6" s="44"/>
      <c r="L6" s="44"/>
      <c r="M6" s="44"/>
      <c r="N6" s="44"/>
      <c r="O6" s="44"/>
      <c r="P6" s="44"/>
      <c r="Q6" s="44"/>
    </row>
    <row r="7" spans="1:17" ht="14.25" customHeight="1" thickBot="1" x14ac:dyDescent="0.25">
      <c r="A7" s="121" t="s">
        <v>198</v>
      </c>
      <c r="B7" s="125" t="s">
        <v>721</v>
      </c>
      <c r="C7" s="108"/>
      <c r="D7" s="126"/>
      <c r="E7" s="108"/>
      <c r="F7" s="127"/>
      <c r="G7" s="123"/>
      <c r="H7" s="123"/>
      <c r="I7" s="128"/>
      <c r="J7" s="51"/>
      <c r="K7" s="44"/>
      <c r="L7" s="44"/>
      <c r="M7" s="44"/>
      <c r="N7" s="44"/>
      <c r="O7" s="44"/>
      <c r="P7" s="44"/>
      <c r="Q7" s="44"/>
    </row>
    <row r="8" spans="1:17" ht="5.0999999999999996" customHeight="1" thickBot="1" x14ac:dyDescent="0.25">
      <c r="A8" s="45"/>
      <c r="B8" s="46"/>
      <c r="C8" s="46"/>
      <c r="D8" s="47"/>
      <c r="E8" s="46"/>
      <c r="F8" s="48"/>
      <c r="G8" s="49"/>
      <c r="H8" s="49"/>
      <c r="I8" s="50"/>
      <c r="J8" s="43"/>
      <c r="K8" s="44"/>
      <c r="L8" s="44"/>
      <c r="M8" s="44"/>
      <c r="N8" s="44"/>
      <c r="O8" s="44"/>
      <c r="P8" s="44"/>
      <c r="Q8" s="44"/>
    </row>
    <row r="9" spans="1:17" ht="14.25" x14ac:dyDescent="0.2">
      <c r="A9" s="611" t="s">
        <v>199</v>
      </c>
      <c r="B9" s="613" t="s">
        <v>200</v>
      </c>
      <c r="C9" s="613" t="s">
        <v>201</v>
      </c>
      <c r="D9" s="615" t="s">
        <v>202</v>
      </c>
      <c r="E9" s="618" t="s">
        <v>203</v>
      </c>
      <c r="F9" s="621" t="s">
        <v>204</v>
      </c>
      <c r="G9" s="129" t="s">
        <v>40</v>
      </c>
      <c r="H9" s="129" t="s">
        <v>40</v>
      </c>
      <c r="I9" s="130" t="s">
        <v>40</v>
      </c>
      <c r="J9" s="44"/>
      <c r="K9" s="44"/>
      <c r="L9" s="44"/>
      <c r="M9" s="44"/>
      <c r="N9" s="44"/>
      <c r="O9" s="44"/>
      <c r="P9" s="44"/>
      <c r="Q9" s="44"/>
    </row>
    <row r="10" spans="1:17" ht="28.5" customHeight="1" x14ac:dyDescent="0.2">
      <c r="A10" s="612"/>
      <c r="B10" s="614"/>
      <c r="C10" s="614"/>
      <c r="D10" s="616"/>
      <c r="E10" s="619"/>
      <c r="F10" s="622"/>
      <c r="G10" s="131" t="s">
        <v>41</v>
      </c>
      <c r="H10" s="131" t="s">
        <v>41</v>
      </c>
      <c r="I10" s="132" t="s">
        <v>205</v>
      </c>
      <c r="J10" s="44"/>
      <c r="K10" s="44"/>
      <c r="L10" s="44"/>
      <c r="M10" s="44"/>
      <c r="N10" s="44"/>
      <c r="O10" s="44"/>
      <c r="P10" s="44"/>
      <c r="Q10" s="44"/>
    </row>
    <row r="11" spans="1:17" ht="14.25" customHeight="1" x14ac:dyDescent="0.2">
      <c r="A11" s="612"/>
      <c r="B11" s="614"/>
      <c r="C11" s="614"/>
      <c r="D11" s="617"/>
      <c r="E11" s="620"/>
      <c r="F11" s="623"/>
      <c r="G11" s="133" t="s">
        <v>42</v>
      </c>
      <c r="H11" s="133" t="s">
        <v>206</v>
      </c>
      <c r="I11" s="132"/>
      <c r="J11" s="44"/>
      <c r="K11" s="44"/>
      <c r="L11" s="44"/>
      <c r="M11" s="44"/>
      <c r="N11" s="44"/>
      <c r="O11" s="44"/>
      <c r="P11" s="44"/>
      <c r="Q11" s="44"/>
    </row>
    <row r="12" spans="1:17" ht="14.25" customHeight="1" x14ac:dyDescent="0.2">
      <c r="A12" s="177"/>
      <c r="B12" s="178"/>
      <c r="C12" s="178"/>
      <c r="D12" s="179"/>
      <c r="E12" s="180"/>
      <c r="F12" s="190"/>
      <c r="G12" s="191"/>
      <c r="H12" s="191"/>
      <c r="I12" s="192"/>
      <c r="J12" s="44"/>
      <c r="K12" s="44"/>
      <c r="L12" s="44"/>
      <c r="M12" s="44"/>
      <c r="N12" s="44"/>
      <c r="O12" s="44"/>
      <c r="P12" s="44"/>
      <c r="Q12" s="44"/>
    </row>
    <row r="13" spans="1:17" ht="14.25" customHeight="1" x14ac:dyDescent="0.2">
      <c r="A13" s="290" t="s">
        <v>1085</v>
      </c>
      <c r="B13" s="279" t="s">
        <v>335</v>
      </c>
      <c r="C13" s="290" t="s">
        <v>207</v>
      </c>
      <c r="D13" s="291" t="s">
        <v>208</v>
      </c>
      <c r="E13" s="279"/>
      <c r="F13" s="348"/>
      <c r="G13" s="349"/>
      <c r="H13" s="349"/>
      <c r="I13" s="350">
        <f>I15+I31+I41</f>
        <v>45318.5</v>
      </c>
      <c r="J13" s="44"/>
      <c r="K13" s="44"/>
      <c r="L13" s="44"/>
      <c r="M13" s="44"/>
      <c r="N13" s="44"/>
      <c r="O13" s="44"/>
      <c r="P13" s="44"/>
      <c r="Q13" s="44"/>
    </row>
    <row r="14" spans="1:17" ht="14.25" customHeight="1" x14ac:dyDescent="0.2">
      <c r="A14" s="233"/>
      <c r="B14" s="233"/>
      <c r="C14" s="233"/>
      <c r="D14" s="182"/>
      <c r="E14" s="233"/>
      <c r="F14" s="159"/>
      <c r="G14" s="159"/>
      <c r="H14" s="159"/>
      <c r="I14" s="282"/>
      <c r="J14" s="44"/>
      <c r="K14" s="44"/>
      <c r="L14" s="44"/>
      <c r="M14" s="44"/>
      <c r="N14" s="44"/>
      <c r="O14" s="44"/>
      <c r="P14" s="44"/>
      <c r="Q14" s="44"/>
    </row>
    <row r="15" spans="1:17" s="5" customFormat="1" ht="15.95" customHeight="1" x14ac:dyDescent="0.2">
      <c r="A15" s="354" t="s">
        <v>1775</v>
      </c>
      <c r="B15" s="183"/>
      <c r="C15" s="183"/>
      <c r="D15" s="184" t="s">
        <v>209</v>
      </c>
      <c r="E15" s="233"/>
      <c r="F15" s="355"/>
      <c r="G15" s="299"/>
      <c r="H15" s="299"/>
      <c r="I15" s="356">
        <f>SUM(I16:I29)</f>
        <v>32085.9</v>
      </c>
      <c r="J15" s="4"/>
      <c r="K15" s="6">
        <v>2</v>
      </c>
      <c r="L15" s="4"/>
      <c r="M15" s="4"/>
      <c r="N15" s="4"/>
      <c r="O15" s="4"/>
      <c r="P15" s="4"/>
      <c r="Q15" s="4"/>
    </row>
    <row r="16" spans="1:17" s="5" customFormat="1" ht="14.25" x14ac:dyDescent="0.2">
      <c r="A16" s="286" t="s">
        <v>210</v>
      </c>
      <c r="B16" s="233" t="s">
        <v>45</v>
      </c>
      <c r="C16" s="233">
        <v>2707</v>
      </c>
      <c r="D16" s="182" t="s">
        <v>1776</v>
      </c>
      <c r="E16" s="233" t="s">
        <v>14</v>
      </c>
      <c r="F16" s="355">
        <v>90</v>
      </c>
      <c r="G16" s="296">
        <v>85.77</v>
      </c>
      <c r="H16" s="299">
        <f>G16</f>
        <v>85.77</v>
      </c>
      <c r="I16" s="357">
        <f>ROUND(F16*H16,2)</f>
        <v>7719.3</v>
      </c>
      <c r="J16" s="4" t="e">
        <f>F16/$K$14</f>
        <v>#DIV/0!</v>
      </c>
      <c r="K16" s="4"/>
      <c r="L16" s="4"/>
      <c r="M16" s="4"/>
      <c r="N16" s="4"/>
      <c r="O16" s="4"/>
      <c r="P16" s="4"/>
      <c r="Q16" s="4"/>
    </row>
    <row r="17" spans="1:17" s="40" customFormat="1" ht="14.25" x14ac:dyDescent="0.2">
      <c r="A17" s="306" t="s">
        <v>211</v>
      </c>
      <c r="B17" s="232" t="s">
        <v>45</v>
      </c>
      <c r="C17" s="232">
        <v>4069</v>
      </c>
      <c r="D17" s="150" t="s">
        <v>1777</v>
      </c>
      <c r="E17" s="232" t="s">
        <v>14</v>
      </c>
      <c r="F17" s="358">
        <v>90</v>
      </c>
      <c r="G17" s="296">
        <v>48.12</v>
      </c>
      <c r="H17" s="299">
        <f t="shared" ref="H17:H29" si="0">G17</f>
        <v>48.12</v>
      </c>
      <c r="I17" s="357">
        <f t="shared" ref="I17:I29" si="1">ROUND(F17*H17,2)</f>
        <v>4330.8</v>
      </c>
      <c r="J17" s="4" t="e">
        <f t="shared" ref="J17:J44" si="2">F17/$K$14</f>
        <v>#DIV/0!</v>
      </c>
      <c r="K17" s="41"/>
      <c r="L17" s="41"/>
      <c r="M17" s="41"/>
      <c r="N17" s="41"/>
      <c r="O17" s="41"/>
      <c r="P17" s="41"/>
      <c r="Q17" s="41"/>
    </row>
    <row r="18" spans="1:17" s="5" customFormat="1" ht="14.25" x14ac:dyDescent="0.2">
      <c r="A18" s="286" t="s">
        <v>212</v>
      </c>
      <c r="B18" s="233" t="s">
        <v>45</v>
      </c>
      <c r="C18" s="233">
        <v>4083</v>
      </c>
      <c r="D18" s="182" t="s">
        <v>1778</v>
      </c>
      <c r="E18" s="233" t="s">
        <v>14</v>
      </c>
      <c r="F18" s="355">
        <v>90</v>
      </c>
      <c r="G18" s="296">
        <v>28.88</v>
      </c>
      <c r="H18" s="299">
        <f t="shared" si="0"/>
        <v>28.88</v>
      </c>
      <c r="I18" s="357">
        <f t="shared" si="1"/>
        <v>2599.1999999999998</v>
      </c>
      <c r="J18" s="4" t="e">
        <f t="shared" si="2"/>
        <v>#DIV/0!</v>
      </c>
      <c r="K18" s="4"/>
      <c r="L18" s="4"/>
      <c r="M18" s="4"/>
      <c r="N18" s="4"/>
      <c r="O18" s="4"/>
      <c r="P18" s="4"/>
      <c r="Q18" s="4"/>
    </row>
    <row r="19" spans="1:17" s="5" customFormat="1" ht="14.25" x14ac:dyDescent="0.2">
      <c r="A19" s="286" t="s">
        <v>213</v>
      </c>
      <c r="B19" s="233" t="s">
        <v>45</v>
      </c>
      <c r="C19" s="233">
        <v>4083</v>
      </c>
      <c r="D19" s="182" t="s">
        <v>1779</v>
      </c>
      <c r="E19" s="233" t="s">
        <v>14</v>
      </c>
      <c r="F19" s="355">
        <v>90</v>
      </c>
      <c r="G19" s="296">
        <v>28.88</v>
      </c>
      <c r="H19" s="299">
        <f t="shared" si="0"/>
        <v>28.88</v>
      </c>
      <c r="I19" s="357">
        <f t="shared" si="1"/>
        <v>2599.1999999999998</v>
      </c>
      <c r="J19" s="4" t="e">
        <f t="shared" si="2"/>
        <v>#DIV/0!</v>
      </c>
      <c r="K19" s="4"/>
      <c r="L19" s="4"/>
      <c r="M19" s="4"/>
      <c r="N19" s="4"/>
      <c r="O19" s="4"/>
      <c r="P19" s="4"/>
      <c r="Q19" s="4"/>
    </row>
    <row r="20" spans="1:17" s="5" customFormat="1" ht="14.25" x14ac:dyDescent="0.2">
      <c r="A20" s="286" t="s">
        <v>214</v>
      </c>
      <c r="B20" s="233" t="s">
        <v>45</v>
      </c>
      <c r="C20" s="233">
        <v>4083</v>
      </c>
      <c r="D20" s="182" t="s">
        <v>1780</v>
      </c>
      <c r="E20" s="233" t="s">
        <v>14</v>
      </c>
      <c r="F20" s="355">
        <v>90</v>
      </c>
      <c r="G20" s="296">
        <v>28.88</v>
      </c>
      <c r="H20" s="299">
        <f t="shared" si="0"/>
        <v>28.88</v>
      </c>
      <c r="I20" s="357">
        <f t="shared" si="1"/>
        <v>2599.1999999999998</v>
      </c>
      <c r="J20" s="4" t="e">
        <f t="shared" si="2"/>
        <v>#DIV/0!</v>
      </c>
      <c r="K20" s="4"/>
      <c r="L20" s="4"/>
      <c r="M20" s="4"/>
      <c r="N20" s="4"/>
      <c r="O20" s="4"/>
      <c r="P20" s="4"/>
      <c r="Q20" s="4"/>
    </row>
    <row r="21" spans="1:17" s="5" customFormat="1" ht="14.25" x14ac:dyDescent="0.2">
      <c r="A21" s="286" t="s">
        <v>216</v>
      </c>
      <c r="B21" s="233" t="s">
        <v>45</v>
      </c>
      <c r="C21" s="233">
        <v>2350</v>
      </c>
      <c r="D21" s="182" t="s">
        <v>215</v>
      </c>
      <c r="E21" s="233" t="s">
        <v>14</v>
      </c>
      <c r="F21" s="355">
        <v>90</v>
      </c>
      <c r="G21" s="296">
        <v>12.07</v>
      </c>
      <c r="H21" s="299">
        <f t="shared" si="0"/>
        <v>12.07</v>
      </c>
      <c r="I21" s="357">
        <f t="shared" si="1"/>
        <v>1086.3</v>
      </c>
      <c r="J21" s="4" t="e">
        <f t="shared" si="2"/>
        <v>#DIV/0!</v>
      </c>
      <c r="K21" s="4"/>
      <c r="L21" s="4"/>
      <c r="M21" s="4"/>
      <c r="N21" s="4"/>
      <c r="O21" s="4"/>
      <c r="P21" s="4"/>
      <c r="Q21" s="4"/>
    </row>
    <row r="22" spans="1:17" s="5" customFormat="1" ht="14.25" x14ac:dyDescent="0.2">
      <c r="A22" s="286" t="s">
        <v>218</v>
      </c>
      <c r="B22" s="233" t="s">
        <v>45</v>
      </c>
      <c r="C22" s="233">
        <v>253</v>
      </c>
      <c r="D22" s="182" t="s">
        <v>217</v>
      </c>
      <c r="E22" s="233" t="s">
        <v>14</v>
      </c>
      <c r="F22" s="355">
        <v>90</v>
      </c>
      <c r="G22" s="296">
        <v>18.73</v>
      </c>
      <c r="H22" s="299">
        <f t="shared" si="0"/>
        <v>18.73</v>
      </c>
      <c r="I22" s="357">
        <f t="shared" si="1"/>
        <v>1685.7</v>
      </c>
      <c r="J22" s="4" t="e">
        <f t="shared" si="2"/>
        <v>#DIV/0!</v>
      </c>
      <c r="K22" s="4"/>
      <c r="L22" s="4"/>
      <c r="M22" s="4"/>
      <c r="N22" s="4"/>
      <c r="O22" s="4"/>
      <c r="P22" s="4"/>
      <c r="Q22" s="4"/>
    </row>
    <row r="23" spans="1:17" s="5" customFormat="1" ht="14.25" x14ac:dyDescent="0.2">
      <c r="A23" s="286" t="s">
        <v>220</v>
      </c>
      <c r="B23" s="233" t="s">
        <v>45</v>
      </c>
      <c r="C23" s="233">
        <v>7592</v>
      </c>
      <c r="D23" s="182" t="s">
        <v>219</v>
      </c>
      <c r="E23" s="233" t="s">
        <v>14</v>
      </c>
      <c r="F23" s="355">
        <v>90</v>
      </c>
      <c r="G23" s="296">
        <v>14.63</v>
      </c>
      <c r="H23" s="299">
        <f t="shared" si="0"/>
        <v>14.63</v>
      </c>
      <c r="I23" s="357">
        <f t="shared" si="1"/>
        <v>1316.7</v>
      </c>
      <c r="J23" s="4" t="e">
        <f t="shared" si="2"/>
        <v>#DIV/0!</v>
      </c>
      <c r="K23" s="4"/>
      <c r="L23" s="4"/>
      <c r="M23" s="4"/>
      <c r="N23" s="4"/>
      <c r="O23" s="4"/>
      <c r="P23" s="4"/>
      <c r="Q23" s="4"/>
    </row>
    <row r="24" spans="1:17" s="5" customFormat="1" ht="14.25" x14ac:dyDescent="0.2">
      <c r="A24" s="286" t="s">
        <v>222</v>
      </c>
      <c r="B24" s="233" t="s">
        <v>45</v>
      </c>
      <c r="C24" s="233">
        <v>244</v>
      </c>
      <c r="D24" s="182" t="s">
        <v>221</v>
      </c>
      <c r="E24" s="233" t="s">
        <v>14</v>
      </c>
      <c r="F24" s="355">
        <v>90</v>
      </c>
      <c r="G24" s="296">
        <v>10.98</v>
      </c>
      <c r="H24" s="299">
        <f t="shared" si="0"/>
        <v>10.98</v>
      </c>
      <c r="I24" s="357">
        <f t="shared" si="1"/>
        <v>988.2</v>
      </c>
      <c r="J24" s="4" t="e">
        <f t="shared" si="2"/>
        <v>#DIV/0!</v>
      </c>
      <c r="K24" s="4"/>
      <c r="L24" s="4"/>
      <c r="M24" s="4"/>
      <c r="N24" s="4"/>
      <c r="O24" s="4"/>
      <c r="P24" s="4"/>
      <c r="Q24" s="4"/>
    </row>
    <row r="25" spans="1:17" s="5" customFormat="1" ht="14.25" x14ac:dyDescent="0.2">
      <c r="A25" s="286" t="s">
        <v>224</v>
      </c>
      <c r="B25" s="233" t="s">
        <v>45</v>
      </c>
      <c r="C25" s="233">
        <v>6122</v>
      </c>
      <c r="D25" s="182" t="s">
        <v>223</v>
      </c>
      <c r="E25" s="233" t="s">
        <v>14</v>
      </c>
      <c r="F25" s="355">
        <v>90</v>
      </c>
      <c r="G25" s="296">
        <v>17.68</v>
      </c>
      <c r="H25" s="299">
        <f t="shared" si="0"/>
        <v>17.68</v>
      </c>
      <c r="I25" s="357">
        <f t="shared" si="1"/>
        <v>1591.2</v>
      </c>
      <c r="J25" s="4" t="e">
        <f t="shared" si="2"/>
        <v>#DIV/0!</v>
      </c>
      <c r="K25" s="4"/>
      <c r="L25" s="4"/>
      <c r="M25" s="4"/>
      <c r="N25" s="4"/>
      <c r="O25" s="4"/>
      <c r="P25" s="4"/>
      <c r="Q25" s="4"/>
    </row>
    <row r="26" spans="1:17" s="5" customFormat="1" ht="14.25" x14ac:dyDescent="0.2">
      <c r="A26" s="286" t="s">
        <v>225</v>
      </c>
      <c r="B26" s="233" t="s">
        <v>45</v>
      </c>
      <c r="C26" s="233">
        <v>6111</v>
      </c>
      <c r="D26" s="182" t="s">
        <v>1781</v>
      </c>
      <c r="E26" s="233" t="s">
        <v>14</v>
      </c>
      <c r="F26" s="355">
        <v>90</v>
      </c>
      <c r="G26" s="296">
        <v>12.02</v>
      </c>
      <c r="H26" s="299">
        <f t="shared" si="0"/>
        <v>12.02</v>
      </c>
      <c r="I26" s="357">
        <f t="shared" si="1"/>
        <v>1081.8</v>
      </c>
      <c r="J26" s="4" t="e">
        <f t="shared" si="2"/>
        <v>#DIV/0!</v>
      </c>
      <c r="K26" s="4"/>
      <c r="L26" s="4"/>
      <c r="M26" s="4"/>
      <c r="N26" s="4"/>
      <c r="O26" s="4"/>
      <c r="P26" s="4"/>
      <c r="Q26" s="4"/>
    </row>
    <row r="27" spans="1:17" s="5" customFormat="1" ht="14.25" x14ac:dyDescent="0.2">
      <c r="A27" s="286" t="s">
        <v>226</v>
      </c>
      <c r="B27" s="233" t="s">
        <v>45</v>
      </c>
      <c r="C27" s="233">
        <v>20020</v>
      </c>
      <c r="D27" s="182" t="s">
        <v>227</v>
      </c>
      <c r="E27" s="233" t="s">
        <v>14</v>
      </c>
      <c r="F27" s="355">
        <v>90</v>
      </c>
      <c r="G27" s="296">
        <v>15.52</v>
      </c>
      <c r="H27" s="299">
        <f t="shared" si="0"/>
        <v>15.52</v>
      </c>
      <c r="I27" s="357">
        <f t="shared" si="1"/>
        <v>1396.8</v>
      </c>
      <c r="J27" s="4" t="e">
        <f t="shared" si="2"/>
        <v>#DIV/0!</v>
      </c>
      <c r="K27" s="4"/>
      <c r="L27" s="4"/>
      <c r="M27" s="4"/>
      <c r="N27" s="4"/>
      <c r="O27" s="4"/>
      <c r="P27" s="4"/>
      <c r="Q27" s="4"/>
    </row>
    <row r="28" spans="1:17" s="5" customFormat="1" ht="14.25" x14ac:dyDescent="0.2">
      <c r="A28" s="286" t="s">
        <v>228</v>
      </c>
      <c r="B28" s="233" t="s">
        <v>45</v>
      </c>
      <c r="C28" s="233">
        <v>4093</v>
      </c>
      <c r="D28" s="182" t="s">
        <v>229</v>
      </c>
      <c r="E28" s="233" t="s">
        <v>14</v>
      </c>
      <c r="F28" s="355">
        <v>90</v>
      </c>
      <c r="G28" s="296">
        <v>15.52</v>
      </c>
      <c r="H28" s="299">
        <f t="shared" si="0"/>
        <v>15.52</v>
      </c>
      <c r="I28" s="357">
        <f t="shared" si="1"/>
        <v>1396.8</v>
      </c>
      <c r="J28" s="4" t="e">
        <f t="shared" si="2"/>
        <v>#DIV/0!</v>
      </c>
      <c r="K28" s="4"/>
      <c r="L28" s="4"/>
      <c r="M28" s="4"/>
      <c r="N28" s="4"/>
      <c r="O28" s="4"/>
      <c r="P28" s="4"/>
      <c r="Q28" s="4"/>
    </row>
    <row r="29" spans="1:17" s="5" customFormat="1" ht="28.5" x14ac:dyDescent="0.2">
      <c r="A29" s="286" t="s">
        <v>1782</v>
      </c>
      <c r="B29" s="233" t="s">
        <v>45</v>
      </c>
      <c r="C29" s="233">
        <v>41776</v>
      </c>
      <c r="D29" s="182" t="s">
        <v>1783</v>
      </c>
      <c r="E29" s="233" t="s">
        <v>14</v>
      </c>
      <c r="F29" s="355">
        <v>90</v>
      </c>
      <c r="G29" s="296">
        <v>18.829999999999998</v>
      </c>
      <c r="H29" s="299">
        <f t="shared" si="0"/>
        <v>18.829999999999998</v>
      </c>
      <c r="I29" s="357">
        <f t="shared" si="1"/>
        <v>1694.7</v>
      </c>
      <c r="J29" s="4" t="e">
        <f t="shared" si="2"/>
        <v>#DIV/0!</v>
      </c>
      <c r="K29" s="4"/>
      <c r="L29" s="4"/>
      <c r="M29" s="4"/>
      <c r="N29" s="4"/>
      <c r="O29" s="4"/>
      <c r="P29" s="4"/>
      <c r="Q29" s="4"/>
    </row>
    <row r="30" spans="1:17" s="5" customFormat="1" ht="14.25" x14ac:dyDescent="0.2">
      <c r="A30" s="286"/>
      <c r="B30" s="233"/>
      <c r="C30" s="233"/>
      <c r="D30" s="182"/>
      <c r="E30" s="233"/>
      <c r="F30" s="355"/>
      <c r="G30" s="296"/>
      <c r="H30" s="299"/>
      <c r="I30" s="357"/>
      <c r="J30" s="4" t="e">
        <f t="shared" si="2"/>
        <v>#DIV/0!</v>
      </c>
      <c r="K30" s="4"/>
      <c r="L30" s="4"/>
      <c r="M30" s="4"/>
      <c r="N30" s="4"/>
      <c r="O30" s="4"/>
      <c r="P30" s="4"/>
      <c r="Q30" s="4"/>
    </row>
    <row r="31" spans="1:17" s="5" customFormat="1" x14ac:dyDescent="0.2">
      <c r="A31" s="354" t="s">
        <v>1784</v>
      </c>
      <c r="B31" s="233"/>
      <c r="C31" s="233"/>
      <c r="D31" s="184" t="s">
        <v>230</v>
      </c>
      <c r="E31" s="233"/>
      <c r="F31" s="355"/>
      <c r="G31" s="296"/>
      <c r="H31" s="299"/>
      <c r="I31" s="356">
        <f>SUM(I32:I38)</f>
        <v>9975.6</v>
      </c>
      <c r="J31" s="4" t="e">
        <f t="shared" si="2"/>
        <v>#DIV/0!</v>
      </c>
      <c r="K31" s="4"/>
      <c r="L31" s="4"/>
      <c r="M31" s="4"/>
      <c r="N31" s="4"/>
      <c r="O31" s="4"/>
      <c r="P31" s="4"/>
      <c r="Q31" s="4"/>
    </row>
    <row r="32" spans="1:17" s="5" customFormat="1" ht="28.5" x14ac:dyDescent="0.2">
      <c r="A32" s="286" t="s">
        <v>231</v>
      </c>
      <c r="B32" s="233" t="s">
        <v>45</v>
      </c>
      <c r="C32" s="233">
        <v>92144</v>
      </c>
      <c r="D32" s="182" t="s">
        <v>1785</v>
      </c>
      <c r="E32" s="233" t="s">
        <v>14</v>
      </c>
      <c r="F32" s="355">
        <v>90</v>
      </c>
      <c r="G32" s="363">
        <v>51.45</v>
      </c>
      <c r="H32" s="299">
        <f t="shared" ref="H32:H38" si="3">G32</f>
        <v>51.45</v>
      </c>
      <c r="I32" s="357">
        <f t="shared" ref="I32" si="4">ROUND(F32*H32,2)</f>
        <v>4630.5</v>
      </c>
      <c r="J32" s="4" t="e">
        <f t="shared" si="2"/>
        <v>#DIV/0!</v>
      </c>
      <c r="K32" s="4"/>
      <c r="L32" s="4"/>
      <c r="M32" s="4"/>
      <c r="N32" s="4"/>
      <c r="O32" s="4"/>
      <c r="P32" s="4"/>
      <c r="Q32" s="4"/>
    </row>
    <row r="33" spans="1:17" s="5" customFormat="1" ht="42.75" x14ac:dyDescent="0.2">
      <c r="A33" s="286" t="s">
        <v>283</v>
      </c>
      <c r="B33" s="233" t="s">
        <v>45</v>
      </c>
      <c r="C33" s="232">
        <v>5961</v>
      </c>
      <c r="D33" s="150" t="s">
        <v>1786</v>
      </c>
      <c r="E33" s="233" t="s">
        <v>14</v>
      </c>
      <c r="F33" s="355">
        <v>90</v>
      </c>
      <c r="G33" s="363">
        <v>39.17</v>
      </c>
      <c r="H33" s="299">
        <f t="shared" si="3"/>
        <v>39.17</v>
      </c>
      <c r="I33" s="357">
        <f t="shared" ref="I33:I38" si="5">ROUND(F33*H33,2)</f>
        <v>3525.3</v>
      </c>
      <c r="J33" s="4" t="e">
        <f t="shared" si="2"/>
        <v>#DIV/0!</v>
      </c>
      <c r="K33" s="4"/>
      <c r="L33" s="4"/>
      <c r="M33" s="4"/>
      <c r="N33" s="4"/>
      <c r="O33" s="4"/>
      <c r="P33" s="4"/>
      <c r="Q33" s="4"/>
    </row>
    <row r="34" spans="1:17" s="5" customFormat="1" ht="42.75" x14ac:dyDescent="0.2">
      <c r="A34" s="286" t="s">
        <v>232</v>
      </c>
      <c r="B34" s="233" t="s">
        <v>45</v>
      </c>
      <c r="C34" s="233">
        <v>5751</v>
      </c>
      <c r="D34" s="182" t="s">
        <v>1787</v>
      </c>
      <c r="E34" s="233" t="s">
        <v>14</v>
      </c>
      <c r="F34" s="355">
        <v>90</v>
      </c>
      <c r="G34" s="363">
        <v>14.66</v>
      </c>
      <c r="H34" s="299">
        <f t="shared" si="3"/>
        <v>14.66</v>
      </c>
      <c r="I34" s="357">
        <f t="shared" si="5"/>
        <v>1319.4</v>
      </c>
      <c r="J34" s="4" t="e">
        <f t="shared" si="2"/>
        <v>#DIV/0!</v>
      </c>
      <c r="K34" s="4"/>
      <c r="L34" s="4"/>
      <c r="M34" s="4"/>
      <c r="N34" s="4"/>
      <c r="O34" s="4"/>
      <c r="P34" s="4"/>
      <c r="Q34" s="4"/>
    </row>
    <row r="35" spans="1:17" s="5" customFormat="1" ht="28.5" x14ac:dyDescent="0.2">
      <c r="A35" s="286" t="s">
        <v>233</v>
      </c>
      <c r="B35" s="233" t="s">
        <v>45</v>
      </c>
      <c r="C35" s="233">
        <v>7247</v>
      </c>
      <c r="D35" s="182" t="s">
        <v>2161</v>
      </c>
      <c r="E35" s="233" t="s">
        <v>14</v>
      </c>
      <c r="F35" s="355">
        <v>90</v>
      </c>
      <c r="G35" s="363">
        <v>2.25</v>
      </c>
      <c r="H35" s="299">
        <f t="shared" si="3"/>
        <v>2.25</v>
      </c>
      <c r="I35" s="357">
        <f t="shared" si="5"/>
        <v>202.5</v>
      </c>
      <c r="J35" s="4" t="e">
        <f t="shared" si="2"/>
        <v>#DIV/0!</v>
      </c>
      <c r="K35" s="4"/>
      <c r="L35" s="4"/>
      <c r="M35" s="4"/>
      <c r="N35" s="4"/>
      <c r="O35" s="4"/>
      <c r="P35" s="4"/>
      <c r="Q35" s="4"/>
    </row>
    <row r="36" spans="1:17" s="5" customFormat="1" ht="14.25" x14ac:dyDescent="0.2">
      <c r="A36" s="286" t="s">
        <v>234</v>
      </c>
      <c r="B36" s="233" t="s">
        <v>45</v>
      </c>
      <c r="C36" s="233">
        <v>7252</v>
      </c>
      <c r="D36" s="182" t="s">
        <v>2162</v>
      </c>
      <c r="E36" s="233" t="s">
        <v>14</v>
      </c>
      <c r="F36" s="355">
        <v>90</v>
      </c>
      <c r="G36" s="363">
        <v>2.25</v>
      </c>
      <c r="H36" s="299">
        <f t="shared" si="3"/>
        <v>2.25</v>
      </c>
      <c r="I36" s="357">
        <f t="shared" si="5"/>
        <v>202.5</v>
      </c>
      <c r="J36" s="4" t="e">
        <f t="shared" si="2"/>
        <v>#DIV/0!</v>
      </c>
      <c r="K36" s="4"/>
      <c r="L36" s="4"/>
      <c r="M36" s="4"/>
      <c r="N36" s="4"/>
      <c r="O36" s="4"/>
      <c r="P36" s="4"/>
      <c r="Q36" s="4"/>
    </row>
    <row r="37" spans="1:17" s="5" customFormat="1" ht="28.5" x14ac:dyDescent="0.2">
      <c r="A37" s="286" t="s">
        <v>430</v>
      </c>
      <c r="B37" s="233" t="s">
        <v>45</v>
      </c>
      <c r="C37" s="232">
        <v>90586</v>
      </c>
      <c r="D37" s="150" t="s">
        <v>1788</v>
      </c>
      <c r="E37" s="233" t="s">
        <v>14</v>
      </c>
      <c r="F37" s="355">
        <v>90</v>
      </c>
      <c r="G37" s="363">
        <v>0.81</v>
      </c>
      <c r="H37" s="299">
        <f t="shared" si="3"/>
        <v>0.81</v>
      </c>
      <c r="I37" s="357">
        <f t="shared" si="5"/>
        <v>72.900000000000006</v>
      </c>
      <c r="J37" s="4" t="e">
        <f t="shared" si="2"/>
        <v>#DIV/0!</v>
      </c>
      <c r="K37" s="4"/>
      <c r="L37" s="4"/>
      <c r="M37" s="4"/>
      <c r="N37" s="4"/>
      <c r="O37" s="4"/>
      <c r="P37" s="4"/>
      <c r="Q37" s="4"/>
    </row>
    <row r="38" spans="1:17" s="5" customFormat="1" ht="28.5" x14ac:dyDescent="0.2">
      <c r="A38" s="286" t="s">
        <v>1789</v>
      </c>
      <c r="B38" s="233" t="s">
        <v>45</v>
      </c>
      <c r="C38" s="232">
        <v>87441</v>
      </c>
      <c r="D38" s="150" t="s">
        <v>1790</v>
      </c>
      <c r="E38" s="233" t="s">
        <v>14</v>
      </c>
      <c r="F38" s="355">
        <v>90</v>
      </c>
      <c r="G38" s="363">
        <v>0.25</v>
      </c>
      <c r="H38" s="299">
        <f t="shared" si="3"/>
        <v>0.25</v>
      </c>
      <c r="I38" s="357">
        <f t="shared" si="5"/>
        <v>22.5</v>
      </c>
      <c r="J38" s="4" t="e">
        <f t="shared" si="2"/>
        <v>#DIV/0!</v>
      </c>
      <c r="K38" s="4"/>
      <c r="L38" s="4"/>
      <c r="M38" s="4"/>
      <c r="N38" s="4"/>
      <c r="O38" s="4"/>
      <c r="P38" s="4"/>
      <c r="Q38" s="4"/>
    </row>
    <row r="39" spans="1:17" s="5" customFormat="1" ht="14.25" x14ac:dyDescent="0.2">
      <c r="A39" s="286"/>
      <c r="B39" s="233"/>
      <c r="C39" s="233"/>
      <c r="D39" s="182"/>
      <c r="E39" s="233"/>
      <c r="F39" s="355"/>
      <c r="G39" s="296"/>
      <c r="H39" s="299"/>
      <c r="I39" s="357"/>
      <c r="J39" s="4" t="e">
        <f t="shared" si="2"/>
        <v>#DIV/0!</v>
      </c>
      <c r="K39" s="4"/>
      <c r="L39" s="4"/>
      <c r="M39" s="4"/>
      <c r="N39" s="4"/>
      <c r="O39" s="4"/>
      <c r="P39" s="4"/>
      <c r="Q39" s="4"/>
    </row>
    <row r="40" spans="1:17" s="5" customFormat="1" ht="14.25" x14ac:dyDescent="0.2">
      <c r="A40" s="286"/>
      <c r="B40" s="233"/>
      <c r="C40" s="233"/>
      <c r="D40" s="182"/>
      <c r="E40" s="233"/>
      <c r="F40" s="355"/>
      <c r="G40" s="296"/>
      <c r="H40" s="299"/>
      <c r="I40" s="357"/>
      <c r="J40" s="4" t="e">
        <f t="shared" si="2"/>
        <v>#DIV/0!</v>
      </c>
      <c r="K40" s="4"/>
      <c r="L40" s="4"/>
      <c r="M40" s="4"/>
      <c r="N40" s="4"/>
      <c r="O40" s="4"/>
      <c r="P40" s="4"/>
      <c r="Q40" s="4"/>
    </row>
    <row r="41" spans="1:17" s="5" customFormat="1" x14ac:dyDescent="0.2">
      <c r="A41" s="354" t="s">
        <v>1791</v>
      </c>
      <c r="B41" s="233"/>
      <c r="C41" s="233"/>
      <c r="D41" s="184" t="s">
        <v>235</v>
      </c>
      <c r="E41" s="233"/>
      <c r="F41" s="355"/>
      <c r="G41" s="296"/>
      <c r="H41" s="299"/>
      <c r="I41" s="356">
        <f>SUM(I42:I44)</f>
        <v>3257</v>
      </c>
      <c r="J41" s="4" t="e">
        <f t="shared" si="2"/>
        <v>#DIV/0!</v>
      </c>
      <c r="K41" s="4"/>
      <c r="L41" s="4"/>
      <c r="M41" s="4"/>
      <c r="N41" s="4"/>
      <c r="O41" s="4"/>
      <c r="P41" s="4"/>
      <c r="Q41" s="4"/>
    </row>
    <row r="42" spans="1:17" s="5" customFormat="1" ht="28.5" x14ac:dyDescent="0.2">
      <c r="A42" s="286" t="s">
        <v>236</v>
      </c>
      <c r="B42" s="233" t="s">
        <v>45</v>
      </c>
      <c r="C42" s="232">
        <v>14250</v>
      </c>
      <c r="D42" s="150" t="s">
        <v>1792</v>
      </c>
      <c r="E42" s="233" t="s">
        <v>237</v>
      </c>
      <c r="F42" s="355">
        <v>500</v>
      </c>
      <c r="G42" s="296">
        <v>0.64</v>
      </c>
      <c r="H42" s="299">
        <f t="shared" ref="H42:H44" si="6">G42</f>
        <v>0.64</v>
      </c>
      <c r="I42" s="357">
        <f t="shared" ref="I42" si="7">ROUND(F42*H42,2)</f>
        <v>320</v>
      </c>
      <c r="J42" s="4" t="e">
        <f t="shared" si="2"/>
        <v>#DIV/0!</v>
      </c>
      <c r="K42" s="4"/>
      <c r="L42" s="4"/>
      <c r="M42" s="4"/>
      <c r="N42" s="4"/>
      <c r="O42" s="4"/>
      <c r="P42" s="4"/>
      <c r="Q42" s="4"/>
    </row>
    <row r="43" spans="1:17" s="5" customFormat="1" ht="14.25" x14ac:dyDescent="0.2">
      <c r="A43" s="286" t="s">
        <v>238</v>
      </c>
      <c r="B43" s="233" t="s">
        <v>45</v>
      </c>
      <c r="C43" s="232">
        <v>4221</v>
      </c>
      <c r="D43" s="150" t="s">
        <v>239</v>
      </c>
      <c r="E43" s="233" t="s">
        <v>240</v>
      </c>
      <c r="F43" s="355">
        <v>600</v>
      </c>
      <c r="G43" s="296">
        <v>3.04</v>
      </c>
      <c r="H43" s="299">
        <f t="shared" si="6"/>
        <v>3.04</v>
      </c>
      <c r="I43" s="357">
        <f t="shared" ref="I43:I44" si="8">ROUND(F43*H43,2)</f>
        <v>1824</v>
      </c>
      <c r="J43" s="4" t="e">
        <f t="shared" si="2"/>
        <v>#DIV/0!</v>
      </c>
      <c r="K43" s="4"/>
      <c r="L43" s="4"/>
      <c r="M43" s="4"/>
      <c r="N43" s="4"/>
      <c r="O43" s="4"/>
      <c r="P43" s="4"/>
      <c r="Q43" s="4"/>
    </row>
    <row r="44" spans="1:17" s="5" customFormat="1" ht="14.25" x14ac:dyDescent="0.2">
      <c r="A44" s="286" t="s">
        <v>241</v>
      </c>
      <c r="B44" s="233" t="s">
        <v>45</v>
      </c>
      <c r="C44" s="232">
        <v>4222</v>
      </c>
      <c r="D44" s="150" t="s">
        <v>242</v>
      </c>
      <c r="E44" s="233" t="s">
        <v>240</v>
      </c>
      <c r="F44" s="355">
        <v>300</v>
      </c>
      <c r="G44" s="296">
        <v>3.71</v>
      </c>
      <c r="H44" s="299">
        <f t="shared" si="6"/>
        <v>3.71</v>
      </c>
      <c r="I44" s="357">
        <f t="shared" si="8"/>
        <v>1113</v>
      </c>
      <c r="J44" s="4" t="e">
        <f t="shared" si="2"/>
        <v>#DIV/0!</v>
      </c>
      <c r="K44" s="4"/>
      <c r="L44" s="4"/>
      <c r="M44" s="4"/>
      <c r="N44" s="4"/>
      <c r="O44" s="4"/>
      <c r="P44" s="4"/>
      <c r="Q44" s="4"/>
    </row>
    <row r="45" spans="1:17" s="40" customFormat="1" ht="14.25" x14ac:dyDescent="0.2">
      <c r="A45" s="351"/>
      <c r="B45" s="232"/>
      <c r="C45" s="232"/>
      <c r="D45" s="151"/>
      <c r="E45" s="232"/>
      <c r="F45" s="149"/>
      <c r="G45" s="250"/>
      <c r="H45" s="149"/>
      <c r="I45" s="336"/>
      <c r="J45" s="41"/>
      <c r="K45" s="41"/>
      <c r="L45" s="41"/>
      <c r="M45" s="41"/>
      <c r="N45" s="41"/>
      <c r="O45" s="41"/>
      <c r="P45" s="41"/>
      <c r="Q45" s="41"/>
    </row>
    <row r="46" spans="1:17" s="5" customFormat="1" ht="30" x14ac:dyDescent="0.2">
      <c r="A46" s="333" t="s">
        <v>1086</v>
      </c>
      <c r="B46" s="279" t="s">
        <v>335</v>
      </c>
      <c r="C46" s="290" t="s">
        <v>1598</v>
      </c>
      <c r="D46" s="181" t="s">
        <v>1795</v>
      </c>
      <c r="E46" s="344" t="s">
        <v>16</v>
      </c>
      <c r="F46" s="193"/>
      <c r="G46" s="194"/>
      <c r="H46" s="194"/>
      <c r="I46" s="334">
        <f>SUM(I47:I48)</f>
        <v>20.659999999999997</v>
      </c>
      <c r="J46" s="4"/>
      <c r="K46" s="4"/>
      <c r="L46" s="4"/>
      <c r="M46" s="4"/>
      <c r="N46" s="4"/>
      <c r="O46" s="4"/>
      <c r="P46" s="4"/>
      <c r="Q46" s="4"/>
    </row>
    <row r="47" spans="1:17" ht="14.25" x14ac:dyDescent="0.2">
      <c r="A47" s="286" t="s">
        <v>71</v>
      </c>
      <c r="B47" s="232" t="s">
        <v>45</v>
      </c>
      <c r="C47" s="233">
        <v>88316</v>
      </c>
      <c r="D47" s="182" t="s">
        <v>824</v>
      </c>
      <c r="E47" s="233" t="s">
        <v>14</v>
      </c>
      <c r="F47" s="149">
        <v>0.2</v>
      </c>
      <c r="G47" s="149">
        <v>16.64</v>
      </c>
      <c r="H47" s="149">
        <f>G47</f>
        <v>16.64</v>
      </c>
      <c r="I47" s="326">
        <f>ROUND(F47*H47,2)</f>
        <v>3.33</v>
      </c>
      <c r="J47" s="44"/>
      <c r="K47" s="44"/>
      <c r="L47" s="44"/>
      <c r="M47" s="44"/>
      <c r="N47" s="44"/>
      <c r="O47" s="44"/>
      <c r="P47" s="44"/>
      <c r="Q47" s="44"/>
    </row>
    <row r="48" spans="1:17" ht="57" x14ac:dyDescent="0.2">
      <c r="A48" s="286" t="s">
        <v>170</v>
      </c>
      <c r="B48" s="232" t="s">
        <v>45</v>
      </c>
      <c r="C48" s="233">
        <v>5875</v>
      </c>
      <c r="D48" s="182" t="s">
        <v>1047</v>
      </c>
      <c r="E48" s="233" t="s">
        <v>867</v>
      </c>
      <c r="F48" s="149">
        <v>0.2</v>
      </c>
      <c r="G48" s="149">
        <v>86.64</v>
      </c>
      <c r="H48" s="149">
        <f>G48</f>
        <v>86.64</v>
      </c>
      <c r="I48" s="326">
        <f>ROUND(F48*H48,2)</f>
        <v>17.329999999999998</v>
      </c>
      <c r="J48" s="44"/>
      <c r="K48" s="44"/>
      <c r="L48" s="44"/>
      <c r="M48" s="44"/>
      <c r="N48" s="44"/>
      <c r="O48" s="44"/>
      <c r="P48" s="44"/>
      <c r="Q48" s="44"/>
    </row>
    <row r="49" spans="1:17" s="5" customFormat="1" ht="14.25" x14ac:dyDescent="0.2">
      <c r="A49" s="233"/>
      <c r="B49" s="233"/>
      <c r="C49" s="233"/>
      <c r="D49" s="152"/>
      <c r="E49" s="233"/>
      <c r="F49" s="195"/>
      <c r="G49" s="195"/>
      <c r="H49" s="195"/>
      <c r="I49" s="195"/>
      <c r="J49" s="4"/>
      <c r="K49" s="4"/>
      <c r="L49" s="4"/>
      <c r="M49" s="4"/>
      <c r="N49" s="4"/>
      <c r="O49" s="4"/>
      <c r="P49" s="4"/>
      <c r="Q49" s="4"/>
    </row>
    <row r="50" spans="1:17" s="5" customFormat="1" ht="30" x14ac:dyDescent="0.2">
      <c r="A50" s="290" t="s">
        <v>1087</v>
      </c>
      <c r="B50" s="279" t="s">
        <v>335</v>
      </c>
      <c r="C50" s="290" t="s">
        <v>854</v>
      </c>
      <c r="D50" s="291" t="s">
        <v>947</v>
      </c>
      <c r="E50" s="279"/>
      <c r="F50" s="292"/>
      <c r="G50" s="293"/>
      <c r="H50" s="293"/>
      <c r="I50" s="294">
        <f>SUM(I51:I55)</f>
        <v>6251.47</v>
      </c>
      <c r="J50" s="4"/>
      <c r="K50" s="4"/>
      <c r="L50" s="4"/>
      <c r="M50" s="4"/>
      <c r="N50" s="4"/>
      <c r="O50" s="4"/>
      <c r="P50" s="4"/>
      <c r="Q50" s="4"/>
    </row>
    <row r="51" spans="1:17" s="40" customFormat="1" ht="14.25" x14ac:dyDescent="0.2">
      <c r="A51" s="232" t="s">
        <v>72</v>
      </c>
      <c r="B51" s="232" t="s">
        <v>45</v>
      </c>
      <c r="C51" s="232">
        <v>4773</v>
      </c>
      <c r="D51" s="150" t="s">
        <v>740</v>
      </c>
      <c r="E51" s="232" t="s">
        <v>17</v>
      </c>
      <c r="F51" s="196">
        <f>2.2*2+4+3.2*4</f>
        <v>21.200000000000003</v>
      </c>
      <c r="G51" s="196">
        <v>173.59</v>
      </c>
      <c r="H51" s="299">
        <f t="shared" ref="H51:H55" si="9">G51</f>
        <v>173.59</v>
      </c>
      <c r="I51" s="357">
        <f t="shared" ref="I51" si="10">ROUND(F51*H51,2)</f>
        <v>3680.11</v>
      </c>
      <c r="J51" s="41"/>
      <c r="K51" s="41"/>
      <c r="L51" s="41"/>
      <c r="M51" s="41"/>
      <c r="N51" s="41"/>
      <c r="O51" s="41"/>
      <c r="P51" s="41"/>
      <c r="Q51" s="41"/>
    </row>
    <row r="52" spans="1:17" s="40" customFormat="1" ht="14.25" x14ac:dyDescent="0.2">
      <c r="A52" s="232" t="s">
        <v>74</v>
      </c>
      <c r="B52" s="232" t="s">
        <v>45</v>
      </c>
      <c r="C52" s="232">
        <v>6160</v>
      </c>
      <c r="D52" s="150" t="s">
        <v>243</v>
      </c>
      <c r="E52" s="232" t="s">
        <v>14</v>
      </c>
      <c r="F52" s="196">
        <v>44</v>
      </c>
      <c r="G52" s="196">
        <v>23.46</v>
      </c>
      <c r="H52" s="299">
        <f t="shared" si="9"/>
        <v>23.46</v>
      </c>
      <c r="I52" s="357">
        <f t="shared" ref="I52:I55" si="11">ROUND(F52*H52,2)</f>
        <v>1032.24</v>
      </c>
      <c r="J52" s="41"/>
      <c r="K52" s="41"/>
      <c r="L52" s="41"/>
      <c r="M52" s="41"/>
      <c r="N52" s="41"/>
      <c r="O52" s="41"/>
      <c r="P52" s="41"/>
      <c r="Q52" s="41"/>
    </row>
    <row r="53" spans="1:17" s="40" customFormat="1" ht="14.25" x14ac:dyDescent="0.2">
      <c r="A53" s="232" t="s">
        <v>248</v>
      </c>
      <c r="B53" s="232" t="s">
        <v>45</v>
      </c>
      <c r="C53" s="232">
        <v>6121</v>
      </c>
      <c r="D53" s="150" t="s">
        <v>244</v>
      </c>
      <c r="E53" s="232" t="s">
        <v>14</v>
      </c>
      <c r="F53" s="196">
        <v>44</v>
      </c>
      <c r="G53" s="196">
        <v>10.78</v>
      </c>
      <c r="H53" s="299">
        <f t="shared" si="9"/>
        <v>10.78</v>
      </c>
      <c r="I53" s="357">
        <f t="shared" si="11"/>
        <v>474.32</v>
      </c>
      <c r="J53" s="41"/>
      <c r="K53" s="41"/>
      <c r="L53" s="41"/>
      <c r="M53" s="41"/>
      <c r="N53" s="41"/>
      <c r="O53" s="41"/>
      <c r="P53" s="41"/>
      <c r="Q53" s="41"/>
    </row>
    <row r="54" spans="1:17" s="40" customFormat="1" ht="14.25" x14ac:dyDescent="0.2">
      <c r="A54" s="232" t="s">
        <v>316</v>
      </c>
      <c r="B54" s="232" t="s">
        <v>45</v>
      </c>
      <c r="C54" s="232">
        <v>6110</v>
      </c>
      <c r="D54" s="150" t="s">
        <v>245</v>
      </c>
      <c r="E54" s="232" t="s">
        <v>14</v>
      </c>
      <c r="F54" s="196">
        <v>44</v>
      </c>
      <c r="G54" s="196">
        <v>13.82</v>
      </c>
      <c r="H54" s="299">
        <f t="shared" si="9"/>
        <v>13.82</v>
      </c>
      <c r="I54" s="357">
        <f t="shared" si="11"/>
        <v>608.08000000000004</v>
      </c>
      <c r="J54" s="41"/>
      <c r="K54" s="41"/>
      <c r="L54" s="41"/>
      <c r="M54" s="41"/>
      <c r="N54" s="41"/>
      <c r="O54" s="41"/>
      <c r="P54" s="41"/>
      <c r="Q54" s="41"/>
    </row>
    <row r="55" spans="1:17" s="40" customFormat="1" ht="14.25" x14ac:dyDescent="0.2">
      <c r="A55" s="232" t="s">
        <v>857</v>
      </c>
      <c r="B55" s="232" t="s">
        <v>45</v>
      </c>
      <c r="C55" s="232">
        <v>252</v>
      </c>
      <c r="D55" s="150" t="s">
        <v>801</v>
      </c>
      <c r="E55" s="232" t="s">
        <v>14</v>
      </c>
      <c r="F55" s="196">
        <v>44</v>
      </c>
      <c r="G55" s="196">
        <v>10.38</v>
      </c>
      <c r="H55" s="299">
        <f t="shared" si="9"/>
        <v>10.38</v>
      </c>
      <c r="I55" s="357">
        <f t="shared" si="11"/>
        <v>456.72</v>
      </c>
      <c r="J55" s="41"/>
      <c r="K55" s="41"/>
      <c r="L55" s="41"/>
      <c r="M55" s="41"/>
      <c r="N55" s="41"/>
      <c r="O55" s="41"/>
      <c r="P55" s="41"/>
      <c r="Q55" s="41"/>
    </row>
    <row r="56" spans="1:17" ht="14.25" x14ac:dyDescent="0.2">
      <c r="A56" s="233"/>
      <c r="B56" s="233"/>
      <c r="C56" s="233"/>
      <c r="D56" s="182"/>
      <c r="E56" s="233"/>
      <c r="F56" s="159"/>
      <c r="G56" s="159"/>
      <c r="H56" s="159"/>
      <c r="I56" s="282"/>
      <c r="J56" s="44"/>
      <c r="K56" s="44"/>
      <c r="L56" s="44"/>
      <c r="M56" s="44"/>
      <c r="N56" s="44"/>
      <c r="O56" s="44"/>
      <c r="P56" s="44"/>
      <c r="Q56" s="44"/>
    </row>
    <row r="57" spans="1:17" s="5" customFormat="1" ht="60" x14ac:dyDescent="0.2">
      <c r="A57" s="290" t="s">
        <v>1088</v>
      </c>
      <c r="B57" s="279" t="s">
        <v>335</v>
      </c>
      <c r="C57" s="290" t="s">
        <v>249</v>
      </c>
      <c r="D57" s="291" t="s">
        <v>741</v>
      </c>
      <c r="E57" s="279" t="s">
        <v>18</v>
      </c>
      <c r="F57" s="300"/>
      <c r="G57" s="301"/>
      <c r="H57" s="293"/>
      <c r="I57" s="294">
        <f>SUM(I58:I67)</f>
        <v>1039.79</v>
      </c>
      <c r="J57" s="4"/>
      <c r="K57" s="4"/>
      <c r="L57" s="4"/>
      <c r="M57" s="4"/>
      <c r="N57" s="4"/>
      <c r="O57" s="4"/>
      <c r="P57" s="4"/>
      <c r="Q57" s="4"/>
    </row>
    <row r="58" spans="1:17" s="40" customFormat="1" ht="13.5" customHeight="1" x14ac:dyDescent="0.2">
      <c r="A58" s="246" t="s">
        <v>75</v>
      </c>
      <c r="B58" s="156" t="s">
        <v>45</v>
      </c>
      <c r="C58" s="155">
        <v>589</v>
      </c>
      <c r="D58" s="151" t="s">
        <v>414</v>
      </c>
      <c r="E58" s="156" t="s">
        <v>17</v>
      </c>
      <c r="F58" s="197">
        <v>6</v>
      </c>
      <c r="G58" s="198">
        <v>31.66</v>
      </c>
      <c r="H58" s="299">
        <f t="shared" ref="H58:H67" si="12">G58</f>
        <v>31.66</v>
      </c>
      <c r="I58" s="357">
        <f t="shared" ref="I58" si="13">ROUND(F58*H58,2)</f>
        <v>189.96</v>
      </c>
    </row>
    <row r="59" spans="1:17" s="40" customFormat="1" ht="14.25" x14ac:dyDescent="0.2">
      <c r="A59" s="246" t="s">
        <v>99</v>
      </c>
      <c r="B59" s="156" t="s">
        <v>45</v>
      </c>
      <c r="C59" s="155">
        <v>11125</v>
      </c>
      <c r="D59" s="151" t="s">
        <v>415</v>
      </c>
      <c r="E59" s="156" t="s">
        <v>169</v>
      </c>
      <c r="F59" s="197">
        <v>3</v>
      </c>
      <c r="G59" s="198">
        <v>14.43</v>
      </c>
      <c r="H59" s="299">
        <f t="shared" si="12"/>
        <v>14.43</v>
      </c>
      <c r="I59" s="357">
        <f t="shared" ref="I59:I67" si="14">ROUND(F59*H59,2)</f>
        <v>43.29</v>
      </c>
    </row>
    <row r="60" spans="1:17" s="40" customFormat="1" ht="28.5" x14ac:dyDescent="0.2">
      <c r="A60" s="246" t="s">
        <v>252</v>
      </c>
      <c r="B60" s="156" t="s">
        <v>45</v>
      </c>
      <c r="C60" s="155">
        <v>7162</v>
      </c>
      <c r="D60" s="151" t="s">
        <v>416</v>
      </c>
      <c r="E60" s="156" t="s">
        <v>15</v>
      </c>
      <c r="F60" s="197">
        <v>2</v>
      </c>
      <c r="G60" s="198">
        <v>26.01</v>
      </c>
      <c r="H60" s="299">
        <f t="shared" si="12"/>
        <v>26.01</v>
      </c>
      <c r="I60" s="357">
        <f t="shared" si="14"/>
        <v>52.02</v>
      </c>
    </row>
    <row r="61" spans="1:17" s="40" customFormat="1" ht="28.5" x14ac:dyDescent="0.2">
      <c r="A61" s="246" t="s">
        <v>253</v>
      </c>
      <c r="B61" s="156" t="s">
        <v>45</v>
      </c>
      <c r="C61" s="155">
        <v>7696</v>
      </c>
      <c r="D61" s="151" t="s">
        <v>417</v>
      </c>
      <c r="E61" s="156" t="s">
        <v>17</v>
      </c>
      <c r="F61" s="197">
        <f>2.1*2</f>
        <v>4.2</v>
      </c>
      <c r="G61" s="198">
        <v>38.58</v>
      </c>
      <c r="H61" s="299">
        <f t="shared" si="12"/>
        <v>38.58</v>
      </c>
      <c r="I61" s="357">
        <f t="shared" si="14"/>
        <v>162.04</v>
      </c>
    </row>
    <row r="62" spans="1:17" s="40" customFormat="1" ht="14.25" x14ac:dyDescent="0.2">
      <c r="A62" s="246" t="s">
        <v>315</v>
      </c>
      <c r="B62" s="156" t="s">
        <v>45</v>
      </c>
      <c r="C62" s="155">
        <v>11964</v>
      </c>
      <c r="D62" s="151" t="s">
        <v>418</v>
      </c>
      <c r="E62" s="156" t="s">
        <v>18</v>
      </c>
      <c r="F62" s="197">
        <v>4</v>
      </c>
      <c r="G62" s="198">
        <v>1.32</v>
      </c>
      <c r="H62" s="299">
        <f t="shared" si="12"/>
        <v>1.32</v>
      </c>
      <c r="I62" s="357">
        <f t="shared" si="14"/>
        <v>5.28</v>
      </c>
    </row>
    <row r="63" spans="1:17" s="40" customFormat="1" ht="14.25" x14ac:dyDescent="0.2">
      <c r="A63" s="246" t="s">
        <v>868</v>
      </c>
      <c r="B63" s="156" t="s">
        <v>45</v>
      </c>
      <c r="C63" s="155">
        <v>5104</v>
      </c>
      <c r="D63" s="151" t="s">
        <v>419</v>
      </c>
      <c r="E63" s="156" t="s">
        <v>169</v>
      </c>
      <c r="F63" s="197">
        <v>0.2</v>
      </c>
      <c r="G63" s="198">
        <v>38.299999999999997</v>
      </c>
      <c r="H63" s="299">
        <f t="shared" si="12"/>
        <v>38.299999999999997</v>
      </c>
      <c r="I63" s="357">
        <f t="shared" si="14"/>
        <v>7.66</v>
      </c>
    </row>
    <row r="64" spans="1:17" s="40" customFormat="1" ht="14.25" x14ac:dyDescent="0.2">
      <c r="A64" s="246" t="s">
        <v>869</v>
      </c>
      <c r="B64" s="156" t="s">
        <v>45</v>
      </c>
      <c r="C64" s="155">
        <v>252</v>
      </c>
      <c r="D64" s="151" t="s">
        <v>801</v>
      </c>
      <c r="E64" s="156" t="s">
        <v>14</v>
      </c>
      <c r="F64" s="197">
        <v>9</v>
      </c>
      <c r="G64" s="196">
        <v>10.38</v>
      </c>
      <c r="H64" s="299">
        <f t="shared" si="12"/>
        <v>10.38</v>
      </c>
      <c r="I64" s="357">
        <f t="shared" si="14"/>
        <v>93.42</v>
      </c>
    </row>
    <row r="65" spans="1:17" s="40" customFormat="1" ht="14.25" x14ac:dyDescent="0.2">
      <c r="A65" s="246" t="s">
        <v>870</v>
      </c>
      <c r="B65" s="156" t="s">
        <v>45</v>
      </c>
      <c r="C65" s="155">
        <v>6110</v>
      </c>
      <c r="D65" s="151" t="s">
        <v>245</v>
      </c>
      <c r="E65" s="156" t="s">
        <v>14</v>
      </c>
      <c r="F65" s="197">
        <v>12</v>
      </c>
      <c r="G65" s="196">
        <v>13.82</v>
      </c>
      <c r="H65" s="299">
        <f t="shared" si="12"/>
        <v>13.82</v>
      </c>
      <c r="I65" s="357">
        <f t="shared" si="14"/>
        <v>165.84</v>
      </c>
    </row>
    <row r="66" spans="1:17" s="40" customFormat="1" ht="14.25" x14ac:dyDescent="0.2">
      <c r="A66" s="246" t="s">
        <v>1873</v>
      </c>
      <c r="B66" s="156" t="s">
        <v>45</v>
      </c>
      <c r="C66" s="155">
        <v>6111</v>
      </c>
      <c r="D66" s="151" t="s">
        <v>275</v>
      </c>
      <c r="E66" s="156" t="s">
        <v>14</v>
      </c>
      <c r="F66" s="197">
        <v>12</v>
      </c>
      <c r="G66" s="198">
        <v>12.02</v>
      </c>
      <c r="H66" s="299">
        <f t="shared" si="12"/>
        <v>12.02</v>
      </c>
      <c r="I66" s="357">
        <f t="shared" si="14"/>
        <v>144.24</v>
      </c>
    </row>
    <row r="67" spans="1:17" s="40" customFormat="1" ht="14.25" x14ac:dyDescent="0.2">
      <c r="A67" s="246" t="s">
        <v>1874</v>
      </c>
      <c r="B67" s="156" t="s">
        <v>45</v>
      </c>
      <c r="C67" s="155">
        <v>4750</v>
      </c>
      <c r="D67" s="151" t="s">
        <v>274</v>
      </c>
      <c r="E67" s="156" t="s">
        <v>14</v>
      </c>
      <c r="F67" s="197">
        <v>12</v>
      </c>
      <c r="G67" s="198">
        <v>14.67</v>
      </c>
      <c r="H67" s="299">
        <f t="shared" si="12"/>
        <v>14.67</v>
      </c>
      <c r="I67" s="357">
        <f t="shared" si="14"/>
        <v>176.04</v>
      </c>
    </row>
    <row r="68" spans="1:17" s="40" customFormat="1" ht="14.25" x14ac:dyDescent="0.2">
      <c r="A68" s="246"/>
      <c r="B68" s="156"/>
      <c r="C68" s="155"/>
      <c r="D68" s="151"/>
      <c r="E68" s="156"/>
      <c r="F68" s="197"/>
      <c r="G68" s="198"/>
      <c r="H68" s="197"/>
      <c r="I68" s="198"/>
    </row>
    <row r="69" spans="1:17" s="295" customFormat="1" ht="30" x14ac:dyDescent="0.2">
      <c r="A69" s="290" t="s">
        <v>1089</v>
      </c>
      <c r="B69" s="279" t="s">
        <v>335</v>
      </c>
      <c r="C69" s="290" t="s">
        <v>254</v>
      </c>
      <c r="D69" s="291" t="s">
        <v>805</v>
      </c>
      <c r="E69" s="279" t="s">
        <v>18</v>
      </c>
      <c r="F69" s="300"/>
      <c r="G69" s="301"/>
      <c r="H69" s="293"/>
      <c r="I69" s="294">
        <f>SUM(I70:I73)</f>
        <v>522.31999999999994</v>
      </c>
      <c r="J69" s="105"/>
      <c r="K69" s="105"/>
      <c r="L69" s="105"/>
      <c r="M69" s="105"/>
      <c r="N69" s="105"/>
      <c r="O69" s="105"/>
      <c r="P69" s="105"/>
      <c r="Q69" s="105"/>
    </row>
    <row r="70" spans="1:17" s="288" customFormat="1" ht="14.25" x14ac:dyDescent="0.2">
      <c r="A70" s="232" t="s">
        <v>8</v>
      </c>
      <c r="B70" s="232" t="s">
        <v>45</v>
      </c>
      <c r="C70" s="232">
        <v>11125</v>
      </c>
      <c r="D70" s="150" t="s">
        <v>742</v>
      </c>
      <c r="E70" s="232" t="s">
        <v>169</v>
      </c>
      <c r="F70" s="342">
        <f>13.5*1.6*0.8</f>
        <v>17.28</v>
      </c>
      <c r="G70" s="296">
        <v>14.43</v>
      </c>
      <c r="H70" s="296">
        <f t="shared" ref="H70:H73" si="15">G70</f>
        <v>14.43</v>
      </c>
      <c r="I70" s="297">
        <f>ROUND(F70*H70,2)</f>
        <v>249.35</v>
      </c>
      <c r="J70" s="298"/>
      <c r="K70" s="298"/>
      <c r="L70" s="298"/>
      <c r="M70" s="298"/>
      <c r="N70" s="298"/>
      <c r="O70" s="298"/>
      <c r="P70" s="298"/>
      <c r="Q70" s="298"/>
    </row>
    <row r="71" spans="1:17" s="288" customFormat="1" ht="14.25" x14ac:dyDescent="0.2">
      <c r="A71" s="232" t="s">
        <v>9</v>
      </c>
      <c r="B71" s="232" t="s">
        <v>45</v>
      </c>
      <c r="C71" s="232">
        <v>589</v>
      </c>
      <c r="D71" s="150" t="s">
        <v>743</v>
      </c>
      <c r="E71" s="232" t="s">
        <v>17</v>
      </c>
      <c r="F71" s="342">
        <f>(1.6*2+0.8*2)</f>
        <v>4.8000000000000007</v>
      </c>
      <c r="G71" s="296">
        <v>31.66</v>
      </c>
      <c r="H71" s="296">
        <f t="shared" si="15"/>
        <v>31.66</v>
      </c>
      <c r="I71" s="297">
        <f>ROUND(F71*H71,2)</f>
        <v>151.97</v>
      </c>
      <c r="J71" s="298"/>
      <c r="K71" s="298"/>
      <c r="L71" s="298"/>
      <c r="M71" s="298"/>
      <c r="N71" s="298"/>
      <c r="O71" s="298"/>
      <c r="P71" s="298"/>
      <c r="Q71" s="298"/>
    </row>
    <row r="72" spans="1:17" s="288" customFormat="1" ht="14.25" x14ac:dyDescent="0.2">
      <c r="A72" s="232" t="s">
        <v>10</v>
      </c>
      <c r="B72" s="232" t="s">
        <v>45</v>
      </c>
      <c r="C72" s="232">
        <v>252</v>
      </c>
      <c r="D72" s="151" t="s">
        <v>801</v>
      </c>
      <c r="E72" s="232" t="s">
        <v>14</v>
      </c>
      <c r="F72" s="342">
        <v>5</v>
      </c>
      <c r="G72" s="196">
        <v>10.38</v>
      </c>
      <c r="H72" s="296">
        <f t="shared" si="15"/>
        <v>10.38</v>
      </c>
      <c r="I72" s="297">
        <f>ROUND(F72*H72,2)</f>
        <v>51.9</v>
      </c>
      <c r="J72" s="298"/>
      <c r="K72" s="298"/>
      <c r="L72" s="298"/>
      <c r="M72" s="298"/>
      <c r="N72" s="298"/>
      <c r="O72" s="298"/>
      <c r="P72" s="298"/>
      <c r="Q72" s="298"/>
    </row>
    <row r="73" spans="1:17" s="288" customFormat="1" ht="14.25" x14ac:dyDescent="0.2">
      <c r="A73" s="232" t="s">
        <v>11</v>
      </c>
      <c r="B73" s="232" t="s">
        <v>45</v>
      </c>
      <c r="C73" s="232">
        <v>6110</v>
      </c>
      <c r="D73" s="150" t="s">
        <v>245</v>
      </c>
      <c r="E73" s="232" t="s">
        <v>14</v>
      </c>
      <c r="F73" s="342">
        <v>5</v>
      </c>
      <c r="G73" s="196">
        <v>13.82</v>
      </c>
      <c r="H73" s="296">
        <f t="shared" si="15"/>
        <v>13.82</v>
      </c>
      <c r="I73" s="297">
        <f>ROUND(F73*H73,2)</f>
        <v>69.099999999999994</v>
      </c>
      <c r="J73" s="298"/>
      <c r="K73" s="298"/>
      <c r="L73" s="298"/>
      <c r="M73" s="298"/>
      <c r="N73" s="298"/>
      <c r="O73" s="298"/>
      <c r="P73" s="298"/>
      <c r="Q73" s="298"/>
    </row>
    <row r="74" spans="1:17" s="288" customFormat="1" ht="14.25" x14ac:dyDescent="0.2">
      <c r="A74" s="232"/>
      <c r="B74" s="232"/>
      <c r="C74" s="232"/>
      <c r="D74" s="150"/>
      <c r="E74" s="232"/>
      <c r="F74" s="342"/>
      <c r="G74" s="196"/>
      <c r="H74" s="296"/>
      <c r="I74" s="297"/>
      <c r="J74" s="298"/>
      <c r="K74" s="298"/>
      <c r="L74" s="298"/>
      <c r="M74" s="298"/>
      <c r="N74" s="298"/>
      <c r="O74" s="298"/>
      <c r="P74" s="298"/>
      <c r="Q74" s="298"/>
    </row>
    <row r="75" spans="1:17" s="295" customFormat="1" ht="30" x14ac:dyDescent="0.2">
      <c r="A75" s="290" t="s">
        <v>1090</v>
      </c>
      <c r="B75" s="279" t="s">
        <v>335</v>
      </c>
      <c r="C75" s="290" t="s">
        <v>591</v>
      </c>
      <c r="D75" s="291" t="s">
        <v>736</v>
      </c>
      <c r="E75" s="279" t="s">
        <v>18</v>
      </c>
      <c r="F75" s="300"/>
      <c r="G75" s="301"/>
      <c r="H75" s="293"/>
      <c r="I75" s="294">
        <f>SUM(I76:I79)</f>
        <v>399.49</v>
      </c>
      <c r="J75" s="105"/>
      <c r="K75" s="105"/>
      <c r="L75" s="105"/>
      <c r="M75" s="105"/>
      <c r="N75" s="105"/>
      <c r="O75" s="105"/>
      <c r="P75" s="105"/>
      <c r="Q75" s="105"/>
    </row>
    <row r="76" spans="1:17" s="288" customFormat="1" ht="14.25" x14ac:dyDescent="0.2">
      <c r="A76" s="232" t="s">
        <v>256</v>
      </c>
      <c r="B76" s="232" t="s">
        <v>45</v>
      </c>
      <c r="C76" s="232">
        <v>11125</v>
      </c>
      <c r="D76" s="150" t="s">
        <v>742</v>
      </c>
      <c r="E76" s="232" t="s">
        <v>169</v>
      </c>
      <c r="F76" s="342">
        <f>13.5*1.15*0.8</f>
        <v>12.42</v>
      </c>
      <c r="G76" s="296">
        <v>14.43</v>
      </c>
      <c r="H76" s="299">
        <f t="shared" ref="H76:H79" si="16">G76</f>
        <v>14.43</v>
      </c>
      <c r="I76" s="357">
        <f t="shared" ref="I76" si="17">ROUND(F76*H76,2)</f>
        <v>179.22</v>
      </c>
      <c r="J76" s="298"/>
      <c r="K76" s="298"/>
      <c r="L76" s="298"/>
      <c r="M76" s="298"/>
      <c r="N76" s="298"/>
      <c r="O76" s="298"/>
      <c r="P76" s="298"/>
      <c r="Q76" s="298"/>
    </row>
    <row r="77" spans="1:17" s="288" customFormat="1" ht="14.25" x14ac:dyDescent="0.2">
      <c r="A77" s="232" t="s">
        <v>257</v>
      </c>
      <c r="B77" s="232" t="s">
        <v>45</v>
      </c>
      <c r="C77" s="232">
        <v>589</v>
      </c>
      <c r="D77" s="150" t="s">
        <v>743</v>
      </c>
      <c r="E77" s="232" t="s">
        <v>17</v>
      </c>
      <c r="F77" s="342">
        <f>(1.15*2+0.8*2)</f>
        <v>3.9</v>
      </c>
      <c r="G77" s="296">
        <v>31.66</v>
      </c>
      <c r="H77" s="299">
        <f t="shared" si="16"/>
        <v>31.66</v>
      </c>
      <c r="I77" s="357">
        <f t="shared" ref="I77:I79" si="18">ROUND(F77*H77,2)</f>
        <v>123.47</v>
      </c>
      <c r="J77" s="298"/>
      <c r="K77" s="298"/>
      <c r="L77" s="298"/>
      <c r="M77" s="298"/>
      <c r="N77" s="298"/>
      <c r="O77" s="298"/>
      <c r="P77" s="298"/>
      <c r="Q77" s="298"/>
    </row>
    <row r="78" spans="1:17" s="288" customFormat="1" ht="14.25" x14ac:dyDescent="0.2">
      <c r="A78" s="232" t="s">
        <v>258</v>
      </c>
      <c r="B78" s="232" t="s">
        <v>45</v>
      </c>
      <c r="C78" s="232">
        <v>252</v>
      </c>
      <c r="D78" s="151" t="s">
        <v>801</v>
      </c>
      <c r="E78" s="232" t="s">
        <v>14</v>
      </c>
      <c r="F78" s="342">
        <v>4</v>
      </c>
      <c r="G78" s="196">
        <v>10.38</v>
      </c>
      <c r="H78" s="299">
        <f t="shared" si="16"/>
        <v>10.38</v>
      </c>
      <c r="I78" s="357">
        <f t="shared" si="18"/>
        <v>41.52</v>
      </c>
      <c r="J78" s="298"/>
      <c r="K78" s="298"/>
      <c r="L78" s="298"/>
      <c r="M78" s="298"/>
      <c r="N78" s="298"/>
      <c r="O78" s="298"/>
      <c r="P78" s="298"/>
      <c r="Q78" s="298"/>
    </row>
    <row r="79" spans="1:17" s="288" customFormat="1" ht="14.25" x14ac:dyDescent="0.2">
      <c r="A79" s="232" t="s">
        <v>259</v>
      </c>
      <c r="B79" s="232" t="s">
        <v>45</v>
      </c>
      <c r="C79" s="232">
        <v>6110</v>
      </c>
      <c r="D79" s="150" t="s">
        <v>245</v>
      </c>
      <c r="E79" s="232" t="s">
        <v>14</v>
      </c>
      <c r="F79" s="342">
        <v>4</v>
      </c>
      <c r="G79" s="196">
        <v>13.82</v>
      </c>
      <c r="H79" s="299">
        <f t="shared" si="16"/>
        <v>13.82</v>
      </c>
      <c r="I79" s="357">
        <f t="shared" si="18"/>
        <v>55.28</v>
      </c>
      <c r="J79" s="298"/>
      <c r="K79" s="298"/>
      <c r="L79" s="298"/>
      <c r="M79" s="298"/>
      <c r="N79" s="298"/>
      <c r="O79" s="298"/>
      <c r="P79" s="298"/>
      <c r="Q79" s="298"/>
    </row>
    <row r="80" spans="1:17" ht="15" customHeight="1" x14ac:dyDescent="0.2">
      <c r="A80" s="233"/>
      <c r="B80" s="153"/>
      <c r="C80" s="153"/>
      <c r="D80" s="188"/>
      <c r="E80" s="153"/>
      <c r="F80" s="284"/>
      <c r="G80" s="302"/>
      <c r="H80" s="299"/>
      <c r="I80" s="154"/>
      <c r="J80" s="57"/>
      <c r="K80" s="57"/>
      <c r="L80" s="57"/>
      <c r="M80" s="57"/>
      <c r="N80" s="57"/>
      <c r="O80" s="57"/>
      <c r="P80" s="57"/>
      <c r="Q80" s="57"/>
    </row>
    <row r="81" spans="1:17" s="295" customFormat="1" ht="30" x14ac:dyDescent="0.2">
      <c r="A81" s="290" t="s">
        <v>1054</v>
      </c>
      <c r="B81" s="279" t="s">
        <v>335</v>
      </c>
      <c r="C81" s="290" t="s">
        <v>592</v>
      </c>
      <c r="D81" s="291" t="s">
        <v>739</v>
      </c>
      <c r="E81" s="279" t="s">
        <v>18</v>
      </c>
      <c r="F81" s="300"/>
      <c r="G81" s="301"/>
      <c r="H81" s="293"/>
      <c r="I81" s="294">
        <f>SUM(I82:I85)</f>
        <v>322.78999999999996</v>
      </c>
      <c r="J81" s="105"/>
      <c r="K81" s="105"/>
      <c r="L81" s="105"/>
      <c r="M81" s="105"/>
      <c r="N81" s="105"/>
      <c r="O81" s="105"/>
      <c r="P81" s="105"/>
      <c r="Q81" s="105"/>
    </row>
    <row r="82" spans="1:17" s="288" customFormat="1" ht="14.25" x14ac:dyDescent="0.2">
      <c r="A82" s="232" t="s">
        <v>260</v>
      </c>
      <c r="B82" s="232" t="s">
        <v>45</v>
      </c>
      <c r="C82" s="232">
        <v>11125</v>
      </c>
      <c r="D82" s="150" t="s">
        <v>742</v>
      </c>
      <c r="E82" s="232" t="s">
        <v>169</v>
      </c>
      <c r="F82" s="342">
        <f>13.5*0.8*0.8</f>
        <v>8.64</v>
      </c>
      <c r="G82" s="296">
        <v>14.43</v>
      </c>
      <c r="H82" s="299">
        <f t="shared" ref="H82" si="19">G82</f>
        <v>14.43</v>
      </c>
      <c r="I82" s="357">
        <f t="shared" ref="I82" si="20">ROUND(F82*H82,2)</f>
        <v>124.68</v>
      </c>
      <c r="J82" s="298"/>
      <c r="K82" s="298"/>
      <c r="L82" s="298"/>
      <c r="M82" s="298"/>
      <c r="N82" s="298"/>
      <c r="O82" s="298"/>
      <c r="P82" s="298"/>
      <c r="Q82" s="298"/>
    </row>
    <row r="83" spans="1:17" s="288" customFormat="1" ht="14.25" x14ac:dyDescent="0.2">
      <c r="A83" s="232" t="s">
        <v>261</v>
      </c>
      <c r="B83" s="232" t="s">
        <v>45</v>
      </c>
      <c r="C83" s="232">
        <v>589</v>
      </c>
      <c r="D83" s="150" t="s">
        <v>743</v>
      </c>
      <c r="E83" s="232" t="s">
        <v>17</v>
      </c>
      <c r="F83" s="342">
        <f>(0.8*4)</f>
        <v>3.2</v>
      </c>
      <c r="G83" s="296">
        <v>31.66</v>
      </c>
      <c r="H83" s="296">
        <f t="shared" ref="H83:H85" si="21">G83</f>
        <v>31.66</v>
      </c>
      <c r="I83" s="297">
        <f>ROUND(F83*H83,2)</f>
        <v>101.31</v>
      </c>
      <c r="J83" s="298"/>
      <c r="K83" s="298"/>
      <c r="L83" s="298"/>
      <c r="M83" s="298"/>
      <c r="N83" s="298"/>
      <c r="O83" s="298"/>
      <c r="P83" s="298"/>
      <c r="Q83" s="298"/>
    </row>
    <row r="84" spans="1:17" s="288" customFormat="1" ht="14.25" x14ac:dyDescent="0.2">
      <c r="A84" s="232" t="s">
        <v>262</v>
      </c>
      <c r="B84" s="232" t="s">
        <v>45</v>
      </c>
      <c r="C84" s="232">
        <v>252</v>
      </c>
      <c r="D84" s="151" t="s">
        <v>801</v>
      </c>
      <c r="E84" s="232" t="s">
        <v>14</v>
      </c>
      <c r="F84" s="342">
        <v>4</v>
      </c>
      <c r="G84" s="196">
        <v>10.38</v>
      </c>
      <c r="H84" s="296">
        <f t="shared" si="21"/>
        <v>10.38</v>
      </c>
      <c r="I84" s="297">
        <f>ROUND(F84*H84,2)</f>
        <v>41.52</v>
      </c>
      <c r="J84" s="298"/>
      <c r="K84" s="298"/>
      <c r="L84" s="298"/>
      <c r="M84" s="298"/>
      <c r="N84" s="298"/>
      <c r="O84" s="298"/>
      <c r="P84" s="298"/>
      <c r="Q84" s="298"/>
    </row>
    <row r="85" spans="1:17" s="288" customFormat="1" ht="14.25" x14ac:dyDescent="0.2">
      <c r="A85" s="232" t="s">
        <v>263</v>
      </c>
      <c r="B85" s="232" t="s">
        <v>45</v>
      </c>
      <c r="C85" s="232">
        <v>6110</v>
      </c>
      <c r="D85" s="150" t="s">
        <v>245</v>
      </c>
      <c r="E85" s="232" t="s">
        <v>14</v>
      </c>
      <c r="F85" s="342">
        <v>4</v>
      </c>
      <c r="G85" s="196">
        <v>13.82</v>
      </c>
      <c r="H85" s="296">
        <f t="shared" si="21"/>
        <v>13.82</v>
      </c>
      <c r="I85" s="297">
        <f>ROUND(F85*H85,2)</f>
        <v>55.28</v>
      </c>
      <c r="J85" s="298"/>
      <c r="K85" s="298"/>
      <c r="L85" s="298"/>
      <c r="M85" s="298"/>
      <c r="N85" s="298"/>
      <c r="O85" s="298"/>
      <c r="P85" s="298"/>
      <c r="Q85" s="298"/>
    </row>
    <row r="86" spans="1:17" ht="15" customHeight="1" x14ac:dyDescent="0.2">
      <c r="A86" s="233"/>
      <c r="B86" s="153"/>
      <c r="C86" s="153"/>
      <c r="D86" s="188"/>
      <c r="E86" s="153"/>
      <c r="F86" s="149"/>
      <c r="G86" s="250"/>
      <c r="H86" s="299"/>
      <c r="I86" s="154"/>
      <c r="J86" s="57"/>
      <c r="K86" s="57"/>
      <c r="L86" s="57"/>
      <c r="M86" s="57"/>
      <c r="N86" s="57"/>
      <c r="O86" s="57"/>
      <c r="P86" s="57"/>
      <c r="Q86" s="57"/>
    </row>
    <row r="87" spans="1:17" s="146" customFormat="1" ht="15.95" customHeight="1" x14ac:dyDescent="0.2">
      <c r="A87" s="290" t="s">
        <v>1094</v>
      </c>
      <c r="B87" s="279" t="s">
        <v>335</v>
      </c>
      <c r="C87" s="290" t="s">
        <v>264</v>
      </c>
      <c r="D87" s="291" t="s">
        <v>737</v>
      </c>
      <c r="E87" s="279" t="s">
        <v>18</v>
      </c>
      <c r="F87" s="300"/>
      <c r="G87" s="301"/>
      <c r="H87" s="293"/>
      <c r="I87" s="294">
        <f>SUM(I88:I110)</f>
        <v>16381.03</v>
      </c>
      <c r="J87" s="145"/>
      <c r="K87" s="145"/>
      <c r="L87" s="145"/>
      <c r="M87" s="145"/>
      <c r="N87" s="145"/>
      <c r="O87" s="145"/>
      <c r="P87" s="145"/>
      <c r="Q87" s="145"/>
    </row>
    <row r="88" spans="1:17" s="288" customFormat="1" ht="15.95" customHeight="1" x14ac:dyDescent="0.2">
      <c r="A88" s="232" t="s">
        <v>265</v>
      </c>
      <c r="B88" s="232" t="s">
        <v>45</v>
      </c>
      <c r="C88" s="232">
        <v>93358</v>
      </c>
      <c r="D88" s="150" t="s">
        <v>803</v>
      </c>
      <c r="E88" s="232" t="s">
        <v>16</v>
      </c>
      <c r="F88" s="149">
        <f>5*2.8*1</f>
        <v>14</v>
      </c>
      <c r="G88" s="250">
        <v>65.819999999999993</v>
      </c>
      <c r="H88" s="296">
        <f t="shared" ref="H88:H110" si="22">G88</f>
        <v>65.819999999999993</v>
      </c>
      <c r="I88" s="149">
        <f t="shared" ref="I88:I110" si="23">ROUND(F88*H88,2)</f>
        <v>921.48</v>
      </c>
      <c r="J88" s="298"/>
      <c r="K88" s="298"/>
      <c r="L88" s="298"/>
      <c r="M88" s="298"/>
      <c r="N88" s="298"/>
      <c r="O88" s="298"/>
      <c r="P88" s="298"/>
      <c r="Q88" s="298"/>
    </row>
    <row r="89" spans="1:17" s="288" customFormat="1" ht="28.5" x14ac:dyDescent="0.2">
      <c r="A89" s="232" t="s">
        <v>266</v>
      </c>
      <c r="B89" s="232" t="s">
        <v>45</v>
      </c>
      <c r="C89" s="232">
        <v>94097</v>
      </c>
      <c r="D89" s="150" t="s">
        <v>762</v>
      </c>
      <c r="E89" s="232" t="s">
        <v>15</v>
      </c>
      <c r="F89" s="149">
        <f>5*2.8</f>
        <v>14</v>
      </c>
      <c r="G89" s="250">
        <v>4.91</v>
      </c>
      <c r="H89" s="296">
        <f t="shared" si="22"/>
        <v>4.91</v>
      </c>
      <c r="I89" s="149">
        <f t="shared" si="23"/>
        <v>68.739999999999995</v>
      </c>
      <c r="J89" s="298"/>
      <c r="K89" s="298"/>
      <c r="L89" s="298"/>
      <c r="M89" s="298"/>
      <c r="N89" s="298"/>
      <c r="O89" s="298"/>
      <c r="P89" s="298"/>
      <c r="Q89" s="298"/>
    </row>
    <row r="90" spans="1:17" s="288" customFormat="1" ht="15.95" customHeight="1" x14ac:dyDescent="0.2">
      <c r="A90" s="232" t="s">
        <v>267</v>
      </c>
      <c r="B90" s="232" t="s">
        <v>45</v>
      </c>
      <c r="C90" s="232">
        <v>88039</v>
      </c>
      <c r="D90" s="158" t="s">
        <v>744</v>
      </c>
      <c r="E90" s="232" t="s">
        <v>16</v>
      </c>
      <c r="F90" s="149">
        <f>F89</f>
        <v>14</v>
      </c>
      <c r="G90" s="250">
        <v>69.37</v>
      </c>
      <c r="H90" s="296">
        <f t="shared" si="22"/>
        <v>69.37</v>
      </c>
      <c r="I90" s="149">
        <f t="shared" si="23"/>
        <v>971.18</v>
      </c>
      <c r="J90" s="298"/>
      <c r="K90" s="298"/>
      <c r="L90" s="298"/>
      <c r="M90" s="298"/>
      <c r="N90" s="298"/>
      <c r="O90" s="298"/>
      <c r="P90" s="298"/>
      <c r="Q90" s="298"/>
    </row>
    <row r="91" spans="1:17" s="40" customFormat="1" ht="28.5" x14ac:dyDescent="0.2">
      <c r="A91" s="232" t="s">
        <v>268</v>
      </c>
      <c r="B91" s="232" t="s">
        <v>45</v>
      </c>
      <c r="C91" s="232">
        <v>95241</v>
      </c>
      <c r="D91" s="158" t="s">
        <v>733</v>
      </c>
      <c r="E91" s="232" t="s">
        <v>15</v>
      </c>
      <c r="F91" s="149">
        <f>F89</f>
        <v>14</v>
      </c>
      <c r="G91" s="250">
        <v>19.88</v>
      </c>
      <c r="H91" s="296">
        <f t="shared" si="22"/>
        <v>19.88</v>
      </c>
      <c r="I91" s="149">
        <f t="shared" si="23"/>
        <v>278.32</v>
      </c>
      <c r="J91" s="41"/>
      <c r="K91" s="41"/>
      <c r="L91" s="41"/>
      <c r="M91" s="41"/>
      <c r="N91" s="41"/>
      <c r="O91" s="41"/>
      <c r="P91" s="41"/>
      <c r="Q91" s="41"/>
    </row>
    <row r="92" spans="1:17" s="308" customFormat="1" ht="14.25" x14ac:dyDescent="0.2">
      <c r="A92" s="232" t="s">
        <v>322</v>
      </c>
      <c r="B92" s="156" t="s">
        <v>45</v>
      </c>
      <c r="C92" s="232">
        <v>6454</v>
      </c>
      <c r="D92" s="158" t="s">
        <v>1794</v>
      </c>
      <c r="E92" s="156" t="s">
        <v>16</v>
      </c>
      <c r="F92" s="149">
        <f>F88</f>
        <v>14</v>
      </c>
      <c r="G92" s="149">
        <v>155.35</v>
      </c>
      <c r="H92" s="149">
        <f t="shared" ref="H92" si="24">ROUND((1+$L$16)*G92,2)</f>
        <v>155.35</v>
      </c>
      <c r="I92" s="149">
        <f>ROUND(F92*H92,2)</f>
        <v>2174.9</v>
      </c>
      <c r="J92" s="307"/>
      <c r="K92" s="307"/>
      <c r="L92" s="307"/>
      <c r="M92" s="307"/>
      <c r="N92" s="307"/>
      <c r="O92" s="307"/>
    </row>
    <row r="93" spans="1:17" s="40" customFormat="1" ht="14.25" x14ac:dyDescent="0.2">
      <c r="A93" s="232" t="s">
        <v>323</v>
      </c>
      <c r="B93" s="232" t="s">
        <v>45</v>
      </c>
      <c r="C93" s="232">
        <v>25071</v>
      </c>
      <c r="D93" s="158" t="s">
        <v>1813</v>
      </c>
      <c r="E93" s="232" t="s">
        <v>18</v>
      </c>
      <c r="F93" s="149">
        <v>239</v>
      </c>
      <c r="G93" s="250">
        <v>1.53</v>
      </c>
      <c r="H93" s="296">
        <f t="shared" si="22"/>
        <v>1.53</v>
      </c>
      <c r="I93" s="149">
        <f t="shared" si="23"/>
        <v>365.67</v>
      </c>
      <c r="J93" s="41"/>
      <c r="K93" s="41"/>
      <c r="L93" s="41"/>
      <c r="M93" s="41"/>
      <c r="N93" s="41"/>
      <c r="O93" s="41"/>
      <c r="P93" s="41"/>
      <c r="Q93" s="41"/>
    </row>
    <row r="94" spans="1:17" s="40" customFormat="1" ht="14.25" x14ac:dyDescent="0.2">
      <c r="A94" s="232" t="s">
        <v>324</v>
      </c>
      <c r="B94" s="232" t="s">
        <v>45</v>
      </c>
      <c r="C94" s="232">
        <v>38591</v>
      </c>
      <c r="D94" s="158" t="s">
        <v>1814</v>
      </c>
      <c r="E94" s="232" t="s">
        <v>18</v>
      </c>
      <c r="F94" s="149">
        <v>200</v>
      </c>
      <c r="G94" s="250">
        <v>2.21</v>
      </c>
      <c r="H94" s="296">
        <f t="shared" ref="H94:H95" si="25">G94</f>
        <v>2.21</v>
      </c>
      <c r="I94" s="149">
        <f t="shared" ref="I94:I95" si="26">ROUND(F94*H94,2)</f>
        <v>442</v>
      </c>
      <c r="J94" s="41"/>
      <c r="K94" s="41"/>
      <c r="L94" s="41"/>
      <c r="M94" s="41"/>
      <c r="N94" s="41"/>
      <c r="O94" s="41"/>
      <c r="P94" s="41"/>
      <c r="Q94" s="41"/>
    </row>
    <row r="95" spans="1:17" s="40" customFormat="1" ht="14.25" x14ac:dyDescent="0.2">
      <c r="A95" s="232" t="s">
        <v>325</v>
      </c>
      <c r="B95" s="232" t="s">
        <v>45</v>
      </c>
      <c r="C95" s="232">
        <v>38593</v>
      </c>
      <c r="D95" s="158" t="s">
        <v>1815</v>
      </c>
      <c r="E95" s="232" t="s">
        <v>18</v>
      </c>
      <c r="F95" s="149">
        <v>76</v>
      </c>
      <c r="G95" s="250">
        <v>1.9</v>
      </c>
      <c r="H95" s="296">
        <f t="shared" si="25"/>
        <v>1.9</v>
      </c>
      <c r="I95" s="149">
        <f t="shared" si="26"/>
        <v>144.4</v>
      </c>
      <c r="J95" s="41"/>
      <c r="K95" s="41"/>
      <c r="L95" s="41"/>
      <c r="M95" s="41"/>
      <c r="N95" s="41"/>
      <c r="O95" s="41"/>
      <c r="P95" s="41"/>
      <c r="Q95" s="41"/>
    </row>
    <row r="96" spans="1:17" s="40" customFormat="1" ht="14.25" x14ac:dyDescent="0.2">
      <c r="A96" s="232" t="s">
        <v>326</v>
      </c>
      <c r="B96" s="232" t="s">
        <v>45</v>
      </c>
      <c r="C96" s="232">
        <v>38598</v>
      </c>
      <c r="D96" s="158" t="s">
        <v>1816</v>
      </c>
      <c r="E96" s="232" t="s">
        <v>18</v>
      </c>
      <c r="F96" s="250">
        <f>61+62</f>
        <v>123</v>
      </c>
      <c r="G96" s="250">
        <v>1.96</v>
      </c>
      <c r="H96" s="296">
        <f t="shared" ref="H96:H101" si="27">G96</f>
        <v>1.96</v>
      </c>
      <c r="I96" s="149">
        <f t="shared" ref="I96:I101" si="28">ROUND(F96*H96,2)</f>
        <v>241.08</v>
      </c>
      <c r="J96" s="41"/>
      <c r="K96" s="41"/>
      <c r="L96" s="41"/>
      <c r="M96" s="41"/>
      <c r="N96" s="41"/>
      <c r="O96" s="41"/>
      <c r="P96" s="41"/>
      <c r="Q96" s="41"/>
    </row>
    <row r="97" spans="1:17" s="40" customFormat="1" ht="14.25" x14ac:dyDescent="0.2">
      <c r="A97" s="232" t="s">
        <v>327</v>
      </c>
      <c r="B97" s="232" t="s">
        <v>45</v>
      </c>
      <c r="C97" s="232">
        <v>34452</v>
      </c>
      <c r="D97" s="158" t="s">
        <v>1817</v>
      </c>
      <c r="E97" s="232" t="s">
        <v>169</v>
      </c>
      <c r="F97" s="250">
        <v>1</v>
      </c>
      <c r="G97" s="250">
        <v>3.7</v>
      </c>
      <c r="H97" s="296">
        <f t="shared" si="27"/>
        <v>3.7</v>
      </c>
      <c r="I97" s="149">
        <f t="shared" si="28"/>
        <v>3.7</v>
      </c>
      <c r="J97" s="41"/>
      <c r="K97" s="41"/>
      <c r="L97" s="41"/>
      <c r="M97" s="41"/>
      <c r="N97" s="41"/>
      <c r="O97" s="41"/>
      <c r="P97" s="41"/>
      <c r="Q97" s="41"/>
    </row>
    <row r="98" spans="1:17" s="40" customFormat="1" ht="14.25" customHeight="1" x14ac:dyDescent="0.2">
      <c r="A98" s="232" t="s">
        <v>328</v>
      </c>
      <c r="B98" s="232" t="s">
        <v>45</v>
      </c>
      <c r="C98" s="232">
        <v>34456</v>
      </c>
      <c r="D98" s="158" t="s">
        <v>1818</v>
      </c>
      <c r="E98" s="232" t="s">
        <v>169</v>
      </c>
      <c r="F98" s="250">
        <v>16</v>
      </c>
      <c r="G98" s="250">
        <v>3.7</v>
      </c>
      <c r="H98" s="296">
        <f t="shared" si="27"/>
        <v>3.7</v>
      </c>
      <c r="I98" s="149">
        <f t="shared" si="28"/>
        <v>59.2</v>
      </c>
      <c r="J98" s="41"/>
      <c r="K98" s="41"/>
      <c r="L98" s="41"/>
      <c r="M98" s="41"/>
      <c r="N98" s="41"/>
      <c r="O98" s="41"/>
      <c r="P98" s="41"/>
      <c r="Q98" s="41"/>
    </row>
    <row r="99" spans="1:17" s="40" customFormat="1" ht="14.25" customHeight="1" x14ac:dyDescent="0.2">
      <c r="A99" s="232" t="s">
        <v>329</v>
      </c>
      <c r="B99" s="232" t="s">
        <v>45</v>
      </c>
      <c r="C99" s="232">
        <v>34449</v>
      </c>
      <c r="D99" s="158" t="s">
        <v>871</v>
      </c>
      <c r="E99" s="232" t="s">
        <v>169</v>
      </c>
      <c r="F99" s="250">
        <v>95</v>
      </c>
      <c r="G99" s="250">
        <v>4.18</v>
      </c>
      <c r="H99" s="296">
        <f t="shared" si="27"/>
        <v>4.18</v>
      </c>
      <c r="I99" s="149">
        <f t="shared" si="28"/>
        <v>397.1</v>
      </c>
      <c r="J99" s="41"/>
      <c r="K99" s="41"/>
      <c r="L99" s="41"/>
      <c r="M99" s="41"/>
      <c r="N99" s="41"/>
      <c r="O99" s="41"/>
      <c r="P99" s="41"/>
      <c r="Q99" s="41"/>
    </row>
    <row r="100" spans="1:17" s="40" customFormat="1" ht="14.25" x14ac:dyDescent="0.2">
      <c r="A100" s="232" t="s">
        <v>330</v>
      </c>
      <c r="B100" s="232" t="s">
        <v>45</v>
      </c>
      <c r="C100" s="232">
        <v>33</v>
      </c>
      <c r="D100" s="158" t="s">
        <v>799</v>
      </c>
      <c r="E100" s="232" t="s">
        <v>169</v>
      </c>
      <c r="F100" s="250">
        <v>6</v>
      </c>
      <c r="G100" s="250">
        <v>4.1900000000000004</v>
      </c>
      <c r="H100" s="296">
        <f t="shared" si="27"/>
        <v>4.1900000000000004</v>
      </c>
      <c r="I100" s="149">
        <f t="shared" si="28"/>
        <v>25.14</v>
      </c>
      <c r="J100" s="41"/>
      <c r="K100" s="41"/>
      <c r="L100" s="41"/>
      <c r="M100" s="41"/>
      <c r="N100" s="41"/>
      <c r="O100" s="41"/>
      <c r="P100" s="41"/>
      <c r="Q100" s="41"/>
    </row>
    <row r="101" spans="1:17" s="40" customFormat="1" ht="14.25" x14ac:dyDescent="0.2">
      <c r="A101" s="232" t="s">
        <v>331</v>
      </c>
      <c r="B101" s="232" t="s">
        <v>45</v>
      </c>
      <c r="C101" s="232">
        <v>34439</v>
      </c>
      <c r="D101" s="158" t="s">
        <v>798</v>
      </c>
      <c r="E101" s="232" t="s">
        <v>169</v>
      </c>
      <c r="F101" s="250">
        <v>45</v>
      </c>
      <c r="G101" s="250">
        <v>4</v>
      </c>
      <c r="H101" s="296">
        <f t="shared" si="27"/>
        <v>4</v>
      </c>
      <c r="I101" s="149">
        <f t="shared" si="28"/>
        <v>180</v>
      </c>
      <c r="J101" s="41"/>
      <c r="K101" s="41"/>
      <c r="L101" s="41"/>
      <c r="M101" s="41"/>
      <c r="N101" s="41"/>
      <c r="O101" s="41"/>
      <c r="P101" s="41"/>
      <c r="Q101" s="41"/>
    </row>
    <row r="102" spans="1:17" s="40" customFormat="1" ht="28.5" x14ac:dyDescent="0.2">
      <c r="A102" s="232" t="s">
        <v>1599</v>
      </c>
      <c r="B102" s="232" t="s">
        <v>45</v>
      </c>
      <c r="C102" s="232">
        <v>94973</v>
      </c>
      <c r="D102" s="158" t="s">
        <v>734</v>
      </c>
      <c r="E102" s="232" t="s">
        <v>16</v>
      </c>
      <c r="F102" s="149">
        <v>2.1</v>
      </c>
      <c r="G102" s="250">
        <v>318.3</v>
      </c>
      <c r="H102" s="296">
        <f>G102</f>
        <v>318.3</v>
      </c>
      <c r="I102" s="149">
        <f>ROUND(F102*H102,2)</f>
        <v>668.43</v>
      </c>
      <c r="J102" s="41"/>
      <c r="K102" s="41"/>
      <c r="L102" s="41"/>
      <c r="M102" s="41"/>
      <c r="N102" s="41"/>
      <c r="O102" s="41"/>
      <c r="P102" s="41"/>
      <c r="Q102" s="41"/>
    </row>
    <row r="103" spans="1:17" s="40" customFormat="1" ht="14.25" x14ac:dyDescent="0.2">
      <c r="A103" s="232" t="s">
        <v>1600</v>
      </c>
      <c r="B103" s="232" t="s">
        <v>45</v>
      </c>
      <c r="C103" s="232">
        <v>38124</v>
      </c>
      <c r="D103" s="158" t="s">
        <v>1833</v>
      </c>
      <c r="E103" s="232" t="s">
        <v>18</v>
      </c>
      <c r="F103" s="149">
        <v>2</v>
      </c>
      <c r="G103" s="250">
        <v>29.7</v>
      </c>
      <c r="H103" s="296">
        <f>G103</f>
        <v>29.7</v>
      </c>
      <c r="I103" s="149">
        <f>ROUND(F103*H103,2)</f>
        <v>59.4</v>
      </c>
      <c r="J103" s="41"/>
      <c r="K103" s="41"/>
      <c r="L103" s="41"/>
      <c r="M103" s="41"/>
      <c r="N103" s="41"/>
      <c r="O103" s="41"/>
      <c r="P103" s="41"/>
      <c r="Q103" s="41"/>
    </row>
    <row r="104" spans="1:17" s="40" customFormat="1" ht="42.75" x14ac:dyDescent="0.2">
      <c r="A104" s="232" t="s">
        <v>1601</v>
      </c>
      <c r="B104" s="232" t="s">
        <v>45</v>
      </c>
      <c r="C104" s="156">
        <v>92541</v>
      </c>
      <c r="D104" s="151" t="s">
        <v>1823</v>
      </c>
      <c r="E104" s="232" t="s">
        <v>15</v>
      </c>
      <c r="F104" s="149">
        <f>5.6*3.4</f>
        <v>19.04</v>
      </c>
      <c r="G104" s="250">
        <v>44.87</v>
      </c>
      <c r="H104" s="296">
        <f t="shared" ref="H104:H105" si="29">G104</f>
        <v>44.87</v>
      </c>
      <c r="I104" s="149">
        <f t="shared" ref="I104:I105" si="30">ROUND(F104*H104,2)</f>
        <v>854.32</v>
      </c>
      <c r="J104" s="41"/>
      <c r="K104" s="41"/>
      <c r="L104" s="41"/>
      <c r="M104" s="41"/>
      <c r="N104" s="41"/>
      <c r="O104" s="41"/>
      <c r="P104" s="41"/>
      <c r="Q104" s="41"/>
    </row>
    <row r="105" spans="1:17" s="40" customFormat="1" ht="28.5" x14ac:dyDescent="0.2">
      <c r="A105" s="232" t="s">
        <v>1602</v>
      </c>
      <c r="B105" s="232" t="s">
        <v>45</v>
      </c>
      <c r="C105" s="156">
        <v>94201</v>
      </c>
      <c r="D105" s="151" t="s">
        <v>1824</v>
      </c>
      <c r="E105" s="232" t="s">
        <v>15</v>
      </c>
      <c r="F105" s="149">
        <f>F104</f>
        <v>19.04</v>
      </c>
      <c r="G105" s="250">
        <v>44.75</v>
      </c>
      <c r="H105" s="296">
        <f t="shared" si="29"/>
        <v>44.75</v>
      </c>
      <c r="I105" s="149">
        <f t="shared" si="30"/>
        <v>852.04</v>
      </c>
      <c r="J105" s="41"/>
      <c r="K105" s="41"/>
      <c r="L105" s="41"/>
      <c r="M105" s="41"/>
      <c r="N105" s="41"/>
      <c r="O105" s="41"/>
      <c r="P105" s="41"/>
      <c r="Q105" s="41"/>
    </row>
    <row r="106" spans="1:17" s="40" customFormat="1" ht="28.5" customHeight="1" x14ac:dyDescent="0.2">
      <c r="A106" s="232" t="s">
        <v>1603</v>
      </c>
      <c r="B106" s="232" t="s">
        <v>45</v>
      </c>
      <c r="C106" s="232">
        <v>87878</v>
      </c>
      <c r="D106" s="150" t="s">
        <v>746</v>
      </c>
      <c r="E106" s="232" t="s">
        <v>15</v>
      </c>
      <c r="F106" s="149">
        <f>44.24*2</f>
        <v>88.48</v>
      </c>
      <c r="G106" s="250">
        <v>3.13</v>
      </c>
      <c r="H106" s="296">
        <f t="shared" si="22"/>
        <v>3.13</v>
      </c>
      <c r="I106" s="149">
        <f t="shared" si="23"/>
        <v>276.94</v>
      </c>
      <c r="J106" s="41"/>
      <c r="K106" s="41"/>
      <c r="L106" s="41"/>
      <c r="M106" s="41"/>
      <c r="N106" s="41"/>
      <c r="O106" s="41"/>
      <c r="P106" s="41"/>
      <c r="Q106" s="41"/>
    </row>
    <row r="107" spans="1:17" s="40" customFormat="1" ht="57" x14ac:dyDescent="0.2">
      <c r="A107" s="232" t="s">
        <v>1604</v>
      </c>
      <c r="B107" s="232" t="s">
        <v>45</v>
      </c>
      <c r="C107" s="232">
        <v>87561</v>
      </c>
      <c r="D107" s="158" t="s">
        <v>804</v>
      </c>
      <c r="E107" s="232" t="s">
        <v>15</v>
      </c>
      <c r="F107" s="149">
        <f>F106</f>
        <v>88.48</v>
      </c>
      <c r="G107" s="250">
        <v>23.88</v>
      </c>
      <c r="H107" s="296">
        <f t="shared" si="22"/>
        <v>23.88</v>
      </c>
      <c r="I107" s="149">
        <f t="shared" si="23"/>
        <v>2112.9</v>
      </c>
      <c r="J107" s="41"/>
      <c r="K107" s="41"/>
      <c r="L107" s="41"/>
      <c r="M107" s="41"/>
      <c r="N107" s="41"/>
      <c r="O107" s="41"/>
      <c r="P107" s="41"/>
      <c r="Q107" s="41"/>
    </row>
    <row r="108" spans="1:17" s="40" customFormat="1" ht="28.5" x14ac:dyDescent="0.2">
      <c r="A108" s="232" t="s">
        <v>1605</v>
      </c>
      <c r="B108" s="232" t="s">
        <v>45</v>
      </c>
      <c r="C108" s="232">
        <v>91341</v>
      </c>
      <c r="D108" s="158" t="s">
        <v>1822</v>
      </c>
      <c r="E108" s="232" t="s">
        <v>15</v>
      </c>
      <c r="F108" s="149">
        <f>0.8*2.1*2</f>
        <v>3.3600000000000003</v>
      </c>
      <c r="G108" s="250">
        <v>695.38</v>
      </c>
      <c r="H108" s="296">
        <f t="shared" si="22"/>
        <v>695.38</v>
      </c>
      <c r="I108" s="149">
        <f t="shared" si="23"/>
        <v>2336.48</v>
      </c>
      <c r="J108" s="41"/>
      <c r="K108" s="41"/>
      <c r="L108" s="41"/>
      <c r="M108" s="41"/>
      <c r="N108" s="41"/>
      <c r="O108" s="41"/>
      <c r="P108" s="41"/>
      <c r="Q108" s="41"/>
    </row>
    <row r="109" spans="1:17" s="40" customFormat="1" ht="28.5" x14ac:dyDescent="0.2">
      <c r="A109" s="232" t="s">
        <v>1606</v>
      </c>
      <c r="B109" s="232" t="s">
        <v>45</v>
      </c>
      <c r="C109" s="232">
        <v>94576</v>
      </c>
      <c r="D109" s="158" t="s">
        <v>1832</v>
      </c>
      <c r="E109" s="232" t="s">
        <v>18</v>
      </c>
      <c r="F109" s="149">
        <f>1.5*1.2*2</f>
        <v>3.5999999999999996</v>
      </c>
      <c r="G109" s="250">
        <v>520.70000000000005</v>
      </c>
      <c r="H109" s="296">
        <f t="shared" si="22"/>
        <v>520.70000000000005</v>
      </c>
      <c r="I109" s="149">
        <f t="shared" si="23"/>
        <v>1874.52</v>
      </c>
      <c r="J109" s="41"/>
      <c r="K109" s="41"/>
      <c r="L109" s="41"/>
      <c r="M109" s="41"/>
      <c r="N109" s="41"/>
      <c r="O109" s="41"/>
      <c r="P109" s="41"/>
      <c r="Q109" s="41"/>
    </row>
    <row r="110" spans="1:17" s="40" customFormat="1" ht="28.5" x14ac:dyDescent="0.2">
      <c r="A110" s="232" t="s">
        <v>1607</v>
      </c>
      <c r="B110" s="232" t="s">
        <v>45</v>
      </c>
      <c r="C110" s="232">
        <v>88487</v>
      </c>
      <c r="D110" s="158" t="s">
        <v>747</v>
      </c>
      <c r="E110" s="232" t="s">
        <v>15</v>
      </c>
      <c r="F110" s="149">
        <f>F106*1.6</f>
        <v>141.56800000000001</v>
      </c>
      <c r="G110" s="250">
        <v>7.58</v>
      </c>
      <c r="H110" s="296">
        <f t="shared" si="22"/>
        <v>7.58</v>
      </c>
      <c r="I110" s="149">
        <f t="shared" si="23"/>
        <v>1073.0899999999999</v>
      </c>
      <c r="J110" s="41"/>
      <c r="K110" s="41"/>
      <c r="L110" s="41"/>
      <c r="M110" s="41"/>
      <c r="N110" s="41"/>
      <c r="O110" s="41"/>
      <c r="P110" s="41"/>
      <c r="Q110" s="41"/>
    </row>
    <row r="111" spans="1:17" ht="15" customHeight="1" x14ac:dyDescent="0.2">
      <c r="A111" s="233"/>
      <c r="B111" s="153"/>
      <c r="C111" s="232"/>
      <c r="D111" s="158"/>
      <c r="E111" s="232"/>
      <c r="F111" s="149"/>
      <c r="G111" s="250"/>
      <c r="H111" s="299"/>
      <c r="I111" s="154"/>
      <c r="J111" s="57"/>
      <c r="K111" s="57"/>
      <c r="L111" s="57"/>
      <c r="M111" s="57"/>
      <c r="N111" s="57"/>
      <c r="O111" s="57"/>
      <c r="P111" s="57"/>
      <c r="Q111" s="57"/>
    </row>
    <row r="112" spans="1:17" ht="15" customHeight="1" x14ac:dyDescent="0.2">
      <c r="A112" s="233"/>
      <c r="B112" s="153"/>
      <c r="C112" s="232"/>
      <c r="D112" s="158"/>
      <c r="E112" s="232"/>
      <c r="F112" s="149"/>
      <c r="G112" s="250"/>
      <c r="H112" s="299"/>
      <c r="I112" s="154"/>
      <c r="J112" s="57"/>
      <c r="K112" s="57"/>
      <c r="L112" s="57"/>
      <c r="M112" s="57"/>
      <c r="N112" s="57"/>
      <c r="O112" s="57"/>
      <c r="P112" s="57"/>
      <c r="Q112" s="57"/>
    </row>
    <row r="113" spans="1:17" s="295" customFormat="1" ht="18" customHeight="1" x14ac:dyDescent="0.2">
      <c r="A113" s="290" t="s">
        <v>1608</v>
      </c>
      <c r="B113" s="279" t="s">
        <v>335</v>
      </c>
      <c r="C113" s="290" t="s">
        <v>593</v>
      </c>
      <c r="D113" s="291" t="s">
        <v>1609</v>
      </c>
      <c r="E113" s="279" t="s">
        <v>18</v>
      </c>
      <c r="F113" s="300"/>
      <c r="G113" s="301"/>
      <c r="H113" s="293"/>
      <c r="I113" s="294">
        <f>SUM(I114:I138)</f>
        <v>16829.400000000001</v>
      </c>
      <c r="J113" s="105"/>
      <c r="K113" s="105"/>
      <c r="L113" s="105"/>
      <c r="M113" s="105"/>
      <c r="N113" s="105"/>
      <c r="O113" s="105"/>
      <c r="P113" s="105"/>
      <c r="Q113" s="105"/>
    </row>
    <row r="114" spans="1:17" s="40" customFormat="1" ht="14.25" x14ac:dyDescent="0.2">
      <c r="A114" s="345" t="s">
        <v>606</v>
      </c>
      <c r="B114" s="285" t="s">
        <v>65</v>
      </c>
      <c r="C114" s="285"/>
      <c r="D114" s="311" t="s">
        <v>806</v>
      </c>
      <c r="E114" s="285" t="s">
        <v>18</v>
      </c>
      <c r="F114" s="284">
        <v>1</v>
      </c>
      <c r="G114" s="303"/>
      <c r="H114" s="346">
        <f t="shared" ref="H114:H135" si="31">G114</f>
        <v>0</v>
      </c>
      <c r="I114" s="284">
        <f t="shared" ref="I114:I135" si="32">ROUND(F114*H114,2)</f>
        <v>0</v>
      </c>
      <c r="J114" s="41"/>
      <c r="K114" s="41"/>
      <c r="L114" s="41"/>
      <c r="M114" s="41"/>
      <c r="N114" s="41"/>
      <c r="O114" s="41"/>
      <c r="P114" s="41"/>
      <c r="Q114" s="41"/>
    </row>
    <row r="115" spans="1:17" s="40" customFormat="1" ht="14.25" x14ac:dyDescent="0.2">
      <c r="A115" s="248" t="s">
        <v>607</v>
      </c>
      <c r="B115" s="232" t="s">
        <v>65</v>
      </c>
      <c r="C115" s="232"/>
      <c r="D115" s="151" t="s">
        <v>807</v>
      </c>
      <c r="E115" s="232" t="s">
        <v>18</v>
      </c>
      <c r="F115" s="149">
        <v>1</v>
      </c>
      <c r="G115" s="249">
        <v>310</v>
      </c>
      <c r="H115" s="296">
        <f t="shared" si="31"/>
        <v>310</v>
      </c>
      <c r="I115" s="149">
        <f t="shared" si="32"/>
        <v>310</v>
      </c>
      <c r="J115" s="41"/>
      <c r="K115" s="41"/>
      <c r="L115" s="41"/>
      <c r="M115" s="41"/>
      <c r="N115" s="41"/>
      <c r="O115" s="41"/>
      <c r="P115" s="41"/>
      <c r="Q115" s="41"/>
    </row>
    <row r="116" spans="1:17" s="40" customFormat="1" ht="14.25" x14ac:dyDescent="0.2">
      <c r="A116" s="248" t="s">
        <v>1875</v>
      </c>
      <c r="B116" s="232" t="s">
        <v>65</v>
      </c>
      <c r="C116" s="232"/>
      <c r="D116" s="151" t="s">
        <v>808</v>
      </c>
      <c r="E116" s="232" t="s">
        <v>18</v>
      </c>
      <c r="F116" s="149">
        <v>1</v>
      </c>
      <c r="G116" s="249">
        <v>2200</v>
      </c>
      <c r="H116" s="296">
        <f t="shared" ref="H116:H124" si="33">G116</f>
        <v>2200</v>
      </c>
      <c r="I116" s="149">
        <f t="shared" ref="I116:I124" si="34">ROUND(F116*H116,2)</f>
        <v>2200</v>
      </c>
      <c r="J116" s="41"/>
      <c r="K116" s="41"/>
      <c r="L116" s="41"/>
      <c r="M116" s="41"/>
      <c r="N116" s="41"/>
      <c r="O116" s="41"/>
      <c r="P116" s="41"/>
      <c r="Q116" s="41"/>
    </row>
    <row r="117" spans="1:17" s="40" customFormat="1" ht="14.25" x14ac:dyDescent="0.2">
      <c r="A117" s="248" t="s">
        <v>1876</v>
      </c>
      <c r="B117" s="232" t="s">
        <v>65</v>
      </c>
      <c r="C117" s="232"/>
      <c r="D117" s="151" t="s">
        <v>748</v>
      </c>
      <c r="E117" s="232" t="s">
        <v>18</v>
      </c>
      <c r="F117" s="149">
        <v>2</v>
      </c>
      <c r="G117" s="249">
        <v>170</v>
      </c>
      <c r="H117" s="296">
        <f t="shared" si="33"/>
        <v>170</v>
      </c>
      <c r="I117" s="149">
        <f t="shared" si="34"/>
        <v>340</v>
      </c>
      <c r="J117" s="41"/>
      <c r="K117" s="41"/>
      <c r="L117" s="41"/>
      <c r="M117" s="41"/>
      <c r="N117" s="41"/>
      <c r="O117" s="41"/>
      <c r="P117" s="41"/>
      <c r="Q117" s="41"/>
    </row>
    <row r="118" spans="1:17" s="40" customFormat="1" ht="14.25" x14ac:dyDescent="0.2">
      <c r="A118" s="248" t="s">
        <v>1877</v>
      </c>
      <c r="B118" s="232" t="s">
        <v>65</v>
      </c>
      <c r="C118" s="232"/>
      <c r="D118" s="151" t="s">
        <v>809</v>
      </c>
      <c r="E118" s="232" t="s">
        <v>18</v>
      </c>
      <c r="F118" s="149">
        <v>2</v>
      </c>
      <c r="G118" s="249">
        <v>520</v>
      </c>
      <c r="H118" s="296">
        <f t="shared" si="33"/>
        <v>520</v>
      </c>
      <c r="I118" s="149">
        <f t="shared" si="34"/>
        <v>1040</v>
      </c>
      <c r="J118" s="41"/>
      <c r="K118" s="41"/>
      <c r="L118" s="41"/>
      <c r="M118" s="41"/>
      <c r="N118" s="41"/>
      <c r="O118" s="41"/>
      <c r="P118" s="41"/>
      <c r="Q118" s="41"/>
    </row>
    <row r="119" spans="1:17" s="40" customFormat="1" ht="14.25" x14ac:dyDescent="0.2">
      <c r="A119" s="248" t="s">
        <v>1878</v>
      </c>
      <c r="B119" s="232" t="s">
        <v>65</v>
      </c>
      <c r="C119" s="232"/>
      <c r="D119" s="151" t="s">
        <v>810</v>
      </c>
      <c r="E119" s="232" t="s">
        <v>18</v>
      </c>
      <c r="F119" s="149">
        <v>2</v>
      </c>
      <c r="G119" s="249">
        <v>294</v>
      </c>
      <c r="H119" s="296">
        <f t="shared" si="33"/>
        <v>294</v>
      </c>
      <c r="I119" s="149">
        <f t="shared" si="34"/>
        <v>588</v>
      </c>
      <c r="J119" s="41"/>
      <c r="K119" s="41"/>
      <c r="L119" s="41"/>
      <c r="M119" s="41"/>
      <c r="N119" s="41"/>
      <c r="O119" s="41"/>
      <c r="P119" s="41"/>
      <c r="Q119" s="41"/>
    </row>
    <row r="120" spans="1:17" s="40" customFormat="1" ht="14.25" x14ac:dyDescent="0.2">
      <c r="A120" s="248" t="s">
        <v>1879</v>
      </c>
      <c r="B120" s="232" t="s">
        <v>65</v>
      </c>
      <c r="C120" s="232"/>
      <c r="D120" s="151" t="s">
        <v>811</v>
      </c>
      <c r="E120" s="232" t="s">
        <v>18</v>
      </c>
      <c r="F120" s="149">
        <v>4</v>
      </c>
      <c r="G120" s="249">
        <v>121</v>
      </c>
      <c r="H120" s="296">
        <f t="shared" si="33"/>
        <v>121</v>
      </c>
      <c r="I120" s="149">
        <f t="shared" si="34"/>
        <v>484</v>
      </c>
      <c r="J120" s="41"/>
      <c r="K120" s="41"/>
      <c r="L120" s="41"/>
      <c r="M120" s="41"/>
      <c r="N120" s="41"/>
      <c r="O120" s="41"/>
      <c r="P120" s="41"/>
      <c r="Q120" s="41"/>
    </row>
    <row r="121" spans="1:17" s="40" customFormat="1" ht="14.25" x14ac:dyDescent="0.2">
      <c r="A121" s="248" t="s">
        <v>1880</v>
      </c>
      <c r="B121" s="232" t="s">
        <v>65</v>
      </c>
      <c r="C121" s="232"/>
      <c r="D121" s="151" t="s">
        <v>812</v>
      </c>
      <c r="E121" s="232" t="s">
        <v>18</v>
      </c>
      <c r="F121" s="149">
        <v>1</v>
      </c>
      <c r="G121" s="249">
        <v>299</v>
      </c>
      <c r="H121" s="296">
        <f t="shared" si="33"/>
        <v>299</v>
      </c>
      <c r="I121" s="149">
        <f t="shared" si="34"/>
        <v>299</v>
      </c>
      <c r="J121" s="41"/>
      <c r="K121" s="41"/>
      <c r="L121" s="41"/>
      <c r="M121" s="41"/>
      <c r="N121" s="41"/>
      <c r="O121" s="41"/>
      <c r="P121" s="41"/>
      <c r="Q121" s="41"/>
    </row>
    <row r="122" spans="1:17" s="40" customFormat="1" ht="14.25" x14ac:dyDescent="0.2">
      <c r="A122" s="248" t="s">
        <v>1881</v>
      </c>
      <c r="B122" s="232" t="s">
        <v>65</v>
      </c>
      <c r="C122" s="232"/>
      <c r="D122" s="151" t="s">
        <v>813</v>
      </c>
      <c r="E122" s="232" t="s">
        <v>18</v>
      </c>
      <c r="F122" s="149">
        <v>1</v>
      </c>
      <c r="G122" s="249">
        <v>281</v>
      </c>
      <c r="H122" s="296">
        <f t="shared" si="33"/>
        <v>281</v>
      </c>
      <c r="I122" s="149">
        <f t="shared" si="34"/>
        <v>281</v>
      </c>
      <c r="J122" s="41"/>
      <c r="K122" s="41"/>
      <c r="L122" s="41"/>
      <c r="M122" s="41"/>
      <c r="N122" s="41"/>
      <c r="O122" s="41"/>
      <c r="P122" s="41"/>
      <c r="Q122" s="41"/>
    </row>
    <row r="123" spans="1:17" s="40" customFormat="1" ht="14.25" x14ac:dyDescent="0.2">
      <c r="A123" s="248" t="s">
        <v>1882</v>
      </c>
      <c r="B123" s="232" t="s">
        <v>65</v>
      </c>
      <c r="C123" s="232"/>
      <c r="D123" s="151" t="s">
        <v>814</v>
      </c>
      <c r="E123" s="232" t="s">
        <v>18</v>
      </c>
      <c r="F123" s="149">
        <v>1</v>
      </c>
      <c r="G123" s="249">
        <v>434</v>
      </c>
      <c r="H123" s="296">
        <f t="shared" si="33"/>
        <v>434</v>
      </c>
      <c r="I123" s="149">
        <f t="shared" si="34"/>
        <v>434</v>
      </c>
      <c r="J123" s="41"/>
      <c r="K123" s="41"/>
      <c r="L123" s="41"/>
      <c r="M123" s="41"/>
      <c r="N123" s="41"/>
      <c r="O123" s="41"/>
      <c r="P123" s="41"/>
      <c r="Q123" s="41"/>
    </row>
    <row r="124" spans="1:17" s="40" customFormat="1" ht="14.25" x14ac:dyDescent="0.2">
      <c r="A124" s="248" t="s">
        <v>1883</v>
      </c>
      <c r="B124" s="232" t="s">
        <v>65</v>
      </c>
      <c r="C124" s="232"/>
      <c r="D124" s="151" t="s">
        <v>815</v>
      </c>
      <c r="E124" s="232" t="s">
        <v>18</v>
      </c>
      <c r="F124" s="149">
        <v>2</v>
      </c>
      <c r="G124" s="249">
        <v>185</v>
      </c>
      <c r="H124" s="296">
        <f t="shared" si="33"/>
        <v>185</v>
      </c>
      <c r="I124" s="149">
        <f t="shared" si="34"/>
        <v>370</v>
      </c>
      <c r="J124" s="41"/>
      <c r="K124" s="41"/>
      <c r="L124" s="41"/>
      <c r="M124" s="41"/>
      <c r="N124" s="41"/>
      <c r="O124" s="41"/>
      <c r="P124" s="41"/>
      <c r="Q124" s="41"/>
    </row>
    <row r="125" spans="1:17" s="40" customFormat="1" ht="14.25" x14ac:dyDescent="0.2">
      <c r="A125" s="248" t="s">
        <v>1884</v>
      </c>
      <c r="B125" s="232" t="s">
        <v>65</v>
      </c>
      <c r="C125" s="232"/>
      <c r="D125" s="151" t="s">
        <v>749</v>
      </c>
      <c r="E125" s="232" t="s">
        <v>18</v>
      </c>
      <c r="F125" s="149">
        <v>3</v>
      </c>
      <c r="G125" s="249">
        <v>160</v>
      </c>
      <c r="H125" s="296">
        <f t="shared" si="31"/>
        <v>160</v>
      </c>
      <c r="I125" s="149">
        <f t="shared" si="32"/>
        <v>480</v>
      </c>
      <c r="J125" s="41"/>
      <c r="K125" s="41"/>
      <c r="L125" s="41"/>
      <c r="M125" s="41"/>
      <c r="N125" s="41"/>
      <c r="O125" s="41"/>
      <c r="P125" s="41"/>
      <c r="Q125" s="41"/>
    </row>
    <row r="126" spans="1:17" s="40" customFormat="1" ht="14.25" x14ac:dyDescent="0.2">
      <c r="A126" s="248" t="s">
        <v>1885</v>
      </c>
      <c r="B126" s="232" t="s">
        <v>65</v>
      </c>
      <c r="C126" s="232"/>
      <c r="D126" s="151" t="s">
        <v>750</v>
      </c>
      <c r="E126" s="232" t="s">
        <v>18</v>
      </c>
      <c r="F126" s="149">
        <v>2</v>
      </c>
      <c r="G126" s="249">
        <v>790</v>
      </c>
      <c r="H126" s="296">
        <f t="shared" si="31"/>
        <v>790</v>
      </c>
      <c r="I126" s="149">
        <f t="shared" si="32"/>
        <v>1580</v>
      </c>
      <c r="J126" s="41"/>
      <c r="K126" s="41"/>
      <c r="L126" s="41"/>
      <c r="M126" s="41"/>
      <c r="N126" s="41"/>
      <c r="O126" s="41"/>
      <c r="P126" s="41"/>
      <c r="Q126" s="41"/>
    </row>
    <row r="127" spans="1:17" s="40" customFormat="1" ht="14.25" x14ac:dyDescent="0.2">
      <c r="A127" s="248" t="s">
        <v>1886</v>
      </c>
      <c r="B127" s="232" t="s">
        <v>65</v>
      </c>
      <c r="C127" s="232"/>
      <c r="D127" s="151" t="s">
        <v>816</v>
      </c>
      <c r="E127" s="232" t="s">
        <v>18</v>
      </c>
      <c r="F127" s="149">
        <v>2</v>
      </c>
      <c r="G127" s="249">
        <v>101</v>
      </c>
      <c r="H127" s="296">
        <f t="shared" si="31"/>
        <v>101</v>
      </c>
      <c r="I127" s="149">
        <f t="shared" si="32"/>
        <v>202</v>
      </c>
      <c r="J127" s="41"/>
      <c r="K127" s="41"/>
      <c r="L127" s="41"/>
      <c r="M127" s="41"/>
      <c r="N127" s="41"/>
      <c r="O127" s="41"/>
      <c r="P127" s="41"/>
      <c r="Q127" s="41"/>
    </row>
    <row r="128" spans="1:17" s="40" customFormat="1" ht="14.25" x14ac:dyDescent="0.2">
      <c r="A128" s="248" t="s">
        <v>1887</v>
      </c>
      <c r="B128" s="232" t="s">
        <v>65</v>
      </c>
      <c r="C128" s="232"/>
      <c r="D128" s="151" t="s">
        <v>817</v>
      </c>
      <c r="E128" s="232" t="s">
        <v>18</v>
      </c>
      <c r="F128" s="149">
        <v>3</v>
      </c>
      <c r="G128" s="249">
        <v>897</v>
      </c>
      <c r="H128" s="296">
        <f t="shared" si="31"/>
        <v>897</v>
      </c>
      <c r="I128" s="149">
        <f t="shared" si="32"/>
        <v>2691</v>
      </c>
      <c r="J128" s="41"/>
      <c r="K128" s="41"/>
      <c r="L128" s="41"/>
      <c r="M128" s="41"/>
      <c r="N128" s="41"/>
      <c r="O128" s="41"/>
      <c r="P128" s="41"/>
      <c r="Q128" s="41"/>
    </row>
    <row r="129" spans="1:17" s="40" customFormat="1" ht="14.25" x14ac:dyDescent="0.2">
      <c r="A129" s="248" t="s">
        <v>1888</v>
      </c>
      <c r="B129" s="232" t="s">
        <v>65</v>
      </c>
      <c r="C129" s="232"/>
      <c r="D129" s="151" t="s">
        <v>751</v>
      </c>
      <c r="E129" s="232" t="s">
        <v>18</v>
      </c>
      <c r="F129" s="149">
        <v>1</v>
      </c>
      <c r="G129" s="249">
        <v>180</v>
      </c>
      <c r="H129" s="296">
        <f t="shared" si="31"/>
        <v>180</v>
      </c>
      <c r="I129" s="149">
        <f t="shared" si="32"/>
        <v>180</v>
      </c>
      <c r="J129" s="41"/>
      <c r="K129" s="41"/>
      <c r="L129" s="41"/>
      <c r="M129" s="41"/>
      <c r="N129" s="41"/>
      <c r="O129" s="41"/>
      <c r="P129" s="41"/>
      <c r="Q129" s="41"/>
    </row>
    <row r="130" spans="1:17" s="40" customFormat="1" ht="14.25" x14ac:dyDescent="0.2">
      <c r="A130" s="248" t="s">
        <v>1889</v>
      </c>
      <c r="B130" s="232" t="s">
        <v>65</v>
      </c>
      <c r="C130" s="232"/>
      <c r="D130" s="151" t="s">
        <v>752</v>
      </c>
      <c r="E130" s="232" t="s">
        <v>18</v>
      </c>
      <c r="F130" s="149">
        <v>1</v>
      </c>
      <c r="G130" s="249">
        <v>350</v>
      </c>
      <c r="H130" s="296">
        <f t="shared" si="31"/>
        <v>350</v>
      </c>
      <c r="I130" s="149">
        <f t="shared" si="32"/>
        <v>350</v>
      </c>
      <c r="J130" s="41"/>
      <c r="K130" s="41"/>
      <c r="L130" s="41"/>
      <c r="M130" s="41"/>
      <c r="N130" s="41"/>
      <c r="O130" s="41"/>
      <c r="P130" s="41"/>
      <c r="Q130" s="41"/>
    </row>
    <row r="131" spans="1:17" s="40" customFormat="1" ht="14.25" x14ac:dyDescent="0.2">
      <c r="A131" s="248" t="s">
        <v>1890</v>
      </c>
      <c r="B131" s="232" t="s">
        <v>65</v>
      </c>
      <c r="C131" s="232"/>
      <c r="D131" s="151" t="s">
        <v>753</v>
      </c>
      <c r="E131" s="232" t="s">
        <v>18</v>
      </c>
      <c r="F131" s="149">
        <v>1</v>
      </c>
      <c r="G131" s="249">
        <v>340</v>
      </c>
      <c r="H131" s="296">
        <f t="shared" si="31"/>
        <v>340</v>
      </c>
      <c r="I131" s="149">
        <f t="shared" si="32"/>
        <v>340</v>
      </c>
      <c r="J131" s="41"/>
      <c r="K131" s="41"/>
      <c r="L131" s="41"/>
      <c r="M131" s="41"/>
      <c r="N131" s="41"/>
      <c r="O131" s="41"/>
      <c r="P131" s="41"/>
      <c r="Q131" s="41"/>
    </row>
    <row r="132" spans="1:17" s="40" customFormat="1" ht="14.25" x14ac:dyDescent="0.2">
      <c r="A132" s="248" t="s">
        <v>1891</v>
      </c>
      <c r="B132" s="232" t="s">
        <v>65</v>
      </c>
      <c r="C132" s="232"/>
      <c r="D132" s="151" t="s">
        <v>818</v>
      </c>
      <c r="E132" s="232" t="s">
        <v>18</v>
      </c>
      <c r="F132" s="149">
        <v>1</v>
      </c>
      <c r="G132" s="249">
        <v>110</v>
      </c>
      <c r="H132" s="296">
        <f t="shared" si="31"/>
        <v>110</v>
      </c>
      <c r="I132" s="149">
        <f t="shared" si="32"/>
        <v>110</v>
      </c>
      <c r="J132" s="41"/>
      <c r="K132" s="41"/>
      <c r="L132" s="41"/>
      <c r="M132" s="41"/>
      <c r="N132" s="41"/>
      <c r="O132" s="41"/>
      <c r="P132" s="41"/>
      <c r="Q132" s="41"/>
    </row>
    <row r="133" spans="1:17" s="40" customFormat="1" ht="14.25" x14ac:dyDescent="0.2">
      <c r="A133" s="248" t="s">
        <v>1892</v>
      </c>
      <c r="B133" s="232" t="s">
        <v>65</v>
      </c>
      <c r="C133" s="232"/>
      <c r="D133" s="151" t="s">
        <v>819</v>
      </c>
      <c r="E133" s="232" t="s">
        <v>18</v>
      </c>
      <c r="F133" s="149">
        <v>1</v>
      </c>
      <c r="G133" s="249">
        <v>180</v>
      </c>
      <c r="H133" s="296">
        <f t="shared" si="31"/>
        <v>180</v>
      </c>
      <c r="I133" s="149">
        <f t="shared" si="32"/>
        <v>180</v>
      </c>
      <c r="J133" s="41"/>
      <c r="K133" s="41"/>
      <c r="L133" s="41"/>
      <c r="M133" s="41"/>
      <c r="N133" s="41"/>
      <c r="O133" s="41"/>
      <c r="P133" s="41"/>
      <c r="Q133" s="41"/>
    </row>
    <row r="134" spans="1:17" s="40" customFormat="1" ht="14.25" x14ac:dyDescent="0.2">
      <c r="A134" s="248" t="s">
        <v>1893</v>
      </c>
      <c r="B134" s="232" t="s">
        <v>65</v>
      </c>
      <c r="C134" s="232"/>
      <c r="D134" s="151" t="s">
        <v>820</v>
      </c>
      <c r="E134" s="232" t="s">
        <v>18</v>
      </c>
      <c r="F134" s="149">
        <v>192</v>
      </c>
      <c r="G134" s="249">
        <v>5.4</v>
      </c>
      <c r="H134" s="296">
        <f t="shared" si="31"/>
        <v>5.4</v>
      </c>
      <c r="I134" s="149">
        <f t="shared" si="32"/>
        <v>1036.8</v>
      </c>
      <c r="J134" s="41"/>
      <c r="K134" s="41"/>
      <c r="L134" s="41"/>
      <c r="M134" s="41"/>
      <c r="N134" s="41"/>
      <c r="O134" s="41"/>
      <c r="P134" s="41"/>
      <c r="Q134" s="41"/>
    </row>
    <row r="135" spans="1:17" s="40" customFormat="1" ht="14.25" x14ac:dyDescent="0.2">
      <c r="A135" s="248" t="s">
        <v>1894</v>
      </c>
      <c r="B135" s="232" t="s">
        <v>65</v>
      </c>
      <c r="C135" s="232"/>
      <c r="D135" s="151" t="s">
        <v>821</v>
      </c>
      <c r="E135" s="232" t="s">
        <v>18</v>
      </c>
      <c r="F135" s="149">
        <v>24</v>
      </c>
      <c r="G135" s="249">
        <v>2.6</v>
      </c>
      <c r="H135" s="296">
        <f t="shared" si="31"/>
        <v>2.6</v>
      </c>
      <c r="I135" s="149">
        <f t="shared" si="32"/>
        <v>62.4</v>
      </c>
      <c r="J135" s="41"/>
      <c r="K135" s="41"/>
      <c r="L135" s="41"/>
      <c r="M135" s="41"/>
      <c r="N135" s="41"/>
      <c r="O135" s="41"/>
      <c r="P135" s="41"/>
      <c r="Q135" s="41"/>
    </row>
    <row r="136" spans="1:17" s="40" customFormat="1" ht="14.25" x14ac:dyDescent="0.2">
      <c r="A136" s="248" t="s">
        <v>1895</v>
      </c>
      <c r="B136" s="232" t="s">
        <v>45</v>
      </c>
      <c r="C136" s="232">
        <v>88267</v>
      </c>
      <c r="D136" s="151" t="s">
        <v>822</v>
      </c>
      <c r="E136" s="232" t="s">
        <v>14</v>
      </c>
      <c r="F136" s="149">
        <v>60</v>
      </c>
      <c r="G136" s="250">
        <v>21.01</v>
      </c>
      <c r="H136" s="149">
        <f>ROUND((1+K$3)*G136,2)</f>
        <v>21.01</v>
      </c>
      <c r="I136" s="249">
        <f>ROUND(F136*H136,2)</f>
        <v>1260.5999999999999</v>
      </c>
      <c r="J136" s="41"/>
      <c r="K136" s="41"/>
      <c r="L136" s="41"/>
      <c r="M136" s="41"/>
      <c r="N136" s="41"/>
      <c r="O136" s="41"/>
      <c r="P136" s="41"/>
      <c r="Q136" s="41"/>
    </row>
    <row r="137" spans="1:17" s="40" customFormat="1" ht="14.25" customHeight="1" x14ac:dyDescent="0.2">
      <c r="A137" s="248" t="s">
        <v>1896</v>
      </c>
      <c r="B137" s="232" t="s">
        <v>45</v>
      </c>
      <c r="C137" s="232">
        <v>88248</v>
      </c>
      <c r="D137" s="151" t="s">
        <v>823</v>
      </c>
      <c r="E137" s="232" t="s">
        <v>14</v>
      </c>
      <c r="F137" s="149">
        <v>60</v>
      </c>
      <c r="G137" s="250">
        <v>16.87</v>
      </c>
      <c r="H137" s="149">
        <f>ROUND((1+K$3)*G137,2)</f>
        <v>16.87</v>
      </c>
      <c r="I137" s="249">
        <f>ROUND(F137*H137,2)</f>
        <v>1012.2</v>
      </c>
      <c r="J137" s="41"/>
      <c r="K137" s="41"/>
      <c r="L137" s="41"/>
      <c r="M137" s="41"/>
      <c r="N137" s="41"/>
      <c r="O137" s="41"/>
      <c r="P137" s="41"/>
      <c r="Q137" s="41"/>
    </row>
    <row r="138" spans="1:17" s="40" customFormat="1" ht="14.25" x14ac:dyDescent="0.2">
      <c r="A138" s="248" t="s">
        <v>1897</v>
      </c>
      <c r="B138" s="232" t="s">
        <v>45</v>
      </c>
      <c r="C138" s="232">
        <v>88316</v>
      </c>
      <c r="D138" s="151" t="s">
        <v>824</v>
      </c>
      <c r="E138" s="232" t="s">
        <v>14</v>
      </c>
      <c r="F138" s="149">
        <v>60</v>
      </c>
      <c r="G138" s="250">
        <v>16.64</v>
      </c>
      <c r="H138" s="149">
        <f>ROUND((1+K$3)*G138,2)</f>
        <v>16.64</v>
      </c>
      <c r="I138" s="249">
        <f>ROUND(F138*H138,2)</f>
        <v>998.4</v>
      </c>
      <c r="J138" s="41"/>
      <c r="K138" s="41"/>
      <c r="L138" s="41"/>
      <c r="M138" s="41"/>
      <c r="N138" s="41"/>
      <c r="O138" s="41"/>
      <c r="P138" s="41"/>
      <c r="Q138" s="41"/>
    </row>
    <row r="139" spans="1:17" s="40" customFormat="1" ht="14.25" x14ac:dyDescent="0.2">
      <c r="A139" s="351"/>
      <c r="B139" s="232"/>
      <c r="C139" s="232"/>
      <c r="D139" s="151"/>
      <c r="E139" s="232"/>
      <c r="F139" s="149"/>
      <c r="G139" s="250"/>
      <c r="H139" s="149"/>
      <c r="I139" s="336"/>
      <c r="J139" s="41"/>
      <c r="K139" s="41"/>
      <c r="L139" s="41"/>
      <c r="M139" s="41"/>
      <c r="N139" s="41"/>
      <c r="O139" s="41"/>
      <c r="P139" s="41"/>
      <c r="Q139" s="41"/>
    </row>
    <row r="140" spans="1:17" s="5" customFormat="1" ht="30" x14ac:dyDescent="0.2">
      <c r="A140" s="333">
        <v>10</v>
      </c>
      <c r="B140" s="279" t="s">
        <v>335</v>
      </c>
      <c r="C140" s="290" t="s">
        <v>269</v>
      </c>
      <c r="D140" s="181" t="s">
        <v>1046</v>
      </c>
      <c r="E140" s="332" t="s">
        <v>16</v>
      </c>
      <c r="F140" s="193"/>
      <c r="G140" s="194"/>
      <c r="H140" s="194"/>
      <c r="I140" s="334">
        <f>SUM(I141:I142)</f>
        <v>15.5</v>
      </c>
      <c r="J140" s="4"/>
      <c r="K140" s="4"/>
      <c r="L140" s="4"/>
      <c r="M140" s="4"/>
      <c r="N140" s="4"/>
      <c r="O140" s="4"/>
      <c r="P140" s="4"/>
      <c r="Q140" s="4"/>
    </row>
    <row r="141" spans="1:17" ht="14.25" x14ac:dyDescent="0.2">
      <c r="A141" s="286" t="s">
        <v>388</v>
      </c>
      <c r="B141" s="232" t="s">
        <v>45</v>
      </c>
      <c r="C141" s="233">
        <v>88316</v>
      </c>
      <c r="D141" s="182" t="s">
        <v>824</v>
      </c>
      <c r="E141" s="233" t="s">
        <v>14</v>
      </c>
      <c r="F141" s="149">
        <v>0.15</v>
      </c>
      <c r="G141" s="149">
        <v>16.64</v>
      </c>
      <c r="H141" s="149">
        <f>G141</f>
        <v>16.64</v>
      </c>
      <c r="I141" s="326">
        <f>ROUND(F141*H141,2)</f>
        <v>2.5</v>
      </c>
      <c r="J141" s="44"/>
      <c r="K141" s="44"/>
      <c r="L141" s="44"/>
      <c r="M141" s="44"/>
      <c r="N141" s="44"/>
      <c r="O141" s="44"/>
      <c r="P141" s="44"/>
      <c r="Q141" s="44"/>
    </row>
    <row r="142" spans="1:17" ht="57" x14ac:dyDescent="0.2">
      <c r="A142" s="286" t="s">
        <v>389</v>
      </c>
      <c r="B142" s="232" t="s">
        <v>45</v>
      </c>
      <c r="C142" s="233">
        <v>5875</v>
      </c>
      <c r="D142" s="182" t="s">
        <v>1047</v>
      </c>
      <c r="E142" s="233" t="s">
        <v>867</v>
      </c>
      <c r="F142" s="149">
        <v>0.15</v>
      </c>
      <c r="G142" s="149">
        <v>86.64</v>
      </c>
      <c r="H142" s="149">
        <f>G142</f>
        <v>86.64</v>
      </c>
      <c r="I142" s="326">
        <f>ROUND(F142*H142,2)</f>
        <v>13</v>
      </c>
      <c r="J142" s="44"/>
      <c r="K142" s="44"/>
      <c r="L142" s="44"/>
      <c r="M142" s="44"/>
      <c r="N142" s="44"/>
      <c r="O142" s="44"/>
      <c r="P142" s="44"/>
      <c r="Q142" s="44"/>
    </row>
    <row r="143" spans="1:17" s="40" customFormat="1" ht="14.25" x14ac:dyDescent="0.2">
      <c r="A143" s="246"/>
      <c r="B143" s="232"/>
      <c r="C143" s="232"/>
      <c r="D143" s="151"/>
      <c r="E143" s="156"/>
      <c r="F143" s="197"/>
      <c r="G143" s="198"/>
      <c r="H143" s="149"/>
      <c r="I143" s="149"/>
    </row>
    <row r="144" spans="1:17" s="5" customFormat="1" ht="30" x14ac:dyDescent="0.2">
      <c r="A144" s="323">
        <v>11</v>
      </c>
      <c r="B144" s="279" t="s">
        <v>335</v>
      </c>
      <c r="C144" s="290" t="s">
        <v>594</v>
      </c>
      <c r="D144" s="291" t="s">
        <v>855</v>
      </c>
      <c r="E144" s="279" t="s">
        <v>17</v>
      </c>
      <c r="F144" s="292"/>
      <c r="G144" s="293"/>
      <c r="H144" s="293"/>
      <c r="I144" s="324">
        <f>SUM(I145:I153)</f>
        <v>58804.21</v>
      </c>
      <c r="J144" s="4"/>
      <c r="K144" s="4"/>
      <c r="L144" s="4"/>
      <c r="M144" s="4"/>
      <c r="N144" s="4"/>
      <c r="O144" s="4"/>
      <c r="P144" s="4"/>
      <c r="Q144" s="4"/>
    </row>
    <row r="145" spans="1:18" s="40" customFormat="1" ht="28.5" x14ac:dyDescent="0.2">
      <c r="A145" s="306" t="s">
        <v>608</v>
      </c>
      <c r="B145" s="232" t="s">
        <v>45</v>
      </c>
      <c r="C145" s="232">
        <v>79475</v>
      </c>
      <c r="D145" s="150" t="s">
        <v>1349</v>
      </c>
      <c r="E145" s="232" t="s">
        <v>16</v>
      </c>
      <c r="F145" s="149">
        <f>PI()*0.6^2/4*2.8*75</f>
        <v>59.376101152847085</v>
      </c>
      <c r="G145" s="149">
        <v>368.9</v>
      </c>
      <c r="H145" s="149">
        <f>G145</f>
        <v>368.9</v>
      </c>
      <c r="I145" s="326">
        <f t="shared" ref="I145:I151" si="35">ROUND(F145*H145,2)</f>
        <v>21903.84</v>
      </c>
      <c r="J145" s="275"/>
      <c r="K145" s="39"/>
      <c r="L145" s="143"/>
      <c r="M145" s="39"/>
      <c r="N145" s="39"/>
      <c r="O145" s="39"/>
      <c r="P145" s="39"/>
      <c r="R145" s="39"/>
    </row>
    <row r="146" spans="1:18" s="40" customFormat="1" ht="57" x14ac:dyDescent="0.2">
      <c r="A146" s="306" t="s">
        <v>609</v>
      </c>
      <c r="B146" s="232" t="s">
        <v>45</v>
      </c>
      <c r="C146" s="232">
        <v>92417</v>
      </c>
      <c r="D146" s="151" t="s">
        <v>1388</v>
      </c>
      <c r="E146" s="232" t="s">
        <v>15</v>
      </c>
      <c r="F146" s="149">
        <v>32.799999999999997</v>
      </c>
      <c r="G146" s="149">
        <v>96.25</v>
      </c>
      <c r="H146" s="149">
        <f>G146</f>
        <v>96.25</v>
      </c>
      <c r="I146" s="326">
        <f t="shared" ref="I146" si="36">ROUND(F146*H146,2)</f>
        <v>3157</v>
      </c>
      <c r="J146" s="275"/>
      <c r="K146" s="39"/>
      <c r="L146" s="143"/>
      <c r="M146" s="39"/>
      <c r="N146" s="39"/>
      <c r="O146" s="39"/>
      <c r="P146" s="39"/>
      <c r="R146" s="39"/>
    </row>
    <row r="147" spans="1:18" ht="28.5" x14ac:dyDescent="0.2">
      <c r="A147" s="306" t="s">
        <v>610</v>
      </c>
      <c r="B147" s="232" t="s">
        <v>45</v>
      </c>
      <c r="C147" s="232">
        <v>94965</v>
      </c>
      <c r="D147" s="158" t="s">
        <v>1793</v>
      </c>
      <c r="E147" s="232" t="s">
        <v>16</v>
      </c>
      <c r="F147" s="149">
        <f>3.4+42.4</f>
        <v>45.8</v>
      </c>
      <c r="G147" s="149">
        <v>280.60000000000002</v>
      </c>
      <c r="H147" s="149">
        <f t="shared" ref="H147:H153" si="37">ROUND((1+K$3)*G147,2)</f>
        <v>280.60000000000002</v>
      </c>
      <c r="I147" s="287">
        <f t="shared" si="35"/>
        <v>12851.48</v>
      </c>
      <c r="J147" s="57">
        <f>PI()*0.6^2/4</f>
        <v>0.28274333882308139</v>
      </c>
      <c r="K147" s="325"/>
      <c r="L147" s="57"/>
      <c r="M147" s="57"/>
      <c r="N147" s="57"/>
      <c r="O147" s="57"/>
      <c r="P147" s="57"/>
      <c r="Q147" s="57"/>
    </row>
    <row r="148" spans="1:18" ht="14.25" x14ac:dyDescent="0.2">
      <c r="A148" s="306" t="s">
        <v>611</v>
      </c>
      <c r="B148" s="232" t="s">
        <v>45</v>
      </c>
      <c r="C148" s="232" t="s">
        <v>858</v>
      </c>
      <c r="D148" s="158" t="s">
        <v>859</v>
      </c>
      <c r="E148" s="232" t="s">
        <v>16</v>
      </c>
      <c r="F148" s="149">
        <f>F147</f>
        <v>45.8</v>
      </c>
      <c r="G148" s="149">
        <v>107.03</v>
      </c>
      <c r="H148" s="149">
        <f t="shared" si="37"/>
        <v>107.03</v>
      </c>
      <c r="I148" s="287">
        <f t="shared" si="35"/>
        <v>4901.97</v>
      </c>
      <c r="J148" s="57"/>
      <c r="K148" s="325"/>
      <c r="L148" s="57"/>
      <c r="M148" s="57"/>
      <c r="N148" s="57"/>
      <c r="O148" s="57"/>
      <c r="P148" s="57"/>
      <c r="Q148" s="57"/>
    </row>
    <row r="149" spans="1:18" s="40" customFormat="1" ht="28.5" x14ac:dyDescent="0.2">
      <c r="A149" s="306" t="s">
        <v>612</v>
      </c>
      <c r="B149" s="232" t="s">
        <v>45</v>
      </c>
      <c r="C149" s="232">
        <v>12759</v>
      </c>
      <c r="D149" s="150" t="s">
        <v>860</v>
      </c>
      <c r="E149" s="232" t="s">
        <v>15</v>
      </c>
      <c r="F149" s="149">
        <f>0.038*0.7*67</f>
        <v>1.7822</v>
      </c>
      <c r="G149" s="149">
        <v>624.36</v>
      </c>
      <c r="H149" s="149">
        <f t="shared" si="37"/>
        <v>624.36</v>
      </c>
      <c r="I149" s="287">
        <f t="shared" si="35"/>
        <v>1112.73</v>
      </c>
      <c r="J149" s="41"/>
      <c r="K149" s="325"/>
      <c r="L149" s="41"/>
      <c r="M149" s="41"/>
      <c r="N149" s="41"/>
      <c r="O149" s="41"/>
      <c r="P149" s="41"/>
      <c r="Q149" s="41"/>
    </row>
    <row r="150" spans="1:18" s="40" customFormat="1" ht="28.5" x14ac:dyDescent="0.2">
      <c r="A150" s="306" t="s">
        <v>1898</v>
      </c>
      <c r="B150" s="232" t="s">
        <v>45</v>
      </c>
      <c r="C150" s="232">
        <v>11964</v>
      </c>
      <c r="D150" s="150" t="s">
        <v>861</v>
      </c>
      <c r="E150" s="232" t="s">
        <v>18</v>
      </c>
      <c r="F150" s="149">
        <f>67*2</f>
        <v>134</v>
      </c>
      <c r="G150" s="149">
        <v>1.32</v>
      </c>
      <c r="H150" s="149">
        <f t="shared" si="37"/>
        <v>1.32</v>
      </c>
      <c r="I150" s="287">
        <f t="shared" si="35"/>
        <v>176.88</v>
      </c>
      <c r="J150" s="41"/>
      <c r="K150" s="325"/>
      <c r="L150" s="41"/>
      <c r="M150" s="41"/>
      <c r="N150" s="41"/>
      <c r="O150" s="41"/>
      <c r="P150" s="41"/>
      <c r="Q150" s="41"/>
    </row>
    <row r="151" spans="1:18" s="40" customFormat="1" ht="28.5" x14ac:dyDescent="0.2">
      <c r="A151" s="306" t="s">
        <v>1899</v>
      </c>
      <c r="B151" s="232" t="s">
        <v>45</v>
      </c>
      <c r="C151" s="232">
        <v>7774</v>
      </c>
      <c r="D151" s="150" t="s">
        <v>862</v>
      </c>
      <c r="E151" s="232" t="s">
        <v>17</v>
      </c>
      <c r="F151" s="149">
        <v>75</v>
      </c>
      <c r="G151" s="149">
        <v>147.19</v>
      </c>
      <c r="H151" s="149">
        <f t="shared" si="37"/>
        <v>147.19</v>
      </c>
      <c r="I151" s="287">
        <f t="shared" si="35"/>
        <v>11039.25</v>
      </c>
      <c r="J151" s="41"/>
      <c r="K151" s="325"/>
      <c r="L151" s="41"/>
      <c r="M151" s="41"/>
      <c r="N151" s="41"/>
      <c r="O151" s="41"/>
      <c r="P151" s="41"/>
      <c r="Q151" s="41"/>
    </row>
    <row r="152" spans="1:18" s="40" customFormat="1" ht="14.25" x14ac:dyDescent="0.2">
      <c r="A152" s="306" t="s">
        <v>1900</v>
      </c>
      <c r="B152" s="232" t="s">
        <v>45</v>
      </c>
      <c r="C152" s="232">
        <v>73516</v>
      </c>
      <c r="D152" s="150" t="s">
        <v>1052</v>
      </c>
      <c r="E152" s="232" t="s">
        <v>17</v>
      </c>
      <c r="F152" s="149">
        <v>75</v>
      </c>
      <c r="G152" s="149">
        <v>5.74</v>
      </c>
      <c r="H152" s="149">
        <f t="shared" si="37"/>
        <v>5.74</v>
      </c>
      <c r="I152" s="287">
        <f t="shared" ref="I152:I153" si="38">ROUND(F152*H152,2)</f>
        <v>430.5</v>
      </c>
      <c r="J152" s="41"/>
      <c r="K152" s="325"/>
      <c r="L152" s="41"/>
      <c r="M152" s="41"/>
      <c r="N152" s="41"/>
      <c r="O152" s="41"/>
      <c r="P152" s="41"/>
      <c r="Q152" s="41"/>
    </row>
    <row r="153" spans="1:18" s="40" customFormat="1" ht="28.5" x14ac:dyDescent="0.2">
      <c r="A153" s="327"/>
      <c r="B153" s="232"/>
      <c r="C153" s="156">
        <v>6240</v>
      </c>
      <c r="D153" s="151" t="s">
        <v>1458</v>
      </c>
      <c r="E153" s="232" t="s">
        <v>18</v>
      </c>
      <c r="F153" s="149">
        <v>8</v>
      </c>
      <c r="G153" s="149">
        <v>403.82</v>
      </c>
      <c r="H153" s="149">
        <f t="shared" si="37"/>
        <v>403.82</v>
      </c>
      <c r="I153" s="328">
        <f t="shared" si="38"/>
        <v>3230.56</v>
      </c>
      <c r="J153" s="41"/>
      <c r="K153" s="325"/>
      <c r="L153" s="41"/>
      <c r="M153" s="41"/>
      <c r="N153" s="41"/>
      <c r="O153" s="41"/>
      <c r="P153" s="41"/>
      <c r="Q153" s="41"/>
    </row>
    <row r="154" spans="1:18" s="40" customFormat="1" ht="14.25" x14ac:dyDescent="0.2">
      <c r="A154" s="327"/>
      <c r="B154" s="232"/>
      <c r="C154" s="232"/>
      <c r="D154" s="150"/>
      <c r="E154" s="232"/>
      <c r="F154" s="149"/>
      <c r="G154" s="149"/>
      <c r="H154" s="149"/>
      <c r="I154" s="328"/>
      <c r="J154" s="41"/>
      <c r="K154" s="329"/>
      <c r="L154" s="41"/>
      <c r="M154" s="41"/>
      <c r="N154" s="41"/>
      <c r="O154" s="41"/>
      <c r="P154" s="41"/>
      <c r="Q154" s="41"/>
    </row>
    <row r="155" spans="1:18" s="5" customFormat="1" ht="30" x14ac:dyDescent="0.2">
      <c r="A155" s="279">
        <v>12</v>
      </c>
      <c r="B155" s="279" t="s">
        <v>335</v>
      </c>
      <c r="C155" s="290" t="s">
        <v>595</v>
      </c>
      <c r="D155" s="291" t="s">
        <v>779</v>
      </c>
      <c r="E155" s="279"/>
      <c r="F155" s="292"/>
      <c r="G155" s="293"/>
      <c r="H155" s="293"/>
      <c r="I155" s="294">
        <f>SUM(I156:I160)</f>
        <v>8471.07</v>
      </c>
      <c r="J155" s="4"/>
      <c r="K155" s="4"/>
      <c r="L155" s="4"/>
      <c r="M155" s="4"/>
      <c r="N155" s="4"/>
      <c r="O155" s="4"/>
      <c r="P155" s="4"/>
      <c r="Q155" s="4"/>
    </row>
    <row r="156" spans="1:18" s="40" customFormat="1" ht="14.25" x14ac:dyDescent="0.2">
      <c r="A156" s="232" t="s">
        <v>613</v>
      </c>
      <c r="B156" s="232" t="s">
        <v>45</v>
      </c>
      <c r="C156" s="232">
        <v>4773</v>
      </c>
      <c r="D156" s="150" t="s">
        <v>740</v>
      </c>
      <c r="E156" s="232" t="s">
        <v>17</v>
      </c>
      <c r="F156" s="196">
        <f>4.1*2+4.75+3.2*4+2.85</f>
        <v>28.6</v>
      </c>
      <c r="G156" s="196">
        <v>173.59</v>
      </c>
      <c r="H156" s="196">
        <f>G156</f>
        <v>173.59</v>
      </c>
      <c r="I156" s="196">
        <f>ROUND(F156*H156,2)</f>
        <v>4964.67</v>
      </c>
      <c r="J156" s="41"/>
      <c r="K156" s="41"/>
      <c r="L156" s="41"/>
      <c r="M156" s="41"/>
      <c r="N156" s="41"/>
      <c r="O156" s="41"/>
      <c r="P156" s="41"/>
      <c r="Q156" s="41"/>
    </row>
    <row r="157" spans="1:18" s="40" customFormat="1" ht="14.25" x14ac:dyDescent="0.2">
      <c r="A157" s="232" t="s">
        <v>614</v>
      </c>
      <c r="B157" s="232" t="s">
        <v>45</v>
      </c>
      <c r="C157" s="232">
        <v>6160</v>
      </c>
      <c r="D157" s="150" t="s">
        <v>243</v>
      </c>
      <c r="E157" s="232" t="s">
        <v>14</v>
      </c>
      <c r="F157" s="196">
        <v>60</v>
      </c>
      <c r="G157" s="196">
        <v>23.46</v>
      </c>
      <c r="H157" s="196">
        <f>G157</f>
        <v>23.46</v>
      </c>
      <c r="I157" s="196">
        <f>ROUND(F157*G157,2)</f>
        <v>1407.6</v>
      </c>
      <c r="J157" s="41"/>
      <c r="K157" s="41"/>
      <c r="L157" s="41"/>
      <c r="M157" s="41"/>
      <c r="N157" s="41"/>
      <c r="O157" s="41"/>
      <c r="P157" s="41"/>
      <c r="Q157" s="41"/>
    </row>
    <row r="158" spans="1:18" s="40" customFormat="1" ht="14.25" x14ac:dyDescent="0.2">
      <c r="A158" s="232" t="s">
        <v>615</v>
      </c>
      <c r="B158" s="232" t="s">
        <v>45</v>
      </c>
      <c r="C158" s="232">
        <v>6121</v>
      </c>
      <c r="D158" s="150" t="s">
        <v>244</v>
      </c>
      <c r="E158" s="232" t="s">
        <v>14</v>
      </c>
      <c r="F158" s="196">
        <v>60</v>
      </c>
      <c r="G158" s="196">
        <v>10.78</v>
      </c>
      <c r="H158" s="196">
        <f>G158</f>
        <v>10.78</v>
      </c>
      <c r="I158" s="196">
        <f>ROUND(F158*G158,2)</f>
        <v>646.79999999999995</v>
      </c>
      <c r="J158" s="41"/>
      <c r="K158" s="41"/>
      <c r="L158" s="41"/>
      <c r="M158" s="41"/>
      <c r="N158" s="41"/>
      <c r="O158" s="41"/>
      <c r="P158" s="41"/>
      <c r="Q158" s="41"/>
    </row>
    <row r="159" spans="1:18" s="40" customFormat="1" ht="14.25" x14ac:dyDescent="0.2">
      <c r="A159" s="232" t="s">
        <v>616</v>
      </c>
      <c r="B159" s="232" t="s">
        <v>45</v>
      </c>
      <c r="C159" s="232">
        <v>6110</v>
      </c>
      <c r="D159" s="150" t="s">
        <v>245</v>
      </c>
      <c r="E159" s="232" t="s">
        <v>14</v>
      </c>
      <c r="F159" s="196">
        <v>60</v>
      </c>
      <c r="G159" s="196">
        <v>13.82</v>
      </c>
      <c r="H159" s="196">
        <f>G159</f>
        <v>13.82</v>
      </c>
      <c r="I159" s="196">
        <f>ROUND(F159*G159,2)</f>
        <v>829.2</v>
      </c>
      <c r="J159" s="41"/>
      <c r="K159" s="41"/>
      <c r="L159" s="41"/>
      <c r="M159" s="41"/>
      <c r="N159" s="41"/>
      <c r="O159" s="41"/>
      <c r="P159" s="41"/>
      <c r="Q159" s="41"/>
    </row>
    <row r="160" spans="1:18" s="40" customFormat="1" ht="14.25" x14ac:dyDescent="0.2">
      <c r="A160" s="232" t="s">
        <v>617</v>
      </c>
      <c r="B160" s="232" t="s">
        <v>45</v>
      </c>
      <c r="C160" s="232">
        <v>252</v>
      </c>
      <c r="D160" s="150" t="s">
        <v>801</v>
      </c>
      <c r="E160" s="232" t="s">
        <v>14</v>
      </c>
      <c r="F160" s="196">
        <v>60</v>
      </c>
      <c r="G160" s="196">
        <v>10.38</v>
      </c>
      <c r="H160" s="196">
        <f>G160</f>
        <v>10.38</v>
      </c>
      <c r="I160" s="196">
        <f>ROUND(F160*G160,2)</f>
        <v>622.79999999999995</v>
      </c>
      <c r="J160" s="41"/>
      <c r="K160" s="41"/>
      <c r="L160" s="41"/>
      <c r="M160" s="41"/>
      <c r="N160" s="41"/>
      <c r="O160" s="41"/>
      <c r="P160" s="41"/>
      <c r="Q160" s="41"/>
    </row>
    <row r="161" spans="1:17" s="5" customFormat="1" ht="14.25" x14ac:dyDescent="0.2">
      <c r="A161" s="233"/>
      <c r="B161" s="233"/>
      <c r="C161" s="233"/>
      <c r="D161" s="152"/>
      <c r="E161" s="233"/>
      <c r="F161" s="149"/>
      <c r="G161" s="149"/>
      <c r="H161" s="195"/>
      <c r="I161" s="195"/>
      <c r="J161" s="4"/>
      <c r="K161" s="4"/>
      <c r="L161" s="4"/>
      <c r="M161" s="4"/>
      <c r="N161" s="4"/>
      <c r="O161" s="4"/>
      <c r="P161" s="4"/>
      <c r="Q161" s="4"/>
    </row>
    <row r="162" spans="1:17" s="5" customFormat="1" ht="60" x14ac:dyDescent="0.2">
      <c r="A162" s="279">
        <v>13</v>
      </c>
      <c r="B162" s="279" t="s">
        <v>335</v>
      </c>
      <c r="C162" s="290" t="s">
        <v>596</v>
      </c>
      <c r="D162" s="291" t="s">
        <v>741</v>
      </c>
      <c r="E162" s="279" t="s">
        <v>18</v>
      </c>
      <c r="F162" s="293"/>
      <c r="G162" s="293"/>
      <c r="H162" s="293"/>
      <c r="I162" s="294">
        <f>SUM(I163:I172)</f>
        <v>1278.98</v>
      </c>
      <c r="J162" s="4"/>
      <c r="K162" s="4"/>
      <c r="L162" s="4"/>
      <c r="M162" s="4"/>
      <c r="N162" s="4"/>
      <c r="O162" s="4"/>
      <c r="P162" s="4"/>
      <c r="Q162" s="4"/>
    </row>
    <row r="163" spans="1:17" s="40" customFormat="1" ht="13.5" customHeight="1" x14ac:dyDescent="0.2">
      <c r="A163" s="246" t="s">
        <v>618</v>
      </c>
      <c r="B163" s="156" t="s">
        <v>45</v>
      </c>
      <c r="C163" s="155">
        <v>589</v>
      </c>
      <c r="D163" s="151" t="s">
        <v>414</v>
      </c>
      <c r="E163" s="156" t="s">
        <v>17</v>
      </c>
      <c r="F163" s="197">
        <v>6</v>
      </c>
      <c r="G163" s="198">
        <v>31.66</v>
      </c>
      <c r="H163" s="196">
        <f>G163</f>
        <v>31.66</v>
      </c>
      <c r="I163" s="196">
        <f>ROUND(F163*H163,2)</f>
        <v>189.96</v>
      </c>
    </row>
    <row r="164" spans="1:17" s="40" customFormat="1" ht="14.25" x14ac:dyDescent="0.2">
      <c r="A164" s="246" t="s">
        <v>619</v>
      </c>
      <c r="B164" s="156" t="s">
        <v>45</v>
      </c>
      <c r="C164" s="155">
        <v>11125</v>
      </c>
      <c r="D164" s="151" t="s">
        <v>415</v>
      </c>
      <c r="E164" s="156" t="s">
        <v>169</v>
      </c>
      <c r="F164" s="197">
        <v>3</v>
      </c>
      <c r="G164" s="198">
        <v>14.43</v>
      </c>
      <c r="H164" s="196">
        <f t="shared" ref="H164:H172" si="39">G164</f>
        <v>14.43</v>
      </c>
      <c r="I164" s="196">
        <f t="shared" ref="I164:I172" si="40">ROUND(F164*H164,2)</f>
        <v>43.29</v>
      </c>
    </row>
    <row r="165" spans="1:17" s="40" customFormat="1" ht="28.5" x14ac:dyDescent="0.2">
      <c r="A165" s="246" t="s">
        <v>1611</v>
      </c>
      <c r="B165" s="156" t="s">
        <v>45</v>
      </c>
      <c r="C165" s="155">
        <v>7162</v>
      </c>
      <c r="D165" s="151" t="s">
        <v>416</v>
      </c>
      <c r="E165" s="156" t="s">
        <v>15</v>
      </c>
      <c r="F165" s="197">
        <v>2</v>
      </c>
      <c r="G165" s="198">
        <v>26.01</v>
      </c>
      <c r="H165" s="196">
        <f t="shared" si="39"/>
        <v>26.01</v>
      </c>
      <c r="I165" s="196">
        <f t="shared" si="40"/>
        <v>52.02</v>
      </c>
    </row>
    <row r="166" spans="1:17" s="40" customFormat="1" ht="28.5" x14ac:dyDescent="0.2">
      <c r="A166" s="246" t="s">
        <v>1612</v>
      </c>
      <c r="B166" s="156" t="s">
        <v>45</v>
      </c>
      <c r="C166" s="155">
        <v>7696</v>
      </c>
      <c r="D166" s="151" t="s">
        <v>417</v>
      </c>
      <c r="E166" s="156" t="s">
        <v>17</v>
      </c>
      <c r="F166" s="197">
        <f>5.2*2</f>
        <v>10.4</v>
      </c>
      <c r="G166" s="198">
        <v>38.58</v>
      </c>
      <c r="H166" s="196">
        <f t="shared" si="39"/>
        <v>38.58</v>
      </c>
      <c r="I166" s="196">
        <f t="shared" si="40"/>
        <v>401.23</v>
      </c>
    </row>
    <row r="167" spans="1:17" s="40" customFormat="1" ht="14.25" x14ac:dyDescent="0.2">
      <c r="A167" s="246" t="s">
        <v>1901</v>
      </c>
      <c r="B167" s="156" t="s">
        <v>45</v>
      </c>
      <c r="C167" s="155">
        <v>11964</v>
      </c>
      <c r="D167" s="151" t="s">
        <v>418</v>
      </c>
      <c r="E167" s="156" t="s">
        <v>18</v>
      </c>
      <c r="F167" s="197">
        <v>4</v>
      </c>
      <c r="G167" s="198">
        <v>1.32</v>
      </c>
      <c r="H167" s="196">
        <f t="shared" si="39"/>
        <v>1.32</v>
      </c>
      <c r="I167" s="196">
        <f t="shared" si="40"/>
        <v>5.28</v>
      </c>
    </row>
    <row r="168" spans="1:17" s="40" customFormat="1" ht="14.25" x14ac:dyDescent="0.2">
      <c r="A168" s="246" t="s">
        <v>1902</v>
      </c>
      <c r="B168" s="156" t="s">
        <v>45</v>
      </c>
      <c r="C168" s="155">
        <v>5104</v>
      </c>
      <c r="D168" s="151" t="s">
        <v>419</v>
      </c>
      <c r="E168" s="156" t="s">
        <v>169</v>
      </c>
      <c r="F168" s="197">
        <v>0.2</v>
      </c>
      <c r="G168" s="198">
        <v>38.299999999999997</v>
      </c>
      <c r="H168" s="196">
        <f t="shared" si="39"/>
        <v>38.299999999999997</v>
      </c>
      <c r="I168" s="196">
        <f t="shared" si="40"/>
        <v>7.66</v>
      </c>
    </row>
    <row r="169" spans="1:17" s="40" customFormat="1" ht="14.25" x14ac:dyDescent="0.2">
      <c r="A169" s="246" t="s">
        <v>1903</v>
      </c>
      <c r="B169" s="156" t="s">
        <v>45</v>
      </c>
      <c r="C169" s="155">
        <v>252</v>
      </c>
      <c r="D169" s="151" t="s">
        <v>801</v>
      </c>
      <c r="E169" s="156" t="s">
        <v>14</v>
      </c>
      <c r="F169" s="197">
        <v>9</v>
      </c>
      <c r="G169" s="196">
        <v>10.38</v>
      </c>
      <c r="H169" s="196">
        <f t="shared" si="39"/>
        <v>10.38</v>
      </c>
      <c r="I169" s="196">
        <f t="shared" si="40"/>
        <v>93.42</v>
      </c>
    </row>
    <row r="170" spans="1:17" s="40" customFormat="1" ht="14.25" x14ac:dyDescent="0.2">
      <c r="A170" s="246" t="s">
        <v>1904</v>
      </c>
      <c r="B170" s="156" t="s">
        <v>45</v>
      </c>
      <c r="C170" s="155">
        <v>6110</v>
      </c>
      <c r="D170" s="151" t="s">
        <v>245</v>
      </c>
      <c r="E170" s="156" t="s">
        <v>14</v>
      </c>
      <c r="F170" s="197">
        <v>12</v>
      </c>
      <c r="G170" s="196">
        <v>13.82</v>
      </c>
      <c r="H170" s="196">
        <f t="shared" si="39"/>
        <v>13.82</v>
      </c>
      <c r="I170" s="196">
        <f t="shared" si="40"/>
        <v>165.84</v>
      </c>
    </row>
    <row r="171" spans="1:17" s="40" customFormat="1" ht="14.25" x14ac:dyDescent="0.2">
      <c r="A171" s="246" t="s">
        <v>1905</v>
      </c>
      <c r="B171" s="156" t="s">
        <v>45</v>
      </c>
      <c r="C171" s="155">
        <v>6111</v>
      </c>
      <c r="D171" s="151" t="s">
        <v>275</v>
      </c>
      <c r="E171" s="156" t="s">
        <v>14</v>
      </c>
      <c r="F171" s="197">
        <v>12</v>
      </c>
      <c r="G171" s="198">
        <v>12.02</v>
      </c>
      <c r="H171" s="196">
        <f t="shared" si="39"/>
        <v>12.02</v>
      </c>
      <c r="I171" s="196">
        <f t="shared" si="40"/>
        <v>144.24</v>
      </c>
    </row>
    <row r="172" spans="1:17" s="40" customFormat="1" ht="14.25" x14ac:dyDescent="0.2">
      <c r="A172" s="246" t="s">
        <v>1906</v>
      </c>
      <c r="B172" s="156" t="s">
        <v>45</v>
      </c>
      <c r="C172" s="155">
        <v>4750</v>
      </c>
      <c r="D172" s="151" t="s">
        <v>274</v>
      </c>
      <c r="E172" s="156" t="s">
        <v>14</v>
      </c>
      <c r="F172" s="197">
        <v>12</v>
      </c>
      <c r="G172" s="198">
        <v>14.67</v>
      </c>
      <c r="H172" s="196">
        <f t="shared" si="39"/>
        <v>14.67</v>
      </c>
      <c r="I172" s="196">
        <f t="shared" si="40"/>
        <v>176.04</v>
      </c>
    </row>
    <row r="173" spans="1:17" s="40" customFormat="1" ht="14.25" x14ac:dyDescent="0.2">
      <c r="A173" s="246"/>
      <c r="B173" s="156"/>
      <c r="C173" s="155"/>
      <c r="D173" s="151"/>
      <c r="E173" s="156"/>
      <c r="F173" s="197"/>
      <c r="G173" s="198"/>
      <c r="H173" s="197"/>
      <c r="I173" s="198"/>
    </row>
    <row r="174" spans="1:17" s="295" customFormat="1" ht="30" x14ac:dyDescent="0.2">
      <c r="A174" s="279">
        <v>14</v>
      </c>
      <c r="B174" s="279" t="s">
        <v>335</v>
      </c>
      <c r="C174" s="290" t="s">
        <v>597</v>
      </c>
      <c r="D174" s="291" t="s">
        <v>949</v>
      </c>
      <c r="E174" s="279" t="s">
        <v>18</v>
      </c>
      <c r="F174" s="300"/>
      <c r="G174" s="301"/>
      <c r="H174" s="293"/>
      <c r="I174" s="294">
        <f>SUM(I175:I178)</f>
        <v>583.68000000000006</v>
      </c>
      <c r="J174" s="105"/>
      <c r="K174" s="105"/>
      <c r="L174" s="105"/>
      <c r="M174" s="105"/>
      <c r="N174" s="105"/>
      <c r="O174" s="105"/>
      <c r="P174" s="105"/>
      <c r="Q174" s="105"/>
    </row>
    <row r="175" spans="1:17" s="288" customFormat="1" ht="14.25" x14ac:dyDescent="0.2">
      <c r="A175" s="232" t="s">
        <v>620</v>
      </c>
      <c r="B175" s="232" t="s">
        <v>45</v>
      </c>
      <c r="C175" s="232">
        <v>11125</v>
      </c>
      <c r="D175" s="150" t="s">
        <v>742</v>
      </c>
      <c r="E175" s="232" t="s">
        <v>169</v>
      </c>
      <c r="F175" s="342">
        <f>13.5*1.7*0.9</f>
        <v>20.655000000000001</v>
      </c>
      <c r="G175" s="296">
        <v>14.43</v>
      </c>
      <c r="H175" s="296">
        <f t="shared" ref="H175:H178" si="41">G175</f>
        <v>14.43</v>
      </c>
      <c r="I175" s="297">
        <f>ROUND(F175*H175,2)</f>
        <v>298.05</v>
      </c>
      <c r="J175" s="298"/>
      <c r="K175" s="298"/>
      <c r="L175" s="298"/>
      <c r="M175" s="298"/>
      <c r="N175" s="298"/>
      <c r="O175" s="298"/>
      <c r="P175" s="298"/>
      <c r="Q175" s="298"/>
    </row>
    <row r="176" spans="1:17" s="288" customFormat="1" ht="14.25" x14ac:dyDescent="0.2">
      <c r="A176" s="232" t="s">
        <v>621</v>
      </c>
      <c r="B176" s="232" t="s">
        <v>45</v>
      </c>
      <c r="C176" s="232">
        <v>589</v>
      </c>
      <c r="D176" s="150" t="s">
        <v>743</v>
      </c>
      <c r="E176" s="232" t="s">
        <v>17</v>
      </c>
      <c r="F176" s="342">
        <f>(1.7*2+0.9*2)</f>
        <v>5.2</v>
      </c>
      <c r="G176" s="296">
        <v>31.66</v>
      </c>
      <c r="H176" s="296">
        <f t="shared" si="41"/>
        <v>31.66</v>
      </c>
      <c r="I176" s="297">
        <f>ROUND(F176*H176,2)</f>
        <v>164.63</v>
      </c>
      <c r="J176" s="298"/>
      <c r="K176" s="298"/>
      <c r="L176" s="298"/>
      <c r="M176" s="298"/>
      <c r="N176" s="298"/>
      <c r="O176" s="298"/>
      <c r="P176" s="298"/>
      <c r="Q176" s="298"/>
    </row>
    <row r="177" spans="1:17" s="288" customFormat="1" ht="14.25" x14ac:dyDescent="0.2">
      <c r="A177" s="232" t="s">
        <v>622</v>
      </c>
      <c r="B177" s="232" t="s">
        <v>45</v>
      </c>
      <c r="C177" s="232">
        <v>252</v>
      </c>
      <c r="D177" s="151" t="s">
        <v>801</v>
      </c>
      <c r="E177" s="232" t="s">
        <v>14</v>
      </c>
      <c r="F177" s="342">
        <v>5</v>
      </c>
      <c r="G177" s="196">
        <v>10.38</v>
      </c>
      <c r="H177" s="296">
        <f t="shared" si="41"/>
        <v>10.38</v>
      </c>
      <c r="I177" s="297">
        <f>ROUND(F177*H177,2)</f>
        <v>51.9</v>
      </c>
      <c r="J177" s="298"/>
      <c r="K177" s="298"/>
      <c r="L177" s="298"/>
      <c r="M177" s="298"/>
      <c r="N177" s="298"/>
      <c r="O177" s="298"/>
      <c r="P177" s="298"/>
      <c r="Q177" s="298"/>
    </row>
    <row r="178" spans="1:17" s="288" customFormat="1" ht="14.25" x14ac:dyDescent="0.2">
      <c r="A178" s="232" t="s">
        <v>1397</v>
      </c>
      <c r="B178" s="232" t="s">
        <v>45</v>
      </c>
      <c r="C178" s="232">
        <v>6110</v>
      </c>
      <c r="D178" s="150" t="s">
        <v>245</v>
      </c>
      <c r="E178" s="232" t="s">
        <v>14</v>
      </c>
      <c r="F178" s="342">
        <v>5</v>
      </c>
      <c r="G178" s="196">
        <v>13.82</v>
      </c>
      <c r="H178" s="296">
        <f t="shared" si="41"/>
        <v>13.82</v>
      </c>
      <c r="I178" s="297">
        <f>ROUND(F178*H178,2)</f>
        <v>69.099999999999994</v>
      </c>
      <c r="J178" s="298"/>
      <c r="K178" s="298"/>
      <c r="L178" s="298"/>
      <c r="M178" s="298"/>
      <c r="N178" s="298"/>
      <c r="O178" s="298"/>
      <c r="P178" s="298"/>
      <c r="Q178" s="298"/>
    </row>
    <row r="179" spans="1:17" s="288" customFormat="1" ht="14.25" x14ac:dyDescent="0.2">
      <c r="A179" s="232"/>
      <c r="B179" s="232"/>
      <c r="C179" s="232"/>
      <c r="D179" s="150"/>
      <c r="E179" s="232"/>
      <c r="F179" s="342"/>
      <c r="G179" s="196"/>
      <c r="H179" s="296"/>
      <c r="I179" s="297"/>
      <c r="J179" s="298"/>
      <c r="K179" s="298"/>
      <c r="L179" s="298"/>
      <c r="M179" s="298"/>
      <c r="N179" s="298"/>
      <c r="O179" s="298"/>
      <c r="P179" s="298"/>
      <c r="Q179" s="298"/>
    </row>
    <row r="180" spans="1:17" s="295" customFormat="1" ht="30" x14ac:dyDescent="0.2">
      <c r="A180" s="279">
        <v>15</v>
      </c>
      <c r="B180" s="279" t="s">
        <v>335</v>
      </c>
      <c r="C180" s="290" t="s">
        <v>598</v>
      </c>
      <c r="D180" s="291" t="s">
        <v>736</v>
      </c>
      <c r="E180" s="279" t="s">
        <v>18</v>
      </c>
      <c r="F180" s="300"/>
      <c r="G180" s="301"/>
      <c r="H180" s="293"/>
      <c r="I180" s="294">
        <f>SUM(I181:I184)</f>
        <v>399.49</v>
      </c>
      <c r="J180" s="105"/>
      <c r="K180" s="105"/>
      <c r="L180" s="105"/>
      <c r="M180" s="105"/>
      <c r="N180" s="105"/>
      <c r="O180" s="105"/>
      <c r="P180" s="105"/>
      <c r="Q180" s="105"/>
    </row>
    <row r="181" spans="1:17" s="288" customFormat="1" ht="14.25" x14ac:dyDescent="0.2">
      <c r="A181" s="232" t="s">
        <v>623</v>
      </c>
      <c r="B181" s="232" t="s">
        <v>45</v>
      </c>
      <c r="C181" s="232">
        <v>11125</v>
      </c>
      <c r="D181" s="150" t="s">
        <v>742</v>
      </c>
      <c r="E181" s="232" t="s">
        <v>169</v>
      </c>
      <c r="F181" s="342">
        <f>13.5*1.15*0.8</f>
        <v>12.42</v>
      </c>
      <c r="G181" s="296">
        <v>14.43</v>
      </c>
      <c r="H181" s="296">
        <f t="shared" ref="H181:H184" si="42">G181</f>
        <v>14.43</v>
      </c>
      <c r="I181" s="297">
        <f>ROUND(F181*H181,2)</f>
        <v>179.22</v>
      </c>
      <c r="J181" s="298"/>
      <c r="K181" s="298"/>
      <c r="L181" s="298"/>
      <c r="M181" s="298"/>
      <c r="N181" s="298"/>
      <c r="O181" s="298"/>
      <c r="P181" s="298"/>
      <c r="Q181" s="298"/>
    </row>
    <row r="182" spans="1:17" s="288" customFormat="1" ht="14.25" x14ac:dyDescent="0.2">
      <c r="A182" s="232" t="s">
        <v>624</v>
      </c>
      <c r="B182" s="232" t="s">
        <v>45</v>
      </c>
      <c r="C182" s="232">
        <v>589</v>
      </c>
      <c r="D182" s="150" t="s">
        <v>743</v>
      </c>
      <c r="E182" s="232" t="s">
        <v>17</v>
      </c>
      <c r="F182" s="342">
        <f>(1.15*2+0.8*2)</f>
        <v>3.9</v>
      </c>
      <c r="G182" s="296">
        <v>31.66</v>
      </c>
      <c r="H182" s="296">
        <f t="shared" si="42"/>
        <v>31.66</v>
      </c>
      <c r="I182" s="297">
        <f>ROUND(F182*H182,2)</f>
        <v>123.47</v>
      </c>
      <c r="J182" s="298"/>
      <c r="K182" s="298"/>
      <c r="L182" s="298"/>
      <c r="M182" s="298"/>
      <c r="N182" s="298"/>
      <c r="O182" s="298"/>
      <c r="P182" s="298"/>
      <c r="Q182" s="298"/>
    </row>
    <row r="183" spans="1:17" s="288" customFormat="1" ht="14.25" x14ac:dyDescent="0.2">
      <c r="A183" s="232" t="s">
        <v>625</v>
      </c>
      <c r="B183" s="232" t="s">
        <v>45</v>
      </c>
      <c r="C183" s="232">
        <v>252</v>
      </c>
      <c r="D183" s="151" t="s">
        <v>801</v>
      </c>
      <c r="E183" s="232" t="s">
        <v>14</v>
      </c>
      <c r="F183" s="342">
        <v>4</v>
      </c>
      <c r="G183" s="196">
        <v>10.38</v>
      </c>
      <c r="H183" s="296">
        <f t="shared" si="42"/>
        <v>10.38</v>
      </c>
      <c r="I183" s="297">
        <f>ROUND(F183*H183,2)</f>
        <v>41.52</v>
      </c>
      <c r="J183" s="298"/>
      <c r="K183" s="298"/>
      <c r="L183" s="298"/>
      <c r="M183" s="298"/>
      <c r="N183" s="298"/>
      <c r="O183" s="298"/>
      <c r="P183" s="298"/>
      <c r="Q183" s="298"/>
    </row>
    <row r="184" spans="1:17" s="288" customFormat="1" ht="14.25" x14ac:dyDescent="0.2">
      <c r="A184" s="232" t="s">
        <v>626</v>
      </c>
      <c r="B184" s="232" t="s">
        <v>45</v>
      </c>
      <c r="C184" s="232">
        <v>6110</v>
      </c>
      <c r="D184" s="150" t="s">
        <v>245</v>
      </c>
      <c r="E184" s="232" t="s">
        <v>14</v>
      </c>
      <c r="F184" s="342">
        <v>4</v>
      </c>
      <c r="G184" s="196">
        <v>13.82</v>
      </c>
      <c r="H184" s="296">
        <f t="shared" si="42"/>
        <v>13.82</v>
      </c>
      <c r="I184" s="297">
        <f>ROUND(F184*H184,2)</f>
        <v>55.28</v>
      </c>
      <c r="J184" s="298"/>
      <c r="K184" s="298"/>
      <c r="L184" s="298"/>
      <c r="M184" s="298"/>
      <c r="N184" s="298"/>
      <c r="O184" s="298"/>
      <c r="P184" s="298"/>
      <c r="Q184" s="298"/>
    </row>
    <row r="185" spans="1:17" ht="15" customHeight="1" x14ac:dyDescent="0.2">
      <c r="A185" s="233"/>
      <c r="B185" s="153"/>
      <c r="C185" s="153"/>
      <c r="D185" s="188"/>
      <c r="E185" s="153"/>
      <c r="F185" s="284"/>
      <c r="G185" s="302"/>
      <c r="H185" s="299"/>
      <c r="I185" s="154"/>
      <c r="J185" s="57"/>
      <c r="K185" s="57"/>
      <c r="L185" s="57"/>
      <c r="M185" s="57"/>
      <c r="N185" s="57"/>
      <c r="O185" s="57"/>
      <c r="P185" s="57"/>
      <c r="Q185" s="57"/>
    </row>
    <row r="186" spans="1:17" s="295" customFormat="1" ht="30" x14ac:dyDescent="0.2">
      <c r="A186" s="279">
        <v>16</v>
      </c>
      <c r="B186" s="279" t="s">
        <v>335</v>
      </c>
      <c r="C186" s="290" t="s">
        <v>599</v>
      </c>
      <c r="D186" s="291" t="s">
        <v>948</v>
      </c>
      <c r="E186" s="279" t="s">
        <v>18</v>
      </c>
      <c r="F186" s="300"/>
      <c r="G186" s="301"/>
      <c r="H186" s="293"/>
      <c r="I186" s="294">
        <f>SUM(I187:I190)</f>
        <v>368.56999999999994</v>
      </c>
      <c r="J186" s="105"/>
      <c r="K186" s="105"/>
      <c r="L186" s="105"/>
      <c r="M186" s="105"/>
      <c r="N186" s="105"/>
      <c r="O186" s="105"/>
      <c r="P186" s="105"/>
      <c r="Q186" s="105"/>
    </row>
    <row r="187" spans="1:17" s="288" customFormat="1" ht="14.25" x14ac:dyDescent="0.2">
      <c r="A187" s="232" t="s">
        <v>1907</v>
      </c>
      <c r="B187" s="232" t="s">
        <v>45</v>
      </c>
      <c r="C187" s="232">
        <v>11125</v>
      </c>
      <c r="D187" s="150" t="s">
        <v>742</v>
      </c>
      <c r="E187" s="232" t="s">
        <v>169</v>
      </c>
      <c r="F187" s="342">
        <f>13.5*0.9*0.9</f>
        <v>10.935</v>
      </c>
      <c r="G187" s="296">
        <v>14.43</v>
      </c>
      <c r="H187" s="296">
        <f t="shared" ref="H187:H190" si="43">G187</f>
        <v>14.43</v>
      </c>
      <c r="I187" s="297">
        <f>ROUND(F187*H187,2)</f>
        <v>157.79</v>
      </c>
      <c r="J187" s="298"/>
      <c r="K187" s="298"/>
      <c r="L187" s="298"/>
      <c r="M187" s="298"/>
      <c r="N187" s="298"/>
      <c r="O187" s="298"/>
      <c r="P187" s="298"/>
      <c r="Q187" s="298"/>
    </row>
    <row r="188" spans="1:17" s="288" customFormat="1" ht="14.25" x14ac:dyDescent="0.2">
      <c r="A188" s="232" t="s">
        <v>1908</v>
      </c>
      <c r="B188" s="232" t="s">
        <v>45</v>
      </c>
      <c r="C188" s="232">
        <v>589</v>
      </c>
      <c r="D188" s="150" t="s">
        <v>743</v>
      </c>
      <c r="E188" s="232" t="s">
        <v>17</v>
      </c>
      <c r="F188" s="342">
        <f>(0.9*4)</f>
        <v>3.6</v>
      </c>
      <c r="G188" s="296">
        <v>31.66</v>
      </c>
      <c r="H188" s="296">
        <f t="shared" si="43"/>
        <v>31.66</v>
      </c>
      <c r="I188" s="297">
        <f>ROUND(F188*H188,2)</f>
        <v>113.98</v>
      </c>
      <c r="J188" s="298"/>
      <c r="K188" s="298"/>
      <c r="L188" s="298"/>
      <c r="M188" s="298"/>
      <c r="N188" s="298"/>
      <c r="O188" s="298"/>
      <c r="P188" s="298"/>
      <c r="Q188" s="298"/>
    </row>
    <row r="189" spans="1:17" s="288" customFormat="1" ht="14.25" x14ac:dyDescent="0.2">
      <c r="A189" s="232" t="s">
        <v>1909</v>
      </c>
      <c r="B189" s="232" t="s">
        <v>45</v>
      </c>
      <c r="C189" s="232">
        <v>252</v>
      </c>
      <c r="D189" s="151" t="s">
        <v>801</v>
      </c>
      <c r="E189" s="232" t="s">
        <v>14</v>
      </c>
      <c r="F189" s="342">
        <v>4</v>
      </c>
      <c r="G189" s="196">
        <v>10.38</v>
      </c>
      <c r="H189" s="296">
        <f t="shared" si="43"/>
        <v>10.38</v>
      </c>
      <c r="I189" s="297">
        <f>ROUND(F189*H189,2)</f>
        <v>41.52</v>
      </c>
      <c r="J189" s="298"/>
      <c r="K189" s="298"/>
      <c r="L189" s="298"/>
      <c r="M189" s="298"/>
      <c r="N189" s="298"/>
      <c r="O189" s="298"/>
      <c r="P189" s="298"/>
      <c r="Q189" s="298"/>
    </row>
    <row r="190" spans="1:17" s="288" customFormat="1" ht="14.25" x14ac:dyDescent="0.2">
      <c r="A190" s="232" t="s">
        <v>1910</v>
      </c>
      <c r="B190" s="232" t="s">
        <v>45</v>
      </c>
      <c r="C190" s="232">
        <v>6110</v>
      </c>
      <c r="D190" s="150" t="s">
        <v>245</v>
      </c>
      <c r="E190" s="232" t="s">
        <v>14</v>
      </c>
      <c r="F190" s="342">
        <v>4</v>
      </c>
      <c r="G190" s="196">
        <v>13.82</v>
      </c>
      <c r="H190" s="296">
        <f t="shared" si="43"/>
        <v>13.82</v>
      </c>
      <c r="I190" s="297">
        <f>ROUND(F190*H190,2)</f>
        <v>55.28</v>
      </c>
      <c r="J190" s="298"/>
      <c r="K190" s="298"/>
      <c r="L190" s="298"/>
      <c r="M190" s="298"/>
      <c r="N190" s="298"/>
      <c r="O190" s="298"/>
      <c r="P190" s="298"/>
      <c r="Q190" s="298"/>
    </row>
    <row r="191" spans="1:17" ht="15" customHeight="1" x14ac:dyDescent="0.2">
      <c r="A191" s="233"/>
      <c r="B191" s="153"/>
      <c r="C191" s="153"/>
      <c r="D191" s="188"/>
      <c r="E191" s="153"/>
      <c r="F191" s="284"/>
      <c r="G191" s="302"/>
      <c r="H191" s="299"/>
      <c r="I191" s="154"/>
      <c r="J191" s="57"/>
      <c r="K191" s="57"/>
      <c r="L191" s="57"/>
      <c r="M191" s="57"/>
      <c r="N191" s="57"/>
      <c r="O191" s="57"/>
      <c r="P191" s="57"/>
      <c r="Q191" s="57"/>
    </row>
    <row r="192" spans="1:17" s="295" customFormat="1" ht="30" x14ac:dyDescent="0.2">
      <c r="A192" s="279">
        <v>17</v>
      </c>
      <c r="B192" s="279" t="s">
        <v>335</v>
      </c>
      <c r="C192" s="290" t="s">
        <v>1911</v>
      </c>
      <c r="D192" s="291" t="s">
        <v>1386</v>
      </c>
      <c r="E192" s="279" t="s">
        <v>18</v>
      </c>
      <c r="F192" s="300"/>
      <c r="G192" s="301"/>
      <c r="H192" s="293"/>
      <c r="I192" s="294">
        <f>SUM(I193:I196)</f>
        <v>306.23</v>
      </c>
      <c r="J192" s="105"/>
      <c r="K192" s="105"/>
      <c r="L192" s="105"/>
      <c r="M192" s="105"/>
      <c r="N192" s="105"/>
      <c r="O192" s="105"/>
      <c r="P192" s="105"/>
      <c r="Q192" s="105"/>
    </row>
    <row r="193" spans="1:17" s="288" customFormat="1" ht="14.25" x14ac:dyDescent="0.2">
      <c r="A193" s="232" t="s">
        <v>627</v>
      </c>
      <c r="B193" s="232" t="s">
        <v>45</v>
      </c>
      <c r="C193" s="232">
        <v>11125</v>
      </c>
      <c r="D193" s="150" t="s">
        <v>742</v>
      </c>
      <c r="E193" s="232" t="s">
        <v>169</v>
      </c>
      <c r="F193" s="342">
        <f>13.5*0.7*0.7</f>
        <v>6.6149999999999993</v>
      </c>
      <c r="G193" s="296">
        <v>14.43</v>
      </c>
      <c r="H193" s="296">
        <f t="shared" ref="H193:H196" si="44">G193</f>
        <v>14.43</v>
      </c>
      <c r="I193" s="297">
        <f>ROUND(F193*H193,2)</f>
        <v>95.45</v>
      </c>
      <c r="J193" s="298"/>
      <c r="K193" s="298"/>
      <c r="L193" s="298"/>
      <c r="M193" s="298"/>
      <c r="N193" s="298"/>
      <c r="O193" s="298"/>
      <c r="P193" s="298"/>
      <c r="Q193" s="298"/>
    </row>
    <row r="194" spans="1:17" s="288" customFormat="1" ht="14.25" x14ac:dyDescent="0.2">
      <c r="A194" s="232" t="s">
        <v>628</v>
      </c>
      <c r="B194" s="232" t="s">
        <v>45</v>
      </c>
      <c r="C194" s="232">
        <v>589</v>
      </c>
      <c r="D194" s="150" t="s">
        <v>743</v>
      </c>
      <c r="E194" s="232" t="s">
        <v>17</v>
      </c>
      <c r="F194" s="342">
        <f>(0.9*4)</f>
        <v>3.6</v>
      </c>
      <c r="G194" s="296">
        <v>31.66</v>
      </c>
      <c r="H194" s="296">
        <f t="shared" si="44"/>
        <v>31.66</v>
      </c>
      <c r="I194" s="297">
        <f>ROUND(F194*H194,2)</f>
        <v>113.98</v>
      </c>
      <c r="J194" s="298"/>
      <c r="K194" s="298"/>
      <c r="L194" s="298"/>
      <c r="M194" s="298"/>
      <c r="N194" s="298"/>
      <c r="O194" s="298"/>
      <c r="P194" s="298"/>
      <c r="Q194" s="298"/>
    </row>
    <row r="195" spans="1:17" s="288" customFormat="1" ht="14.25" x14ac:dyDescent="0.2">
      <c r="A195" s="232" t="s">
        <v>629</v>
      </c>
      <c r="B195" s="232" t="s">
        <v>45</v>
      </c>
      <c r="C195" s="232">
        <v>252</v>
      </c>
      <c r="D195" s="151" t="s">
        <v>801</v>
      </c>
      <c r="E195" s="232" t="s">
        <v>14</v>
      </c>
      <c r="F195" s="342">
        <v>4</v>
      </c>
      <c r="G195" s="196">
        <v>10.38</v>
      </c>
      <c r="H195" s="296">
        <f t="shared" si="44"/>
        <v>10.38</v>
      </c>
      <c r="I195" s="297">
        <f>ROUND(F195*H195,2)</f>
        <v>41.52</v>
      </c>
      <c r="J195" s="298"/>
      <c r="K195" s="298"/>
      <c r="L195" s="298"/>
      <c r="M195" s="298"/>
      <c r="N195" s="298"/>
      <c r="O195" s="298"/>
      <c r="P195" s="298"/>
      <c r="Q195" s="298"/>
    </row>
    <row r="196" spans="1:17" s="288" customFormat="1" ht="14.25" x14ac:dyDescent="0.2">
      <c r="A196" s="232" t="s">
        <v>630</v>
      </c>
      <c r="B196" s="232" t="s">
        <v>45</v>
      </c>
      <c r="C196" s="232">
        <v>6110</v>
      </c>
      <c r="D196" s="150" t="s">
        <v>245</v>
      </c>
      <c r="E196" s="232" t="s">
        <v>14</v>
      </c>
      <c r="F196" s="342">
        <v>4</v>
      </c>
      <c r="G196" s="196">
        <v>13.82</v>
      </c>
      <c r="H196" s="296">
        <f t="shared" si="44"/>
        <v>13.82</v>
      </c>
      <c r="I196" s="297">
        <f>ROUND(F196*H196,2)</f>
        <v>55.28</v>
      </c>
      <c r="J196" s="298"/>
      <c r="K196" s="298"/>
      <c r="L196" s="298"/>
      <c r="M196" s="298"/>
      <c r="N196" s="298"/>
      <c r="O196" s="298"/>
      <c r="P196" s="298"/>
      <c r="Q196" s="298"/>
    </row>
    <row r="197" spans="1:17" s="40" customFormat="1" ht="15" customHeight="1" x14ac:dyDescent="0.2">
      <c r="A197" s="232"/>
      <c r="B197" s="232"/>
      <c r="C197" s="232"/>
      <c r="D197" s="158"/>
      <c r="E197" s="232"/>
      <c r="F197" s="149"/>
      <c r="G197" s="250"/>
      <c r="H197" s="296"/>
      <c r="I197" s="149"/>
      <c r="J197" s="41"/>
      <c r="K197" s="41"/>
      <c r="L197" s="41"/>
      <c r="M197" s="41"/>
      <c r="N197" s="41"/>
      <c r="O197" s="41"/>
      <c r="P197" s="41"/>
      <c r="Q197" s="41"/>
    </row>
    <row r="198" spans="1:17" s="146" customFormat="1" ht="15.95" customHeight="1" x14ac:dyDescent="0.2">
      <c r="A198" s="290">
        <v>18</v>
      </c>
      <c r="B198" s="279" t="s">
        <v>335</v>
      </c>
      <c r="C198" s="290" t="s">
        <v>278</v>
      </c>
      <c r="D198" s="291" t="str">
        <f>ORÇAMENTO!D809</f>
        <v>FORNECIMENTO E APLICAÇÃO DOS MATERIAIS HIDRÁULICOS DA ELEVATÓRIA FINAL</v>
      </c>
      <c r="E198" s="279" t="s">
        <v>18</v>
      </c>
      <c r="F198" s="300"/>
      <c r="G198" s="301"/>
      <c r="H198" s="293"/>
      <c r="I198" s="294">
        <f>SUM(I199:I230)</f>
        <v>42465.310000000005</v>
      </c>
      <c r="J198" s="145"/>
      <c r="K198" s="145"/>
      <c r="L198" s="145"/>
      <c r="M198" s="145"/>
      <c r="N198" s="145"/>
      <c r="O198" s="145"/>
      <c r="P198" s="145"/>
      <c r="Q198" s="145"/>
    </row>
    <row r="199" spans="1:17" s="40" customFormat="1" ht="14.25" x14ac:dyDescent="0.2">
      <c r="A199" s="246" t="s">
        <v>397</v>
      </c>
      <c r="B199" s="232" t="s">
        <v>65</v>
      </c>
      <c r="C199" s="232"/>
      <c r="D199" s="151" t="s">
        <v>404</v>
      </c>
      <c r="E199" s="156" t="s">
        <v>18</v>
      </c>
      <c r="F199" s="197">
        <v>2</v>
      </c>
      <c r="G199" s="250">
        <v>340</v>
      </c>
      <c r="H199" s="149">
        <f t="shared" ref="H199" si="45">G199</f>
        <v>340</v>
      </c>
      <c r="I199" s="149">
        <f t="shared" ref="I199" si="46">F199*H199</f>
        <v>680</v>
      </c>
    </row>
    <row r="200" spans="1:17" s="40" customFormat="1" ht="14.25" x14ac:dyDescent="0.2">
      <c r="A200" s="246" t="s">
        <v>398</v>
      </c>
      <c r="B200" s="232" t="s">
        <v>65</v>
      </c>
      <c r="C200" s="232"/>
      <c r="D200" s="151" t="s">
        <v>956</v>
      </c>
      <c r="E200" s="156" t="s">
        <v>18</v>
      </c>
      <c r="F200" s="197">
        <v>2</v>
      </c>
      <c r="G200" s="250">
        <v>560</v>
      </c>
      <c r="H200" s="149">
        <f t="shared" ref="H200:H227" si="47">G200</f>
        <v>560</v>
      </c>
      <c r="I200" s="149">
        <f t="shared" ref="I200:I227" si="48">F200*H200</f>
        <v>1120</v>
      </c>
    </row>
    <row r="201" spans="1:17" s="40" customFormat="1" ht="14.25" x14ac:dyDescent="0.2">
      <c r="A201" s="246" t="s">
        <v>399</v>
      </c>
      <c r="B201" s="232" t="s">
        <v>65</v>
      </c>
      <c r="C201" s="232"/>
      <c r="D201" s="151" t="s">
        <v>957</v>
      </c>
      <c r="E201" s="156" t="s">
        <v>18</v>
      </c>
      <c r="F201" s="197">
        <v>2</v>
      </c>
      <c r="G201" s="250">
        <v>601</v>
      </c>
      <c r="H201" s="149">
        <f t="shared" si="47"/>
        <v>601</v>
      </c>
      <c r="I201" s="149">
        <f t="shared" si="48"/>
        <v>1202</v>
      </c>
    </row>
    <row r="202" spans="1:17" s="40" customFormat="1" ht="14.25" x14ac:dyDescent="0.2">
      <c r="A202" s="246" t="s">
        <v>400</v>
      </c>
      <c r="B202" s="232" t="s">
        <v>65</v>
      </c>
      <c r="C202" s="232"/>
      <c r="D202" s="151" t="s">
        <v>958</v>
      </c>
      <c r="E202" s="156" t="s">
        <v>18</v>
      </c>
      <c r="F202" s="197">
        <v>2</v>
      </c>
      <c r="G202" s="250">
        <v>2250</v>
      </c>
      <c r="H202" s="149">
        <f t="shared" si="47"/>
        <v>2250</v>
      </c>
      <c r="I202" s="149">
        <f t="shared" si="48"/>
        <v>4500</v>
      </c>
    </row>
    <row r="203" spans="1:17" s="40" customFormat="1" ht="14.25" x14ac:dyDescent="0.2">
      <c r="A203" s="246" t="s">
        <v>1643</v>
      </c>
      <c r="B203" s="232" t="s">
        <v>65</v>
      </c>
      <c r="C203" s="232"/>
      <c r="D203" s="151" t="s">
        <v>405</v>
      </c>
      <c r="E203" s="156" t="s">
        <v>18</v>
      </c>
      <c r="F203" s="197">
        <v>3</v>
      </c>
      <c r="G203" s="250">
        <v>190</v>
      </c>
      <c r="H203" s="149">
        <f t="shared" si="47"/>
        <v>190</v>
      </c>
      <c r="I203" s="149">
        <f t="shared" si="48"/>
        <v>570</v>
      </c>
    </row>
    <row r="204" spans="1:17" s="40" customFormat="1" ht="14.25" x14ac:dyDescent="0.2">
      <c r="A204" s="246" t="s">
        <v>1644</v>
      </c>
      <c r="B204" s="232" t="s">
        <v>65</v>
      </c>
      <c r="C204" s="232"/>
      <c r="D204" s="151" t="s">
        <v>959</v>
      </c>
      <c r="E204" s="156" t="s">
        <v>18</v>
      </c>
      <c r="F204" s="197">
        <v>2</v>
      </c>
      <c r="G204" s="250">
        <v>2210</v>
      </c>
      <c r="H204" s="149">
        <f t="shared" si="47"/>
        <v>2210</v>
      </c>
      <c r="I204" s="149">
        <f t="shared" si="48"/>
        <v>4420</v>
      </c>
    </row>
    <row r="205" spans="1:17" s="40" customFormat="1" ht="14.25" x14ac:dyDescent="0.2">
      <c r="A205" s="246" t="s">
        <v>1645</v>
      </c>
      <c r="B205" s="232" t="s">
        <v>65</v>
      </c>
      <c r="C205" s="232"/>
      <c r="D205" s="151" t="s">
        <v>960</v>
      </c>
      <c r="E205" s="156" t="s">
        <v>18</v>
      </c>
      <c r="F205" s="197">
        <v>1</v>
      </c>
      <c r="G205" s="250">
        <v>620</v>
      </c>
      <c r="H205" s="149">
        <f t="shared" si="47"/>
        <v>620</v>
      </c>
      <c r="I205" s="149">
        <f t="shared" si="48"/>
        <v>620</v>
      </c>
    </row>
    <row r="206" spans="1:17" s="40" customFormat="1" ht="14.25" x14ac:dyDescent="0.2">
      <c r="A206" s="246" t="s">
        <v>1646</v>
      </c>
      <c r="B206" s="232" t="s">
        <v>65</v>
      </c>
      <c r="C206" s="232"/>
      <c r="D206" s="151" t="s">
        <v>961</v>
      </c>
      <c r="E206" s="156" t="s">
        <v>18</v>
      </c>
      <c r="F206" s="197">
        <v>1</v>
      </c>
      <c r="G206" s="250">
        <v>520</v>
      </c>
      <c r="H206" s="149">
        <f t="shared" si="47"/>
        <v>520</v>
      </c>
      <c r="I206" s="149">
        <f t="shared" si="48"/>
        <v>520</v>
      </c>
    </row>
    <row r="207" spans="1:17" s="40" customFormat="1" ht="14.25" x14ac:dyDescent="0.2">
      <c r="A207" s="246" t="s">
        <v>1647</v>
      </c>
      <c r="B207" s="232" t="s">
        <v>65</v>
      </c>
      <c r="C207" s="232"/>
      <c r="D207" s="151" t="s">
        <v>962</v>
      </c>
      <c r="E207" s="156" t="s">
        <v>18</v>
      </c>
      <c r="F207" s="197">
        <v>1</v>
      </c>
      <c r="G207" s="250">
        <v>820</v>
      </c>
      <c r="H207" s="149">
        <f t="shared" si="47"/>
        <v>820</v>
      </c>
      <c r="I207" s="149">
        <f t="shared" si="48"/>
        <v>820</v>
      </c>
    </row>
    <row r="208" spans="1:17" s="142" customFormat="1" ht="14.25" x14ac:dyDescent="0.2">
      <c r="A208" s="246" t="s">
        <v>1648</v>
      </c>
      <c r="B208" s="285" t="s">
        <v>65</v>
      </c>
      <c r="C208" s="285"/>
      <c r="D208" s="311" t="s">
        <v>406</v>
      </c>
      <c r="E208" s="310" t="s">
        <v>18</v>
      </c>
      <c r="F208" s="331">
        <v>1</v>
      </c>
      <c r="G208" s="302"/>
      <c r="H208" s="284">
        <f t="shared" si="47"/>
        <v>0</v>
      </c>
      <c r="I208" s="284">
        <f t="shared" si="48"/>
        <v>0</v>
      </c>
    </row>
    <row r="209" spans="1:9" s="40" customFormat="1" ht="14.25" x14ac:dyDescent="0.2">
      <c r="A209" s="246" t="s">
        <v>1649</v>
      </c>
      <c r="B209" s="232" t="s">
        <v>65</v>
      </c>
      <c r="C209" s="232"/>
      <c r="D209" s="151" t="s">
        <v>963</v>
      </c>
      <c r="E209" s="156" t="s">
        <v>18</v>
      </c>
      <c r="F209" s="197">
        <v>1</v>
      </c>
      <c r="G209" s="250">
        <v>504</v>
      </c>
      <c r="H209" s="149">
        <f t="shared" si="47"/>
        <v>504</v>
      </c>
      <c r="I209" s="149">
        <f t="shared" si="48"/>
        <v>504</v>
      </c>
    </row>
    <row r="210" spans="1:9" s="40" customFormat="1" ht="14.25" x14ac:dyDescent="0.2">
      <c r="A210" s="246" t="s">
        <v>1650</v>
      </c>
      <c r="B210" s="232" t="s">
        <v>65</v>
      </c>
      <c r="C210" s="232"/>
      <c r="D210" s="151" t="s">
        <v>964</v>
      </c>
      <c r="E210" s="156" t="s">
        <v>18</v>
      </c>
      <c r="F210" s="197">
        <v>2</v>
      </c>
      <c r="G210" s="250">
        <v>2176</v>
      </c>
      <c r="H210" s="149">
        <f t="shared" si="47"/>
        <v>2176</v>
      </c>
      <c r="I210" s="149">
        <f t="shared" si="48"/>
        <v>4352</v>
      </c>
    </row>
    <row r="211" spans="1:9" s="40" customFormat="1" ht="14.25" x14ac:dyDescent="0.2">
      <c r="A211" s="246" t="s">
        <v>1651</v>
      </c>
      <c r="B211" s="232" t="s">
        <v>65</v>
      </c>
      <c r="C211" s="232"/>
      <c r="D211" s="151" t="s">
        <v>965</v>
      </c>
      <c r="E211" s="156" t="s">
        <v>18</v>
      </c>
      <c r="F211" s="197">
        <v>1</v>
      </c>
      <c r="G211" s="250">
        <v>400</v>
      </c>
      <c r="H211" s="149">
        <f t="shared" si="47"/>
        <v>400</v>
      </c>
      <c r="I211" s="149">
        <f t="shared" si="48"/>
        <v>400</v>
      </c>
    </row>
    <row r="212" spans="1:9" s="40" customFormat="1" ht="14.25" x14ac:dyDescent="0.2">
      <c r="A212" s="246" t="s">
        <v>1652</v>
      </c>
      <c r="B212" s="232" t="s">
        <v>65</v>
      </c>
      <c r="C212" s="232"/>
      <c r="D212" s="151" t="s">
        <v>966</v>
      </c>
      <c r="E212" s="156" t="s">
        <v>18</v>
      </c>
      <c r="F212" s="197">
        <v>1</v>
      </c>
      <c r="G212" s="250">
        <v>180</v>
      </c>
      <c r="H212" s="149">
        <f t="shared" si="47"/>
        <v>180</v>
      </c>
      <c r="I212" s="149">
        <f t="shared" si="48"/>
        <v>180</v>
      </c>
    </row>
    <row r="213" spans="1:9" s="40" customFormat="1" ht="14.25" x14ac:dyDescent="0.2">
      <c r="A213" s="246" t="s">
        <v>1653</v>
      </c>
      <c r="B213" s="232" t="s">
        <v>65</v>
      </c>
      <c r="C213" s="232"/>
      <c r="D213" s="151" t="s">
        <v>967</v>
      </c>
      <c r="E213" s="156" t="s">
        <v>18</v>
      </c>
      <c r="F213" s="197">
        <v>1</v>
      </c>
      <c r="G213" s="250">
        <v>380</v>
      </c>
      <c r="H213" s="149">
        <f t="shared" si="47"/>
        <v>380</v>
      </c>
      <c r="I213" s="149">
        <f t="shared" si="48"/>
        <v>380</v>
      </c>
    </row>
    <row r="214" spans="1:9" s="40" customFormat="1" ht="14.25" x14ac:dyDescent="0.2">
      <c r="A214" s="246" t="s">
        <v>1654</v>
      </c>
      <c r="B214" s="232" t="s">
        <v>65</v>
      </c>
      <c r="C214" s="232"/>
      <c r="D214" s="151" t="s">
        <v>968</v>
      </c>
      <c r="E214" s="156" t="s">
        <v>18</v>
      </c>
      <c r="F214" s="197">
        <v>1</v>
      </c>
      <c r="G214" s="250">
        <v>1100</v>
      </c>
      <c r="H214" s="149">
        <f t="shared" si="47"/>
        <v>1100</v>
      </c>
      <c r="I214" s="149">
        <f t="shared" si="48"/>
        <v>1100</v>
      </c>
    </row>
    <row r="215" spans="1:9" s="40" customFormat="1" ht="14.25" x14ac:dyDescent="0.2">
      <c r="A215" s="246" t="s">
        <v>1655</v>
      </c>
      <c r="B215" s="232" t="s">
        <v>65</v>
      </c>
      <c r="C215" s="232"/>
      <c r="D215" s="151" t="s">
        <v>969</v>
      </c>
      <c r="E215" s="156" t="s">
        <v>18</v>
      </c>
      <c r="F215" s="197">
        <v>1</v>
      </c>
      <c r="G215" s="250">
        <v>530</v>
      </c>
      <c r="H215" s="149">
        <f t="shared" si="47"/>
        <v>530</v>
      </c>
      <c r="I215" s="149">
        <f t="shared" si="48"/>
        <v>530</v>
      </c>
    </row>
    <row r="216" spans="1:9" s="40" customFormat="1" ht="14.25" x14ac:dyDescent="0.2">
      <c r="A216" s="246" t="s">
        <v>1656</v>
      </c>
      <c r="B216" s="232" t="s">
        <v>65</v>
      </c>
      <c r="C216" s="232"/>
      <c r="D216" s="151" t="s">
        <v>953</v>
      </c>
      <c r="E216" s="156" t="s">
        <v>18</v>
      </c>
      <c r="F216" s="197">
        <v>1</v>
      </c>
      <c r="G216" s="250">
        <v>676</v>
      </c>
      <c r="H216" s="149">
        <f t="shared" si="47"/>
        <v>676</v>
      </c>
      <c r="I216" s="149">
        <f t="shared" si="48"/>
        <v>676</v>
      </c>
    </row>
    <row r="217" spans="1:9" s="40" customFormat="1" ht="14.25" x14ac:dyDescent="0.2">
      <c r="A217" s="246" t="s">
        <v>1657</v>
      </c>
      <c r="B217" s="232" t="s">
        <v>65</v>
      </c>
      <c r="C217" s="232"/>
      <c r="D217" s="151" t="s">
        <v>970</v>
      </c>
      <c r="E217" s="156" t="s">
        <v>18</v>
      </c>
      <c r="F217" s="197">
        <v>1</v>
      </c>
      <c r="G217" s="250">
        <v>10200</v>
      </c>
      <c r="H217" s="149">
        <f t="shared" si="47"/>
        <v>10200</v>
      </c>
      <c r="I217" s="149">
        <f t="shared" si="48"/>
        <v>10200</v>
      </c>
    </row>
    <row r="218" spans="1:9" s="40" customFormat="1" ht="14.25" x14ac:dyDescent="0.2">
      <c r="A218" s="246" t="s">
        <v>1658</v>
      </c>
      <c r="B218" s="232" t="s">
        <v>65</v>
      </c>
      <c r="C218" s="232"/>
      <c r="D218" s="151" t="s">
        <v>971</v>
      </c>
      <c r="E218" s="156" t="s">
        <v>18</v>
      </c>
      <c r="F218" s="197">
        <v>1</v>
      </c>
      <c r="G218" s="250">
        <v>2200</v>
      </c>
      <c r="H218" s="149">
        <f t="shared" si="47"/>
        <v>2200</v>
      </c>
      <c r="I218" s="149">
        <f t="shared" si="48"/>
        <v>2200</v>
      </c>
    </row>
    <row r="219" spans="1:9" s="40" customFormat="1" ht="14.25" x14ac:dyDescent="0.2">
      <c r="A219" s="246" t="s">
        <v>1659</v>
      </c>
      <c r="B219" s="232" t="s">
        <v>65</v>
      </c>
      <c r="C219" s="232"/>
      <c r="D219" s="151" t="s">
        <v>972</v>
      </c>
      <c r="E219" s="156" t="s">
        <v>18</v>
      </c>
      <c r="F219" s="197">
        <v>1</v>
      </c>
      <c r="G219" s="250">
        <v>320</v>
      </c>
      <c r="H219" s="149">
        <f t="shared" si="47"/>
        <v>320</v>
      </c>
      <c r="I219" s="149">
        <f t="shared" si="48"/>
        <v>320</v>
      </c>
    </row>
    <row r="220" spans="1:9" s="40" customFormat="1" ht="14.25" x14ac:dyDescent="0.2">
      <c r="A220" s="246" t="s">
        <v>1660</v>
      </c>
      <c r="B220" s="232" t="s">
        <v>45</v>
      </c>
      <c r="C220" s="232">
        <v>11714</v>
      </c>
      <c r="D220" s="151" t="s">
        <v>137</v>
      </c>
      <c r="E220" s="156" t="s">
        <v>18</v>
      </c>
      <c r="F220" s="197">
        <v>1</v>
      </c>
      <c r="G220" s="250">
        <v>34.15</v>
      </c>
      <c r="H220" s="149">
        <f t="shared" si="47"/>
        <v>34.15</v>
      </c>
      <c r="I220" s="149">
        <f t="shared" si="48"/>
        <v>34.15</v>
      </c>
    </row>
    <row r="221" spans="1:9" s="40" customFormat="1" ht="14.25" x14ac:dyDescent="0.2">
      <c r="A221" s="246" t="s">
        <v>1661</v>
      </c>
      <c r="B221" s="232" t="s">
        <v>45</v>
      </c>
      <c r="C221" s="232">
        <v>9839</v>
      </c>
      <c r="D221" s="151" t="s">
        <v>954</v>
      </c>
      <c r="E221" s="156" t="s">
        <v>17</v>
      </c>
      <c r="F221" s="197">
        <v>1</v>
      </c>
      <c r="G221" s="250">
        <v>11.53</v>
      </c>
      <c r="H221" s="149">
        <f t="shared" si="47"/>
        <v>11.53</v>
      </c>
      <c r="I221" s="149">
        <f t="shared" si="48"/>
        <v>11.53</v>
      </c>
    </row>
    <row r="222" spans="1:9" s="40" customFormat="1" ht="14.25" x14ac:dyDescent="0.2">
      <c r="A222" s="246" t="s">
        <v>1662</v>
      </c>
      <c r="B222" s="232" t="s">
        <v>45</v>
      </c>
      <c r="C222" s="232">
        <v>20068</v>
      </c>
      <c r="D222" s="151" t="s">
        <v>955</v>
      </c>
      <c r="E222" s="156" t="s">
        <v>17</v>
      </c>
      <c r="F222" s="197">
        <v>0.5</v>
      </c>
      <c r="G222" s="250">
        <v>9.06</v>
      </c>
      <c r="H222" s="149">
        <f t="shared" si="47"/>
        <v>9.06</v>
      </c>
      <c r="I222" s="149">
        <f t="shared" si="48"/>
        <v>4.53</v>
      </c>
    </row>
    <row r="223" spans="1:9" s="40" customFormat="1" ht="14.25" x14ac:dyDescent="0.2">
      <c r="A223" s="246" t="s">
        <v>1663</v>
      </c>
      <c r="B223" s="232" t="s">
        <v>65</v>
      </c>
      <c r="C223" s="232"/>
      <c r="D223" s="151" t="s">
        <v>603</v>
      </c>
      <c r="E223" s="156" t="s">
        <v>18</v>
      </c>
      <c r="F223" s="197">
        <v>4</v>
      </c>
      <c r="G223" s="250">
        <v>2.9</v>
      </c>
      <c r="H223" s="149">
        <f t="shared" si="47"/>
        <v>2.9</v>
      </c>
      <c r="I223" s="149">
        <f t="shared" si="48"/>
        <v>11.6</v>
      </c>
    </row>
    <row r="224" spans="1:9" s="40" customFormat="1" ht="14.25" x14ac:dyDescent="0.2">
      <c r="A224" s="246" t="s">
        <v>1664</v>
      </c>
      <c r="B224" s="232" t="s">
        <v>65</v>
      </c>
      <c r="C224" s="232"/>
      <c r="D224" s="151" t="s">
        <v>403</v>
      </c>
      <c r="E224" s="156" t="s">
        <v>18</v>
      </c>
      <c r="F224" s="197">
        <v>2</v>
      </c>
      <c r="G224" s="250">
        <v>4.2</v>
      </c>
      <c r="H224" s="149">
        <f t="shared" si="47"/>
        <v>4.2</v>
      </c>
      <c r="I224" s="149">
        <f t="shared" si="48"/>
        <v>8.4</v>
      </c>
    </row>
    <row r="225" spans="1:18" s="40" customFormat="1" ht="14.25" x14ac:dyDescent="0.2">
      <c r="A225" s="246" t="s">
        <v>1665</v>
      </c>
      <c r="B225" s="232" t="s">
        <v>65</v>
      </c>
      <c r="C225" s="232"/>
      <c r="D225" s="151" t="s">
        <v>407</v>
      </c>
      <c r="E225" s="156" t="s">
        <v>18</v>
      </c>
      <c r="F225" s="197">
        <v>19</v>
      </c>
      <c r="G225" s="250">
        <v>10.5</v>
      </c>
      <c r="H225" s="149">
        <f t="shared" si="47"/>
        <v>10.5</v>
      </c>
      <c r="I225" s="149">
        <f t="shared" si="48"/>
        <v>199.5</v>
      </c>
    </row>
    <row r="226" spans="1:18" s="40" customFormat="1" ht="14.25" x14ac:dyDescent="0.2">
      <c r="A226" s="246" t="s">
        <v>1666</v>
      </c>
      <c r="B226" s="232" t="s">
        <v>65</v>
      </c>
      <c r="C226" s="232"/>
      <c r="D226" s="151" t="s">
        <v>604</v>
      </c>
      <c r="E226" s="156" t="s">
        <v>18</v>
      </c>
      <c r="F226" s="197">
        <v>32</v>
      </c>
      <c r="G226" s="250">
        <v>5.4</v>
      </c>
      <c r="H226" s="149">
        <f t="shared" si="47"/>
        <v>5.4</v>
      </c>
      <c r="I226" s="149">
        <f t="shared" si="48"/>
        <v>172.8</v>
      </c>
    </row>
    <row r="227" spans="1:18" s="40" customFormat="1" ht="14.25" x14ac:dyDescent="0.2">
      <c r="A227" s="246" t="s">
        <v>1667</v>
      </c>
      <c r="B227" s="232" t="s">
        <v>65</v>
      </c>
      <c r="C227" s="232"/>
      <c r="D227" s="151" t="s">
        <v>605</v>
      </c>
      <c r="E227" s="156" t="s">
        <v>18</v>
      </c>
      <c r="F227" s="197">
        <v>168</v>
      </c>
      <c r="G227" s="250">
        <v>7.6</v>
      </c>
      <c r="H227" s="149">
        <f t="shared" si="47"/>
        <v>7.6</v>
      </c>
      <c r="I227" s="149">
        <f t="shared" si="48"/>
        <v>1276.8</v>
      </c>
    </row>
    <row r="228" spans="1:18" s="40" customFormat="1" ht="14.25" x14ac:dyDescent="0.2">
      <c r="A228" s="246" t="s">
        <v>1668</v>
      </c>
      <c r="B228" s="232" t="s">
        <v>45</v>
      </c>
      <c r="C228" s="232">
        <v>88267</v>
      </c>
      <c r="D228" s="151" t="s">
        <v>822</v>
      </c>
      <c r="E228" s="232" t="s">
        <v>14</v>
      </c>
      <c r="F228" s="149">
        <v>100</v>
      </c>
      <c r="G228" s="250">
        <v>21.01</v>
      </c>
      <c r="H228" s="149">
        <f>ROUND((1+K$3)*G228,2)</f>
        <v>21.01</v>
      </c>
      <c r="I228" s="249">
        <f>ROUND(F228*H228,2)</f>
        <v>2101</v>
      </c>
      <c r="J228" s="41"/>
      <c r="K228" s="41"/>
      <c r="L228" s="41"/>
      <c r="M228" s="41"/>
      <c r="N228" s="41"/>
      <c r="O228" s="41"/>
      <c r="P228" s="41"/>
      <c r="Q228" s="41"/>
    </row>
    <row r="229" spans="1:18" s="40" customFormat="1" ht="14.25" customHeight="1" x14ac:dyDescent="0.2">
      <c r="A229" s="246" t="s">
        <v>1669</v>
      </c>
      <c r="B229" s="232" t="s">
        <v>45</v>
      </c>
      <c r="C229" s="232">
        <v>88248</v>
      </c>
      <c r="D229" s="151" t="s">
        <v>823</v>
      </c>
      <c r="E229" s="232" t="s">
        <v>14</v>
      </c>
      <c r="F229" s="149">
        <v>100</v>
      </c>
      <c r="G229" s="250">
        <v>16.87</v>
      </c>
      <c r="H229" s="149">
        <f>ROUND((1+K$3)*G229,2)</f>
        <v>16.87</v>
      </c>
      <c r="I229" s="249">
        <f>ROUND(F229*H229,2)</f>
        <v>1687</v>
      </c>
      <c r="J229" s="41"/>
      <c r="K229" s="41"/>
      <c r="L229" s="41"/>
      <c r="M229" s="41"/>
      <c r="N229" s="41"/>
      <c r="O229" s="41"/>
      <c r="P229" s="41"/>
      <c r="Q229" s="41"/>
    </row>
    <row r="230" spans="1:18" s="40" customFormat="1" ht="14.25" x14ac:dyDescent="0.2">
      <c r="A230" s="246" t="s">
        <v>1670</v>
      </c>
      <c r="B230" s="232" t="s">
        <v>45</v>
      </c>
      <c r="C230" s="232">
        <v>88316</v>
      </c>
      <c r="D230" s="151" t="s">
        <v>824</v>
      </c>
      <c r="E230" s="232" t="s">
        <v>14</v>
      </c>
      <c r="F230" s="149">
        <v>100</v>
      </c>
      <c r="G230" s="250">
        <v>16.64</v>
      </c>
      <c r="H230" s="149">
        <f>ROUND((1+K$3)*G230,2)</f>
        <v>16.64</v>
      </c>
      <c r="I230" s="249">
        <f>ROUND(F230*H230,2)</f>
        <v>1664</v>
      </c>
      <c r="J230" s="41"/>
      <c r="K230" s="41"/>
      <c r="L230" s="41"/>
      <c r="M230" s="41"/>
      <c r="N230" s="41"/>
      <c r="O230" s="41"/>
      <c r="P230" s="41"/>
      <c r="Q230" s="41"/>
    </row>
    <row r="231" spans="1:18" s="40" customFormat="1" ht="14.25" x14ac:dyDescent="0.2">
      <c r="A231" s="327"/>
      <c r="B231" s="232"/>
      <c r="C231" s="232"/>
      <c r="D231" s="150"/>
      <c r="E231" s="232"/>
      <c r="F231" s="149"/>
      <c r="G231" s="149"/>
      <c r="H231" s="149"/>
      <c r="I231" s="328"/>
      <c r="J231" s="41"/>
      <c r="K231" s="325"/>
      <c r="L231" s="41"/>
      <c r="M231" s="41"/>
      <c r="N231" s="41"/>
      <c r="O231" s="41"/>
      <c r="P231" s="41"/>
      <c r="Q231" s="41"/>
    </row>
    <row r="232" spans="1:18" s="40" customFormat="1" ht="14.25" x14ac:dyDescent="0.2">
      <c r="A232" s="246"/>
      <c r="B232" s="232"/>
      <c r="C232" s="232"/>
      <c r="D232" s="151"/>
      <c r="E232" s="156"/>
      <c r="F232" s="197"/>
      <c r="G232" s="198"/>
      <c r="H232" s="149"/>
      <c r="I232" s="149"/>
    </row>
    <row r="233" spans="1:18" s="5" customFormat="1" ht="30" x14ac:dyDescent="0.2">
      <c r="A233" s="333">
        <v>19</v>
      </c>
      <c r="B233" s="279" t="s">
        <v>335</v>
      </c>
      <c r="C233" s="290" t="s">
        <v>600</v>
      </c>
      <c r="D233" s="181" t="s">
        <v>1050</v>
      </c>
      <c r="E233" s="332" t="s">
        <v>16</v>
      </c>
      <c r="F233" s="193"/>
      <c r="G233" s="194"/>
      <c r="H233" s="194"/>
      <c r="I233" s="334">
        <f>SUM(I234:I235)</f>
        <v>7.17</v>
      </c>
      <c r="J233" s="4"/>
      <c r="K233" s="4"/>
      <c r="L233" s="4"/>
      <c r="M233" s="4"/>
      <c r="N233" s="4"/>
      <c r="O233" s="4"/>
      <c r="P233" s="4"/>
      <c r="Q233" s="4"/>
    </row>
    <row r="234" spans="1:18" ht="14.25" x14ac:dyDescent="0.2">
      <c r="A234" s="286" t="s">
        <v>631</v>
      </c>
      <c r="B234" s="232" t="s">
        <v>45</v>
      </c>
      <c r="C234" s="233">
        <v>88246</v>
      </c>
      <c r="D234" s="182" t="s">
        <v>1051</v>
      </c>
      <c r="E234" s="233" t="s">
        <v>14</v>
      </c>
      <c r="F234" s="159">
        <v>0.15</v>
      </c>
      <c r="G234" s="149">
        <v>25.61</v>
      </c>
      <c r="H234" s="149">
        <f>G234</f>
        <v>25.61</v>
      </c>
      <c r="I234" s="326">
        <f>ROUND(F234*H234,2)</f>
        <v>3.84</v>
      </c>
      <c r="J234" s="44"/>
      <c r="K234" s="44"/>
      <c r="L234" s="44"/>
      <c r="M234" s="44"/>
      <c r="N234" s="44"/>
      <c r="O234" s="44"/>
      <c r="P234" s="44"/>
      <c r="Q234" s="44"/>
    </row>
    <row r="235" spans="1:18" ht="14.25" x14ac:dyDescent="0.2">
      <c r="A235" s="286" t="s">
        <v>632</v>
      </c>
      <c r="B235" s="232" t="s">
        <v>45</v>
      </c>
      <c r="C235" s="233">
        <v>88316</v>
      </c>
      <c r="D235" s="182" t="s">
        <v>824</v>
      </c>
      <c r="E235" s="233" t="s">
        <v>867</v>
      </c>
      <c r="F235" s="159">
        <v>0.2</v>
      </c>
      <c r="G235" s="149">
        <v>16.64</v>
      </c>
      <c r="H235" s="149">
        <f>G235</f>
        <v>16.64</v>
      </c>
      <c r="I235" s="326">
        <f>ROUND(F235*H235,2)</f>
        <v>3.33</v>
      </c>
      <c r="J235" s="44"/>
      <c r="K235" s="44"/>
      <c r="L235" s="44"/>
      <c r="M235" s="44"/>
      <c r="N235" s="44"/>
      <c r="O235" s="44"/>
      <c r="P235" s="44"/>
      <c r="Q235" s="44"/>
    </row>
    <row r="236" spans="1:18" ht="14.25" x14ac:dyDescent="0.2">
      <c r="A236" s="335"/>
      <c r="B236" s="232"/>
      <c r="C236" s="233"/>
      <c r="D236" s="182"/>
      <c r="E236" s="233"/>
      <c r="F236" s="159"/>
      <c r="G236" s="149"/>
      <c r="H236" s="149"/>
      <c r="I236" s="336"/>
      <c r="J236" s="44"/>
      <c r="K236" s="44"/>
      <c r="L236" s="44"/>
      <c r="M236" s="44"/>
      <c r="N236" s="44"/>
      <c r="O236" s="44"/>
      <c r="P236" s="44"/>
      <c r="Q236" s="44"/>
    </row>
    <row r="237" spans="1:18" s="5" customFormat="1" ht="45" x14ac:dyDescent="0.2">
      <c r="A237" s="333">
        <v>20</v>
      </c>
      <c r="B237" s="279" t="s">
        <v>335</v>
      </c>
      <c r="C237" s="290" t="s">
        <v>279</v>
      </c>
      <c r="D237" s="181" t="s">
        <v>1810</v>
      </c>
      <c r="E237" s="337" t="s">
        <v>18</v>
      </c>
      <c r="F237" s="193"/>
      <c r="G237" s="194"/>
      <c r="H237" s="194"/>
      <c r="I237" s="334">
        <f>SUM(I238:I243)</f>
        <v>5627.94</v>
      </c>
      <c r="J237" s="4"/>
      <c r="K237" s="4"/>
      <c r="L237" s="4"/>
      <c r="M237" s="4"/>
      <c r="N237" s="4"/>
      <c r="O237" s="4"/>
      <c r="P237" s="4"/>
      <c r="Q237" s="4"/>
    </row>
    <row r="238" spans="1:18" s="40" customFormat="1" ht="57" x14ac:dyDescent="0.2">
      <c r="A238" s="306" t="s">
        <v>1580</v>
      </c>
      <c r="B238" s="156" t="s">
        <v>45</v>
      </c>
      <c r="C238" s="232">
        <v>5824</v>
      </c>
      <c r="D238" s="150" t="s">
        <v>866</v>
      </c>
      <c r="E238" s="156" t="s">
        <v>867</v>
      </c>
      <c r="F238" s="149">
        <v>8</v>
      </c>
      <c r="G238" s="149">
        <v>106.76</v>
      </c>
      <c r="H238" s="149">
        <f t="shared" ref="H238:H243" si="49">G238</f>
        <v>106.76</v>
      </c>
      <c r="I238" s="326">
        <f t="shared" ref="I238" si="50">ROUND(F238*H238,2)</f>
        <v>854.08</v>
      </c>
      <c r="J238" s="275"/>
      <c r="K238" s="39"/>
      <c r="L238" s="143"/>
      <c r="M238" s="39"/>
      <c r="N238" s="39"/>
      <c r="O238" s="39"/>
      <c r="P238" s="39"/>
      <c r="R238" s="39"/>
    </row>
    <row r="239" spans="1:18" s="40" customFormat="1" ht="14.25" x14ac:dyDescent="0.2">
      <c r="A239" s="306" t="s">
        <v>1581</v>
      </c>
      <c r="B239" s="156" t="s">
        <v>45</v>
      </c>
      <c r="C239" s="232">
        <v>88285</v>
      </c>
      <c r="D239" s="150" t="s">
        <v>873</v>
      </c>
      <c r="E239" s="156" t="s">
        <v>14</v>
      </c>
      <c r="F239" s="149">
        <f>F238</f>
        <v>8</v>
      </c>
      <c r="G239" s="149">
        <v>18.440000000000001</v>
      </c>
      <c r="H239" s="149">
        <f t="shared" si="49"/>
        <v>18.440000000000001</v>
      </c>
      <c r="I239" s="326">
        <f t="shared" ref="I239:I243" si="51">ROUND(F239*H239,2)</f>
        <v>147.52000000000001</v>
      </c>
      <c r="J239" s="275"/>
      <c r="K239" s="39"/>
      <c r="L239" s="143"/>
      <c r="M239" s="39"/>
      <c r="N239" s="39"/>
      <c r="O239" s="39"/>
      <c r="P239" s="39"/>
      <c r="R239" s="39"/>
    </row>
    <row r="240" spans="1:18" s="40" customFormat="1" ht="31.5" customHeight="1" x14ac:dyDescent="0.2">
      <c r="A240" s="306" t="s">
        <v>1582</v>
      </c>
      <c r="B240" s="156" t="s">
        <v>45</v>
      </c>
      <c r="C240" s="232">
        <v>89272</v>
      </c>
      <c r="D240" s="150" t="s">
        <v>872</v>
      </c>
      <c r="E240" s="156" t="s">
        <v>867</v>
      </c>
      <c r="F240" s="149">
        <v>8</v>
      </c>
      <c r="G240" s="149">
        <v>144.16999999999999</v>
      </c>
      <c r="H240" s="149">
        <f t="shared" si="49"/>
        <v>144.16999999999999</v>
      </c>
      <c r="I240" s="326">
        <f t="shared" si="51"/>
        <v>1153.3599999999999</v>
      </c>
      <c r="J240" s="275"/>
      <c r="K240" s="39"/>
      <c r="L240" s="143"/>
      <c r="M240" s="39"/>
      <c r="N240" s="39"/>
      <c r="O240" s="39"/>
      <c r="P240" s="39"/>
      <c r="R240" s="39"/>
    </row>
    <row r="241" spans="1:18" s="40" customFormat="1" ht="14.25" x14ac:dyDescent="0.2">
      <c r="A241" s="306" t="s">
        <v>1583</v>
      </c>
      <c r="B241" s="156" t="s">
        <v>45</v>
      </c>
      <c r="C241" s="232">
        <v>88296</v>
      </c>
      <c r="D241" s="150" t="s">
        <v>874</v>
      </c>
      <c r="E241" s="156" t="s">
        <v>14</v>
      </c>
      <c r="F241" s="149">
        <f>F240</f>
        <v>8</v>
      </c>
      <c r="G241" s="149">
        <v>25.37</v>
      </c>
      <c r="H241" s="149">
        <f t="shared" si="49"/>
        <v>25.37</v>
      </c>
      <c r="I241" s="326">
        <f t="shared" si="51"/>
        <v>202.96</v>
      </c>
      <c r="J241" s="275"/>
      <c r="K241" s="39"/>
      <c r="L241" s="143"/>
      <c r="M241" s="39"/>
      <c r="N241" s="39"/>
      <c r="O241" s="39"/>
      <c r="P241" s="39"/>
      <c r="R241" s="39"/>
    </row>
    <row r="242" spans="1:18" s="40" customFormat="1" ht="57" x14ac:dyDescent="0.2">
      <c r="A242" s="306" t="s">
        <v>1584</v>
      </c>
      <c r="B242" s="156" t="s">
        <v>45</v>
      </c>
      <c r="C242" s="232">
        <v>89202</v>
      </c>
      <c r="D242" s="150" t="s">
        <v>1808</v>
      </c>
      <c r="E242" s="156" t="s">
        <v>17</v>
      </c>
      <c r="F242" s="149">
        <f>6*8.4</f>
        <v>50.400000000000006</v>
      </c>
      <c r="G242" s="149">
        <v>62.24</v>
      </c>
      <c r="H242" s="149">
        <f t="shared" si="49"/>
        <v>62.24</v>
      </c>
      <c r="I242" s="326">
        <f t="shared" si="51"/>
        <v>3136.9</v>
      </c>
      <c r="J242" s="275"/>
      <c r="K242" s="39"/>
      <c r="L242" s="143"/>
      <c r="M242" s="39"/>
      <c r="N242" s="39"/>
      <c r="O242" s="39"/>
      <c r="P242" s="39"/>
      <c r="R242" s="39"/>
    </row>
    <row r="243" spans="1:18" ht="14.25" x14ac:dyDescent="0.2">
      <c r="A243" s="306" t="s">
        <v>1585</v>
      </c>
      <c r="B243" s="156" t="s">
        <v>45</v>
      </c>
      <c r="C243" s="233">
        <v>88316</v>
      </c>
      <c r="D243" s="182" t="s">
        <v>856</v>
      </c>
      <c r="E243" s="233" t="s">
        <v>14</v>
      </c>
      <c r="F243" s="149">
        <v>8</v>
      </c>
      <c r="G243" s="149">
        <v>16.64</v>
      </c>
      <c r="H243" s="149">
        <f t="shared" si="49"/>
        <v>16.64</v>
      </c>
      <c r="I243" s="326">
        <f t="shared" si="51"/>
        <v>133.12</v>
      </c>
      <c r="J243" s="44"/>
      <c r="K243" s="44"/>
      <c r="L243" s="44"/>
      <c r="M243" s="44"/>
      <c r="N243" s="44"/>
      <c r="O243" s="44"/>
      <c r="P243" s="44"/>
      <c r="Q243" s="44"/>
    </row>
    <row r="244" spans="1:18" s="5" customFormat="1" ht="14.25" x14ac:dyDescent="0.2">
      <c r="A244" s="352"/>
      <c r="B244" s="153"/>
      <c r="C244" s="153"/>
      <c r="D244" s="188"/>
      <c r="E244" s="153"/>
      <c r="F244" s="154"/>
      <c r="G244" s="189"/>
      <c r="H244" s="149"/>
      <c r="I244" s="353"/>
      <c r="J244" s="4"/>
      <c r="K244" s="4"/>
      <c r="L244" s="4"/>
      <c r="M244" s="4"/>
      <c r="N244" s="4"/>
      <c r="O244" s="4"/>
      <c r="P244" s="4"/>
      <c r="Q244" s="4"/>
    </row>
    <row r="245" spans="1:18" ht="15" customHeight="1" x14ac:dyDescent="0.2">
      <c r="A245" s="323">
        <v>21</v>
      </c>
      <c r="B245" s="279" t="s">
        <v>335</v>
      </c>
      <c r="C245" s="290" t="s">
        <v>1619</v>
      </c>
      <c r="D245" s="291" t="s">
        <v>1354</v>
      </c>
      <c r="E245" s="279" t="s">
        <v>18</v>
      </c>
      <c r="F245" s="292"/>
      <c r="G245" s="293"/>
      <c r="H245" s="293"/>
      <c r="I245" s="324">
        <f>SUM(I246:I265)</f>
        <v>12627.829999999998</v>
      </c>
      <c r="J245" s="57"/>
      <c r="K245" s="57"/>
      <c r="L245" s="57"/>
      <c r="M245" s="57"/>
      <c r="N245" s="57"/>
      <c r="O245" s="57"/>
      <c r="P245" s="57"/>
      <c r="Q245" s="57"/>
    </row>
    <row r="246" spans="1:18" ht="28.5" x14ac:dyDescent="0.2">
      <c r="A246" s="306" t="s">
        <v>1613</v>
      </c>
      <c r="B246" s="232" t="s">
        <v>45</v>
      </c>
      <c r="C246" s="232" t="s">
        <v>730</v>
      </c>
      <c r="D246" s="150" t="s">
        <v>731</v>
      </c>
      <c r="E246" s="232" t="s">
        <v>15</v>
      </c>
      <c r="F246" s="149">
        <f>20*1.5</f>
        <v>30</v>
      </c>
      <c r="G246" s="149">
        <v>8.3000000000000007</v>
      </c>
      <c r="H246" s="149">
        <f t="shared" ref="H246:H265" si="52">G246</f>
        <v>8.3000000000000007</v>
      </c>
      <c r="I246" s="326">
        <f t="shared" ref="I246" si="53">ROUND(F246*H246,2)</f>
        <v>249</v>
      </c>
      <c r="J246" s="57"/>
      <c r="K246" s="57"/>
      <c r="L246" s="57"/>
      <c r="M246" s="57"/>
      <c r="N246" s="57"/>
      <c r="O246" s="57"/>
      <c r="P246" s="57"/>
      <c r="Q246" s="57"/>
    </row>
    <row r="247" spans="1:18" ht="14.25" customHeight="1" x14ac:dyDescent="0.2">
      <c r="A247" s="306" t="s">
        <v>1614</v>
      </c>
      <c r="B247" s="232" t="s">
        <v>45</v>
      </c>
      <c r="C247" s="232">
        <v>93358</v>
      </c>
      <c r="D247" s="150" t="s">
        <v>803</v>
      </c>
      <c r="E247" s="232" t="s">
        <v>16</v>
      </c>
      <c r="F247" s="149">
        <f>0.38*0.7*2</f>
        <v>0.53199999999999992</v>
      </c>
      <c r="G247" s="149">
        <v>65.819999999999993</v>
      </c>
      <c r="H247" s="149">
        <f t="shared" si="52"/>
        <v>65.819999999999993</v>
      </c>
      <c r="I247" s="326">
        <f t="shared" ref="I247:I265" si="54">ROUND(F247*H247,2)</f>
        <v>35.020000000000003</v>
      </c>
      <c r="J247" s="57"/>
      <c r="K247" s="57"/>
      <c r="L247" s="57"/>
      <c r="M247" s="57"/>
      <c r="N247" s="57"/>
      <c r="O247" s="57"/>
      <c r="P247" s="57"/>
      <c r="Q247" s="57"/>
    </row>
    <row r="248" spans="1:18" ht="14.25" x14ac:dyDescent="0.2">
      <c r="A248" s="306" t="s">
        <v>1615</v>
      </c>
      <c r="B248" s="232" t="s">
        <v>45</v>
      </c>
      <c r="C248" s="232">
        <v>88039</v>
      </c>
      <c r="D248" s="150" t="s">
        <v>744</v>
      </c>
      <c r="E248" s="232" t="s">
        <v>16</v>
      </c>
      <c r="F248" s="149">
        <f>(F247)*1.3</f>
        <v>0.69159999999999988</v>
      </c>
      <c r="G248" s="149">
        <v>69.37</v>
      </c>
      <c r="H248" s="149">
        <f t="shared" si="52"/>
        <v>69.37</v>
      </c>
      <c r="I248" s="326">
        <f t="shared" si="54"/>
        <v>47.98</v>
      </c>
      <c r="J248" s="57"/>
      <c r="K248" s="57"/>
      <c r="L248" s="57"/>
      <c r="M248" s="57"/>
      <c r="N248" s="57"/>
      <c r="O248" s="57"/>
      <c r="P248" s="57"/>
      <c r="Q248" s="57"/>
    </row>
    <row r="249" spans="1:18" ht="28.5" x14ac:dyDescent="0.2">
      <c r="A249" s="306" t="s">
        <v>1616</v>
      </c>
      <c r="B249" s="232" t="s">
        <v>45</v>
      </c>
      <c r="C249" s="232" t="s">
        <v>374</v>
      </c>
      <c r="D249" s="150" t="s">
        <v>1355</v>
      </c>
      <c r="E249" s="232" t="s">
        <v>17</v>
      </c>
      <c r="F249" s="149">
        <v>2</v>
      </c>
      <c r="G249" s="149">
        <v>47.47</v>
      </c>
      <c r="H249" s="149">
        <f t="shared" si="52"/>
        <v>47.47</v>
      </c>
      <c r="I249" s="326">
        <f t="shared" si="54"/>
        <v>94.94</v>
      </c>
      <c r="J249" s="57"/>
      <c r="K249" s="57"/>
      <c r="L249" s="57"/>
      <c r="M249" s="57"/>
      <c r="N249" s="57"/>
      <c r="O249" s="57"/>
      <c r="P249" s="57"/>
      <c r="Q249" s="57"/>
    </row>
    <row r="250" spans="1:18" s="40" customFormat="1" ht="31.5" customHeight="1" x14ac:dyDescent="0.2">
      <c r="A250" s="306" t="s">
        <v>1617</v>
      </c>
      <c r="B250" s="232" t="s">
        <v>45</v>
      </c>
      <c r="C250" s="232">
        <v>89272</v>
      </c>
      <c r="D250" s="150" t="s">
        <v>872</v>
      </c>
      <c r="E250" s="156" t="s">
        <v>867</v>
      </c>
      <c r="F250" s="149">
        <v>8</v>
      </c>
      <c r="G250" s="149">
        <v>144.16999999999999</v>
      </c>
      <c r="H250" s="149">
        <f t="shared" si="52"/>
        <v>144.16999999999999</v>
      </c>
      <c r="I250" s="326">
        <f t="shared" si="54"/>
        <v>1153.3599999999999</v>
      </c>
      <c r="J250" s="275"/>
      <c r="K250" s="39"/>
      <c r="L250" s="143"/>
      <c r="M250" s="39"/>
      <c r="N250" s="39"/>
      <c r="O250" s="39"/>
      <c r="P250" s="39"/>
      <c r="R250" s="39"/>
    </row>
    <row r="251" spans="1:18" s="40" customFormat="1" ht="14.25" x14ac:dyDescent="0.2">
      <c r="A251" s="306" t="s">
        <v>1618</v>
      </c>
      <c r="B251" s="232" t="s">
        <v>45</v>
      </c>
      <c r="C251" s="232">
        <v>88296</v>
      </c>
      <c r="D251" s="150" t="s">
        <v>874</v>
      </c>
      <c r="E251" s="156" t="s">
        <v>14</v>
      </c>
      <c r="F251" s="149">
        <v>8</v>
      </c>
      <c r="G251" s="149">
        <v>25.37</v>
      </c>
      <c r="H251" s="149">
        <f t="shared" si="52"/>
        <v>25.37</v>
      </c>
      <c r="I251" s="326">
        <f t="shared" si="54"/>
        <v>202.96</v>
      </c>
      <c r="J251" s="275"/>
      <c r="K251" s="39"/>
      <c r="L251" s="143"/>
      <c r="M251" s="39"/>
      <c r="N251" s="39"/>
      <c r="O251" s="39"/>
      <c r="P251" s="39"/>
      <c r="R251" s="39"/>
    </row>
    <row r="252" spans="1:18" s="40" customFormat="1" ht="31.5" customHeight="1" x14ac:dyDescent="0.2">
      <c r="A252" s="306" t="s">
        <v>1912</v>
      </c>
      <c r="B252" s="232" t="s">
        <v>45</v>
      </c>
      <c r="C252" s="232">
        <v>89843</v>
      </c>
      <c r="D252" s="150" t="s">
        <v>1356</v>
      </c>
      <c r="E252" s="156" t="s">
        <v>867</v>
      </c>
      <c r="F252" s="149">
        <v>8</v>
      </c>
      <c r="G252" s="149">
        <v>146.05000000000001</v>
      </c>
      <c r="H252" s="149">
        <f t="shared" si="52"/>
        <v>146.05000000000001</v>
      </c>
      <c r="I252" s="326">
        <f t="shared" si="54"/>
        <v>1168.4000000000001</v>
      </c>
      <c r="J252" s="275"/>
      <c r="K252" s="39"/>
      <c r="L252" s="143"/>
      <c r="M252" s="39"/>
      <c r="N252" s="39"/>
      <c r="O252" s="39"/>
      <c r="P252" s="39"/>
      <c r="R252" s="39"/>
    </row>
    <row r="253" spans="1:18" s="40" customFormat="1" ht="14.25" x14ac:dyDescent="0.2">
      <c r="A253" s="306" t="s">
        <v>1913</v>
      </c>
      <c r="B253" s="232" t="s">
        <v>45</v>
      </c>
      <c r="C253" s="232">
        <v>88307</v>
      </c>
      <c r="D253" s="150" t="s">
        <v>1357</v>
      </c>
      <c r="E253" s="156" t="s">
        <v>867</v>
      </c>
      <c r="F253" s="149">
        <v>8</v>
      </c>
      <c r="G253" s="149">
        <v>18.899999999999999</v>
      </c>
      <c r="H253" s="149">
        <f t="shared" si="52"/>
        <v>18.899999999999999</v>
      </c>
      <c r="I253" s="326">
        <f t="shared" si="54"/>
        <v>151.19999999999999</v>
      </c>
      <c r="J253" s="275"/>
      <c r="K253" s="39"/>
      <c r="L253" s="143"/>
      <c r="M253" s="39"/>
      <c r="N253" s="39"/>
      <c r="O253" s="39"/>
      <c r="P253" s="39"/>
      <c r="R253" s="39"/>
    </row>
    <row r="254" spans="1:18" ht="14.25" x14ac:dyDescent="0.2">
      <c r="A254" s="306" t="s">
        <v>1914</v>
      </c>
      <c r="B254" s="232" t="s">
        <v>45</v>
      </c>
      <c r="C254" s="233">
        <v>88316</v>
      </c>
      <c r="D254" s="182" t="s">
        <v>856</v>
      </c>
      <c r="E254" s="233" t="s">
        <v>14</v>
      </c>
      <c r="F254" s="149">
        <v>8</v>
      </c>
      <c r="G254" s="149">
        <v>16.64</v>
      </c>
      <c r="H254" s="149">
        <f t="shared" si="52"/>
        <v>16.64</v>
      </c>
      <c r="I254" s="326">
        <f t="shared" si="54"/>
        <v>133.12</v>
      </c>
      <c r="J254" s="44"/>
      <c r="K254" s="44"/>
      <c r="L254" s="44"/>
      <c r="M254" s="44"/>
      <c r="N254" s="44"/>
      <c r="O254" s="44"/>
      <c r="P254" s="44"/>
      <c r="Q254" s="44"/>
    </row>
    <row r="255" spans="1:18" s="308" customFormat="1" ht="42.75" x14ac:dyDescent="0.2">
      <c r="A255" s="306" t="s">
        <v>1915</v>
      </c>
      <c r="B255" s="232" t="s">
        <v>45</v>
      </c>
      <c r="C255" s="232">
        <v>92408</v>
      </c>
      <c r="D255" s="151" t="s">
        <v>797</v>
      </c>
      <c r="E255" s="232" t="s">
        <v>15</v>
      </c>
      <c r="F255" s="149">
        <f>1.94*0.3*4+4.64*0.3*4</f>
        <v>7.895999999999999</v>
      </c>
      <c r="G255" s="149">
        <v>126.28</v>
      </c>
      <c r="H255" s="149">
        <f t="shared" si="52"/>
        <v>126.28</v>
      </c>
      <c r="I255" s="326">
        <f t="shared" si="54"/>
        <v>997.11</v>
      </c>
      <c r="J255" s="307"/>
      <c r="K255" s="307"/>
      <c r="L255" s="307"/>
      <c r="M255" s="307"/>
      <c r="N255" s="307"/>
      <c r="O255" s="307"/>
    </row>
    <row r="256" spans="1:18" s="308" customFormat="1" ht="42.75" x14ac:dyDescent="0.2">
      <c r="A256" s="306" t="s">
        <v>1916</v>
      </c>
      <c r="B256" s="232" t="s">
        <v>45</v>
      </c>
      <c r="C256" s="232">
        <v>92449</v>
      </c>
      <c r="D256" s="151" t="s">
        <v>1352</v>
      </c>
      <c r="E256" s="232" t="s">
        <v>15</v>
      </c>
      <c r="F256" s="149">
        <f>(1*0.3+1*0.4*2+0.3*0.4*2)*2</f>
        <v>2.68</v>
      </c>
      <c r="G256" s="149">
        <v>158.85</v>
      </c>
      <c r="H256" s="149">
        <f t="shared" si="52"/>
        <v>158.85</v>
      </c>
      <c r="I256" s="326">
        <f t="shared" si="54"/>
        <v>425.72</v>
      </c>
      <c r="J256" s="307"/>
      <c r="K256" s="307"/>
      <c r="L256" s="307"/>
      <c r="M256" s="307"/>
      <c r="N256" s="307"/>
      <c r="O256" s="307"/>
    </row>
    <row r="257" spans="1:63" s="308" customFormat="1" ht="28.5" x14ac:dyDescent="0.2">
      <c r="A257" s="306" t="s">
        <v>1917</v>
      </c>
      <c r="B257" s="232" t="s">
        <v>45</v>
      </c>
      <c r="C257" s="232">
        <v>95935</v>
      </c>
      <c r="D257" s="151" t="s">
        <v>1387</v>
      </c>
      <c r="E257" s="232" t="s">
        <v>15</v>
      </c>
      <c r="F257" s="149">
        <f>11.5*1+2.5*2+1*0.18*29</f>
        <v>21.72</v>
      </c>
      <c r="G257" s="149">
        <v>94.15</v>
      </c>
      <c r="H257" s="149">
        <f t="shared" si="52"/>
        <v>94.15</v>
      </c>
      <c r="I257" s="326">
        <f t="shared" si="54"/>
        <v>2044.94</v>
      </c>
      <c r="J257" s="339" t="s">
        <v>1360</v>
      </c>
      <c r="K257" s="340">
        <v>95935</v>
      </c>
      <c r="L257" s="307"/>
      <c r="M257" s="307"/>
      <c r="N257" s="307"/>
      <c r="O257" s="307"/>
    </row>
    <row r="258" spans="1:63" s="308" customFormat="1" ht="14.25" x14ac:dyDescent="0.2">
      <c r="A258" s="306" t="s">
        <v>1918</v>
      </c>
      <c r="B258" s="232" t="s">
        <v>45</v>
      </c>
      <c r="C258" s="232">
        <v>34456</v>
      </c>
      <c r="D258" s="151" t="s">
        <v>1358</v>
      </c>
      <c r="E258" s="232" t="s">
        <v>169</v>
      </c>
      <c r="F258" s="149">
        <v>31</v>
      </c>
      <c r="G258" s="149">
        <v>3.7</v>
      </c>
      <c r="H258" s="149">
        <f t="shared" si="52"/>
        <v>3.7</v>
      </c>
      <c r="I258" s="326">
        <f t="shared" si="54"/>
        <v>114.7</v>
      </c>
      <c r="J258" s="307"/>
      <c r="K258" s="307"/>
      <c r="L258" s="307"/>
      <c r="M258" s="307"/>
      <c r="N258" s="307"/>
      <c r="O258" s="307"/>
    </row>
    <row r="259" spans="1:63" s="308" customFormat="1" ht="14.25" x14ac:dyDescent="0.2">
      <c r="A259" s="306" t="s">
        <v>1919</v>
      </c>
      <c r="B259" s="232" t="s">
        <v>45</v>
      </c>
      <c r="C259" s="232">
        <v>34449</v>
      </c>
      <c r="D259" s="151" t="s">
        <v>871</v>
      </c>
      <c r="E259" s="232" t="s">
        <v>169</v>
      </c>
      <c r="F259" s="149">
        <v>48.2</v>
      </c>
      <c r="G259" s="149">
        <v>4.18</v>
      </c>
      <c r="H259" s="149">
        <f t="shared" si="52"/>
        <v>4.18</v>
      </c>
      <c r="I259" s="326">
        <f t="shared" si="54"/>
        <v>201.48</v>
      </c>
      <c r="J259" s="307"/>
      <c r="K259" s="307"/>
      <c r="L259" s="307"/>
      <c r="M259" s="307"/>
      <c r="N259" s="307"/>
      <c r="O259" s="307"/>
    </row>
    <row r="260" spans="1:63" s="308" customFormat="1" ht="14.25" x14ac:dyDescent="0.2">
      <c r="A260" s="306" t="s">
        <v>1920</v>
      </c>
      <c r="B260" s="232" t="s">
        <v>45</v>
      </c>
      <c r="C260" s="232">
        <v>33</v>
      </c>
      <c r="D260" s="151" t="s">
        <v>799</v>
      </c>
      <c r="E260" s="232" t="s">
        <v>169</v>
      </c>
      <c r="F260" s="149">
        <v>11.3</v>
      </c>
      <c r="G260" s="149">
        <v>4.1900000000000004</v>
      </c>
      <c r="H260" s="149">
        <f t="shared" si="52"/>
        <v>4.1900000000000004</v>
      </c>
      <c r="I260" s="326">
        <f t="shared" si="54"/>
        <v>47.35</v>
      </c>
      <c r="J260" s="307"/>
      <c r="K260" s="307"/>
      <c r="L260" s="307"/>
      <c r="M260" s="307"/>
      <c r="N260" s="307"/>
      <c r="O260" s="307"/>
    </row>
    <row r="261" spans="1:63" s="308" customFormat="1" ht="14.25" x14ac:dyDescent="0.2">
      <c r="A261" s="306" t="s">
        <v>1921</v>
      </c>
      <c r="B261" s="232" t="s">
        <v>45</v>
      </c>
      <c r="C261" s="232">
        <v>34439</v>
      </c>
      <c r="D261" s="151" t="s">
        <v>798</v>
      </c>
      <c r="E261" s="232" t="s">
        <v>169</v>
      </c>
      <c r="F261" s="149">
        <v>50.2</v>
      </c>
      <c r="G261" s="149">
        <v>4</v>
      </c>
      <c r="H261" s="149">
        <f t="shared" si="52"/>
        <v>4</v>
      </c>
      <c r="I261" s="326">
        <f t="shared" si="54"/>
        <v>200.8</v>
      </c>
      <c r="J261" s="307"/>
      <c r="K261" s="307"/>
      <c r="L261" s="307"/>
      <c r="M261" s="307"/>
      <c r="N261" s="307"/>
      <c r="O261" s="307"/>
    </row>
    <row r="262" spans="1:63" ht="28.5" x14ac:dyDescent="0.2">
      <c r="A262" s="306" t="s">
        <v>1922</v>
      </c>
      <c r="B262" s="232" t="s">
        <v>45</v>
      </c>
      <c r="C262" s="232">
        <v>94973</v>
      </c>
      <c r="D262" s="150" t="s">
        <v>734</v>
      </c>
      <c r="E262" s="232" t="s">
        <v>16</v>
      </c>
      <c r="F262" s="149">
        <f>2.5*1+1.94*0.3*0.3+4.64*0.3*0.3</f>
        <v>3.0922000000000001</v>
      </c>
      <c r="G262" s="149">
        <v>318.3</v>
      </c>
      <c r="H262" s="149">
        <f t="shared" si="52"/>
        <v>318.3</v>
      </c>
      <c r="I262" s="326">
        <f t="shared" si="54"/>
        <v>984.25</v>
      </c>
      <c r="J262" s="57"/>
      <c r="K262" s="57"/>
      <c r="L262" s="57"/>
      <c r="M262" s="57"/>
      <c r="N262" s="57"/>
      <c r="O262" s="57"/>
      <c r="P262" s="57"/>
      <c r="Q262" s="57"/>
    </row>
    <row r="263" spans="1:63" s="5" customFormat="1" ht="30" customHeight="1" x14ac:dyDescent="0.2">
      <c r="A263" s="306" t="s">
        <v>1923</v>
      </c>
      <c r="B263" s="277" t="s">
        <v>45</v>
      </c>
      <c r="C263" s="277">
        <v>92874</v>
      </c>
      <c r="D263" s="278" t="s">
        <v>800</v>
      </c>
      <c r="E263" s="277" t="s">
        <v>16</v>
      </c>
      <c r="F263" s="149">
        <f>F262</f>
        <v>3.0922000000000001</v>
      </c>
      <c r="G263" s="149">
        <v>27.56</v>
      </c>
      <c r="H263" s="149">
        <f t="shared" si="52"/>
        <v>27.56</v>
      </c>
      <c r="I263" s="326">
        <f t="shared" si="54"/>
        <v>85.22</v>
      </c>
      <c r="J263" s="147"/>
      <c r="K263" s="39"/>
      <c r="L263" s="144"/>
      <c r="M263" s="39"/>
      <c r="N263" s="39"/>
      <c r="O263" s="39"/>
      <c r="P263" s="39"/>
      <c r="Q263" s="40"/>
      <c r="R263" s="39"/>
      <c r="S263" s="40"/>
      <c r="T263" s="40"/>
      <c r="U263" s="40"/>
      <c r="V263" s="40"/>
      <c r="W263" s="40"/>
      <c r="X263" s="40"/>
      <c r="Y263" s="40"/>
      <c r="Z263" s="40"/>
      <c r="AA263" s="40"/>
      <c r="AB263" s="40"/>
      <c r="AC263" s="40"/>
      <c r="AD263" s="40"/>
      <c r="AE263" s="40"/>
      <c r="AF263" s="40"/>
      <c r="AG263" s="40"/>
      <c r="AH263" s="40"/>
      <c r="AI263" s="40"/>
      <c r="AJ263" s="40"/>
      <c r="AK263" s="40"/>
      <c r="AL263" s="40"/>
      <c r="AM263" s="40"/>
      <c r="AN263" s="40"/>
      <c r="AO263" s="40"/>
      <c r="AP263" s="40"/>
      <c r="AQ263" s="40"/>
      <c r="AR263" s="40"/>
      <c r="AS263" s="40"/>
      <c r="AT263" s="40"/>
      <c r="AU263" s="40"/>
      <c r="AV263" s="40"/>
      <c r="AW263" s="40"/>
      <c r="AX263" s="40"/>
      <c r="AY263" s="40"/>
      <c r="AZ263" s="40"/>
      <c r="BA263" s="40"/>
      <c r="BB263" s="40"/>
      <c r="BC263" s="40"/>
      <c r="BD263" s="40"/>
      <c r="BE263" s="40"/>
      <c r="BF263" s="40"/>
      <c r="BG263" s="40"/>
      <c r="BH263" s="40"/>
      <c r="BI263" s="40"/>
      <c r="BJ263" s="40"/>
      <c r="BK263" s="40"/>
    </row>
    <row r="264" spans="1:63" ht="28.5" x14ac:dyDescent="0.2">
      <c r="A264" s="306" t="s">
        <v>1924</v>
      </c>
      <c r="B264" s="232" t="s">
        <v>45</v>
      </c>
      <c r="C264" s="232">
        <v>83516</v>
      </c>
      <c r="D264" s="150" t="s">
        <v>1359</v>
      </c>
      <c r="E264" s="232" t="s">
        <v>16</v>
      </c>
      <c r="F264" s="149">
        <f>26.12*1</f>
        <v>26.12</v>
      </c>
      <c r="G264" s="149">
        <v>13.16</v>
      </c>
      <c r="H264" s="149">
        <f t="shared" si="52"/>
        <v>13.16</v>
      </c>
      <c r="I264" s="326">
        <f t="shared" si="54"/>
        <v>343.74</v>
      </c>
      <c r="J264" s="57"/>
      <c r="K264" s="57"/>
      <c r="L264" s="57"/>
      <c r="M264" s="57"/>
      <c r="N264" s="57"/>
      <c r="O264" s="57"/>
      <c r="P264" s="57"/>
      <c r="Q264" s="57"/>
    </row>
    <row r="265" spans="1:63" s="5" customFormat="1" ht="14.25" x14ac:dyDescent="0.2">
      <c r="A265" s="306" t="s">
        <v>1925</v>
      </c>
      <c r="B265" s="232" t="s">
        <v>45</v>
      </c>
      <c r="C265" s="232">
        <v>73631</v>
      </c>
      <c r="D265" s="150" t="s">
        <v>337</v>
      </c>
      <c r="E265" s="232" t="s">
        <v>15</v>
      </c>
      <c r="F265" s="149">
        <f>12*1.1</f>
        <v>13.200000000000001</v>
      </c>
      <c r="G265" s="149">
        <v>298.98</v>
      </c>
      <c r="H265" s="149">
        <f t="shared" si="52"/>
        <v>298.98</v>
      </c>
      <c r="I265" s="326">
        <f t="shared" si="54"/>
        <v>3946.54</v>
      </c>
      <c r="J265" s="338"/>
      <c r="K265" s="338"/>
      <c r="L265" s="338"/>
      <c r="M265" s="338"/>
      <c r="N265" s="338"/>
      <c r="O265" s="338"/>
      <c r="P265" s="338"/>
      <c r="Q265" s="338"/>
    </row>
    <row r="266" spans="1:63" ht="14.25" x14ac:dyDescent="0.2">
      <c r="A266" s="335"/>
      <c r="B266" s="232"/>
      <c r="C266" s="233"/>
      <c r="D266" s="182"/>
      <c r="E266" s="233"/>
      <c r="F266" s="159"/>
      <c r="G266" s="149"/>
      <c r="H266" s="149"/>
      <c r="I266" s="336"/>
      <c r="J266" s="44"/>
      <c r="K266" s="44"/>
      <c r="L266" s="44"/>
      <c r="M266" s="44"/>
      <c r="N266" s="44"/>
      <c r="O266" s="44"/>
      <c r="P266" s="44"/>
      <c r="Q266" s="44"/>
    </row>
    <row r="267" spans="1:63" s="5" customFormat="1" ht="45" x14ac:dyDescent="0.2">
      <c r="A267" s="333">
        <v>22</v>
      </c>
      <c r="B267" s="279" t="s">
        <v>335</v>
      </c>
      <c r="C267" s="290" t="s">
        <v>280</v>
      </c>
      <c r="D267" s="181" t="s">
        <v>1811</v>
      </c>
      <c r="E267" s="344" t="s">
        <v>18</v>
      </c>
      <c r="F267" s="193"/>
      <c r="G267" s="194"/>
      <c r="H267" s="194"/>
      <c r="I267" s="334">
        <f>SUM(I268:I273)</f>
        <v>14087.789999999999</v>
      </c>
      <c r="J267" s="4"/>
      <c r="K267" s="4"/>
      <c r="L267" s="4"/>
      <c r="M267" s="4"/>
      <c r="N267" s="4"/>
      <c r="O267" s="4"/>
      <c r="P267" s="4"/>
      <c r="Q267" s="4"/>
    </row>
    <row r="268" spans="1:63" s="40" customFormat="1" ht="57" x14ac:dyDescent="0.2">
      <c r="A268" s="306" t="s">
        <v>633</v>
      </c>
      <c r="B268" s="156" t="s">
        <v>45</v>
      </c>
      <c r="C268" s="232">
        <v>5824</v>
      </c>
      <c r="D268" s="150" t="s">
        <v>866</v>
      </c>
      <c r="E268" s="156" t="s">
        <v>867</v>
      </c>
      <c r="F268" s="149">
        <v>16</v>
      </c>
      <c r="G268" s="149">
        <v>106.76</v>
      </c>
      <c r="H268" s="149">
        <f t="shared" ref="H268:H273" si="55">G268</f>
        <v>106.76</v>
      </c>
      <c r="I268" s="326">
        <f t="shared" ref="I268:I273" si="56">ROUND(F268*H268,2)</f>
        <v>1708.16</v>
      </c>
      <c r="J268" s="275"/>
      <c r="K268" s="39"/>
      <c r="L268" s="143"/>
      <c r="M268" s="39"/>
      <c r="N268" s="39"/>
      <c r="O268" s="39"/>
      <c r="P268" s="39"/>
      <c r="R268" s="39"/>
    </row>
    <row r="269" spans="1:63" s="40" customFormat="1" ht="14.25" x14ac:dyDescent="0.2">
      <c r="A269" s="306" t="s">
        <v>634</v>
      </c>
      <c r="B269" s="156" t="s">
        <v>45</v>
      </c>
      <c r="C269" s="232">
        <v>88285</v>
      </c>
      <c r="D269" s="150" t="s">
        <v>873</v>
      </c>
      <c r="E269" s="156" t="s">
        <v>14</v>
      </c>
      <c r="F269" s="149">
        <f>F268</f>
        <v>16</v>
      </c>
      <c r="G269" s="149">
        <v>18.440000000000001</v>
      </c>
      <c r="H269" s="149">
        <f t="shared" si="55"/>
        <v>18.440000000000001</v>
      </c>
      <c r="I269" s="326">
        <f t="shared" si="56"/>
        <v>295.04000000000002</v>
      </c>
      <c r="J269" s="275"/>
      <c r="K269" s="39"/>
      <c r="L269" s="143"/>
      <c r="M269" s="39"/>
      <c r="N269" s="39"/>
      <c r="O269" s="39"/>
      <c r="P269" s="39"/>
      <c r="R269" s="39"/>
    </row>
    <row r="270" spans="1:63" s="40" customFormat="1" ht="31.5" customHeight="1" x14ac:dyDescent="0.2">
      <c r="A270" s="306" t="s">
        <v>635</v>
      </c>
      <c r="B270" s="156" t="s">
        <v>45</v>
      </c>
      <c r="C270" s="232">
        <v>89272</v>
      </c>
      <c r="D270" s="150" t="s">
        <v>872</v>
      </c>
      <c r="E270" s="156" t="s">
        <v>867</v>
      </c>
      <c r="F270" s="149">
        <v>16</v>
      </c>
      <c r="G270" s="149">
        <v>144.16999999999999</v>
      </c>
      <c r="H270" s="149">
        <f t="shared" si="55"/>
        <v>144.16999999999999</v>
      </c>
      <c r="I270" s="326">
        <f t="shared" si="56"/>
        <v>2306.7199999999998</v>
      </c>
      <c r="J270" s="275"/>
      <c r="K270" s="39"/>
      <c r="L270" s="143"/>
      <c r="M270" s="39"/>
      <c r="N270" s="39"/>
      <c r="O270" s="39"/>
      <c r="P270" s="39"/>
      <c r="R270" s="39"/>
    </row>
    <row r="271" spans="1:63" s="40" customFormat="1" ht="14.25" x14ac:dyDescent="0.2">
      <c r="A271" s="306" t="s">
        <v>636</v>
      </c>
      <c r="B271" s="156" t="s">
        <v>45</v>
      </c>
      <c r="C271" s="232">
        <v>88296</v>
      </c>
      <c r="D271" s="150" t="s">
        <v>874</v>
      </c>
      <c r="E271" s="156" t="s">
        <v>14</v>
      </c>
      <c r="F271" s="149">
        <f>F270</f>
        <v>16</v>
      </c>
      <c r="G271" s="149">
        <v>25.37</v>
      </c>
      <c r="H271" s="149">
        <f t="shared" si="55"/>
        <v>25.37</v>
      </c>
      <c r="I271" s="326">
        <f t="shared" si="56"/>
        <v>405.92</v>
      </c>
      <c r="J271" s="275"/>
      <c r="K271" s="39"/>
      <c r="L271" s="143"/>
      <c r="M271" s="39"/>
      <c r="N271" s="39"/>
      <c r="O271" s="39"/>
      <c r="P271" s="39"/>
      <c r="R271" s="39"/>
    </row>
    <row r="272" spans="1:63" s="40" customFormat="1" ht="57" x14ac:dyDescent="0.2">
      <c r="A272" s="306" t="s">
        <v>1671</v>
      </c>
      <c r="B272" s="156" t="s">
        <v>45</v>
      </c>
      <c r="C272" s="232">
        <v>89202</v>
      </c>
      <c r="D272" s="150" t="s">
        <v>1808</v>
      </c>
      <c r="E272" s="156" t="s">
        <v>17</v>
      </c>
      <c r="F272" s="149">
        <f>19*7.7</f>
        <v>146.30000000000001</v>
      </c>
      <c r="G272" s="149">
        <v>62.24</v>
      </c>
      <c r="H272" s="149">
        <f t="shared" si="55"/>
        <v>62.24</v>
      </c>
      <c r="I272" s="326">
        <f t="shared" si="56"/>
        <v>9105.7099999999991</v>
      </c>
      <c r="J272" s="275"/>
      <c r="K272" s="39"/>
      <c r="L272" s="143"/>
      <c r="M272" s="39"/>
      <c r="N272" s="39"/>
      <c r="O272" s="39"/>
      <c r="P272" s="39"/>
      <c r="R272" s="39"/>
    </row>
    <row r="273" spans="1:17" ht="14.25" x14ac:dyDescent="0.2">
      <c r="A273" s="306" t="s">
        <v>1672</v>
      </c>
      <c r="B273" s="156" t="s">
        <v>45</v>
      </c>
      <c r="C273" s="233">
        <v>88316</v>
      </c>
      <c r="D273" s="182" t="s">
        <v>856</v>
      </c>
      <c r="E273" s="233" t="s">
        <v>14</v>
      </c>
      <c r="F273" s="149">
        <v>16</v>
      </c>
      <c r="G273" s="149">
        <v>16.64</v>
      </c>
      <c r="H273" s="149">
        <f t="shared" si="55"/>
        <v>16.64</v>
      </c>
      <c r="I273" s="326">
        <f t="shared" si="56"/>
        <v>266.24</v>
      </c>
      <c r="J273" s="44"/>
      <c r="K273" s="44"/>
      <c r="L273" s="44"/>
      <c r="M273" s="44"/>
      <c r="N273" s="44"/>
      <c r="O273" s="44"/>
      <c r="P273" s="44"/>
      <c r="Q273" s="44"/>
    </row>
    <row r="274" spans="1:17" s="40" customFormat="1" ht="14.25" x14ac:dyDescent="0.2">
      <c r="A274" s="246"/>
      <c r="B274" s="232"/>
      <c r="C274" s="232"/>
      <c r="D274" s="151"/>
      <c r="E274" s="156"/>
      <c r="F274" s="197"/>
      <c r="G274" s="198"/>
      <c r="H274" s="149"/>
      <c r="I274" s="149"/>
    </row>
    <row r="275" spans="1:17" s="40" customFormat="1" ht="45" x14ac:dyDescent="0.2">
      <c r="A275" s="276">
        <v>23</v>
      </c>
      <c r="B275" s="279" t="s">
        <v>335</v>
      </c>
      <c r="C275" s="290" t="s">
        <v>281</v>
      </c>
      <c r="D275" s="181" t="s">
        <v>246</v>
      </c>
      <c r="E275" s="276"/>
      <c r="F275" s="193"/>
      <c r="G275" s="194"/>
      <c r="H275" s="194"/>
      <c r="I275" s="281">
        <f>SUM(I276:I281)</f>
        <v>239.78999999999996</v>
      </c>
    </row>
    <row r="276" spans="1:17" s="295" customFormat="1" ht="28.5" x14ac:dyDescent="0.2">
      <c r="A276" s="306" t="s">
        <v>433</v>
      </c>
      <c r="B276" s="232" t="s">
        <v>45</v>
      </c>
      <c r="C276" s="232">
        <v>12759</v>
      </c>
      <c r="D276" s="150" t="s">
        <v>1396</v>
      </c>
      <c r="E276" s="232" t="s">
        <v>15</v>
      </c>
      <c r="F276" s="342">
        <v>0.2</v>
      </c>
      <c r="G276" s="296">
        <v>624.36</v>
      </c>
      <c r="H276" s="296">
        <f t="shared" ref="H276:H281" si="57">G276</f>
        <v>624.36</v>
      </c>
      <c r="I276" s="343">
        <f>ROUND(F276*H276,2)</f>
        <v>124.87</v>
      </c>
      <c r="J276" s="105"/>
      <c r="K276" s="105"/>
      <c r="L276" s="105"/>
      <c r="M276" s="105"/>
      <c r="N276" s="105"/>
      <c r="O276" s="105"/>
      <c r="P276" s="105"/>
      <c r="Q276" s="105"/>
    </row>
    <row r="277" spans="1:17" s="295" customFormat="1" ht="14.25" x14ac:dyDescent="0.2">
      <c r="A277" s="306" t="s">
        <v>434</v>
      </c>
      <c r="B277" s="232" t="s">
        <v>45</v>
      </c>
      <c r="C277" s="232">
        <v>11976</v>
      </c>
      <c r="D277" s="150" t="s">
        <v>1398</v>
      </c>
      <c r="E277" s="232" t="s">
        <v>18</v>
      </c>
      <c r="F277" s="342">
        <v>3</v>
      </c>
      <c r="G277" s="296">
        <v>4.38</v>
      </c>
      <c r="H277" s="296">
        <f t="shared" si="57"/>
        <v>4.38</v>
      </c>
      <c r="I277" s="343">
        <f t="shared" ref="I277:I278" si="58">ROUND(F277*H277,2)</f>
        <v>13.14</v>
      </c>
      <c r="J277" s="105"/>
      <c r="K277" s="105"/>
      <c r="L277" s="105"/>
      <c r="M277" s="105"/>
      <c r="N277" s="105"/>
      <c r="O277" s="105"/>
      <c r="P277" s="105"/>
      <c r="Q277" s="105"/>
    </row>
    <row r="278" spans="1:17" s="295" customFormat="1" ht="14.25" x14ac:dyDescent="0.2">
      <c r="A278" s="306" t="s">
        <v>435</v>
      </c>
      <c r="B278" s="232" t="s">
        <v>45</v>
      </c>
      <c r="C278" s="232">
        <v>252</v>
      </c>
      <c r="D278" s="150" t="s">
        <v>801</v>
      </c>
      <c r="E278" s="232" t="s">
        <v>14</v>
      </c>
      <c r="F278" s="342">
        <v>2</v>
      </c>
      <c r="G278" s="250">
        <v>10.38</v>
      </c>
      <c r="H278" s="296">
        <f t="shared" si="57"/>
        <v>10.38</v>
      </c>
      <c r="I278" s="343">
        <f t="shared" si="58"/>
        <v>20.76</v>
      </c>
      <c r="J278" s="105"/>
      <c r="K278" s="105"/>
      <c r="L278" s="105"/>
      <c r="M278" s="105"/>
      <c r="N278" s="105"/>
      <c r="O278" s="105"/>
      <c r="P278" s="105"/>
      <c r="Q278" s="105"/>
    </row>
    <row r="279" spans="1:17" s="295" customFormat="1" ht="14.25" x14ac:dyDescent="0.2">
      <c r="A279" s="306" t="s">
        <v>436</v>
      </c>
      <c r="B279" s="232" t="s">
        <v>45</v>
      </c>
      <c r="C279" s="232">
        <v>6110</v>
      </c>
      <c r="D279" s="150" t="s">
        <v>245</v>
      </c>
      <c r="E279" s="232" t="s">
        <v>14</v>
      </c>
      <c r="F279" s="342">
        <v>2</v>
      </c>
      <c r="G279" s="250">
        <v>13.82</v>
      </c>
      <c r="H279" s="296">
        <f t="shared" si="57"/>
        <v>13.82</v>
      </c>
      <c r="I279" s="343">
        <f>ROUND(F279*H279,2)</f>
        <v>27.64</v>
      </c>
      <c r="J279" s="105"/>
      <c r="K279" s="105"/>
      <c r="L279" s="105"/>
      <c r="M279" s="105"/>
      <c r="N279" s="105"/>
      <c r="O279" s="105"/>
      <c r="P279" s="105"/>
      <c r="Q279" s="105"/>
    </row>
    <row r="280" spans="1:17" s="295" customFormat="1" ht="14.25" x14ac:dyDescent="0.2">
      <c r="A280" s="306" t="s">
        <v>1620</v>
      </c>
      <c r="B280" s="232" t="s">
        <v>45</v>
      </c>
      <c r="C280" s="232">
        <v>6111</v>
      </c>
      <c r="D280" s="150" t="s">
        <v>275</v>
      </c>
      <c r="E280" s="232" t="s">
        <v>14</v>
      </c>
      <c r="F280" s="342">
        <v>2</v>
      </c>
      <c r="G280" s="250">
        <v>12.02</v>
      </c>
      <c r="H280" s="296">
        <f t="shared" si="57"/>
        <v>12.02</v>
      </c>
      <c r="I280" s="343">
        <f>ROUND(F280*H280,2)</f>
        <v>24.04</v>
      </c>
      <c r="J280" s="105"/>
      <c r="K280" s="105"/>
      <c r="L280" s="105"/>
      <c r="M280" s="105"/>
      <c r="N280" s="105"/>
      <c r="O280" s="105"/>
      <c r="P280" s="105"/>
      <c r="Q280" s="105"/>
    </row>
    <row r="281" spans="1:17" s="295" customFormat="1" ht="14.25" x14ac:dyDescent="0.2">
      <c r="A281" s="306" t="s">
        <v>1621</v>
      </c>
      <c r="B281" s="232" t="s">
        <v>45</v>
      </c>
      <c r="C281" s="232">
        <v>4750</v>
      </c>
      <c r="D281" s="150" t="s">
        <v>274</v>
      </c>
      <c r="E281" s="232" t="s">
        <v>14</v>
      </c>
      <c r="F281" s="342">
        <v>2</v>
      </c>
      <c r="G281" s="250">
        <v>14.67</v>
      </c>
      <c r="H281" s="296">
        <f t="shared" si="57"/>
        <v>14.67</v>
      </c>
      <c r="I281" s="343">
        <f>ROUND(F281*H281,2)</f>
        <v>29.34</v>
      </c>
      <c r="J281" s="105"/>
      <c r="K281" s="105"/>
      <c r="L281" s="105"/>
      <c r="M281" s="105"/>
      <c r="N281" s="105"/>
      <c r="O281" s="105"/>
      <c r="P281" s="105"/>
      <c r="Q281" s="105"/>
    </row>
    <row r="282" spans="1:17" s="40" customFormat="1" ht="14.25" x14ac:dyDescent="0.2">
      <c r="A282" s="246"/>
      <c r="B282" s="156"/>
      <c r="C282" s="155"/>
      <c r="D282" s="151"/>
      <c r="E282" s="156"/>
      <c r="F282" s="197"/>
      <c r="G282" s="198"/>
      <c r="H282" s="197"/>
      <c r="I282" s="198"/>
    </row>
    <row r="283" spans="1:17" s="40" customFormat="1" ht="30" x14ac:dyDescent="0.2">
      <c r="A283" s="280">
        <v>24</v>
      </c>
      <c r="B283" s="279" t="s">
        <v>335</v>
      </c>
      <c r="C283" s="290" t="s">
        <v>282</v>
      </c>
      <c r="D283" s="181" t="s">
        <v>387</v>
      </c>
      <c r="E283" s="276" t="s">
        <v>18</v>
      </c>
      <c r="F283" s="193"/>
      <c r="G283" s="194"/>
      <c r="H283" s="194"/>
      <c r="I283" s="281">
        <f>SUM(I284:I294)</f>
        <v>31947.249919999998</v>
      </c>
    </row>
    <row r="284" spans="1:17" s="40" customFormat="1" ht="14.25" x14ac:dyDescent="0.2">
      <c r="A284" s="246" t="s">
        <v>437</v>
      </c>
      <c r="B284" s="156" t="s">
        <v>45</v>
      </c>
      <c r="C284" s="155">
        <v>7184</v>
      </c>
      <c r="D284" s="151" t="s">
        <v>1399</v>
      </c>
      <c r="E284" s="156" t="s">
        <v>15</v>
      </c>
      <c r="F284" s="197">
        <f>1.45*7.8*12*2</f>
        <v>271.43999999999994</v>
      </c>
      <c r="G284" s="198">
        <v>28</v>
      </c>
      <c r="H284" s="197">
        <f t="shared" ref="H284" si="59">G284</f>
        <v>28</v>
      </c>
      <c r="I284" s="198">
        <f t="shared" ref="I284" si="60">F284*H284</f>
        <v>7600.3199999999979</v>
      </c>
    </row>
    <row r="285" spans="1:17" s="40" customFormat="1" ht="14.25" x14ac:dyDescent="0.2">
      <c r="A285" s="246" t="s">
        <v>438</v>
      </c>
      <c r="B285" s="156" t="s">
        <v>45</v>
      </c>
      <c r="C285" s="155">
        <v>11976</v>
      </c>
      <c r="D285" s="151" t="s">
        <v>394</v>
      </c>
      <c r="E285" s="156" t="s">
        <v>18</v>
      </c>
      <c r="F285" s="197">
        <f>ROUNDDOWN(7.8/0.5*2*12*2,0)</f>
        <v>748</v>
      </c>
      <c r="G285" s="198">
        <v>4.38</v>
      </c>
      <c r="H285" s="197">
        <f t="shared" ref="H285:H294" si="61">G285</f>
        <v>4.38</v>
      </c>
      <c r="I285" s="198">
        <f t="shared" ref="I285:I294" si="62">F285*H285</f>
        <v>3276.24</v>
      </c>
    </row>
    <row r="286" spans="1:17" s="40" customFormat="1" ht="14.25" x14ac:dyDescent="0.2">
      <c r="A286" s="246" t="s">
        <v>637</v>
      </c>
      <c r="B286" s="156" t="s">
        <v>45</v>
      </c>
      <c r="C286" s="155">
        <v>11975</v>
      </c>
      <c r="D286" s="151" t="s">
        <v>395</v>
      </c>
      <c r="E286" s="156" t="s">
        <v>18</v>
      </c>
      <c r="F286" s="197">
        <f>6*16*8</f>
        <v>768</v>
      </c>
      <c r="G286" s="198">
        <v>13.03</v>
      </c>
      <c r="H286" s="197">
        <f t="shared" ref="H286" si="63">G286</f>
        <v>13.03</v>
      </c>
      <c r="I286" s="198">
        <f t="shared" ref="I286" si="64">F286*H286</f>
        <v>10007.039999999999</v>
      </c>
    </row>
    <row r="287" spans="1:17" s="40" customFormat="1" ht="14.25" x14ac:dyDescent="0.2">
      <c r="A287" s="246" t="s">
        <v>638</v>
      </c>
      <c r="B287" s="156" t="s">
        <v>45</v>
      </c>
      <c r="C287" s="155">
        <v>5104</v>
      </c>
      <c r="D287" s="151" t="s">
        <v>393</v>
      </c>
      <c r="E287" s="156" t="s">
        <v>169</v>
      </c>
      <c r="F287" s="197">
        <v>1</v>
      </c>
      <c r="G287" s="198">
        <v>38.299999999999997</v>
      </c>
      <c r="H287" s="197">
        <f t="shared" si="61"/>
        <v>38.299999999999997</v>
      </c>
      <c r="I287" s="198">
        <f t="shared" si="62"/>
        <v>38.299999999999997</v>
      </c>
    </row>
    <row r="288" spans="1:17" s="40" customFormat="1" ht="14.25" x14ac:dyDescent="0.2">
      <c r="A288" s="246" t="s">
        <v>1674</v>
      </c>
      <c r="B288" s="156" t="s">
        <v>45</v>
      </c>
      <c r="C288" s="155">
        <v>584</v>
      </c>
      <c r="D288" s="151" t="s">
        <v>390</v>
      </c>
      <c r="E288" s="156" t="s">
        <v>17</v>
      </c>
      <c r="F288" s="197">
        <f>7.8*12*2</f>
        <v>187.2</v>
      </c>
      <c r="G288" s="198">
        <v>20</v>
      </c>
      <c r="H288" s="197">
        <f t="shared" si="61"/>
        <v>20</v>
      </c>
      <c r="I288" s="198">
        <f t="shared" si="62"/>
        <v>3744</v>
      </c>
    </row>
    <row r="289" spans="1:9" s="40" customFormat="1" ht="14.25" x14ac:dyDescent="0.2">
      <c r="A289" s="246" t="s">
        <v>1675</v>
      </c>
      <c r="B289" s="156" t="s">
        <v>45</v>
      </c>
      <c r="C289" s="155">
        <v>11122</v>
      </c>
      <c r="D289" s="151" t="s">
        <v>391</v>
      </c>
      <c r="E289" s="156" t="s">
        <v>15</v>
      </c>
      <c r="F289" s="197">
        <f>7.8*0.27*12*2</f>
        <v>50.543999999999997</v>
      </c>
      <c r="G289" s="198">
        <v>14.43</v>
      </c>
      <c r="H289" s="197">
        <f t="shared" si="61"/>
        <v>14.43</v>
      </c>
      <c r="I289" s="198">
        <f t="shared" si="62"/>
        <v>729.34992</v>
      </c>
    </row>
    <row r="290" spans="1:9" s="40" customFormat="1" ht="14.25" x14ac:dyDescent="0.2">
      <c r="A290" s="246" t="s">
        <v>1676</v>
      </c>
      <c r="B290" s="156" t="s">
        <v>45</v>
      </c>
      <c r="C290" s="155">
        <v>6110</v>
      </c>
      <c r="D290" s="151" t="s">
        <v>245</v>
      </c>
      <c r="E290" s="156" t="s">
        <v>14</v>
      </c>
      <c r="F290" s="197">
        <v>100</v>
      </c>
      <c r="G290" s="196">
        <v>13.82</v>
      </c>
      <c r="H290" s="197">
        <f t="shared" si="61"/>
        <v>13.82</v>
      </c>
      <c r="I290" s="198">
        <f t="shared" si="62"/>
        <v>1382</v>
      </c>
    </row>
    <row r="291" spans="1:9" s="40" customFormat="1" ht="14.25" x14ac:dyDescent="0.2">
      <c r="A291" s="246" t="s">
        <v>1677</v>
      </c>
      <c r="B291" s="156" t="s">
        <v>45</v>
      </c>
      <c r="C291" s="155">
        <v>252</v>
      </c>
      <c r="D291" s="150" t="s">
        <v>801</v>
      </c>
      <c r="E291" s="156" t="s">
        <v>14</v>
      </c>
      <c r="F291" s="197">
        <f>F290</f>
        <v>100</v>
      </c>
      <c r="G291" s="250">
        <v>10.38</v>
      </c>
      <c r="H291" s="197">
        <f t="shared" si="61"/>
        <v>10.38</v>
      </c>
      <c r="I291" s="198">
        <f t="shared" si="62"/>
        <v>1038</v>
      </c>
    </row>
    <row r="292" spans="1:9" s="40" customFormat="1" ht="14.25" x14ac:dyDescent="0.2">
      <c r="A292" s="246" t="s">
        <v>1678</v>
      </c>
      <c r="B292" s="156" t="s">
        <v>45</v>
      </c>
      <c r="C292" s="155">
        <v>6111</v>
      </c>
      <c r="D292" s="151" t="s">
        <v>275</v>
      </c>
      <c r="E292" s="156" t="s">
        <v>14</v>
      </c>
      <c r="F292" s="197">
        <f>F290</f>
        <v>100</v>
      </c>
      <c r="G292" s="250">
        <v>12.02</v>
      </c>
      <c r="H292" s="197">
        <f t="shared" si="61"/>
        <v>12.02</v>
      </c>
      <c r="I292" s="198">
        <f t="shared" si="62"/>
        <v>1202</v>
      </c>
    </row>
    <row r="293" spans="1:9" s="40" customFormat="1" ht="14.25" x14ac:dyDescent="0.2">
      <c r="A293" s="246" t="s">
        <v>1679</v>
      </c>
      <c r="B293" s="156" t="s">
        <v>45</v>
      </c>
      <c r="C293" s="155">
        <v>4750</v>
      </c>
      <c r="D293" s="151" t="s">
        <v>274</v>
      </c>
      <c r="E293" s="156" t="s">
        <v>14</v>
      </c>
      <c r="F293" s="197">
        <f>F290</f>
        <v>100</v>
      </c>
      <c r="G293" s="250">
        <v>14.67</v>
      </c>
      <c r="H293" s="197">
        <f t="shared" si="61"/>
        <v>14.67</v>
      </c>
      <c r="I293" s="198">
        <f t="shared" si="62"/>
        <v>1467</v>
      </c>
    </row>
    <row r="294" spans="1:9" s="40" customFormat="1" ht="14.25" x14ac:dyDescent="0.2">
      <c r="A294" s="246" t="s">
        <v>1680</v>
      </c>
      <c r="B294" s="156" t="s">
        <v>45</v>
      </c>
      <c r="C294" s="155">
        <v>1213</v>
      </c>
      <c r="D294" s="151" t="s">
        <v>392</v>
      </c>
      <c r="E294" s="156" t="s">
        <v>14</v>
      </c>
      <c r="F294" s="197">
        <f>F290</f>
        <v>100</v>
      </c>
      <c r="G294" s="198">
        <v>14.63</v>
      </c>
      <c r="H294" s="197">
        <f t="shared" si="61"/>
        <v>14.63</v>
      </c>
      <c r="I294" s="198">
        <f t="shared" si="62"/>
        <v>1463</v>
      </c>
    </row>
    <row r="295" spans="1:9" s="40" customFormat="1" ht="14.25" x14ac:dyDescent="0.2">
      <c r="A295" s="246"/>
      <c r="B295" s="233"/>
      <c r="C295" s="233"/>
      <c r="D295" s="182"/>
      <c r="E295" s="233"/>
      <c r="F295" s="195"/>
      <c r="G295" s="195"/>
      <c r="H295" s="195"/>
      <c r="I295" s="196"/>
    </row>
    <row r="296" spans="1:9" s="40" customFormat="1" ht="45" x14ac:dyDescent="0.2">
      <c r="A296" s="280">
        <v>25</v>
      </c>
      <c r="B296" s="279" t="s">
        <v>335</v>
      </c>
      <c r="C296" s="290" t="s">
        <v>1626</v>
      </c>
      <c r="D296" s="181" t="s">
        <v>250</v>
      </c>
      <c r="E296" s="276"/>
      <c r="F296" s="193"/>
      <c r="G296" s="194"/>
      <c r="H296" s="194"/>
      <c r="I296" s="281">
        <f>SUM(I297:I300)</f>
        <v>286.47000000000003</v>
      </c>
    </row>
    <row r="297" spans="1:9" s="40" customFormat="1" ht="14.25" x14ac:dyDescent="0.2">
      <c r="A297" s="246" t="s">
        <v>1622</v>
      </c>
      <c r="B297" s="233" t="s">
        <v>45</v>
      </c>
      <c r="C297" s="232">
        <v>11125</v>
      </c>
      <c r="D297" s="150" t="s">
        <v>742</v>
      </c>
      <c r="E297" s="233" t="s">
        <v>169</v>
      </c>
      <c r="F297" s="195">
        <f>48*0.38*0.65</f>
        <v>11.856000000000002</v>
      </c>
      <c r="G297" s="196">
        <v>14.43</v>
      </c>
      <c r="H297" s="195">
        <f>G297</f>
        <v>14.43</v>
      </c>
      <c r="I297" s="196">
        <f>ROUND(F297*H297,2)</f>
        <v>171.08</v>
      </c>
    </row>
    <row r="298" spans="1:9" s="40" customFormat="1" ht="14.25" x14ac:dyDescent="0.2">
      <c r="A298" s="246" t="s">
        <v>1623</v>
      </c>
      <c r="B298" s="233" t="s">
        <v>45</v>
      </c>
      <c r="C298" s="232">
        <v>585</v>
      </c>
      <c r="D298" s="150" t="s">
        <v>251</v>
      </c>
      <c r="E298" s="233" t="s">
        <v>169</v>
      </c>
      <c r="F298" s="195">
        <v>1.54</v>
      </c>
      <c r="G298" s="196">
        <v>18.79</v>
      </c>
      <c r="H298" s="195">
        <f>G298</f>
        <v>18.79</v>
      </c>
      <c r="I298" s="196">
        <f>ROUND(F298*H298,2)</f>
        <v>28.94</v>
      </c>
    </row>
    <row r="299" spans="1:9" s="40" customFormat="1" ht="14.25" x14ac:dyDescent="0.2">
      <c r="A299" s="246" t="s">
        <v>1624</v>
      </c>
      <c r="B299" s="233" t="s">
        <v>45</v>
      </c>
      <c r="C299" s="232">
        <v>252</v>
      </c>
      <c r="D299" s="150" t="s">
        <v>801</v>
      </c>
      <c r="E299" s="233" t="s">
        <v>14</v>
      </c>
      <c r="F299" s="195">
        <v>5</v>
      </c>
      <c r="G299" s="196">
        <v>10.38</v>
      </c>
      <c r="H299" s="195">
        <f>G299</f>
        <v>10.38</v>
      </c>
      <c r="I299" s="196">
        <f>ROUND(F299*H299,2)</f>
        <v>51.9</v>
      </c>
    </row>
    <row r="300" spans="1:9" s="40" customFormat="1" ht="14.25" x14ac:dyDescent="0.2">
      <c r="A300" s="246" t="s">
        <v>1625</v>
      </c>
      <c r="B300" s="233" t="s">
        <v>45</v>
      </c>
      <c r="C300" s="232">
        <v>6110</v>
      </c>
      <c r="D300" s="150" t="s">
        <v>245</v>
      </c>
      <c r="E300" s="233" t="s">
        <v>14</v>
      </c>
      <c r="F300" s="195">
        <v>2.5</v>
      </c>
      <c r="G300" s="196">
        <v>13.82</v>
      </c>
      <c r="H300" s="195">
        <f>G300</f>
        <v>13.82</v>
      </c>
      <c r="I300" s="196">
        <f>ROUND(F300*H300,2)</f>
        <v>34.549999999999997</v>
      </c>
    </row>
    <row r="301" spans="1:9" s="40" customFormat="1" ht="14.25" x14ac:dyDescent="0.2">
      <c r="A301" s="246"/>
      <c r="B301" s="156"/>
      <c r="C301" s="155"/>
      <c r="D301" s="151"/>
      <c r="E301" s="156"/>
      <c r="F301" s="197"/>
      <c r="G301" s="198"/>
      <c r="H301" s="197"/>
      <c r="I301" s="198"/>
    </row>
    <row r="302" spans="1:9" s="40" customFormat="1" ht="45" x14ac:dyDescent="0.2">
      <c r="A302" s="280">
        <v>26</v>
      </c>
      <c r="B302" s="279" t="s">
        <v>335</v>
      </c>
      <c r="C302" s="290" t="s">
        <v>354</v>
      </c>
      <c r="D302" s="181" t="s">
        <v>255</v>
      </c>
      <c r="E302" s="276"/>
      <c r="F302" s="193"/>
      <c r="G302" s="194"/>
      <c r="H302" s="194"/>
      <c r="I302" s="281">
        <f>SUM(I303:I306)</f>
        <v>259.14</v>
      </c>
    </row>
    <row r="303" spans="1:9" s="40" customFormat="1" ht="14.25" x14ac:dyDescent="0.2">
      <c r="A303" s="246" t="s">
        <v>639</v>
      </c>
      <c r="B303" s="233" t="s">
        <v>45</v>
      </c>
      <c r="C303" s="233">
        <v>11125</v>
      </c>
      <c r="D303" s="150" t="s">
        <v>742</v>
      </c>
      <c r="E303" s="233" t="s">
        <v>169</v>
      </c>
      <c r="F303" s="196">
        <f>48*0.46*0.45</f>
        <v>9.9360000000000017</v>
      </c>
      <c r="G303" s="196">
        <v>14.43</v>
      </c>
      <c r="H303" s="195">
        <f>G303</f>
        <v>14.43</v>
      </c>
      <c r="I303" s="196">
        <f>ROUND(F303*H303,2)</f>
        <v>143.38</v>
      </c>
    </row>
    <row r="304" spans="1:9" s="40" customFormat="1" ht="14.25" x14ac:dyDescent="0.2">
      <c r="A304" s="246" t="s">
        <v>640</v>
      </c>
      <c r="B304" s="233" t="s">
        <v>45</v>
      </c>
      <c r="C304" s="233">
        <v>585</v>
      </c>
      <c r="D304" s="150" t="s">
        <v>251</v>
      </c>
      <c r="E304" s="233" t="s">
        <v>169</v>
      </c>
      <c r="F304" s="196">
        <v>1.56</v>
      </c>
      <c r="G304" s="196">
        <v>18.79</v>
      </c>
      <c r="H304" s="195">
        <f>G304</f>
        <v>18.79</v>
      </c>
      <c r="I304" s="196">
        <f>ROUND(F304*H304,2)</f>
        <v>29.31</v>
      </c>
    </row>
    <row r="305" spans="1:9" s="40" customFormat="1" ht="14.25" x14ac:dyDescent="0.2">
      <c r="A305" s="246" t="s">
        <v>641</v>
      </c>
      <c r="B305" s="233" t="s">
        <v>45</v>
      </c>
      <c r="C305" s="233">
        <v>252</v>
      </c>
      <c r="D305" s="150" t="s">
        <v>801</v>
      </c>
      <c r="E305" s="233" t="s">
        <v>14</v>
      </c>
      <c r="F305" s="196">
        <v>5</v>
      </c>
      <c r="G305" s="196">
        <v>10.38</v>
      </c>
      <c r="H305" s="195">
        <f>G305</f>
        <v>10.38</v>
      </c>
      <c r="I305" s="196">
        <f>ROUND(F305*H305,2)</f>
        <v>51.9</v>
      </c>
    </row>
    <row r="306" spans="1:9" s="40" customFormat="1" ht="14.25" x14ac:dyDescent="0.2">
      <c r="A306" s="246" t="s">
        <v>642</v>
      </c>
      <c r="B306" s="233" t="s">
        <v>45</v>
      </c>
      <c r="C306" s="233">
        <v>6110</v>
      </c>
      <c r="D306" s="150" t="s">
        <v>245</v>
      </c>
      <c r="E306" s="233" t="s">
        <v>14</v>
      </c>
      <c r="F306" s="196">
        <v>2.5</v>
      </c>
      <c r="G306" s="196">
        <v>13.82</v>
      </c>
      <c r="H306" s="195">
        <f>G306</f>
        <v>13.82</v>
      </c>
      <c r="I306" s="196">
        <f>ROUND(F306*H306,2)</f>
        <v>34.549999999999997</v>
      </c>
    </row>
    <row r="307" spans="1:9" s="40" customFormat="1" ht="14.25" x14ac:dyDescent="0.2">
      <c r="A307" s="246"/>
      <c r="B307" s="233"/>
      <c r="C307" s="233"/>
      <c r="D307" s="182"/>
      <c r="E307" s="233"/>
      <c r="F307" s="195"/>
      <c r="G307" s="195"/>
      <c r="H307" s="195"/>
      <c r="I307" s="196"/>
    </row>
    <row r="308" spans="1:9" s="40" customFormat="1" ht="30" x14ac:dyDescent="0.2">
      <c r="A308" s="280">
        <v>27</v>
      </c>
      <c r="B308" s="279" t="s">
        <v>335</v>
      </c>
      <c r="C308" s="290" t="s">
        <v>363</v>
      </c>
      <c r="D308" s="181" t="s">
        <v>188</v>
      </c>
      <c r="E308" s="276"/>
      <c r="F308" s="193"/>
      <c r="G308" s="194"/>
      <c r="H308" s="194"/>
      <c r="I308" s="281">
        <f>SUM(I309:I312)</f>
        <v>381.01000000000005</v>
      </c>
    </row>
    <row r="309" spans="1:9" s="40" customFormat="1" ht="14.25" x14ac:dyDescent="0.2">
      <c r="A309" s="246" t="s">
        <v>643</v>
      </c>
      <c r="B309" s="232" t="s">
        <v>45</v>
      </c>
      <c r="C309" s="232">
        <v>11125</v>
      </c>
      <c r="D309" s="150" t="s">
        <v>742</v>
      </c>
      <c r="E309" s="232" t="s">
        <v>169</v>
      </c>
      <c r="F309" s="196">
        <f>13.5*0.8*0.8</f>
        <v>8.64</v>
      </c>
      <c r="G309" s="196">
        <v>14.43</v>
      </c>
      <c r="H309" s="196">
        <f>G309</f>
        <v>14.43</v>
      </c>
      <c r="I309" s="196">
        <f>ROUND(F309*H309,2)</f>
        <v>124.68</v>
      </c>
    </row>
    <row r="310" spans="1:9" s="40" customFormat="1" ht="14.25" x14ac:dyDescent="0.2">
      <c r="A310" s="246" t="s">
        <v>644</v>
      </c>
      <c r="B310" s="232" t="s">
        <v>45</v>
      </c>
      <c r="C310" s="232">
        <v>585</v>
      </c>
      <c r="D310" s="150" t="s">
        <v>251</v>
      </c>
      <c r="E310" s="232" t="s">
        <v>169</v>
      </c>
      <c r="F310" s="196">
        <v>2.6</v>
      </c>
      <c r="G310" s="196">
        <v>18.79</v>
      </c>
      <c r="H310" s="196">
        <f>G310</f>
        <v>18.79</v>
      </c>
      <c r="I310" s="196">
        <f>ROUND(F310*H310,2)</f>
        <v>48.85</v>
      </c>
    </row>
    <row r="311" spans="1:9" s="40" customFormat="1" ht="14.25" x14ac:dyDescent="0.2">
      <c r="A311" s="246" t="s">
        <v>645</v>
      </c>
      <c r="B311" s="232" t="s">
        <v>45</v>
      </c>
      <c r="C311" s="232">
        <v>252</v>
      </c>
      <c r="D311" s="150" t="s">
        <v>801</v>
      </c>
      <c r="E311" s="232" t="s">
        <v>14</v>
      </c>
      <c r="F311" s="196">
        <v>12</v>
      </c>
      <c r="G311" s="196">
        <v>10.38</v>
      </c>
      <c r="H311" s="196">
        <f>G311</f>
        <v>10.38</v>
      </c>
      <c r="I311" s="196">
        <f>ROUND(F311*H311,2)</f>
        <v>124.56</v>
      </c>
    </row>
    <row r="312" spans="1:9" s="40" customFormat="1" ht="14.25" x14ac:dyDescent="0.2">
      <c r="A312" s="246" t="s">
        <v>646</v>
      </c>
      <c r="B312" s="232" t="s">
        <v>45</v>
      </c>
      <c r="C312" s="232">
        <v>6110</v>
      </c>
      <c r="D312" s="150" t="s">
        <v>245</v>
      </c>
      <c r="E312" s="232" t="s">
        <v>14</v>
      </c>
      <c r="F312" s="196">
        <v>6</v>
      </c>
      <c r="G312" s="196">
        <v>13.82</v>
      </c>
      <c r="H312" s="196">
        <f>G312</f>
        <v>13.82</v>
      </c>
      <c r="I312" s="196">
        <f>ROUND(F312*H312,2)</f>
        <v>82.92</v>
      </c>
    </row>
    <row r="313" spans="1:9" s="40" customFormat="1" ht="14.25" x14ac:dyDescent="0.2">
      <c r="A313" s="246"/>
      <c r="B313" s="233"/>
      <c r="C313" s="233"/>
      <c r="D313" s="182"/>
      <c r="E313" s="233"/>
      <c r="F313" s="195"/>
      <c r="G313" s="195"/>
      <c r="H313" s="195"/>
      <c r="I313" s="196"/>
    </row>
    <row r="314" spans="1:9" s="40" customFormat="1" ht="30" x14ac:dyDescent="0.2">
      <c r="A314" s="280">
        <v>28</v>
      </c>
      <c r="B314" s="279" t="s">
        <v>335</v>
      </c>
      <c r="C314" s="290" t="s">
        <v>356</v>
      </c>
      <c r="D314" s="181" t="s">
        <v>396</v>
      </c>
      <c r="E314" s="276"/>
      <c r="F314" s="193"/>
      <c r="G314" s="194"/>
      <c r="H314" s="194"/>
      <c r="I314" s="281">
        <f>SUM(I315:I319)</f>
        <v>214.47000000000003</v>
      </c>
    </row>
    <row r="315" spans="1:9" s="40" customFormat="1" ht="14.25" x14ac:dyDescent="0.2">
      <c r="A315" s="246" t="s">
        <v>647</v>
      </c>
      <c r="B315" s="233" t="s">
        <v>45</v>
      </c>
      <c r="C315" s="232">
        <v>11125</v>
      </c>
      <c r="D315" s="150" t="s">
        <v>742</v>
      </c>
      <c r="E315" s="232" t="s">
        <v>169</v>
      </c>
      <c r="F315" s="342">
        <f>1.2*0.3*13.5</f>
        <v>4.8599999999999994</v>
      </c>
      <c r="G315" s="196">
        <v>14.43</v>
      </c>
      <c r="H315" s="195">
        <f>G315</f>
        <v>14.43</v>
      </c>
      <c r="I315" s="196">
        <f>ROUND(F315*H315,2)</f>
        <v>70.13</v>
      </c>
    </row>
    <row r="316" spans="1:9" s="40" customFormat="1" ht="14.25" x14ac:dyDescent="0.2">
      <c r="A316" s="246" t="s">
        <v>648</v>
      </c>
      <c r="B316" s="233" t="s">
        <v>45</v>
      </c>
      <c r="C316" s="232">
        <v>589</v>
      </c>
      <c r="D316" s="150" t="s">
        <v>743</v>
      </c>
      <c r="E316" s="232" t="s">
        <v>17</v>
      </c>
      <c r="F316" s="342">
        <f>1.2*2+0.3*2</f>
        <v>3</v>
      </c>
      <c r="G316" s="196">
        <v>31.66</v>
      </c>
      <c r="H316" s="195">
        <f t="shared" ref="H316:H319" si="65">G316</f>
        <v>31.66</v>
      </c>
      <c r="I316" s="196">
        <f t="shared" ref="I316:I319" si="66">ROUND(F316*H316,2)</f>
        <v>94.98</v>
      </c>
    </row>
    <row r="317" spans="1:9" s="40" customFormat="1" ht="28.5" x14ac:dyDescent="0.2">
      <c r="A317" s="246" t="s">
        <v>649</v>
      </c>
      <c r="B317" s="233" t="s">
        <v>45</v>
      </c>
      <c r="C317" s="232">
        <v>11962</v>
      </c>
      <c r="D317" s="150" t="s">
        <v>1400</v>
      </c>
      <c r="E317" s="232" t="s">
        <v>18</v>
      </c>
      <c r="F317" s="342">
        <v>8</v>
      </c>
      <c r="G317" s="196">
        <v>0.12</v>
      </c>
      <c r="H317" s="195">
        <f t="shared" si="65"/>
        <v>0.12</v>
      </c>
      <c r="I317" s="196">
        <f t="shared" si="66"/>
        <v>0.96</v>
      </c>
    </row>
    <row r="318" spans="1:9" s="40" customFormat="1" ht="14.25" x14ac:dyDescent="0.2">
      <c r="A318" s="246" t="s">
        <v>650</v>
      </c>
      <c r="B318" s="233" t="s">
        <v>45</v>
      </c>
      <c r="C318" s="232">
        <v>252</v>
      </c>
      <c r="D318" s="150" t="s">
        <v>801</v>
      </c>
      <c r="E318" s="232" t="s">
        <v>14</v>
      </c>
      <c r="F318" s="342">
        <v>2</v>
      </c>
      <c r="G318" s="196">
        <v>10.38</v>
      </c>
      <c r="H318" s="195">
        <f t="shared" si="65"/>
        <v>10.38</v>
      </c>
      <c r="I318" s="196">
        <f t="shared" si="66"/>
        <v>20.76</v>
      </c>
    </row>
    <row r="319" spans="1:9" s="40" customFormat="1" ht="14.25" x14ac:dyDescent="0.2">
      <c r="A319" s="246" t="s">
        <v>1628</v>
      </c>
      <c r="B319" s="233" t="s">
        <v>45</v>
      </c>
      <c r="C319" s="232">
        <v>6110</v>
      </c>
      <c r="D319" s="150" t="s">
        <v>245</v>
      </c>
      <c r="E319" s="232" t="s">
        <v>14</v>
      </c>
      <c r="F319" s="342">
        <v>2</v>
      </c>
      <c r="G319" s="196">
        <v>13.82</v>
      </c>
      <c r="H319" s="195">
        <f t="shared" si="65"/>
        <v>13.82</v>
      </c>
      <c r="I319" s="196">
        <f t="shared" si="66"/>
        <v>27.64</v>
      </c>
    </row>
    <row r="320" spans="1:9" s="40" customFormat="1" ht="14.25" x14ac:dyDescent="0.2">
      <c r="A320" s="246"/>
      <c r="B320" s="58"/>
      <c r="C320" s="58"/>
      <c r="D320" s="58"/>
      <c r="E320" s="201"/>
      <c r="F320" s="202"/>
      <c r="G320" s="202"/>
      <c r="H320" s="202"/>
      <c r="I320" s="202"/>
    </row>
    <row r="321" spans="1:9" s="40" customFormat="1" ht="30" x14ac:dyDescent="0.2">
      <c r="A321" s="280">
        <v>29</v>
      </c>
      <c r="B321" s="279" t="s">
        <v>335</v>
      </c>
      <c r="C321" s="290" t="s">
        <v>357</v>
      </c>
      <c r="D321" s="181" t="str">
        <f>ORÇAMENTO!D1195</f>
        <v>FORNECIMENTO E APLICAÇÃO DO MATERIAL HIDRÁULICO DO REATOR UASB</v>
      </c>
      <c r="E321" s="276"/>
      <c r="F321" s="193"/>
      <c r="G321" s="194"/>
      <c r="H321" s="194"/>
      <c r="I321" s="281">
        <f>SUM(I322:I378)</f>
        <v>216408.74599999998</v>
      </c>
    </row>
    <row r="322" spans="1:9" s="40" customFormat="1" ht="14.25" x14ac:dyDescent="0.2">
      <c r="A322" s="246" t="s">
        <v>439</v>
      </c>
      <c r="B322" s="232" t="s">
        <v>65</v>
      </c>
      <c r="C322" s="232"/>
      <c r="D322" s="151" t="s">
        <v>1217</v>
      </c>
      <c r="E322" s="156" t="s">
        <v>18</v>
      </c>
      <c r="F322" s="197">
        <v>1</v>
      </c>
      <c r="G322" s="196">
        <v>2380</v>
      </c>
      <c r="H322" s="197">
        <f t="shared" ref="H322" si="67">G322</f>
        <v>2380</v>
      </c>
      <c r="I322" s="198">
        <f t="shared" ref="I322" si="68">F322*H322</f>
        <v>2380</v>
      </c>
    </row>
    <row r="323" spans="1:9" s="40" customFormat="1" ht="14.25" x14ac:dyDescent="0.2">
      <c r="A323" s="246" t="s">
        <v>440</v>
      </c>
      <c r="B323" s="232" t="s">
        <v>65</v>
      </c>
      <c r="C323" s="232"/>
      <c r="D323" s="151" t="s">
        <v>1218</v>
      </c>
      <c r="E323" s="156" t="s">
        <v>18</v>
      </c>
      <c r="F323" s="197">
        <v>2</v>
      </c>
      <c r="G323" s="196">
        <v>986</v>
      </c>
      <c r="H323" s="197">
        <f t="shared" ref="H323:H375" si="69">G323</f>
        <v>986</v>
      </c>
      <c r="I323" s="198">
        <f t="shared" ref="I323:I375" si="70">F323*H323</f>
        <v>1972</v>
      </c>
    </row>
    <row r="324" spans="1:9" s="40" customFormat="1" ht="14.25" x14ac:dyDescent="0.2">
      <c r="A324" s="246" t="s">
        <v>441</v>
      </c>
      <c r="B324" s="232" t="s">
        <v>65</v>
      </c>
      <c r="C324" s="232"/>
      <c r="D324" s="151" t="s">
        <v>1219</v>
      </c>
      <c r="E324" s="156" t="s">
        <v>18</v>
      </c>
      <c r="F324" s="197">
        <v>2</v>
      </c>
      <c r="G324" s="196">
        <v>1320</v>
      </c>
      <c r="H324" s="197">
        <f t="shared" si="69"/>
        <v>1320</v>
      </c>
      <c r="I324" s="198">
        <f t="shared" si="70"/>
        <v>2640</v>
      </c>
    </row>
    <row r="325" spans="1:9" s="40" customFormat="1" ht="14.25" x14ac:dyDescent="0.2">
      <c r="A325" s="246" t="s">
        <v>442</v>
      </c>
      <c r="B325" s="232" t="s">
        <v>65</v>
      </c>
      <c r="C325" s="232"/>
      <c r="D325" s="151" t="s">
        <v>1220</v>
      </c>
      <c r="E325" s="156" t="s">
        <v>18</v>
      </c>
      <c r="F325" s="197">
        <v>2</v>
      </c>
      <c r="G325" s="196">
        <v>343</v>
      </c>
      <c r="H325" s="197">
        <f t="shared" si="69"/>
        <v>343</v>
      </c>
      <c r="I325" s="198">
        <f t="shared" si="70"/>
        <v>686</v>
      </c>
    </row>
    <row r="326" spans="1:9" s="40" customFormat="1" ht="14.25" x14ac:dyDescent="0.2">
      <c r="A326" s="246" t="s">
        <v>651</v>
      </c>
      <c r="B326" s="232" t="s">
        <v>65</v>
      </c>
      <c r="C326" s="232"/>
      <c r="D326" s="151" t="s">
        <v>1221</v>
      </c>
      <c r="E326" s="156" t="s">
        <v>18</v>
      </c>
      <c r="F326" s="197">
        <v>4</v>
      </c>
      <c r="G326" s="196">
        <v>1940</v>
      </c>
      <c r="H326" s="197">
        <f t="shared" si="69"/>
        <v>1940</v>
      </c>
      <c r="I326" s="198">
        <f t="shared" si="70"/>
        <v>7760</v>
      </c>
    </row>
    <row r="327" spans="1:9" s="40" customFormat="1" ht="14.25" x14ac:dyDescent="0.2">
      <c r="A327" s="246" t="s">
        <v>652</v>
      </c>
      <c r="B327" s="232" t="s">
        <v>65</v>
      </c>
      <c r="C327" s="232"/>
      <c r="D327" s="151" t="s">
        <v>1222</v>
      </c>
      <c r="E327" s="156" t="s">
        <v>18</v>
      </c>
      <c r="F327" s="197">
        <v>4</v>
      </c>
      <c r="G327" s="196">
        <v>470</v>
      </c>
      <c r="H327" s="197">
        <f t="shared" si="69"/>
        <v>470</v>
      </c>
      <c r="I327" s="198">
        <f t="shared" si="70"/>
        <v>1880</v>
      </c>
    </row>
    <row r="328" spans="1:9" s="40" customFormat="1" ht="14.25" x14ac:dyDescent="0.2">
      <c r="A328" s="246" t="s">
        <v>653</v>
      </c>
      <c r="B328" s="232" t="s">
        <v>65</v>
      </c>
      <c r="C328" s="232"/>
      <c r="D328" s="151" t="s">
        <v>1223</v>
      </c>
      <c r="E328" s="156" t="s">
        <v>18</v>
      </c>
      <c r="F328" s="197">
        <v>24</v>
      </c>
      <c r="G328" s="196">
        <v>180</v>
      </c>
      <c r="H328" s="197">
        <f t="shared" si="69"/>
        <v>180</v>
      </c>
      <c r="I328" s="198">
        <f t="shared" si="70"/>
        <v>4320</v>
      </c>
    </row>
    <row r="329" spans="1:9" s="40" customFormat="1" ht="14.25" x14ac:dyDescent="0.2">
      <c r="A329" s="246" t="s">
        <v>654</v>
      </c>
      <c r="B329" s="232" t="s">
        <v>65</v>
      </c>
      <c r="C329" s="232"/>
      <c r="D329" s="151" t="s">
        <v>1224</v>
      </c>
      <c r="E329" s="156" t="s">
        <v>18</v>
      </c>
      <c r="F329" s="197">
        <v>4</v>
      </c>
      <c r="G329" s="196">
        <v>680</v>
      </c>
      <c r="H329" s="197">
        <f t="shared" si="69"/>
        <v>680</v>
      </c>
      <c r="I329" s="198">
        <f t="shared" si="70"/>
        <v>2720</v>
      </c>
    </row>
    <row r="330" spans="1:9" s="40" customFormat="1" ht="14.25" x14ac:dyDescent="0.2">
      <c r="A330" s="246" t="s">
        <v>655</v>
      </c>
      <c r="B330" s="232" t="s">
        <v>65</v>
      </c>
      <c r="C330" s="232"/>
      <c r="D330" s="151" t="s">
        <v>1225</v>
      </c>
      <c r="E330" s="156" t="s">
        <v>18</v>
      </c>
      <c r="F330" s="197">
        <v>12</v>
      </c>
      <c r="G330" s="196">
        <v>77</v>
      </c>
      <c r="H330" s="197">
        <f t="shared" si="69"/>
        <v>77</v>
      </c>
      <c r="I330" s="198">
        <f t="shared" si="70"/>
        <v>924</v>
      </c>
    </row>
    <row r="331" spans="1:9" s="40" customFormat="1" ht="14.25" x14ac:dyDescent="0.2">
      <c r="A331" s="246" t="s">
        <v>656</v>
      </c>
      <c r="B331" s="232" t="s">
        <v>65</v>
      </c>
      <c r="C331" s="232"/>
      <c r="D331" s="151" t="s">
        <v>1226</v>
      </c>
      <c r="E331" s="156" t="s">
        <v>18</v>
      </c>
      <c r="F331" s="197">
        <v>4</v>
      </c>
      <c r="G331" s="196">
        <v>1410</v>
      </c>
      <c r="H331" s="197">
        <f t="shared" si="69"/>
        <v>1410</v>
      </c>
      <c r="I331" s="198">
        <f t="shared" si="70"/>
        <v>5640</v>
      </c>
    </row>
    <row r="332" spans="1:9" s="40" customFormat="1" ht="14.25" x14ac:dyDescent="0.2">
      <c r="A332" s="246" t="s">
        <v>657</v>
      </c>
      <c r="B332" s="232" t="s">
        <v>65</v>
      </c>
      <c r="C332" s="232"/>
      <c r="D332" s="151" t="s">
        <v>1227</v>
      </c>
      <c r="E332" s="156" t="s">
        <v>18</v>
      </c>
      <c r="F332" s="197">
        <v>4</v>
      </c>
      <c r="G332" s="196">
        <v>490</v>
      </c>
      <c r="H332" s="197">
        <f t="shared" si="69"/>
        <v>490</v>
      </c>
      <c r="I332" s="198">
        <f t="shared" si="70"/>
        <v>1960</v>
      </c>
    </row>
    <row r="333" spans="1:9" s="40" customFormat="1" ht="14.25" x14ac:dyDescent="0.2">
      <c r="A333" s="246" t="s">
        <v>658</v>
      </c>
      <c r="B333" s="232" t="s">
        <v>65</v>
      </c>
      <c r="C333" s="232"/>
      <c r="D333" s="151" t="s">
        <v>1228</v>
      </c>
      <c r="E333" s="156" t="s">
        <v>18</v>
      </c>
      <c r="F333" s="197">
        <v>4</v>
      </c>
      <c r="G333" s="196">
        <v>660</v>
      </c>
      <c r="H333" s="197">
        <f t="shared" si="69"/>
        <v>660</v>
      </c>
      <c r="I333" s="198">
        <f t="shared" si="70"/>
        <v>2640</v>
      </c>
    </row>
    <row r="334" spans="1:9" s="40" customFormat="1" ht="14.25" x14ac:dyDescent="0.2">
      <c r="A334" s="246" t="s">
        <v>659</v>
      </c>
      <c r="B334" s="232" t="s">
        <v>65</v>
      </c>
      <c r="C334" s="232"/>
      <c r="D334" s="151" t="s">
        <v>1229</v>
      </c>
      <c r="E334" s="156" t="s">
        <v>18</v>
      </c>
      <c r="F334" s="197">
        <v>4</v>
      </c>
      <c r="G334" s="196">
        <v>421</v>
      </c>
      <c r="H334" s="197">
        <f t="shared" si="69"/>
        <v>421</v>
      </c>
      <c r="I334" s="198">
        <f t="shared" si="70"/>
        <v>1684</v>
      </c>
    </row>
    <row r="335" spans="1:9" s="40" customFormat="1" ht="14.25" x14ac:dyDescent="0.2">
      <c r="A335" s="246" t="s">
        <v>660</v>
      </c>
      <c r="B335" s="232" t="s">
        <v>65</v>
      </c>
      <c r="C335" s="232"/>
      <c r="D335" s="151" t="s">
        <v>1230</v>
      </c>
      <c r="E335" s="156" t="s">
        <v>18</v>
      </c>
      <c r="F335" s="197">
        <v>2</v>
      </c>
      <c r="G335" s="196">
        <v>1700</v>
      </c>
      <c r="H335" s="197">
        <f t="shared" si="69"/>
        <v>1700</v>
      </c>
      <c r="I335" s="198">
        <f t="shared" si="70"/>
        <v>3400</v>
      </c>
    </row>
    <row r="336" spans="1:9" s="40" customFormat="1" ht="14.25" x14ac:dyDescent="0.2">
      <c r="A336" s="246" t="s">
        <v>1309</v>
      </c>
      <c r="B336" s="232" t="s">
        <v>65</v>
      </c>
      <c r="C336" s="232"/>
      <c r="D336" s="151" t="s">
        <v>1231</v>
      </c>
      <c r="E336" s="156" t="s">
        <v>18</v>
      </c>
      <c r="F336" s="197">
        <v>6</v>
      </c>
      <c r="G336" s="196">
        <v>66</v>
      </c>
      <c r="H336" s="197">
        <f t="shared" si="69"/>
        <v>66</v>
      </c>
      <c r="I336" s="198">
        <f t="shared" si="70"/>
        <v>396</v>
      </c>
    </row>
    <row r="337" spans="1:9" s="274" customFormat="1" ht="28.5" x14ac:dyDescent="0.2">
      <c r="A337" s="246" t="s">
        <v>1310</v>
      </c>
      <c r="B337" s="232" t="s">
        <v>45</v>
      </c>
      <c r="C337" s="232">
        <v>21010</v>
      </c>
      <c r="D337" s="151" t="s">
        <v>2163</v>
      </c>
      <c r="E337" s="156" t="s">
        <v>17</v>
      </c>
      <c r="F337" s="197">
        <v>43</v>
      </c>
      <c r="G337" s="196">
        <v>15.97</v>
      </c>
      <c r="H337" s="197">
        <f t="shared" si="69"/>
        <v>15.97</v>
      </c>
      <c r="I337" s="198">
        <f t="shared" si="70"/>
        <v>686.71</v>
      </c>
    </row>
    <row r="338" spans="1:9" s="40" customFormat="1" ht="14.25" x14ac:dyDescent="0.2">
      <c r="A338" s="246" t="s">
        <v>1588</v>
      </c>
      <c r="B338" s="232" t="s">
        <v>65</v>
      </c>
      <c r="C338" s="232"/>
      <c r="D338" s="151" t="s">
        <v>1232</v>
      </c>
      <c r="E338" s="156" t="s">
        <v>18</v>
      </c>
      <c r="F338" s="197">
        <v>10</v>
      </c>
      <c r="G338" s="196">
        <v>199</v>
      </c>
      <c r="H338" s="197">
        <f t="shared" si="69"/>
        <v>199</v>
      </c>
      <c r="I338" s="198">
        <f t="shared" si="70"/>
        <v>1990</v>
      </c>
    </row>
    <row r="339" spans="1:9" s="274" customFormat="1" ht="28.5" x14ac:dyDescent="0.2">
      <c r="A339" s="246" t="s">
        <v>1589</v>
      </c>
      <c r="B339" s="232" t="s">
        <v>45</v>
      </c>
      <c r="C339" s="232">
        <v>25886</v>
      </c>
      <c r="D339" s="151" t="s">
        <v>2164</v>
      </c>
      <c r="E339" s="156" t="s">
        <v>17</v>
      </c>
      <c r="F339" s="197">
        <v>420</v>
      </c>
      <c r="G339" s="196">
        <v>32.93</v>
      </c>
      <c r="H339" s="197">
        <f t="shared" si="69"/>
        <v>32.93</v>
      </c>
      <c r="I339" s="198">
        <f t="shared" si="70"/>
        <v>13830.6</v>
      </c>
    </row>
    <row r="340" spans="1:9" s="274" customFormat="1" ht="14.25" x14ac:dyDescent="0.2">
      <c r="A340" s="246" t="s">
        <v>1590</v>
      </c>
      <c r="B340" s="232" t="s">
        <v>45</v>
      </c>
      <c r="C340" s="232">
        <v>41936</v>
      </c>
      <c r="D340" s="151" t="s">
        <v>2165</v>
      </c>
      <c r="E340" s="156" t="s">
        <v>17</v>
      </c>
      <c r="F340" s="197">
        <v>156</v>
      </c>
      <c r="G340" s="196">
        <v>32.57</v>
      </c>
      <c r="H340" s="197">
        <f t="shared" si="69"/>
        <v>32.57</v>
      </c>
      <c r="I340" s="198">
        <f t="shared" si="70"/>
        <v>5080.92</v>
      </c>
    </row>
    <row r="341" spans="1:9" s="40" customFormat="1" ht="14.25" x14ac:dyDescent="0.2">
      <c r="A341" s="246" t="s">
        <v>1591</v>
      </c>
      <c r="B341" s="232" t="s">
        <v>65</v>
      </c>
      <c r="C341" s="232"/>
      <c r="D341" s="151" t="s">
        <v>1233</v>
      </c>
      <c r="E341" s="156" t="s">
        <v>17</v>
      </c>
      <c r="F341" s="197">
        <v>7.2</v>
      </c>
      <c r="G341" s="196">
        <v>560</v>
      </c>
      <c r="H341" s="197">
        <f t="shared" si="69"/>
        <v>560</v>
      </c>
      <c r="I341" s="198">
        <f t="shared" si="70"/>
        <v>4032</v>
      </c>
    </row>
    <row r="342" spans="1:9" s="40" customFormat="1" ht="14.25" x14ac:dyDescent="0.2">
      <c r="A342" s="246" t="s">
        <v>1592</v>
      </c>
      <c r="B342" s="232" t="s">
        <v>65</v>
      </c>
      <c r="C342" s="232"/>
      <c r="D342" s="151" t="s">
        <v>1234</v>
      </c>
      <c r="E342" s="156" t="s">
        <v>18</v>
      </c>
      <c r="F342" s="197">
        <v>2</v>
      </c>
      <c r="G342" s="196">
        <v>1360</v>
      </c>
      <c r="H342" s="197">
        <f t="shared" si="69"/>
        <v>1360</v>
      </c>
      <c r="I342" s="198">
        <f t="shared" si="70"/>
        <v>2720</v>
      </c>
    </row>
    <row r="343" spans="1:9" s="40" customFormat="1" ht="14.25" x14ac:dyDescent="0.2">
      <c r="A343" s="246" t="s">
        <v>1681</v>
      </c>
      <c r="B343" s="232" t="s">
        <v>65</v>
      </c>
      <c r="C343" s="232"/>
      <c r="D343" s="151" t="s">
        <v>1235</v>
      </c>
      <c r="E343" s="156" t="s">
        <v>18</v>
      </c>
      <c r="F343" s="197">
        <v>12</v>
      </c>
      <c r="G343" s="196">
        <v>200</v>
      </c>
      <c r="H343" s="197">
        <f t="shared" si="69"/>
        <v>200</v>
      </c>
      <c r="I343" s="198">
        <f t="shared" si="70"/>
        <v>2400</v>
      </c>
    </row>
    <row r="344" spans="1:9" s="40" customFormat="1" ht="14.25" x14ac:dyDescent="0.2">
      <c r="A344" s="246" t="s">
        <v>1682</v>
      </c>
      <c r="B344" s="232" t="s">
        <v>65</v>
      </c>
      <c r="C344" s="232"/>
      <c r="D344" s="151" t="s">
        <v>1236</v>
      </c>
      <c r="E344" s="156" t="s">
        <v>18</v>
      </c>
      <c r="F344" s="197">
        <v>24</v>
      </c>
      <c r="G344" s="196">
        <v>510</v>
      </c>
      <c r="H344" s="197">
        <f t="shared" si="69"/>
        <v>510</v>
      </c>
      <c r="I344" s="198">
        <f t="shared" si="70"/>
        <v>12240</v>
      </c>
    </row>
    <row r="345" spans="1:9" s="40" customFormat="1" ht="14.25" x14ac:dyDescent="0.2">
      <c r="A345" s="246" t="s">
        <v>1683</v>
      </c>
      <c r="B345" s="232" t="s">
        <v>65</v>
      </c>
      <c r="C345" s="232"/>
      <c r="D345" s="151" t="s">
        <v>1237</v>
      </c>
      <c r="E345" s="156" t="s">
        <v>18</v>
      </c>
      <c r="F345" s="197">
        <v>24</v>
      </c>
      <c r="G345" s="196">
        <v>350</v>
      </c>
      <c r="H345" s="197">
        <f t="shared" si="69"/>
        <v>350</v>
      </c>
      <c r="I345" s="198">
        <f t="shared" si="70"/>
        <v>8400</v>
      </c>
    </row>
    <row r="346" spans="1:9" s="40" customFormat="1" ht="14.25" x14ac:dyDescent="0.2">
      <c r="A346" s="246" t="s">
        <v>1684</v>
      </c>
      <c r="B346" s="232" t="s">
        <v>65</v>
      </c>
      <c r="C346" s="232"/>
      <c r="D346" s="151" t="s">
        <v>1238</v>
      </c>
      <c r="E346" s="156" t="s">
        <v>18</v>
      </c>
      <c r="F346" s="197">
        <v>12</v>
      </c>
      <c r="G346" s="196">
        <v>1021</v>
      </c>
      <c r="H346" s="197">
        <f t="shared" si="69"/>
        <v>1021</v>
      </c>
      <c r="I346" s="198">
        <f t="shared" si="70"/>
        <v>12252</v>
      </c>
    </row>
    <row r="347" spans="1:9" s="40" customFormat="1" ht="14.25" x14ac:dyDescent="0.2">
      <c r="A347" s="246" t="s">
        <v>1685</v>
      </c>
      <c r="B347" s="232" t="s">
        <v>65</v>
      </c>
      <c r="C347" s="232"/>
      <c r="D347" s="151" t="s">
        <v>1239</v>
      </c>
      <c r="E347" s="156" t="s">
        <v>18</v>
      </c>
      <c r="F347" s="197">
        <v>12</v>
      </c>
      <c r="G347" s="196">
        <v>390</v>
      </c>
      <c r="H347" s="197">
        <f t="shared" si="69"/>
        <v>390</v>
      </c>
      <c r="I347" s="198">
        <f t="shared" si="70"/>
        <v>4680</v>
      </c>
    </row>
    <row r="348" spans="1:9" s="40" customFormat="1" ht="14.25" x14ac:dyDescent="0.2">
      <c r="A348" s="246" t="s">
        <v>1686</v>
      </c>
      <c r="B348" s="232" t="s">
        <v>65</v>
      </c>
      <c r="C348" s="232"/>
      <c r="D348" s="151" t="s">
        <v>1240</v>
      </c>
      <c r="E348" s="156" t="s">
        <v>18</v>
      </c>
      <c r="F348" s="197">
        <v>12</v>
      </c>
      <c r="G348" s="196">
        <v>248</v>
      </c>
      <c r="H348" s="197">
        <f t="shared" si="69"/>
        <v>248</v>
      </c>
      <c r="I348" s="198">
        <f t="shared" si="70"/>
        <v>2976</v>
      </c>
    </row>
    <row r="349" spans="1:9" s="40" customFormat="1" ht="14.25" x14ac:dyDescent="0.2">
      <c r="A349" s="246" t="s">
        <v>1687</v>
      </c>
      <c r="B349" s="232" t="s">
        <v>65</v>
      </c>
      <c r="C349" s="232"/>
      <c r="D349" s="151" t="s">
        <v>1241</v>
      </c>
      <c r="E349" s="156" t="s">
        <v>18</v>
      </c>
      <c r="F349" s="197">
        <v>12</v>
      </c>
      <c r="G349" s="196">
        <v>1100</v>
      </c>
      <c r="H349" s="197">
        <f t="shared" si="69"/>
        <v>1100</v>
      </c>
      <c r="I349" s="198">
        <f t="shared" si="70"/>
        <v>13200</v>
      </c>
    </row>
    <row r="350" spans="1:9" s="40" customFormat="1" ht="14.25" x14ac:dyDescent="0.2">
      <c r="A350" s="246" t="s">
        <v>1688</v>
      </c>
      <c r="B350" s="232" t="s">
        <v>65</v>
      </c>
      <c r="C350" s="232"/>
      <c r="D350" s="151" t="s">
        <v>1242</v>
      </c>
      <c r="E350" s="156" t="s">
        <v>18</v>
      </c>
      <c r="F350" s="197">
        <v>2</v>
      </c>
      <c r="G350" s="196">
        <v>110</v>
      </c>
      <c r="H350" s="197">
        <f t="shared" si="69"/>
        <v>110</v>
      </c>
      <c r="I350" s="198">
        <f t="shared" si="70"/>
        <v>220</v>
      </c>
    </row>
    <row r="351" spans="1:9" s="40" customFormat="1" ht="14.25" x14ac:dyDescent="0.2">
      <c r="A351" s="246" t="s">
        <v>1689</v>
      </c>
      <c r="B351" s="232" t="s">
        <v>65</v>
      </c>
      <c r="C351" s="232"/>
      <c r="D351" s="151" t="s">
        <v>1243</v>
      </c>
      <c r="E351" s="156" t="s">
        <v>18</v>
      </c>
      <c r="F351" s="197">
        <v>12</v>
      </c>
      <c r="G351" s="196">
        <v>590</v>
      </c>
      <c r="H351" s="197">
        <f t="shared" si="69"/>
        <v>590</v>
      </c>
      <c r="I351" s="198">
        <f t="shared" si="70"/>
        <v>7080</v>
      </c>
    </row>
    <row r="352" spans="1:9" s="40" customFormat="1" ht="14.25" x14ac:dyDescent="0.2">
      <c r="A352" s="246" t="s">
        <v>1690</v>
      </c>
      <c r="B352" s="232" t="s">
        <v>65</v>
      </c>
      <c r="C352" s="232"/>
      <c r="D352" s="151" t="s">
        <v>1244</v>
      </c>
      <c r="E352" s="156" t="s">
        <v>18</v>
      </c>
      <c r="F352" s="197">
        <v>10</v>
      </c>
      <c r="G352" s="196">
        <v>1820</v>
      </c>
      <c r="H352" s="197">
        <f t="shared" si="69"/>
        <v>1820</v>
      </c>
      <c r="I352" s="198">
        <f t="shared" si="70"/>
        <v>18200</v>
      </c>
    </row>
    <row r="353" spans="1:9" s="40" customFormat="1" ht="14.25" x14ac:dyDescent="0.2">
      <c r="A353" s="246" t="s">
        <v>1691</v>
      </c>
      <c r="B353" s="232" t="s">
        <v>65</v>
      </c>
      <c r="C353" s="232"/>
      <c r="D353" s="151" t="s">
        <v>1245</v>
      </c>
      <c r="E353" s="156" t="s">
        <v>18</v>
      </c>
      <c r="F353" s="197">
        <v>2</v>
      </c>
      <c r="G353" s="196">
        <v>345</v>
      </c>
      <c r="H353" s="197">
        <f t="shared" si="69"/>
        <v>345</v>
      </c>
      <c r="I353" s="198">
        <f t="shared" si="70"/>
        <v>690</v>
      </c>
    </row>
    <row r="354" spans="1:9" s="40" customFormat="1" ht="14.25" x14ac:dyDescent="0.2">
      <c r="A354" s="246" t="s">
        <v>1692</v>
      </c>
      <c r="B354" s="232" t="s">
        <v>65</v>
      </c>
      <c r="C354" s="232"/>
      <c r="D354" s="151" t="s">
        <v>1246</v>
      </c>
      <c r="E354" s="156" t="s">
        <v>18</v>
      </c>
      <c r="F354" s="197">
        <v>4</v>
      </c>
      <c r="G354" s="196">
        <v>520</v>
      </c>
      <c r="H354" s="197">
        <f t="shared" si="69"/>
        <v>520</v>
      </c>
      <c r="I354" s="198">
        <f t="shared" si="70"/>
        <v>2080</v>
      </c>
    </row>
    <row r="355" spans="1:9" s="40" customFormat="1" ht="14.25" x14ac:dyDescent="0.2">
      <c r="A355" s="246" t="s">
        <v>1693</v>
      </c>
      <c r="B355" s="232" t="s">
        <v>65</v>
      </c>
      <c r="C355" s="232"/>
      <c r="D355" s="151" t="s">
        <v>1247</v>
      </c>
      <c r="E355" s="156" t="s">
        <v>18</v>
      </c>
      <c r="F355" s="197">
        <v>12</v>
      </c>
      <c r="G355" s="196">
        <v>1786</v>
      </c>
      <c r="H355" s="197">
        <f t="shared" si="69"/>
        <v>1786</v>
      </c>
      <c r="I355" s="198">
        <f t="shared" si="70"/>
        <v>21432</v>
      </c>
    </row>
    <row r="356" spans="1:9" s="40" customFormat="1" ht="14.25" x14ac:dyDescent="0.2">
      <c r="A356" s="246" t="s">
        <v>1694</v>
      </c>
      <c r="B356" s="232" t="s">
        <v>65</v>
      </c>
      <c r="C356" s="232"/>
      <c r="D356" s="151" t="s">
        <v>1248</v>
      </c>
      <c r="E356" s="156" t="s">
        <v>18</v>
      </c>
      <c r="F356" s="197">
        <v>12</v>
      </c>
      <c r="G356" s="196">
        <v>86</v>
      </c>
      <c r="H356" s="197">
        <f t="shared" si="69"/>
        <v>86</v>
      </c>
      <c r="I356" s="198">
        <f t="shared" si="70"/>
        <v>1032</v>
      </c>
    </row>
    <row r="357" spans="1:9" s="40" customFormat="1" ht="14.25" x14ac:dyDescent="0.2">
      <c r="A357" s="246" t="s">
        <v>1695</v>
      </c>
      <c r="B357" s="232" t="s">
        <v>65</v>
      </c>
      <c r="C357" s="232"/>
      <c r="D357" s="151" t="s">
        <v>1249</v>
      </c>
      <c r="E357" s="156" t="s">
        <v>18</v>
      </c>
      <c r="F357" s="197">
        <v>2</v>
      </c>
      <c r="G357" s="196">
        <v>90</v>
      </c>
      <c r="H357" s="197">
        <f t="shared" si="69"/>
        <v>90</v>
      </c>
      <c r="I357" s="198">
        <f t="shared" si="70"/>
        <v>180</v>
      </c>
    </row>
    <row r="358" spans="1:9" s="40" customFormat="1" ht="14.25" x14ac:dyDescent="0.2">
      <c r="A358" s="246" t="s">
        <v>1696</v>
      </c>
      <c r="B358" s="232" t="s">
        <v>65</v>
      </c>
      <c r="C358" s="232"/>
      <c r="D358" s="151" t="s">
        <v>1250</v>
      </c>
      <c r="E358" s="156" t="s">
        <v>18</v>
      </c>
      <c r="F358" s="197">
        <v>24</v>
      </c>
      <c r="G358" s="196">
        <v>39</v>
      </c>
      <c r="H358" s="197">
        <f t="shared" si="69"/>
        <v>39</v>
      </c>
      <c r="I358" s="198">
        <f t="shared" si="70"/>
        <v>936</v>
      </c>
    </row>
    <row r="359" spans="1:9" s="274" customFormat="1" ht="14.25" x14ac:dyDescent="0.2">
      <c r="A359" s="246" t="s">
        <v>1697</v>
      </c>
      <c r="B359" s="232" t="s">
        <v>45</v>
      </c>
      <c r="C359" s="232">
        <v>9860</v>
      </c>
      <c r="D359" s="151" t="s">
        <v>2166</v>
      </c>
      <c r="E359" s="156" t="s">
        <v>17</v>
      </c>
      <c r="F359" s="197">
        <v>8.8000000000000007</v>
      </c>
      <c r="G359" s="196">
        <v>30.12</v>
      </c>
      <c r="H359" s="197">
        <f t="shared" si="69"/>
        <v>30.12</v>
      </c>
      <c r="I359" s="198">
        <f t="shared" si="70"/>
        <v>265.05600000000004</v>
      </c>
    </row>
    <row r="360" spans="1:9" s="274" customFormat="1" ht="14.25" customHeight="1" x14ac:dyDescent="0.2">
      <c r="A360" s="246" t="s">
        <v>1698</v>
      </c>
      <c r="B360" s="232" t="s">
        <v>45</v>
      </c>
      <c r="C360" s="232">
        <v>11671</v>
      </c>
      <c r="D360" s="151" t="s">
        <v>2167</v>
      </c>
      <c r="E360" s="156" t="s">
        <v>18</v>
      </c>
      <c r="F360" s="197">
        <v>12</v>
      </c>
      <c r="G360" s="196">
        <v>64.14</v>
      </c>
      <c r="H360" s="197">
        <f t="shared" si="69"/>
        <v>64.14</v>
      </c>
      <c r="I360" s="198">
        <f t="shared" si="70"/>
        <v>769.68000000000006</v>
      </c>
    </row>
    <row r="361" spans="1:9" s="40" customFormat="1" ht="14.25" x14ac:dyDescent="0.2">
      <c r="A361" s="246" t="s">
        <v>1699</v>
      </c>
      <c r="B361" s="232" t="s">
        <v>65</v>
      </c>
      <c r="C361" s="232"/>
      <c r="D361" s="151" t="s">
        <v>1251</v>
      </c>
      <c r="E361" s="156" t="s">
        <v>18</v>
      </c>
      <c r="F361" s="197">
        <v>2</v>
      </c>
      <c r="G361" s="196">
        <v>4925</v>
      </c>
      <c r="H361" s="197">
        <f t="shared" si="69"/>
        <v>4925</v>
      </c>
      <c r="I361" s="198">
        <f t="shared" si="70"/>
        <v>9850</v>
      </c>
    </row>
    <row r="362" spans="1:9" s="274" customFormat="1" ht="14.25" x14ac:dyDescent="0.2">
      <c r="A362" s="246" t="s">
        <v>1700</v>
      </c>
      <c r="B362" s="232" t="s">
        <v>45</v>
      </c>
      <c r="C362" s="232">
        <v>11746</v>
      </c>
      <c r="D362" s="151" t="s">
        <v>2168</v>
      </c>
      <c r="E362" s="156" t="s">
        <v>18</v>
      </c>
      <c r="F362" s="197">
        <v>2</v>
      </c>
      <c r="G362" s="196">
        <v>42.04</v>
      </c>
      <c r="H362" s="197">
        <f t="shared" si="69"/>
        <v>42.04</v>
      </c>
      <c r="I362" s="198">
        <f t="shared" si="70"/>
        <v>84.08</v>
      </c>
    </row>
    <row r="363" spans="1:9" s="40" customFormat="1" ht="28.5" x14ac:dyDescent="0.2">
      <c r="A363" s="246" t="s">
        <v>1701</v>
      </c>
      <c r="B363" s="232" t="s">
        <v>65</v>
      </c>
      <c r="C363" s="232"/>
      <c r="D363" s="151" t="s">
        <v>1252</v>
      </c>
      <c r="E363" s="156" t="s">
        <v>18</v>
      </c>
      <c r="F363" s="197">
        <v>2</v>
      </c>
      <c r="G363" s="196">
        <v>210</v>
      </c>
      <c r="H363" s="197">
        <f t="shared" si="69"/>
        <v>210</v>
      </c>
      <c r="I363" s="198">
        <f t="shared" si="70"/>
        <v>420</v>
      </c>
    </row>
    <row r="364" spans="1:9" s="142" customFormat="1" ht="14.25" x14ac:dyDescent="0.2">
      <c r="A364" s="359" t="s">
        <v>1702</v>
      </c>
      <c r="B364" s="285"/>
      <c r="C364" s="285"/>
      <c r="D364" s="311" t="s">
        <v>1253</v>
      </c>
      <c r="E364" s="310" t="s">
        <v>18</v>
      </c>
      <c r="F364" s="331">
        <v>2</v>
      </c>
      <c r="G364" s="289"/>
      <c r="H364" s="331">
        <f t="shared" si="69"/>
        <v>0</v>
      </c>
      <c r="I364" s="347">
        <f t="shared" si="70"/>
        <v>0</v>
      </c>
    </row>
    <row r="365" spans="1:9" s="40" customFormat="1" ht="28.5" x14ac:dyDescent="0.2">
      <c r="A365" s="246" t="s">
        <v>1703</v>
      </c>
      <c r="B365" s="232" t="s">
        <v>65</v>
      </c>
      <c r="C365" s="246"/>
      <c r="D365" s="151" t="s">
        <v>1254</v>
      </c>
      <c r="E365" s="156" t="s">
        <v>18</v>
      </c>
      <c r="F365" s="197">
        <v>2</v>
      </c>
      <c r="G365" s="196">
        <v>270</v>
      </c>
      <c r="H365" s="197">
        <f t="shared" si="69"/>
        <v>270</v>
      </c>
      <c r="I365" s="198">
        <f t="shared" si="70"/>
        <v>540</v>
      </c>
    </row>
    <row r="366" spans="1:9" s="40" customFormat="1" ht="14.25" x14ac:dyDescent="0.2">
      <c r="A366" s="246" t="s">
        <v>1704</v>
      </c>
      <c r="B366" s="232" t="s">
        <v>65</v>
      </c>
      <c r="C366" s="232"/>
      <c r="D366" s="151" t="s">
        <v>1255</v>
      </c>
      <c r="E366" s="156" t="s">
        <v>18</v>
      </c>
      <c r="F366" s="197">
        <v>2</v>
      </c>
      <c r="G366" s="196">
        <v>190</v>
      </c>
      <c r="H366" s="197">
        <f t="shared" si="69"/>
        <v>190</v>
      </c>
      <c r="I366" s="198">
        <f t="shared" si="70"/>
        <v>380</v>
      </c>
    </row>
    <row r="367" spans="1:9" s="274" customFormat="1" ht="28.5" x14ac:dyDescent="0.2">
      <c r="A367" s="246" t="s">
        <v>1705</v>
      </c>
      <c r="B367" s="232" t="s">
        <v>45</v>
      </c>
      <c r="C367" s="232">
        <v>10405</v>
      </c>
      <c r="D367" s="151" t="s">
        <v>2169</v>
      </c>
      <c r="E367" s="156" t="s">
        <v>18</v>
      </c>
      <c r="F367" s="197">
        <v>2</v>
      </c>
      <c r="G367" s="196">
        <v>225</v>
      </c>
      <c r="H367" s="197">
        <f t="shared" si="69"/>
        <v>225</v>
      </c>
      <c r="I367" s="198">
        <f t="shared" si="70"/>
        <v>450</v>
      </c>
    </row>
    <row r="368" spans="1:9" s="40" customFormat="1" ht="14.25" x14ac:dyDescent="0.2">
      <c r="A368" s="246" t="s">
        <v>1706</v>
      </c>
      <c r="B368" s="232" t="s">
        <v>65</v>
      </c>
      <c r="C368" s="155"/>
      <c r="D368" s="151" t="s">
        <v>1256</v>
      </c>
      <c r="E368" s="156" t="s">
        <v>18</v>
      </c>
      <c r="F368" s="197">
        <v>2</v>
      </c>
      <c r="G368" s="196">
        <v>1900</v>
      </c>
      <c r="H368" s="197">
        <f t="shared" si="69"/>
        <v>1900</v>
      </c>
      <c r="I368" s="198">
        <f t="shared" si="70"/>
        <v>3800</v>
      </c>
    </row>
    <row r="369" spans="1:18" s="40" customFormat="1" ht="14.25" x14ac:dyDescent="0.2">
      <c r="A369" s="246" t="s">
        <v>1707</v>
      </c>
      <c r="B369" s="232" t="s">
        <v>65</v>
      </c>
      <c r="C369" s="232"/>
      <c r="D369" s="151" t="s">
        <v>1257</v>
      </c>
      <c r="E369" s="156" t="s">
        <v>18</v>
      </c>
      <c r="F369" s="197">
        <v>2</v>
      </c>
      <c r="G369" s="196">
        <v>192</v>
      </c>
      <c r="H369" s="197">
        <f t="shared" si="69"/>
        <v>192</v>
      </c>
      <c r="I369" s="198">
        <f t="shared" si="70"/>
        <v>384</v>
      </c>
    </row>
    <row r="370" spans="1:18" s="40" customFormat="1" ht="14.25" x14ac:dyDescent="0.2">
      <c r="A370" s="246" t="s">
        <v>1708</v>
      </c>
      <c r="B370" s="232" t="s">
        <v>65</v>
      </c>
      <c r="C370" s="232"/>
      <c r="D370" s="151" t="s">
        <v>1258</v>
      </c>
      <c r="E370" s="156" t="s">
        <v>18</v>
      </c>
      <c r="F370" s="197">
        <v>7</v>
      </c>
      <c r="G370" s="196">
        <v>17.5</v>
      </c>
      <c r="H370" s="197">
        <f t="shared" si="69"/>
        <v>17.5</v>
      </c>
      <c r="I370" s="198">
        <f t="shared" si="70"/>
        <v>122.5</v>
      </c>
    </row>
    <row r="371" spans="1:18" s="40" customFormat="1" ht="14.25" x14ac:dyDescent="0.2">
      <c r="A371" s="246" t="s">
        <v>1709</v>
      </c>
      <c r="B371" s="232" t="s">
        <v>65</v>
      </c>
      <c r="C371" s="155"/>
      <c r="D371" s="151" t="s">
        <v>1259</v>
      </c>
      <c r="E371" s="156" t="s">
        <v>18</v>
      </c>
      <c r="F371" s="197">
        <v>26</v>
      </c>
      <c r="G371" s="196">
        <v>4.2</v>
      </c>
      <c r="H371" s="197">
        <f t="shared" si="69"/>
        <v>4.2</v>
      </c>
      <c r="I371" s="198">
        <f t="shared" si="70"/>
        <v>109.2</v>
      </c>
    </row>
    <row r="372" spans="1:18" s="40" customFormat="1" ht="14.25" x14ac:dyDescent="0.2">
      <c r="A372" s="246" t="s">
        <v>1710</v>
      </c>
      <c r="B372" s="232" t="s">
        <v>65</v>
      </c>
      <c r="C372" s="155"/>
      <c r="D372" s="151" t="s">
        <v>1260</v>
      </c>
      <c r="E372" s="156" t="s">
        <v>18</v>
      </c>
      <c r="F372" s="197">
        <v>60</v>
      </c>
      <c r="G372" s="196">
        <v>2.9</v>
      </c>
      <c r="H372" s="197">
        <f t="shared" si="69"/>
        <v>2.9</v>
      </c>
      <c r="I372" s="198">
        <f t="shared" si="70"/>
        <v>174</v>
      </c>
    </row>
    <row r="373" spans="1:18" s="40" customFormat="1" ht="14.25" x14ac:dyDescent="0.2">
      <c r="A373" s="246" t="s">
        <v>1711</v>
      </c>
      <c r="B373" s="232" t="s">
        <v>65</v>
      </c>
      <c r="C373" s="247"/>
      <c r="D373" s="151" t="s">
        <v>1261</v>
      </c>
      <c r="E373" s="156" t="s">
        <v>18</v>
      </c>
      <c r="F373" s="197">
        <v>480</v>
      </c>
      <c r="G373" s="196">
        <v>5.4</v>
      </c>
      <c r="H373" s="197">
        <f t="shared" si="69"/>
        <v>5.4</v>
      </c>
      <c r="I373" s="198">
        <f t="shared" si="70"/>
        <v>2592</v>
      </c>
    </row>
    <row r="374" spans="1:18" s="40" customFormat="1" ht="14.25" x14ac:dyDescent="0.2">
      <c r="A374" s="246" t="s">
        <v>1712</v>
      </c>
      <c r="B374" s="232" t="s">
        <v>65</v>
      </c>
      <c r="C374" s="232"/>
      <c r="D374" s="151" t="s">
        <v>1264</v>
      </c>
      <c r="E374" s="156" t="s">
        <v>18</v>
      </c>
      <c r="F374" s="197">
        <v>280</v>
      </c>
      <c r="G374" s="196">
        <v>7.6</v>
      </c>
      <c r="H374" s="197">
        <f t="shared" si="69"/>
        <v>7.6</v>
      </c>
      <c r="I374" s="198">
        <f t="shared" si="70"/>
        <v>2128</v>
      </c>
    </row>
    <row r="375" spans="1:18" s="40" customFormat="1" ht="14.25" x14ac:dyDescent="0.2">
      <c r="A375" s="246" t="s">
        <v>1713</v>
      </c>
      <c r="B375" s="232" t="s">
        <v>65</v>
      </c>
      <c r="C375" s="232"/>
      <c r="D375" s="362" t="s">
        <v>1262</v>
      </c>
      <c r="E375" s="156" t="s">
        <v>18</v>
      </c>
      <c r="F375" s="197">
        <v>40</v>
      </c>
      <c r="G375" s="196">
        <v>16.100000000000001</v>
      </c>
      <c r="H375" s="197">
        <f t="shared" si="69"/>
        <v>16.100000000000001</v>
      </c>
      <c r="I375" s="198">
        <f t="shared" si="70"/>
        <v>644</v>
      </c>
    </row>
    <row r="376" spans="1:18" s="40" customFormat="1" ht="14.25" x14ac:dyDescent="0.2">
      <c r="A376" s="246" t="s">
        <v>1714</v>
      </c>
      <c r="B376" s="232" t="s">
        <v>45</v>
      </c>
      <c r="C376" s="232">
        <v>88267</v>
      </c>
      <c r="D376" s="151" t="s">
        <v>822</v>
      </c>
      <c r="E376" s="232" t="s">
        <v>14</v>
      </c>
      <c r="F376" s="149">
        <v>300</v>
      </c>
      <c r="G376" s="250">
        <v>21.01</v>
      </c>
      <c r="H376" s="149">
        <f>ROUND((1+K$3)*G376,2)</f>
        <v>21.01</v>
      </c>
      <c r="I376" s="249">
        <f>ROUND(F376*H376,2)</f>
        <v>6303</v>
      </c>
      <c r="J376" s="41"/>
      <c r="K376" s="41"/>
      <c r="L376" s="41"/>
      <c r="M376" s="41"/>
      <c r="N376" s="41"/>
      <c r="O376" s="41"/>
      <c r="P376" s="41"/>
      <c r="Q376" s="41"/>
    </row>
    <row r="377" spans="1:18" s="40" customFormat="1" ht="14.25" customHeight="1" x14ac:dyDescent="0.2">
      <c r="A377" s="246" t="s">
        <v>1715</v>
      </c>
      <c r="B377" s="232" t="s">
        <v>45</v>
      </c>
      <c r="C377" s="232">
        <v>88248</v>
      </c>
      <c r="D377" s="151" t="s">
        <v>823</v>
      </c>
      <c r="E377" s="232" t="s">
        <v>14</v>
      </c>
      <c r="F377" s="149">
        <v>300</v>
      </c>
      <c r="G377" s="250">
        <v>16.87</v>
      </c>
      <c r="H377" s="149">
        <f>ROUND((1+K$3)*G377,2)</f>
        <v>16.87</v>
      </c>
      <c r="I377" s="249">
        <f>ROUND(F377*H377,2)</f>
        <v>5061</v>
      </c>
      <c r="J377" s="41"/>
      <c r="K377" s="41"/>
      <c r="L377" s="41"/>
      <c r="M377" s="41"/>
      <c r="N377" s="41"/>
      <c r="O377" s="41"/>
      <c r="P377" s="41"/>
      <c r="Q377" s="41"/>
    </row>
    <row r="378" spans="1:18" s="40" customFormat="1" ht="14.25" x14ac:dyDescent="0.2">
      <c r="A378" s="246" t="s">
        <v>1716</v>
      </c>
      <c r="B378" s="232" t="s">
        <v>45</v>
      </c>
      <c r="C378" s="232">
        <v>88316</v>
      </c>
      <c r="D378" s="151" t="s">
        <v>824</v>
      </c>
      <c r="E378" s="232" t="s">
        <v>14</v>
      </c>
      <c r="F378" s="149">
        <v>300</v>
      </c>
      <c r="G378" s="250">
        <v>16.64</v>
      </c>
      <c r="H378" s="149">
        <f>ROUND((1+K$3)*G378,2)</f>
        <v>16.64</v>
      </c>
      <c r="I378" s="249">
        <f>ROUND(F378*H378,2)</f>
        <v>4992</v>
      </c>
      <c r="J378" s="41"/>
      <c r="K378" s="41"/>
      <c r="L378" s="41"/>
      <c r="M378" s="41"/>
      <c r="N378" s="41"/>
      <c r="O378" s="41"/>
      <c r="P378" s="41"/>
      <c r="Q378" s="41"/>
    </row>
    <row r="379" spans="1:18" ht="14.25" x14ac:dyDescent="0.2">
      <c r="A379" s="335"/>
      <c r="B379" s="232"/>
      <c r="C379" s="233"/>
      <c r="D379" s="182"/>
      <c r="E379" s="233"/>
      <c r="F379" s="159"/>
      <c r="G379" s="149"/>
      <c r="H379" s="149"/>
      <c r="I379" s="336"/>
      <c r="J379" s="44"/>
      <c r="K379" s="44"/>
      <c r="L379" s="44"/>
      <c r="M379" s="44"/>
      <c r="N379" s="44"/>
      <c r="O379" s="44"/>
      <c r="P379" s="44"/>
      <c r="Q379" s="44"/>
    </row>
    <row r="380" spans="1:18" s="5" customFormat="1" ht="45" x14ac:dyDescent="0.2">
      <c r="A380" s="333">
        <v>30</v>
      </c>
      <c r="B380" s="279" t="s">
        <v>335</v>
      </c>
      <c r="C380" s="290" t="s">
        <v>1633</v>
      </c>
      <c r="D380" s="181" t="s">
        <v>1812</v>
      </c>
      <c r="E380" s="344" t="s">
        <v>18</v>
      </c>
      <c r="F380" s="193"/>
      <c r="G380" s="194"/>
      <c r="H380" s="194"/>
      <c r="I380" s="334">
        <f>SUM(I381:I386)</f>
        <v>11952.960000000001</v>
      </c>
      <c r="J380" s="4"/>
      <c r="K380" s="4"/>
      <c r="L380" s="4"/>
      <c r="M380" s="4"/>
      <c r="N380" s="4"/>
      <c r="O380" s="4"/>
      <c r="P380" s="4"/>
      <c r="Q380" s="4"/>
    </row>
    <row r="381" spans="1:18" s="40" customFormat="1" ht="57" x14ac:dyDescent="0.2">
      <c r="A381" s="306" t="s">
        <v>1629</v>
      </c>
      <c r="B381" s="156" t="s">
        <v>45</v>
      </c>
      <c r="C381" s="232">
        <v>5824</v>
      </c>
      <c r="D381" s="150" t="s">
        <v>866</v>
      </c>
      <c r="E381" s="156" t="s">
        <v>867</v>
      </c>
      <c r="F381" s="149">
        <v>16</v>
      </c>
      <c r="G381" s="149">
        <v>106.76</v>
      </c>
      <c r="H381" s="149">
        <f t="shared" ref="H381:H386" si="71">G381</f>
        <v>106.76</v>
      </c>
      <c r="I381" s="326">
        <f t="shared" ref="I381:I386" si="72">ROUND(F381*H381,2)</f>
        <v>1708.16</v>
      </c>
      <c r="J381" s="275"/>
      <c r="K381" s="39"/>
      <c r="L381" s="143"/>
      <c r="M381" s="39"/>
      <c r="N381" s="39"/>
      <c r="O381" s="39"/>
      <c r="P381" s="39"/>
      <c r="R381" s="39"/>
    </row>
    <row r="382" spans="1:18" s="40" customFormat="1" ht="14.25" x14ac:dyDescent="0.2">
      <c r="A382" s="306" t="s">
        <v>1630</v>
      </c>
      <c r="B382" s="156" t="s">
        <v>45</v>
      </c>
      <c r="C382" s="232">
        <v>88285</v>
      </c>
      <c r="D382" s="150" t="s">
        <v>873</v>
      </c>
      <c r="E382" s="156" t="s">
        <v>14</v>
      </c>
      <c r="F382" s="149">
        <f>F381</f>
        <v>16</v>
      </c>
      <c r="G382" s="149">
        <v>18.440000000000001</v>
      </c>
      <c r="H382" s="149">
        <f t="shared" si="71"/>
        <v>18.440000000000001</v>
      </c>
      <c r="I382" s="326">
        <f t="shared" si="72"/>
        <v>295.04000000000002</v>
      </c>
      <c r="J382" s="275"/>
      <c r="K382" s="39"/>
      <c r="L382" s="143"/>
      <c r="M382" s="39"/>
      <c r="N382" s="39"/>
      <c r="O382" s="39"/>
      <c r="P382" s="39"/>
      <c r="R382" s="39"/>
    </row>
    <row r="383" spans="1:18" s="40" customFormat="1" ht="31.5" customHeight="1" x14ac:dyDescent="0.2">
      <c r="A383" s="306" t="s">
        <v>1631</v>
      </c>
      <c r="B383" s="156" t="s">
        <v>45</v>
      </c>
      <c r="C383" s="232">
        <v>89272</v>
      </c>
      <c r="D383" s="150" t="s">
        <v>872</v>
      </c>
      <c r="E383" s="156" t="s">
        <v>867</v>
      </c>
      <c r="F383" s="149">
        <v>16</v>
      </c>
      <c r="G383" s="149">
        <v>144.16999999999999</v>
      </c>
      <c r="H383" s="149">
        <f t="shared" si="71"/>
        <v>144.16999999999999</v>
      </c>
      <c r="I383" s="326">
        <f t="shared" si="72"/>
        <v>2306.7199999999998</v>
      </c>
      <c r="J383" s="275"/>
      <c r="K383" s="39"/>
      <c r="L383" s="143"/>
      <c r="M383" s="39"/>
      <c r="N383" s="39"/>
      <c r="O383" s="39"/>
      <c r="P383" s="39"/>
      <c r="R383" s="39"/>
    </row>
    <row r="384" spans="1:18" s="40" customFormat="1" ht="14.25" x14ac:dyDescent="0.2">
      <c r="A384" s="306" t="s">
        <v>1632</v>
      </c>
      <c r="B384" s="156" t="s">
        <v>45</v>
      </c>
      <c r="C384" s="232">
        <v>88296</v>
      </c>
      <c r="D384" s="150" t="s">
        <v>874</v>
      </c>
      <c r="E384" s="156" t="s">
        <v>14</v>
      </c>
      <c r="F384" s="149">
        <f>F383</f>
        <v>16</v>
      </c>
      <c r="G384" s="149">
        <v>25.37</v>
      </c>
      <c r="H384" s="149">
        <f t="shared" si="71"/>
        <v>25.37</v>
      </c>
      <c r="I384" s="326">
        <f t="shared" si="72"/>
        <v>405.92</v>
      </c>
      <c r="J384" s="275"/>
      <c r="K384" s="39"/>
      <c r="L384" s="143"/>
      <c r="M384" s="39"/>
      <c r="N384" s="39"/>
      <c r="O384" s="39"/>
      <c r="P384" s="39"/>
      <c r="R384" s="39"/>
    </row>
    <row r="385" spans="1:18" s="40" customFormat="1" ht="57" x14ac:dyDescent="0.2">
      <c r="A385" s="306" t="s">
        <v>1717</v>
      </c>
      <c r="B385" s="156" t="s">
        <v>45</v>
      </c>
      <c r="C385" s="232">
        <v>89202</v>
      </c>
      <c r="D385" s="150" t="s">
        <v>1808</v>
      </c>
      <c r="E385" s="156" t="s">
        <v>17</v>
      </c>
      <c r="F385" s="149">
        <f>14*8</f>
        <v>112</v>
      </c>
      <c r="G385" s="149">
        <v>62.24</v>
      </c>
      <c r="H385" s="149">
        <f t="shared" si="71"/>
        <v>62.24</v>
      </c>
      <c r="I385" s="326">
        <f t="shared" si="72"/>
        <v>6970.88</v>
      </c>
      <c r="J385" s="275"/>
      <c r="K385" s="39"/>
      <c r="L385" s="143"/>
      <c r="M385" s="39"/>
      <c r="N385" s="39"/>
      <c r="O385" s="39"/>
      <c r="P385" s="39"/>
      <c r="R385" s="39"/>
    </row>
    <row r="386" spans="1:18" ht="14.25" x14ac:dyDescent="0.2">
      <c r="A386" s="306" t="s">
        <v>1718</v>
      </c>
      <c r="B386" s="156" t="s">
        <v>45</v>
      </c>
      <c r="C386" s="233">
        <v>88316</v>
      </c>
      <c r="D386" s="182" t="s">
        <v>856</v>
      </c>
      <c r="E386" s="233" t="s">
        <v>14</v>
      </c>
      <c r="F386" s="149">
        <v>16</v>
      </c>
      <c r="G386" s="149">
        <v>16.64</v>
      </c>
      <c r="H386" s="149">
        <f t="shared" si="71"/>
        <v>16.64</v>
      </c>
      <c r="I386" s="326">
        <f t="shared" si="72"/>
        <v>266.24</v>
      </c>
      <c r="J386" s="44"/>
      <c r="K386" s="44"/>
      <c r="L386" s="44"/>
      <c r="M386" s="44"/>
      <c r="N386" s="44"/>
      <c r="O386" s="44"/>
      <c r="P386" s="44"/>
      <c r="Q386" s="44"/>
    </row>
    <row r="387" spans="1:18" s="40" customFormat="1" ht="14.25" x14ac:dyDescent="0.2">
      <c r="A387" s="246"/>
      <c r="B387" s="58"/>
      <c r="C387" s="58"/>
      <c r="D387" s="58"/>
      <c r="E387" s="201"/>
      <c r="F387" s="202"/>
      <c r="G387" s="202"/>
      <c r="H387" s="202"/>
      <c r="I387" s="202"/>
    </row>
    <row r="388" spans="1:18" s="40" customFormat="1" ht="30" x14ac:dyDescent="0.2">
      <c r="A388" s="280">
        <v>31</v>
      </c>
      <c r="B388" s="279" t="s">
        <v>335</v>
      </c>
      <c r="C388" s="290" t="s">
        <v>368</v>
      </c>
      <c r="D388" s="181" t="str">
        <f>ORÇAMENTO!D1298</f>
        <v xml:space="preserve">FORNECIMENTO E APLICAÇÃO DO MATERIAL HIDRÁULICO DO FILTRO PERCOLADOR </v>
      </c>
      <c r="E388" s="276"/>
      <c r="F388" s="193"/>
      <c r="G388" s="194"/>
      <c r="H388" s="194"/>
      <c r="I388" s="281">
        <f>SUM(I389:I409)</f>
        <v>63747.6</v>
      </c>
    </row>
    <row r="389" spans="1:18" s="40" customFormat="1" ht="14.25" x14ac:dyDescent="0.2">
      <c r="A389" s="246" t="s">
        <v>661</v>
      </c>
      <c r="B389" s="232" t="s">
        <v>65</v>
      </c>
      <c r="C389" s="155"/>
      <c r="D389" s="151" t="s">
        <v>1265</v>
      </c>
      <c r="E389" s="156" t="s">
        <v>18</v>
      </c>
      <c r="F389" s="197">
        <v>2</v>
      </c>
      <c r="G389" s="250">
        <v>1047</v>
      </c>
      <c r="H389" s="197">
        <f>G389</f>
        <v>1047</v>
      </c>
      <c r="I389" s="198">
        <f t="shared" ref="I389" si="73">F389*H389</f>
        <v>2094</v>
      </c>
    </row>
    <row r="390" spans="1:18" s="40" customFormat="1" ht="14.25" x14ac:dyDescent="0.2">
      <c r="A390" s="246" t="s">
        <v>662</v>
      </c>
      <c r="B390" s="232" t="s">
        <v>65</v>
      </c>
      <c r="C390" s="232"/>
      <c r="D390" s="151" t="s">
        <v>1266</v>
      </c>
      <c r="E390" s="156" t="s">
        <v>18</v>
      </c>
      <c r="F390" s="197">
        <v>1</v>
      </c>
      <c r="G390" s="250">
        <v>1600</v>
      </c>
      <c r="H390" s="197">
        <f t="shared" ref="H390:H406" si="74">G390</f>
        <v>1600</v>
      </c>
      <c r="I390" s="198">
        <f t="shared" ref="I390:I406" si="75">F390*H390</f>
        <v>1600</v>
      </c>
    </row>
    <row r="391" spans="1:18" s="40" customFormat="1" ht="14.25" x14ac:dyDescent="0.2">
      <c r="A391" s="246" t="s">
        <v>663</v>
      </c>
      <c r="B391" s="232" t="s">
        <v>65</v>
      </c>
      <c r="C391" s="155"/>
      <c r="D391" s="151" t="s">
        <v>1302</v>
      </c>
      <c r="E391" s="156" t="s">
        <v>18</v>
      </c>
      <c r="F391" s="197">
        <v>2</v>
      </c>
      <c r="G391" s="250">
        <v>5150</v>
      </c>
      <c r="H391" s="197">
        <f t="shared" si="74"/>
        <v>5150</v>
      </c>
      <c r="I391" s="198">
        <f t="shared" si="75"/>
        <v>10300</v>
      </c>
    </row>
    <row r="392" spans="1:18" s="40" customFormat="1" ht="14.25" x14ac:dyDescent="0.2">
      <c r="A392" s="246" t="s">
        <v>664</v>
      </c>
      <c r="B392" s="232" t="s">
        <v>65</v>
      </c>
      <c r="C392" s="232"/>
      <c r="D392" s="151" t="s">
        <v>1265</v>
      </c>
      <c r="E392" s="156" t="s">
        <v>18</v>
      </c>
      <c r="F392" s="197">
        <v>1</v>
      </c>
      <c r="G392" s="250">
        <v>1047</v>
      </c>
      <c r="H392" s="197">
        <f t="shared" si="74"/>
        <v>1047</v>
      </c>
      <c r="I392" s="198">
        <f t="shared" si="75"/>
        <v>1047</v>
      </c>
    </row>
    <row r="393" spans="1:18" s="40" customFormat="1" ht="14.25" x14ac:dyDescent="0.2">
      <c r="A393" s="246" t="s">
        <v>1926</v>
      </c>
      <c r="B393" s="232" t="s">
        <v>65</v>
      </c>
      <c r="C393" s="155"/>
      <c r="D393" s="151" t="s">
        <v>1267</v>
      </c>
      <c r="E393" s="156" t="s">
        <v>18</v>
      </c>
      <c r="F393" s="197">
        <v>1</v>
      </c>
      <c r="G393" s="250">
        <v>1600</v>
      </c>
      <c r="H393" s="197">
        <f t="shared" si="74"/>
        <v>1600</v>
      </c>
      <c r="I393" s="198">
        <f t="shared" si="75"/>
        <v>1600</v>
      </c>
    </row>
    <row r="394" spans="1:18" s="40" customFormat="1" ht="14.25" x14ac:dyDescent="0.2">
      <c r="A394" s="246" t="s">
        <v>1927</v>
      </c>
      <c r="B394" s="232" t="s">
        <v>65</v>
      </c>
      <c r="C394" s="155"/>
      <c r="D394" s="151" t="s">
        <v>1268</v>
      </c>
      <c r="E394" s="156" t="s">
        <v>18</v>
      </c>
      <c r="F394" s="197">
        <v>1</v>
      </c>
      <c r="G394" s="250">
        <v>8947</v>
      </c>
      <c r="H394" s="197">
        <f t="shared" si="74"/>
        <v>8947</v>
      </c>
      <c r="I394" s="198">
        <f t="shared" si="75"/>
        <v>8947</v>
      </c>
    </row>
    <row r="395" spans="1:18" s="40" customFormat="1" ht="14.25" x14ac:dyDescent="0.2">
      <c r="A395" s="246" t="s">
        <v>1990</v>
      </c>
      <c r="B395" s="232" t="s">
        <v>65</v>
      </c>
      <c r="C395" s="155"/>
      <c r="D395" s="151" t="s">
        <v>1219</v>
      </c>
      <c r="E395" s="156" t="s">
        <v>18</v>
      </c>
      <c r="F395" s="197">
        <v>1</v>
      </c>
      <c r="G395" s="250">
        <v>1320</v>
      </c>
      <c r="H395" s="197">
        <f t="shared" si="74"/>
        <v>1320</v>
      </c>
      <c r="I395" s="198">
        <f t="shared" si="75"/>
        <v>1320</v>
      </c>
    </row>
    <row r="396" spans="1:18" s="40" customFormat="1" ht="14.25" x14ac:dyDescent="0.2">
      <c r="A396" s="246" t="s">
        <v>1991</v>
      </c>
      <c r="B396" s="232" t="s">
        <v>65</v>
      </c>
      <c r="C396" s="232"/>
      <c r="D396" s="150" t="s">
        <v>1269</v>
      </c>
      <c r="E396" s="156" t="s">
        <v>18</v>
      </c>
      <c r="F396" s="197">
        <v>1</v>
      </c>
      <c r="G396" s="250">
        <v>2840</v>
      </c>
      <c r="H396" s="197">
        <f t="shared" si="74"/>
        <v>2840</v>
      </c>
      <c r="I396" s="198">
        <f t="shared" si="75"/>
        <v>2840</v>
      </c>
    </row>
    <row r="397" spans="1:18" s="40" customFormat="1" ht="14.25" x14ac:dyDescent="0.2">
      <c r="A397" s="246" t="s">
        <v>1992</v>
      </c>
      <c r="B397" s="232" t="s">
        <v>65</v>
      </c>
      <c r="C397" s="232"/>
      <c r="D397" s="158" t="s">
        <v>1270</v>
      </c>
      <c r="E397" s="232" t="s">
        <v>17</v>
      </c>
      <c r="F397" s="149">
        <v>15</v>
      </c>
      <c r="G397" s="250">
        <v>560</v>
      </c>
      <c r="H397" s="197">
        <f t="shared" si="74"/>
        <v>560</v>
      </c>
      <c r="I397" s="198">
        <f t="shared" si="75"/>
        <v>8400</v>
      </c>
    </row>
    <row r="398" spans="1:18" s="40" customFormat="1" ht="14.25" x14ac:dyDescent="0.2">
      <c r="A398" s="246" t="s">
        <v>1993</v>
      </c>
      <c r="B398" s="232" t="s">
        <v>65</v>
      </c>
      <c r="C398" s="232"/>
      <c r="D398" s="151" t="s">
        <v>1234</v>
      </c>
      <c r="E398" s="156" t="s">
        <v>18</v>
      </c>
      <c r="F398" s="197">
        <v>1</v>
      </c>
      <c r="G398" s="250">
        <v>1360</v>
      </c>
      <c r="H398" s="197">
        <f t="shared" si="74"/>
        <v>1360</v>
      </c>
      <c r="I398" s="198">
        <f t="shared" si="75"/>
        <v>1360</v>
      </c>
    </row>
    <row r="399" spans="1:18" s="40" customFormat="1" ht="14.25" x14ac:dyDescent="0.2">
      <c r="A399" s="246" t="s">
        <v>1994</v>
      </c>
      <c r="B399" s="232" t="s">
        <v>65</v>
      </c>
      <c r="C399" s="232"/>
      <c r="D399" s="151" t="s">
        <v>1271</v>
      </c>
      <c r="E399" s="156" t="s">
        <v>18</v>
      </c>
      <c r="F399" s="197">
        <v>1</v>
      </c>
      <c r="G399" s="250">
        <v>11200</v>
      </c>
      <c r="H399" s="197">
        <f t="shared" si="74"/>
        <v>11200</v>
      </c>
      <c r="I399" s="198">
        <f t="shared" si="75"/>
        <v>11200</v>
      </c>
    </row>
    <row r="400" spans="1:18" s="40" customFormat="1" ht="14.25" x14ac:dyDescent="0.2">
      <c r="A400" s="246" t="s">
        <v>1995</v>
      </c>
      <c r="B400" s="232" t="s">
        <v>65</v>
      </c>
      <c r="C400" s="232"/>
      <c r="D400" s="151" t="s">
        <v>1272</v>
      </c>
      <c r="E400" s="156" t="s">
        <v>18</v>
      </c>
      <c r="F400" s="197">
        <v>1</v>
      </c>
      <c r="G400" s="250">
        <v>870</v>
      </c>
      <c r="H400" s="197">
        <f t="shared" si="74"/>
        <v>870</v>
      </c>
      <c r="I400" s="198">
        <f t="shared" si="75"/>
        <v>870</v>
      </c>
    </row>
    <row r="401" spans="1:18" s="40" customFormat="1" ht="14.25" x14ac:dyDescent="0.2">
      <c r="A401" s="246" t="s">
        <v>1996</v>
      </c>
      <c r="B401" s="232" t="s">
        <v>65</v>
      </c>
      <c r="C401" s="232"/>
      <c r="D401" s="151" t="s">
        <v>1273</v>
      </c>
      <c r="E401" s="156" t="s">
        <v>18</v>
      </c>
      <c r="F401" s="197">
        <v>1</v>
      </c>
      <c r="G401" s="250">
        <v>410</v>
      </c>
      <c r="H401" s="197">
        <f t="shared" si="74"/>
        <v>410</v>
      </c>
      <c r="I401" s="198">
        <f t="shared" si="75"/>
        <v>410</v>
      </c>
    </row>
    <row r="402" spans="1:18" s="40" customFormat="1" ht="14.25" x14ac:dyDescent="0.2">
      <c r="A402" s="246" t="s">
        <v>1997</v>
      </c>
      <c r="B402" s="232" t="s">
        <v>65</v>
      </c>
      <c r="C402" s="232"/>
      <c r="D402" s="151" t="s">
        <v>1263</v>
      </c>
      <c r="E402" s="156" t="s">
        <v>18</v>
      </c>
      <c r="F402" s="197">
        <v>1</v>
      </c>
      <c r="G402" s="250">
        <v>2200</v>
      </c>
      <c r="H402" s="197">
        <f t="shared" si="74"/>
        <v>2200</v>
      </c>
      <c r="I402" s="198">
        <f t="shared" si="75"/>
        <v>2200</v>
      </c>
    </row>
    <row r="403" spans="1:18" s="40" customFormat="1" ht="28.5" x14ac:dyDescent="0.2">
      <c r="A403" s="246" t="s">
        <v>1998</v>
      </c>
      <c r="B403" s="232" t="s">
        <v>45</v>
      </c>
      <c r="C403" s="232">
        <v>9833</v>
      </c>
      <c r="D403" s="151" t="s">
        <v>1276</v>
      </c>
      <c r="E403" s="156" t="s">
        <v>17</v>
      </c>
      <c r="F403" s="197">
        <v>35</v>
      </c>
      <c r="G403" s="250">
        <v>8.44</v>
      </c>
      <c r="H403" s="197">
        <f t="shared" si="74"/>
        <v>8.44</v>
      </c>
      <c r="I403" s="198">
        <f t="shared" si="75"/>
        <v>295.39999999999998</v>
      </c>
    </row>
    <row r="404" spans="1:18" s="40" customFormat="1" ht="14.25" x14ac:dyDescent="0.2">
      <c r="A404" s="246" t="s">
        <v>1999</v>
      </c>
      <c r="B404" s="232" t="s">
        <v>65</v>
      </c>
      <c r="C404" s="232"/>
      <c r="D404" s="151" t="s">
        <v>1274</v>
      </c>
      <c r="E404" s="156" t="s">
        <v>18</v>
      </c>
      <c r="F404" s="197">
        <v>1</v>
      </c>
      <c r="G404" s="250">
        <v>3160</v>
      </c>
      <c r="H404" s="197">
        <f t="shared" si="74"/>
        <v>3160</v>
      </c>
      <c r="I404" s="198">
        <f t="shared" si="75"/>
        <v>3160</v>
      </c>
    </row>
    <row r="405" spans="1:18" s="40" customFormat="1" ht="14.25" x14ac:dyDescent="0.2">
      <c r="A405" s="246" t="s">
        <v>2000</v>
      </c>
      <c r="B405" s="232" t="s">
        <v>65</v>
      </c>
      <c r="C405" s="232"/>
      <c r="D405" s="151" t="s">
        <v>1258</v>
      </c>
      <c r="E405" s="156" t="s">
        <v>18</v>
      </c>
      <c r="F405" s="197">
        <v>6</v>
      </c>
      <c r="G405" s="250">
        <v>17.5</v>
      </c>
      <c r="H405" s="197">
        <f t="shared" si="74"/>
        <v>17.5</v>
      </c>
      <c r="I405" s="198">
        <f t="shared" si="75"/>
        <v>105</v>
      </c>
    </row>
    <row r="406" spans="1:18" s="40" customFormat="1" ht="14.25" x14ac:dyDescent="0.2">
      <c r="A406" s="246" t="s">
        <v>2001</v>
      </c>
      <c r="B406" s="232" t="s">
        <v>65</v>
      </c>
      <c r="C406" s="232"/>
      <c r="D406" s="151" t="s">
        <v>1275</v>
      </c>
      <c r="E406" s="156" t="s">
        <v>17</v>
      </c>
      <c r="F406" s="197">
        <v>72</v>
      </c>
      <c r="G406" s="250">
        <v>7.6</v>
      </c>
      <c r="H406" s="197">
        <f t="shared" si="74"/>
        <v>7.6</v>
      </c>
      <c r="I406" s="198">
        <f t="shared" si="75"/>
        <v>547.19999999999993</v>
      </c>
    </row>
    <row r="407" spans="1:18" s="40" customFormat="1" ht="14.25" x14ac:dyDescent="0.2">
      <c r="A407" s="246" t="s">
        <v>2002</v>
      </c>
      <c r="B407" s="232" t="s">
        <v>45</v>
      </c>
      <c r="C407" s="232">
        <v>88267</v>
      </c>
      <c r="D407" s="151" t="s">
        <v>822</v>
      </c>
      <c r="E407" s="232" t="s">
        <v>14</v>
      </c>
      <c r="F407" s="149">
        <v>100</v>
      </c>
      <c r="G407" s="250">
        <v>21.01</v>
      </c>
      <c r="H407" s="149">
        <f>ROUND((1+K$3)*G407,2)</f>
        <v>21.01</v>
      </c>
      <c r="I407" s="249">
        <f>ROUND(F407*H407,2)</f>
        <v>2101</v>
      </c>
      <c r="J407" s="41"/>
      <c r="K407" s="41"/>
      <c r="L407" s="41"/>
      <c r="M407" s="41"/>
      <c r="N407" s="41"/>
      <c r="O407" s="41"/>
      <c r="P407" s="41"/>
      <c r="Q407" s="41"/>
    </row>
    <row r="408" spans="1:18" s="40" customFormat="1" ht="14.25" customHeight="1" x14ac:dyDescent="0.2">
      <c r="A408" s="246" t="s">
        <v>2003</v>
      </c>
      <c r="B408" s="232" t="s">
        <v>45</v>
      </c>
      <c r="C408" s="232">
        <v>88248</v>
      </c>
      <c r="D408" s="151" t="s">
        <v>823</v>
      </c>
      <c r="E408" s="232" t="s">
        <v>14</v>
      </c>
      <c r="F408" s="149">
        <v>100</v>
      </c>
      <c r="G408" s="250">
        <v>16.87</v>
      </c>
      <c r="H408" s="149">
        <f>ROUND((1+K$3)*G408,2)</f>
        <v>16.87</v>
      </c>
      <c r="I408" s="249">
        <f>ROUND(F408*H408,2)</f>
        <v>1687</v>
      </c>
      <c r="J408" s="41"/>
      <c r="K408" s="41"/>
      <c r="L408" s="41"/>
      <c r="M408" s="41"/>
      <c r="N408" s="41"/>
      <c r="O408" s="41"/>
      <c r="P408" s="41"/>
      <c r="Q408" s="41"/>
    </row>
    <row r="409" spans="1:18" s="40" customFormat="1" ht="14.25" x14ac:dyDescent="0.2">
      <c r="A409" s="246" t="s">
        <v>2004</v>
      </c>
      <c r="B409" s="232" t="s">
        <v>45</v>
      </c>
      <c r="C409" s="232">
        <v>88316</v>
      </c>
      <c r="D409" s="151" t="s">
        <v>824</v>
      </c>
      <c r="E409" s="232" t="s">
        <v>14</v>
      </c>
      <c r="F409" s="149">
        <v>100</v>
      </c>
      <c r="G409" s="250">
        <v>16.64</v>
      </c>
      <c r="H409" s="149">
        <f>ROUND((1+K$3)*G409,2)</f>
        <v>16.64</v>
      </c>
      <c r="I409" s="249">
        <f>ROUND(F409*H409,2)</f>
        <v>1664</v>
      </c>
      <c r="J409" s="41"/>
      <c r="K409" s="41"/>
      <c r="L409" s="41"/>
      <c r="M409" s="41"/>
      <c r="N409" s="41"/>
      <c r="O409" s="41"/>
      <c r="P409" s="41"/>
      <c r="Q409" s="41"/>
    </row>
    <row r="410" spans="1:18" ht="14.25" x14ac:dyDescent="0.2">
      <c r="A410" s="335"/>
      <c r="B410" s="232"/>
      <c r="C410" s="233"/>
      <c r="D410" s="182"/>
      <c r="E410" s="233"/>
      <c r="F410" s="159"/>
      <c r="G410" s="149"/>
      <c r="H410" s="149"/>
      <c r="I410" s="336"/>
      <c r="J410" s="44"/>
      <c r="K410" s="44"/>
      <c r="L410" s="44"/>
      <c r="M410" s="44"/>
      <c r="N410" s="44"/>
      <c r="O410" s="44"/>
      <c r="P410" s="44"/>
      <c r="Q410" s="44"/>
    </row>
    <row r="411" spans="1:18" s="5" customFormat="1" ht="45" x14ac:dyDescent="0.2">
      <c r="A411" s="333">
        <v>32</v>
      </c>
      <c r="B411" s="279" t="s">
        <v>335</v>
      </c>
      <c r="C411" s="290" t="s">
        <v>369</v>
      </c>
      <c r="D411" s="181" t="s">
        <v>1819</v>
      </c>
      <c r="E411" s="344" t="s">
        <v>18</v>
      </c>
      <c r="F411" s="193"/>
      <c r="G411" s="194"/>
      <c r="H411" s="194"/>
      <c r="I411" s="334">
        <f>SUM(I412:I417)</f>
        <v>5322.89</v>
      </c>
      <c r="J411" s="4"/>
      <c r="K411" s="4"/>
      <c r="L411" s="4"/>
      <c r="M411" s="4"/>
      <c r="N411" s="4"/>
      <c r="O411" s="4"/>
      <c r="P411" s="4"/>
      <c r="Q411" s="4"/>
    </row>
    <row r="412" spans="1:18" s="40" customFormat="1" ht="57" x14ac:dyDescent="0.2">
      <c r="A412" s="306" t="s">
        <v>665</v>
      </c>
      <c r="B412" s="156" t="s">
        <v>45</v>
      </c>
      <c r="C412" s="232">
        <v>5824</v>
      </c>
      <c r="D412" s="150" t="s">
        <v>866</v>
      </c>
      <c r="E412" s="156" t="s">
        <v>867</v>
      </c>
      <c r="F412" s="149">
        <v>8</v>
      </c>
      <c r="G412" s="149">
        <v>106.76</v>
      </c>
      <c r="H412" s="149">
        <f t="shared" ref="H412:H417" si="76">G412</f>
        <v>106.76</v>
      </c>
      <c r="I412" s="326">
        <f t="shared" ref="I412:I417" si="77">ROUND(F412*H412,2)</f>
        <v>854.08</v>
      </c>
      <c r="J412" s="275"/>
      <c r="K412" s="39"/>
      <c r="L412" s="143"/>
      <c r="M412" s="39"/>
      <c r="N412" s="39"/>
      <c r="O412" s="39"/>
      <c r="P412" s="39"/>
      <c r="R412" s="39"/>
    </row>
    <row r="413" spans="1:18" s="40" customFormat="1" ht="14.25" x14ac:dyDescent="0.2">
      <c r="A413" s="306" t="s">
        <v>666</v>
      </c>
      <c r="B413" s="156" t="s">
        <v>45</v>
      </c>
      <c r="C413" s="232">
        <v>88285</v>
      </c>
      <c r="D413" s="150" t="s">
        <v>873</v>
      </c>
      <c r="E413" s="156" t="s">
        <v>14</v>
      </c>
      <c r="F413" s="149">
        <f>F412</f>
        <v>8</v>
      </c>
      <c r="G413" s="149">
        <v>18.440000000000001</v>
      </c>
      <c r="H413" s="149">
        <f t="shared" si="76"/>
        <v>18.440000000000001</v>
      </c>
      <c r="I413" s="326">
        <f t="shared" si="77"/>
        <v>147.52000000000001</v>
      </c>
      <c r="J413" s="275"/>
      <c r="K413" s="39"/>
      <c r="L413" s="143"/>
      <c r="M413" s="39"/>
      <c r="N413" s="39"/>
      <c r="O413" s="39"/>
      <c r="P413" s="39"/>
      <c r="R413" s="39"/>
    </row>
    <row r="414" spans="1:18" s="40" customFormat="1" ht="31.5" customHeight="1" x14ac:dyDescent="0.2">
      <c r="A414" s="306" t="s">
        <v>667</v>
      </c>
      <c r="B414" s="156" t="s">
        <v>45</v>
      </c>
      <c r="C414" s="232">
        <v>89272</v>
      </c>
      <c r="D414" s="150" t="s">
        <v>872</v>
      </c>
      <c r="E414" s="156" t="s">
        <v>867</v>
      </c>
      <c r="F414" s="149">
        <v>8</v>
      </c>
      <c r="G414" s="149">
        <v>144.16999999999999</v>
      </c>
      <c r="H414" s="149">
        <f t="shared" si="76"/>
        <v>144.16999999999999</v>
      </c>
      <c r="I414" s="326">
        <f t="shared" si="77"/>
        <v>1153.3599999999999</v>
      </c>
      <c r="J414" s="275"/>
      <c r="K414" s="39"/>
      <c r="L414" s="143"/>
      <c r="M414" s="39"/>
      <c r="N414" s="39"/>
      <c r="O414" s="39"/>
      <c r="P414" s="39"/>
      <c r="R414" s="39"/>
    </row>
    <row r="415" spans="1:18" s="40" customFormat="1" ht="14.25" x14ac:dyDescent="0.2">
      <c r="A415" s="306" t="s">
        <v>668</v>
      </c>
      <c r="B415" s="156" t="s">
        <v>45</v>
      </c>
      <c r="C415" s="232">
        <v>88296</v>
      </c>
      <c r="D415" s="150" t="s">
        <v>874</v>
      </c>
      <c r="E415" s="156" t="s">
        <v>14</v>
      </c>
      <c r="F415" s="149">
        <f>F414</f>
        <v>8</v>
      </c>
      <c r="G415" s="149">
        <v>25.37</v>
      </c>
      <c r="H415" s="149">
        <f t="shared" si="76"/>
        <v>25.37</v>
      </c>
      <c r="I415" s="326">
        <f t="shared" si="77"/>
        <v>202.96</v>
      </c>
      <c r="J415" s="275"/>
      <c r="K415" s="39"/>
      <c r="L415" s="143"/>
      <c r="M415" s="39"/>
      <c r="N415" s="39"/>
      <c r="O415" s="39"/>
      <c r="P415" s="39"/>
      <c r="R415" s="39"/>
    </row>
    <row r="416" spans="1:18" s="40" customFormat="1" ht="57" x14ac:dyDescent="0.2">
      <c r="A416" s="306" t="s">
        <v>669</v>
      </c>
      <c r="B416" s="156" t="s">
        <v>45</v>
      </c>
      <c r="C416" s="232">
        <v>89198</v>
      </c>
      <c r="D416" s="150" t="s">
        <v>1350</v>
      </c>
      <c r="E416" s="156" t="s">
        <v>17</v>
      </c>
      <c r="F416" s="149">
        <v>45</v>
      </c>
      <c r="G416" s="149">
        <v>62.93</v>
      </c>
      <c r="H416" s="149">
        <f t="shared" si="76"/>
        <v>62.93</v>
      </c>
      <c r="I416" s="326">
        <f t="shared" si="77"/>
        <v>2831.85</v>
      </c>
      <c r="J416" s="275"/>
      <c r="K416" s="39"/>
      <c r="L416" s="143"/>
      <c r="M416" s="39"/>
      <c r="N416" s="39"/>
      <c r="O416" s="39"/>
      <c r="P416" s="39"/>
      <c r="R416" s="39"/>
    </row>
    <row r="417" spans="1:17" ht="14.25" x14ac:dyDescent="0.2">
      <c r="A417" s="306" t="s">
        <v>670</v>
      </c>
      <c r="B417" s="156" t="s">
        <v>45</v>
      </c>
      <c r="C417" s="233">
        <v>88316</v>
      </c>
      <c r="D417" s="150" t="s">
        <v>856</v>
      </c>
      <c r="E417" s="232" t="s">
        <v>14</v>
      </c>
      <c r="F417" s="149">
        <v>8</v>
      </c>
      <c r="G417" s="149">
        <v>16.64</v>
      </c>
      <c r="H417" s="149">
        <f t="shared" si="76"/>
        <v>16.64</v>
      </c>
      <c r="I417" s="326">
        <f t="shared" si="77"/>
        <v>133.12</v>
      </c>
      <c r="J417" s="44"/>
      <c r="K417" s="44"/>
      <c r="L417" s="44"/>
      <c r="M417" s="44"/>
      <c r="N417" s="44"/>
      <c r="O417" s="44"/>
      <c r="P417" s="44"/>
      <c r="Q417" s="44"/>
    </row>
    <row r="418" spans="1:17" s="40" customFormat="1" ht="14.25" x14ac:dyDescent="0.2">
      <c r="A418" s="246"/>
      <c r="B418" s="233"/>
      <c r="C418" s="233"/>
      <c r="D418" s="182"/>
      <c r="E418" s="233"/>
      <c r="F418" s="195"/>
      <c r="G418" s="195"/>
      <c r="H418" s="195"/>
      <c r="I418" s="196"/>
    </row>
    <row r="419" spans="1:17" s="40" customFormat="1" ht="45" x14ac:dyDescent="0.2">
      <c r="A419" s="280">
        <v>33</v>
      </c>
      <c r="B419" s="279" t="s">
        <v>335</v>
      </c>
      <c r="C419" s="290" t="s">
        <v>1634</v>
      </c>
      <c r="D419" s="181" t="s">
        <v>189</v>
      </c>
      <c r="E419" s="276"/>
      <c r="F419" s="193"/>
      <c r="G419" s="194"/>
      <c r="H419" s="194"/>
      <c r="I419" s="281">
        <f>SUM(I420:I423)</f>
        <v>328.75</v>
      </c>
    </row>
    <row r="420" spans="1:17" s="40" customFormat="1" ht="14.25" x14ac:dyDescent="0.2">
      <c r="A420" s="246" t="s">
        <v>1635</v>
      </c>
      <c r="B420" s="233" t="s">
        <v>45</v>
      </c>
      <c r="C420" s="232">
        <v>11125</v>
      </c>
      <c r="D420" s="150" t="s">
        <v>742</v>
      </c>
      <c r="E420" s="232" t="s">
        <v>169</v>
      </c>
      <c r="F420" s="196">
        <f>48*0.54*0.58</f>
        <v>15.0336</v>
      </c>
      <c r="G420" s="196">
        <v>14.43</v>
      </c>
      <c r="H420" s="195">
        <f>G420</f>
        <v>14.43</v>
      </c>
      <c r="I420" s="196">
        <f>ROUND(F420*H420,2)</f>
        <v>216.93</v>
      </c>
    </row>
    <row r="421" spans="1:17" s="40" customFormat="1" ht="14.25" x14ac:dyDescent="0.2">
      <c r="A421" s="246" t="s">
        <v>1636</v>
      </c>
      <c r="B421" s="233" t="s">
        <v>45</v>
      </c>
      <c r="C421" s="232">
        <v>585</v>
      </c>
      <c r="D421" s="150" t="s">
        <v>251</v>
      </c>
      <c r="E421" s="232" t="s">
        <v>169</v>
      </c>
      <c r="F421" s="196">
        <v>1.35</v>
      </c>
      <c r="G421" s="196">
        <v>18.79</v>
      </c>
      <c r="H421" s="195">
        <f>G421</f>
        <v>18.79</v>
      </c>
      <c r="I421" s="196">
        <f>ROUND(F421*H421,2)</f>
        <v>25.37</v>
      </c>
    </row>
    <row r="422" spans="1:17" s="40" customFormat="1" ht="14.25" x14ac:dyDescent="0.2">
      <c r="A422" s="246" t="s">
        <v>1637</v>
      </c>
      <c r="B422" s="233" t="s">
        <v>45</v>
      </c>
      <c r="C422" s="232">
        <v>252</v>
      </c>
      <c r="D422" s="150" t="s">
        <v>801</v>
      </c>
      <c r="E422" s="232" t="s">
        <v>14</v>
      </c>
      <c r="F422" s="196">
        <v>5</v>
      </c>
      <c r="G422" s="196">
        <v>10.38</v>
      </c>
      <c r="H422" s="195">
        <f>G422</f>
        <v>10.38</v>
      </c>
      <c r="I422" s="196">
        <f>ROUND(F422*H422,2)</f>
        <v>51.9</v>
      </c>
    </row>
    <row r="423" spans="1:17" s="40" customFormat="1" ht="14.25" x14ac:dyDescent="0.2">
      <c r="A423" s="246" t="s">
        <v>1638</v>
      </c>
      <c r="B423" s="233" t="s">
        <v>45</v>
      </c>
      <c r="C423" s="232">
        <v>6110</v>
      </c>
      <c r="D423" s="150" t="s">
        <v>245</v>
      </c>
      <c r="E423" s="232" t="s">
        <v>14</v>
      </c>
      <c r="F423" s="196">
        <v>2.5</v>
      </c>
      <c r="G423" s="196">
        <v>13.82</v>
      </c>
      <c r="H423" s="195">
        <f>G423</f>
        <v>13.82</v>
      </c>
      <c r="I423" s="196">
        <f>ROUND(F423*H423,2)</f>
        <v>34.549999999999997</v>
      </c>
    </row>
    <row r="424" spans="1:17" s="40" customFormat="1" ht="14.25" x14ac:dyDescent="0.2">
      <c r="A424" s="246"/>
      <c r="B424" s="232"/>
      <c r="C424" s="232"/>
      <c r="D424" s="151"/>
      <c r="E424" s="156"/>
      <c r="F424" s="197"/>
      <c r="G424" s="198"/>
      <c r="H424" s="197"/>
      <c r="I424" s="198"/>
    </row>
    <row r="425" spans="1:17" s="40" customFormat="1" ht="30" x14ac:dyDescent="0.2">
      <c r="A425" s="280">
        <v>34</v>
      </c>
      <c r="B425" s="279" t="s">
        <v>335</v>
      </c>
      <c r="C425" s="290" t="s">
        <v>370</v>
      </c>
      <c r="D425" s="181" t="str">
        <f>ORÇAMENTO!D1395</f>
        <v>FORNECIMENTO E APLICAÇÃO DO MATERIAL HIDRÁULICO DO DECANTADOR</v>
      </c>
      <c r="E425" s="276"/>
      <c r="F425" s="193"/>
      <c r="G425" s="194"/>
      <c r="H425" s="194"/>
      <c r="I425" s="281">
        <f>SUM(I426:I447)</f>
        <v>38934.159999999996</v>
      </c>
    </row>
    <row r="426" spans="1:17" s="40" customFormat="1" ht="14.25" x14ac:dyDescent="0.2">
      <c r="A426" s="246" t="s">
        <v>671</v>
      </c>
      <c r="B426" s="232" t="s">
        <v>65</v>
      </c>
      <c r="C426" s="155"/>
      <c r="D426" s="151" t="s">
        <v>1300</v>
      </c>
      <c r="E426" s="156" t="s">
        <v>18</v>
      </c>
      <c r="F426" s="197">
        <v>1</v>
      </c>
      <c r="G426" s="196">
        <v>572</v>
      </c>
      <c r="H426" s="197">
        <f>G426</f>
        <v>572</v>
      </c>
      <c r="I426" s="198">
        <f t="shared" ref="I426" si="78">F426*H426</f>
        <v>572</v>
      </c>
    </row>
    <row r="427" spans="1:17" s="40" customFormat="1" ht="14.25" x14ac:dyDescent="0.2">
      <c r="A427" s="246" t="s">
        <v>672</v>
      </c>
      <c r="B427" s="232" t="s">
        <v>65</v>
      </c>
      <c r="C427" s="155"/>
      <c r="D427" s="151" t="s">
        <v>1301</v>
      </c>
      <c r="E427" s="156" t="s">
        <v>18</v>
      </c>
      <c r="F427" s="197">
        <v>1</v>
      </c>
      <c r="G427" s="196">
        <v>2380</v>
      </c>
      <c r="H427" s="197">
        <f t="shared" ref="H427:H444" si="79">G427</f>
        <v>2380</v>
      </c>
      <c r="I427" s="198">
        <f t="shared" ref="I427:I444" si="80">F427*H427</f>
        <v>2380</v>
      </c>
    </row>
    <row r="428" spans="1:17" s="40" customFormat="1" ht="14.25" x14ac:dyDescent="0.2">
      <c r="A428" s="246" t="s">
        <v>673</v>
      </c>
      <c r="B428" s="232" t="s">
        <v>65</v>
      </c>
      <c r="C428" s="232"/>
      <c r="D428" s="151" t="s">
        <v>1302</v>
      </c>
      <c r="E428" s="156" t="s">
        <v>18</v>
      </c>
      <c r="F428" s="197">
        <v>2</v>
      </c>
      <c r="G428" s="196">
        <v>5150</v>
      </c>
      <c r="H428" s="197">
        <f t="shared" si="79"/>
        <v>5150</v>
      </c>
      <c r="I428" s="198">
        <f t="shared" si="80"/>
        <v>10300</v>
      </c>
    </row>
    <row r="429" spans="1:17" s="40" customFormat="1" ht="14.25" x14ac:dyDescent="0.2">
      <c r="A429" s="246" t="s">
        <v>674</v>
      </c>
      <c r="B429" s="232" t="s">
        <v>65</v>
      </c>
      <c r="C429" s="232"/>
      <c r="D429" s="151" t="s">
        <v>1303</v>
      </c>
      <c r="E429" s="156" t="s">
        <v>18</v>
      </c>
      <c r="F429" s="197">
        <v>1</v>
      </c>
      <c r="G429" s="196">
        <v>600</v>
      </c>
      <c r="H429" s="197">
        <f t="shared" si="79"/>
        <v>600</v>
      </c>
      <c r="I429" s="198">
        <f t="shared" si="80"/>
        <v>600</v>
      </c>
    </row>
    <row r="430" spans="1:17" s="40" customFormat="1" ht="14.25" x14ac:dyDescent="0.2">
      <c r="A430" s="246" t="s">
        <v>1928</v>
      </c>
      <c r="B430" s="232" t="s">
        <v>65</v>
      </c>
      <c r="C430" s="232"/>
      <c r="D430" s="151" t="s">
        <v>1304</v>
      </c>
      <c r="E430" s="156" t="s">
        <v>18</v>
      </c>
      <c r="F430" s="197">
        <v>1</v>
      </c>
      <c r="G430" s="196">
        <v>1710</v>
      </c>
      <c r="H430" s="197">
        <f t="shared" si="79"/>
        <v>1710</v>
      </c>
      <c r="I430" s="198">
        <f t="shared" si="80"/>
        <v>1710</v>
      </c>
    </row>
    <row r="431" spans="1:17" s="40" customFormat="1" ht="14.25" x14ac:dyDescent="0.2">
      <c r="A431" s="246" t="s">
        <v>1929</v>
      </c>
      <c r="B431" s="232" t="s">
        <v>65</v>
      </c>
      <c r="C431" s="155"/>
      <c r="D431" s="151" t="s">
        <v>1305</v>
      </c>
      <c r="E431" s="156" t="s">
        <v>18</v>
      </c>
      <c r="F431" s="197">
        <v>1</v>
      </c>
      <c r="G431" s="196">
        <v>580</v>
      </c>
      <c r="H431" s="197">
        <f t="shared" si="79"/>
        <v>580</v>
      </c>
      <c r="I431" s="198">
        <f t="shared" si="80"/>
        <v>580</v>
      </c>
    </row>
    <row r="432" spans="1:17" s="40" customFormat="1" ht="14.25" x14ac:dyDescent="0.2">
      <c r="A432" s="246" t="s">
        <v>1930</v>
      </c>
      <c r="B432" s="232" t="s">
        <v>65</v>
      </c>
      <c r="C432" s="156"/>
      <c r="D432" s="151" t="s">
        <v>1234</v>
      </c>
      <c r="E432" s="156" t="s">
        <v>18</v>
      </c>
      <c r="F432" s="197">
        <v>5</v>
      </c>
      <c r="G432" s="196">
        <v>1360</v>
      </c>
      <c r="H432" s="197">
        <f t="shared" si="79"/>
        <v>1360</v>
      </c>
      <c r="I432" s="198">
        <f t="shared" si="80"/>
        <v>6800</v>
      </c>
    </row>
    <row r="433" spans="1:17" s="40" customFormat="1" ht="14.25" x14ac:dyDescent="0.2">
      <c r="A433" s="246" t="s">
        <v>1931</v>
      </c>
      <c r="B433" s="156" t="s">
        <v>45</v>
      </c>
      <c r="C433" s="232">
        <v>9827</v>
      </c>
      <c r="D433" s="151" t="s">
        <v>1311</v>
      </c>
      <c r="E433" s="156" t="s">
        <v>17</v>
      </c>
      <c r="F433" s="197">
        <v>15</v>
      </c>
      <c r="G433" s="196">
        <v>254.44</v>
      </c>
      <c r="H433" s="197">
        <f t="shared" si="79"/>
        <v>254.44</v>
      </c>
      <c r="I433" s="198">
        <f t="shared" si="80"/>
        <v>3816.6</v>
      </c>
    </row>
    <row r="434" spans="1:17" s="40" customFormat="1" ht="14.25" x14ac:dyDescent="0.2">
      <c r="A434" s="246" t="s">
        <v>1932</v>
      </c>
      <c r="B434" s="156" t="s">
        <v>45</v>
      </c>
      <c r="C434" s="232">
        <v>9828</v>
      </c>
      <c r="D434" s="151" t="s">
        <v>1312</v>
      </c>
      <c r="E434" s="156" t="s">
        <v>17</v>
      </c>
      <c r="F434" s="197">
        <v>14</v>
      </c>
      <c r="G434" s="196">
        <v>66.290000000000006</v>
      </c>
      <c r="H434" s="197">
        <f t="shared" si="79"/>
        <v>66.290000000000006</v>
      </c>
      <c r="I434" s="198">
        <f t="shared" si="80"/>
        <v>928.06000000000006</v>
      </c>
    </row>
    <row r="435" spans="1:17" s="40" customFormat="1" ht="14.25" x14ac:dyDescent="0.2">
      <c r="A435" s="246" t="s">
        <v>1933</v>
      </c>
      <c r="B435" s="232" t="s">
        <v>65</v>
      </c>
      <c r="C435" s="232"/>
      <c r="D435" s="151" t="s">
        <v>1246</v>
      </c>
      <c r="E435" s="156" t="s">
        <v>18</v>
      </c>
      <c r="F435" s="197">
        <v>2</v>
      </c>
      <c r="G435" s="196">
        <v>520</v>
      </c>
      <c r="H435" s="197">
        <f t="shared" si="79"/>
        <v>520</v>
      </c>
      <c r="I435" s="198">
        <f t="shared" si="80"/>
        <v>1040</v>
      </c>
    </row>
    <row r="436" spans="1:17" s="40" customFormat="1" ht="14.25" x14ac:dyDescent="0.2">
      <c r="A436" s="246" t="s">
        <v>1934</v>
      </c>
      <c r="B436" s="232" t="s">
        <v>65</v>
      </c>
      <c r="C436" s="232"/>
      <c r="D436" s="151" t="s">
        <v>1306</v>
      </c>
      <c r="E436" s="156" t="s">
        <v>18</v>
      </c>
      <c r="F436" s="197">
        <v>1</v>
      </c>
      <c r="G436" s="196">
        <v>640</v>
      </c>
      <c r="H436" s="197">
        <f t="shared" si="79"/>
        <v>640</v>
      </c>
      <c r="I436" s="198">
        <f t="shared" si="80"/>
        <v>640</v>
      </c>
    </row>
    <row r="437" spans="1:17" s="40" customFormat="1" ht="14.25" x14ac:dyDescent="0.2">
      <c r="A437" s="246" t="s">
        <v>1935</v>
      </c>
      <c r="B437" s="232" t="s">
        <v>65</v>
      </c>
      <c r="C437" s="232"/>
      <c r="D437" s="151" t="s">
        <v>1307</v>
      </c>
      <c r="E437" s="156" t="s">
        <v>18</v>
      </c>
      <c r="F437" s="197">
        <v>1</v>
      </c>
      <c r="G437" s="196">
        <v>390</v>
      </c>
      <c r="H437" s="197">
        <f t="shared" si="79"/>
        <v>390</v>
      </c>
      <c r="I437" s="198">
        <f t="shared" si="80"/>
        <v>390</v>
      </c>
    </row>
    <row r="438" spans="1:17" s="40" customFormat="1" ht="14.25" x14ac:dyDescent="0.2">
      <c r="A438" s="246" t="s">
        <v>1936</v>
      </c>
      <c r="B438" s="232" t="s">
        <v>65</v>
      </c>
      <c r="C438" s="232"/>
      <c r="D438" s="151" t="s">
        <v>1308</v>
      </c>
      <c r="E438" s="156" t="s">
        <v>18</v>
      </c>
      <c r="F438" s="197">
        <v>2</v>
      </c>
      <c r="G438" s="196">
        <v>340</v>
      </c>
      <c r="H438" s="197">
        <f t="shared" si="79"/>
        <v>340</v>
      </c>
      <c r="I438" s="198">
        <f t="shared" si="80"/>
        <v>680</v>
      </c>
    </row>
    <row r="439" spans="1:17" s="40" customFormat="1" ht="14.25" x14ac:dyDescent="0.2">
      <c r="A439" s="246" t="s">
        <v>1937</v>
      </c>
      <c r="B439" s="232" t="s">
        <v>65</v>
      </c>
      <c r="C439" s="232"/>
      <c r="D439" s="151" t="s">
        <v>1401</v>
      </c>
      <c r="E439" s="156" t="s">
        <v>18</v>
      </c>
      <c r="F439" s="197">
        <v>2</v>
      </c>
      <c r="G439" s="196">
        <v>250</v>
      </c>
      <c r="H439" s="197">
        <f t="shared" si="79"/>
        <v>250</v>
      </c>
      <c r="I439" s="198">
        <f t="shared" si="80"/>
        <v>500</v>
      </c>
    </row>
    <row r="440" spans="1:17" s="40" customFormat="1" ht="14.25" x14ac:dyDescent="0.2">
      <c r="A440" s="246" t="s">
        <v>1938</v>
      </c>
      <c r="B440" s="232" t="s">
        <v>65</v>
      </c>
      <c r="C440" s="232"/>
      <c r="D440" s="151" t="s">
        <v>1402</v>
      </c>
      <c r="E440" s="156" t="s">
        <v>18</v>
      </c>
      <c r="F440" s="197">
        <v>2</v>
      </c>
      <c r="G440" s="196">
        <v>1405</v>
      </c>
      <c r="H440" s="197">
        <f t="shared" si="79"/>
        <v>1405</v>
      </c>
      <c r="I440" s="198">
        <f t="shared" si="80"/>
        <v>2810</v>
      </c>
    </row>
    <row r="441" spans="1:17" s="40" customFormat="1" ht="14.25" x14ac:dyDescent="0.2">
      <c r="A441" s="246" t="s">
        <v>1939</v>
      </c>
      <c r="B441" s="285" t="s">
        <v>65</v>
      </c>
      <c r="C441" s="285"/>
      <c r="D441" s="311" t="s">
        <v>1406</v>
      </c>
      <c r="E441" s="310" t="s">
        <v>18</v>
      </c>
      <c r="F441" s="331">
        <v>1</v>
      </c>
      <c r="G441" s="289"/>
      <c r="H441" s="331">
        <f t="shared" si="79"/>
        <v>0</v>
      </c>
      <c r="I441" s="347">
        <f t="shared" si="80"/>
        <v>0</v>
      </c>
    </row>
    <row r="442" spans="1:17" s="40" customFormat="1" ht="14.25" x14ac:dyDescent="0.2">
      <c r="A442" s="246" t="s">
        <v>1940</v>
      </c>
      <c r="B442" s="232" t="s">
        <v>65</v>
      </c>
      <c r="C442" s="232"/>
      <c r="D442" s="151" t="s">
        <v>1259</v>
      </c>
      <c r="E442" s="156" t="s">
        <v>18</v>
      </c>
      <c r="F442" s="197">
        <v>1</v>
      </c>
      <c r="G442" s="196">
        <v>4.2</v>
      </c>
      <c r="H442" s="197">
        <f t="shared" si="79"/>
        <v>4.2</v>
      </c>
      <c r="I442" s="198">
        <f t="shared" si="80"/>
        <v>4.2</v>
      </c>
    </row>
    <row r="443" spans="1:17" s="40" customFormat="1" ht="14.25" x14ac:dyDescent="0.2">
      <c r="A443" s="246" t="s">
        <v>1941</v>
      </c>
      <c r="B443" s="232" t="s">
        <v>65</v>
      </c>
      <c r="C443" s="232"/>
      <c r="D443" s="151" t="s">
        <v>1258</v>
      </c>
      <c r="E443" s="156" t="s">
        <v>18</v>
      </c>
      <c r="F443" s="197">
        <v>7</v>
      </c>
      <c r="G443" s="196">
        <v>17.5</v>
      </c>
      <c r="H443" s="197">
        <f t="shared" si="79"/>
        <v>17.5</v>
      </c>
      <c r="I443" s="198">
        <f t="shared" si="80"/>
        <v>122.5</v>
      </c>
    </row>
    <row r="444" spans="1:17" s="40" customFormat="1" ht="14.25" x14ac:dyDescent="0.2">
      <c r="A444" s="246" t="s">
        <v>1942</v>
      </c>
      <c r="B444" s="232" t="s">
        <v>65</v>
      </c>
      <c r="C444" s="232"/>
      <c r="D444" s="151" t="s">
        <v>1264</v>
      </c>
      <c r="E444" s="156" t="s">
        <v>18</v>
      </c>
      <c r="F444" s="197">
        <v>92</v>
      </c>
      <c r="G444" s="196">
        <v>7.6</v>
      </c>
      <c r="H444" s="197">
        <f t="shared" si="79"/>
        <v>7.6</v>
      </c>
      <c r="I444" s="198">
        <f t="shared" si="80"/>
        <v>699.19999999999993</v>
      </c>
    </row>
    <row r="445" spans="1:17" s="40" customFormat="1" ht="14.25" x14ac:dyDescent="0.2">
      <c r="A445" s="246" t="s">
        <v>1943</v>
      </c>
      <c r="B445" s="232" t="s">
        <v>45</v>
      </c>
      <c r="C445" s="232">
        <v>88267</v>
      </c>
      <c r="D445" s="151" t="s">
        <v>822</v>
      </c>
      <c r="E445" s="232" t="s">
        <v>14</v>
      </c>
      <c r="F445" s="149">
        <v>80</v>
      </c>
      <c r="G445" s="196">
        <v>21.01</v>
      </c>
      <c r="H445" s="149">
        <f>ROUND((1+K$3)*G445,2)</f>
        <v>21.01</v>
      </c>
      <c r="I445" s="249">
        <f>ROUND(F445*H445,2)</f>
        <v>1680.8</v>
      </c>
      <c r="J445" s="41"/>
      <c r="K445" s="41"/>
      <c r="L445" s="41"/>
      <c r="M445" s="41"/>
      <c r="N445" s="41"/>
      <c r="O445" s="41"/>
      <c r="P445" s="41"/>
      <c r="Q445" s="41"/>
    </row>
    <row r="446" spans="1:17" s="40" customFormat="1" ht="14.25" customHeight="1" x14ac:dyDescent="0.2">
      <c r="A446" s="246" t="s">
        <v>1944</v>
      </c>
      <c r="B446" s="232" t="s">
        <v>45</v>
      </c>
      <c r="C446" s="232">
        <v>88248</v>
      </c>
      <c r="D446" s="151" t="s">
        <v>823</v>
      </c>
      <c r="E446" s="232" t="s">
        <v>14</v>
      </c>
      <c r="F446" s="149">
        <v>80</v>
      </c>
      <c r="G446" s="196">
        <v>16.87</v>
      </c>
      <c r="H446" s="149">
        <f>ROUND((1+K$3)*G446,2)</f>
        <v>16.87</v>
      </c>
      <c r="I446" s="249">
        <f>ROUND(F446*H446,2)</f>
        <v>1349.6</v>
      </c>
      <c r="J446" s="41"/>
      <c r="K446" s="41"/>
      <c r="L446" s="41"/>
      <c r="M446" s="41"/>
      <c r="N446" s="41"/>
      <c r="O446" s="41"/>
      <c r="P446" s="41"/>
      <c r="Q446" s="41"/>
    </row>
    <row r="447" spans="1:17" s="40" customFormat="1" ht="14.25" x14ac:dyDescent="0.2">
      <c r="A447" s="246" t="s">
        <v>1945</v>
      </c>
      <c r="B447" s="232" t="s">
        <v>45</v>
      </c>
      <c r="C447" s="232">
        <v>88316</v>
      </c>
      <c r="D447" s="151" t="s">
        <v>824</v>
      </c>
      <c r="E447" s="232" t="s">
        <v>14</v>
      </c>
      <c r="F447" s="149">
        <v>80</v>
      </c>
      <c r="G447" s="196">
        <v>16.64</v>
      </c>
      <c r="H447" s="149">
        <f>ROUND((1+K$3)*G447,2)</f>
        <v>16.64</v>
      </c>
      <c r="I447" s="249">
        <f>ROUND(F447*H447,2)</f>
        <v>1331.2</v>
      </c>
      <c r="J447" s="41"/>
      <c r="K447" s="41"/>
      <c r="L447" s="41"/>
      <c r="M447" s="41"/>
      <c r="N447" s="41"/>
      <c r="O447" s="41"/>
      <c r="P447" s="41"/>
      <c r="Q447" s="41"/>
    </row>
    <row r="448" spans="1:17" s="40" customFormat="1" ht="14.25" x14ac:dyDescent="0.2">
      <c r="A448" s="246"/>
      <c r="B448" s="58"/>
      <c r="C448" s="58"/>
      <c r="D448" s="58"/>
      <c r="E448" s="201"/>
      <c r="F448" s="249"/>
      <c r="G448" s="249"/>
      <c r="H448" s="202"/>
      <c r="I448" s="202"/>
    </row>
    <row r="449" spans="1:17" s="5" customFormat="1" ht="30" x14ac:dyDescent="0.2">
      <c r="A449" s="279">
        <v>35</v>
      </c>
      <c r="B449" s="279" t="s">
        <v>335</v>
      </c>
      <c r="C449" s="290" t="s">
        <v>371</v>
      </c>
      <c r="D449" s="291" t="s">
        <v>1425</v>
      </c>
      <c r="E449" s="279"/>
      <c r="F449" s="292"/>
      <c r="G449" s="293"/>
      <c r="H449" s="293"/>
      <c r="I449" s="294">
        <f>SUM(I450:I454)</f>
        <v>6478.87</v>
      </c>
      <c r="J449" s="4"/>
      <c r="K449" s="4"/>
      <c r="L449" s="4"/>
      <c r="M449" s="4"/>
      <c r="N449" s="4"/>
      <c r="O449" s="4"/>
      <c r="P449" s="4"/>
      <c r="Q449" s="4"/>
    </row>
    <row r="450" spans="1:17" s="40" customFormat="1" ht="14.25" x14ac:dyDescent="0.2">
      <c r="A450" s="232" t="s">
        <v>675</v>
      </c>
      <c r="B450" s="232" t="s">
        <v>45</v>
      </c>
      <c r="C450" s="232">
        <v>4773</v>
      </c>
      <c r="D450" s="150" t="s">
        <v>740</v>
      </c>
      <c r="E450" s="232" t="s">
        <v>17</v>
      </c>
      <c r="F450" s="196">
        <f>3.3*2+3.11+3.2*4</f>
        <v>22.509999999999998</v>
      </c>
      <c r="G450" s="196">
        <v>173.59</v>
      </c>
      <c r="H450" s="196">
        <f>G450</f>
        <v>173.59</v>
      </c>
      <c r="I450" s="196">
        <f>ROUND(F450*H450,2)</f>
        <v>3907.51</v>
      </c>
      <c r="J450" s="41"/>
      <c r="K450" s="41"/>
      <c r="L450" s="41"/>
      <c r="M450" s="41"/>
      <c r="N450" s="41"/>
      <c r="O450" s="41"/>
      <c r="P450" s="41"/>
      <c r="Q450" s="41"/>
    </row>
    <row r="451" spans="1:17" s="40" customFormat="1" ht="14.25" x14ac:dyDescent="0.2">
      <c r="A451" s="232" t="s">
        <v>676</v>
      </c>
      <c r="B451" s="232" t="s">
        <v>45</v>
      </c>
      <c r="C451" s="232">
        <v>6160</v>
      </c>
      <c r="D451" s="150" t="s">
        <v>243</v>
      </c>
      <c r="E451" s="232" t="s">
        <v>14</v>
      </c>
      <c r="F451" s="196">
        <v>44</v>
      </c>
      <c r="G451" s="196">
        <v>23.46</v>
      </c>
      <c r="H451" s="196">
        <f>G451</f>
        <v>23.46</v>
      </c>
      <c r="I451" s="196">
        <f>ROUND(F451*G451,2)</f>
        <v>1032.24</v>
      </c>
      <c r="J451" s="41"/>
      <c r="K451" s="41"/>
      <c r="L451" s="41"/>
      <c r="M451" s="41"/>
      <c r="N451" s="41"/>
      <c r="O451" s="41"/>
      <c r="P451" s="41"/>
      <c r="Q451" s="41"/>
    </row>
    <row r="452" spans="1:17" s="40" customFormat="1" ht="14.25" x14ac:dyDescent="0.2">
      <c r="A452" s="232" t="s">
        <v>1641</v>
      </c>
      <c r="B452" s="232" t="s">
        <v>45</v>
      </c>
      <c r="C452" s="232">
        <v>6121</v>
      </c>
      <c r="D452" s="150" t="s">
        <v>244</v>
      </c>
      <c r="E452" s="232" t="s">
        <v>14</v>
      </c>
      <c r="F452" s="196">
        <v>44</v>
      </c>
      <c r="G452" s="196">
        <v>10.78</v>
      </c>
      <c r="H452" s="196">
        <f>G452</f>
        <v>10.78</v>
      </c>
      <c r="I452" s="196">
        <f>ROUND(F452*G452,2)</f>
        <v>474.32</v>
      </c>
      <c r="J452" s="41"/>
      <c r="K452" s="41"/>
      <c r="L452" s="41"/>
      <c r="M452" s="41"/>
      <c r="N452" s="41"/>
      <c r="O452" s="41"/>
      <c r="P452" s="41"/>
      <c r="Q452" s="41"/>
    </row>
    <row r="453" spans="1:17" s="40" customFormat="1" ht="14.25" x14ac:dyDescent="0.2">
      <c r="A453" s="232" t="s">
        <v>1642</v>
      </c>
      <c r="B453" s="232" t="s">
        <v>45</v>
      </c>
      <c r="C453" s="232">
        <v>6110</v>
      </c>
      <c r="D453" s="150" t="s">
        <v>245</v>
      </c>
      <c r="E453" s="232" t="s">
        <v>14</v>
      </c>
      <c r="F453" s="196">
        <v>44</v>
      </c>
      <c r="G453" s="196">
        <v>13.82</v>
      </c>
      <c r="H453" s="196">
        <f>G453</f>
        <v>13.82</v>
      </c>
      <c r="I453" s="196">
        <f>ROUND(F453*G453,2)</f>
        <v>608.08000000000004</v>
      </c>
      <c r="J453" s="41"/>
      <c r="K453" s="41"/>
      <c r="L453" s="41"/>
      <c r="M453" s="41"/>
      <c r="N453" s="41"/>
      <c r="O453" s="41"/>
      <c r="P453" s="41"/>
      <c r="Q453" s="41"/>
    </row>
    <row r="454" spans="1:17" s="40" customFormat="1" ht="14.25" x14ac:dyDescent="0.2">
      <c r="A454" s="232" t="s">
        <v>1719</v>
      </c>
      <c r="B454" s="232" t="s">
        <v>45</v>
      </c>
      <c r="C454" s="232">
        <v>252</v>
      </c>
      <c r="D454" s="150" t="s">
        <v>801</v>
      </c>
      <c r="E454" s="232" t="s">
        <v>14</v>
      </c>
      <c r="F454" s="196">
        <v>44</v>
      </c>
      <c r="G454" s="196">
        <v>10.38</v>
      </c>
      <c r="H454" s="196">
        <f>G454</f>
        <v>10.38</v>
      </c>
      <c r="I454" s="196">
        <f>ROUND(F454*G454,2)</f>
        <v>456.72</v>
      </c>
      <c r="J454" s="41"/>
      <c r="K454" s="41"/>
      <c r="L454" s="41"/>
      <c r="M454" s="41"/>
      <c r="N454" s="41"/>
      <c r="O454" s="41"/>
      <c r="P454" s="41"/>
      <c r="Q454" s="41"/>
    </row>
    <row r="455" spans="1:17" s="40" customFormat="1" ht="14.25" x14ac:dyDescent="0.2">
      <c r="A455" s="232"/>
      <c r="B455" s="232"/>
      <c r="C455" s="232"/>
      <c r="D455" s="150"/>
      <c r="E455" s="232"/>
      <c r="F455" s="196"/>
      <c r="G455" s="196"/>
      <c r="H455" s="196"/>
      <c r="I455" s="196"/>
      <c r="J455" s="41"/>
      <c r="K455" s="41"/>
      <c r="L455" s="41"/>
      <c r="M455" s="41"/>
      <c r="N455" s="41"/>
      <c r="O455" s="41"/>
      <c r="P455" s="41"/>
      <c r="Q455" s="41"/>
    </row>
    <row r="456" spans="1:17" s="295" customFormat="1" ht="30" x14ac:dyDescent="0.2">
      <c r="A456" s="279">
        <v>36</v>
      </c>
      <c r="B456" s="279" t="s">
        <v>335</v>
      </c>
      <c r="C456" s="290" t="s">
        <v>372</v>
      </c>
      <c r="D456" s="291" t="s">
        <v>1427</v>
      </c>
      <c r="E456" s="279" t="s">
        <v>18</v>
      </c>
      <c r="F456" s="300"/>
      <c r="G456" s="301"/>
      <c r="H456" s="293"/>
      <c r="I456" s="294">
        <f>SUM(I457:I460)</f>
        <v>488.22</v>
      </c>
      <c r="J456" s="105"/>
      <c r="K456" s="105"/>
      <c r="L456" s="105"/>
      <c r="M456" s="105"/>
      <c r="N456" s="105"/>
      <c r="O456" s="105"/>
      <c r="P456" s="105"/>
      <c r="Q456" s="105"/>
    </row>
    <row r="457" spans="1:17" s="288" customFormat="1" ht="14.25" x14ac:dyDescent="0.2">
      <c r="A457" s="232" t="s">
        <v>677</v>
      </c>
      <c r="B457" s="232" t="s">
        <v>45</v>
      </c>
      <c r="C457" s="232">
        <v>11125</v>
      </c>
      <c r="D457" s="150" t="s">
        <v>742</v>
      </c>
      <c r="E457" s="232" t="s">
        <v>169</v>
      </c>
      <c r="F457" s="342">
        <f>13.5*1.3*0.9</f>
        <v>15.795000000000002</v>
      </c>
      <c r="G457" s="296">
        <v>14.43</v>
      </c>
      <c r="H457" s="296">
        <f t="shared" ref="H457:H460" si="81">G457</f>
        <v>14.43</v>
      </c>
      <c r="I457" s="297">
        <f>ROUND(F457*H457,2)</f>
        <v>227.92</v>
      </c>
      <c r="J457" s="298"/>
      <c r="K457" s="298"/>
      <c r="L457" s="298"/>
      <c r="M457" s="298"/>
      <c r="N457" s="298"/>
      <c r="O457" s="298"/>
      <c r="P457" s="298"/>
      <c r="Q457" s="298"/>
    </row>
    <row r="458" spans="1:17" s="288" customFormat="1" ht="14.25" x14ac:dyDescent="0.2">
      <c r="A458" s="232" t="s">
        <v>678</v>
      </c>
      <c r="B458" s="232" t="s">
        <v>45</v>
      </c>
      <c r="C458" s="232">
        <v>589</v>
      </c>
      <c r="D458" s="150" t="s">
        <v>743</v>
      </c>
      <c r="E458" s="232" t="s">
        <v>17</v>
      </c>
      <c r="F458" s="342">
        <f>(1.3*2+0.9*2)</f>
        <v>4.4000000000000004</v>
      </c>
      <c r="G458" s="296">
        <v>31.66</v>
      </c>
      <c r="H458" s="296">
        <f t="shared" si="81"/>
        <v>31.66</v>
      </c>
      <c r="I458" s="297">
        <f>ROUND(F458*H458,2)</f>
        <v>139.30000000000001</v>
      </c>
      <c r="J458" s="298"/>
      <c r="K458" s="298"/>
      <c r="L458" s="298"/>
      <c r="M458" s="298"/>
      <c r="N458" s="298"/>
      <c r="O458" s="298"/>
      <c r="P458" s="298"/>
      <c r="Q458" s="298"/>
    </row>
    <row r="459" spans="1:17" s="288" customFormat="1" ht="14.25" x14ac:dyDescent="0.2">
      <c r="A459" s="232" t="s">
        <v>679</v>
      </c>
      <c r="B459" s="232" t="s">
        <v>45</v>
      </c>
      <c r="C459" s="232">
        <v>252</v>
      </c>
      <c r="D459" s="151" t="s">
        <v>801</v>
      </c>
      <c r="E459" s="232" t="s">
        <v>14</v>
      </c>
      <c r="F459" s="342">
        <v>5</v>
      </c>
      <c r="G459" s="196">
        <v>10.38</v>
      </c>
      <c r="H459" s="296">
        <f t="shared" si="81"/>
        <v>10.38</v>
      </c>
      <c r="I459" s="297">
        <f>ROUND(F459*H459,2)</f>
        <v>51.9</v>
      </c>
      <c r="J459" s="298"/>
      <c r="K459" s="298"/>
      <c r="L459" s="298"/>
      <c r="M459" s="298"/>
      <c r="N459" s="298"/>
      <c r="O459" s="298"/>
      <c r="P459" s="298"/>
      <c r="Q459" s="298"/>
    </row>
    <row r="460" spans="1:17" s="288" customFormat="1" ht="14.25" x14ac:dyDescent="0.2">
      <c r="A460" s="232" t="s">
        <v>680</v>
      </c>
      <c r="B460" s="232" t="s">
        <v>45</v>
      </c>
      <c r="C460" s="232">
        <v>6110</v>
      </c>
      <c r="D460" s="150" t="s">
        <v>245</v>
      </c>
      <c r="E460" s="232" t="s">
        <v>14</v>
      </c>
      <c r="F460" s="342">
        <v>5</v>
      </c>
      <c r="G460" s="196">
        <v>13.82</v>
      </c>
      <c r="H460" s="296">
        <f t="shared" si="81"/>
        <v>13.82</v>
      </c>
      <c r="I460" s="297">
        <f>ROUND(F460*H460,2)</f>
        <v>69.099999999999994</v>
      </c>
      <c r="J460" s="298"/>
      <c r="K460" s="298"/>
      <c r="L460" s="298"/>
      <c r="M460" s="298"/>
      <c r="N460" s="298"/>
      <c r="O460" s="298"/>
      <c r="P460" s="298"/>
      <c r="Q460" s="298"/>
    </row>
    <row r="461" spans="1:17" s="40" customFormat="1" ht="14.25" x14ac:dyDescent="0.2">
      <c r="A461" s="246"/>
      <c r="B461" s="156"/>
      <c r="C461" s="155"/>
      <c r="D461" s="151"/>
      <c r="E461" s="156"/>
      <c r="F461" s="197"/>
      <c r="G461" s="198"/>
      <c r="H461" s="197"/>
      <c r="I461" s="198"/>
    </row>
    <row r="462" spans="1:17" s="40" customFormat="1" ht="30" x14ac:dyDescent="0.2">
      <c r="A462" s="276">
        <v>37</v>
      </c>
      <c r="B462" s="279" t="s">
        <v>335</v>
      </c>
      <c r="C462" s="290" t="s">
        <v>373</v>
      </c>
      <c r="D462" s="181" t="s">
        <v>1825</v>
      </c>
      <c r="E462" s="276"/>
      <c r="F462" s="193"/>
      <c r="G462" s="194"/>
      <c r="H462" s="194"/>
      <c r="I462" s="281">
        <f>SUM(I463:I492)</f>
        <v>27498.780000000006</v>
      </c>
    </row>
    <row r="463" spans="1:17" s="288" customFormat="1" ht="15.95" customHeight="1" x14ac:dyDescent="0.2">
      <c r="A463" s="232" t="s">
        <v>681</v>
      </c>
      <c r="B463" s="232" t="s">
        <v>45</v>
      </c>
      <c r="C463" s="232">
        <v>93358</v>
      </c>
      <c r="D463" s="150" t="s">
        <v>803</v>
      </c>
      <c r="E463" s="232" t="s">
        <v>16</v>
      </c>
      <c r="F463" s="149">
        <f>6.6*2.9*1</f>
        <v>19.139999999999997</v>
      </c>
      <c r="G463" s="250">
        <v>65.819999999999993</v>
      </c>
      <c r="H463" s="296">
        <f t="shared" ref="H463:H472" si="82">G463</f>
        <v>65.819999999999993</v>
      </c>
      <c r="I463" s="149">
        <f t="shared" ref="I463:I472" si="83">ROUND(F463*H463,2)</f>
        <v>1259.79</v>
      </c>
      <c r="J463" s="298"/>
      <c r="K463" s="298"/>
      <c r="L463" s="298"/>
      <c r="M463" s="298"/>
      <c r="N463" s="298"/>
      <c r="O463" s="298"/>
      <c r="P463" s="298"/>
      <c r="Q463" s="298"/>
    </row>
    <row r="464" spans="1:17" s="288" customFormat="1" ht="28.5" x14ac:dyDescent="0.2">
      <c r="A464" s="232" t="s">
        <v>682</v>
      </c>
      <c r="B464" s="232" t="s">
        <v>45</v>
      </c>
      <c r="C464" s="232">
        <v>94097</v>
      </c>
      <c r="D464" s="150" t="s">
        <v>762</v>
      </c>
      <c r="E464" s="232" t="s">
        <v>15</v>
      </c>
      <c r="F464" s="149">
        <f>6.6*2.9</f>
        <v>19.139999999999997</v>
      </c>
      <c r="G464" s="250">
        <v>4.91</v>
      </c>
      <c r="H464" s="296">
        <f t="shared" si="82"/>
        <v>4.91</v>
      </c>
      <c r="I464" s="149">
        <f t="shared" si="83"/>
        <v>93.98</v>
      </c>
      <c r="J464" s="298"/>
      <c r="K464" s="298"/>
      <c r="L464" s="298"/>
      <c r="M464" s="298"/>
      <c r="N464" s="298"/>
      <c r="O464" s="298"/>
      <c r="P464" s="298"/>
      <c r="Q464" s="298"/>
    </row>
    <row r="465" spans="1:18" s="288" customFormat="1" ht="15.95" customHeight="1" x14ac:dyDescent="0.2">
      <c r="A465" s="232" t="s">
        <v>683</v>
      </c>
      <c r="B465" s="232" t="s">
        <v>45</v>
      </c>
      <c r="C465" s="232">
        <v>88039</v>
      </c>
      <c r="D465" s="158" t="s">
        <v>744</v>
      </c>
      <c r="E465" s="232" t="s">
        <v>16</v>
      </c>
      <c r="F465" s="149">
        <f>F464</f>
        <v>19.139999999999997</v>
      </c>
      <c r="G465" s="250">
        <v>69.37</v>
      </c>
      <c r="H465" s="296">
        <f t="shared" si="82"/>
        <v>69.37</v>
      </c>
      <c r="I465" s="149">
        <f t="shared" si="83"/>
        <v>1327.74</v>
      </c>
      <c r="J465" s="298"/>
      <c r="K465" s="298"/>
      <c r="L465" s="298"/>
      <c r="M465" s="298"/>
      <c r="N465" s="298"/>
      <c r="O465" s="298"/>
      <c r="P465" s="298"/>
      <c r="Q465" s="298"/>
    </row>
    <row r="466" spans="1:18" s="40" customFormat="1" ht="57" x14ac:dyDescent="0.2">
      <c r="A466" s="232" t="s">
        <v>684</v>
      </c>
      <c r="B466" s="156" t="s">
        <v>45</v>
      </c>
      <c r="C466" s="232">
        <v>5824</v>
      </c>
      <c r="D466" s="150" t="s">
        <v>1826</v>
      </c>
      <c r="E466" s="156" t="s">
        <v>867</v>
      </c>
      <c r="F466" s="149">
        <v>8</v>
      </c>
      <c r="G466" s="149">
        <v>106.76</v>
      </c>
      <c r="H466" s="149">
        <f t="shared" si="82"/>
        <v>106.76</v>
      </c>
      <c r="I466" s="326">
        <f t="shared" si="83"/>
        <v>854.08</v>
      </c>
      <c r="J466" s="275"/>
      <c r="K466" s="39"/>
      <c r="L466" s="143"/>
      <c r="M466" s="39"/>
      <c r="N466" s="39"/>
      <c r="O466" s="39"/>
      <c r="P466" s="39"/>
      <c r="R466" s="39"/>
    </row>
    <row r="467" spans="1:18" s="40" customFormat="1" ht="14.25" x14ac:dyDescent="0.2">
      <c r="A467" s="232" t="s">
        <v>685</v>
      </c>
      <c r="B467" s="156" t="s">
        <v>45</v>
      </c>
      <c r="C467" s="232">
        <v>88285</v>
      </c>
      <c r="D467" s="150" t="s">
        <v>1827</v>
      </c>
      <c r="E467" s="156" t="s">
        <v>14</v>
      </c>
      <c r="F467" s="149">
        <v>8</v>
      </c>
      <c r="G467" s="149">
        <v>18.440000000000001</v>
      </c>
      <c r="H467" s="149">
        <f t="shared" si="82"/>
        <v>18.440000000000001</v>
      </c>
      <c r="I467" s="326">
        <f t="shared" si="83"/>
        <v>147.52000000000001</v>
      </c>
      <c r="J467" s="275"/>
      <c r="K467" s="39"/>
      <c r="L467" s="143"/>
      <c r="M467" s="39"/>
      <c r="N467" s="39"/>
      <c r="O467" s="39"/>
      <c r="P467" s="39"/>
      <c r="R467" s="39"/>
    </row>
    <row r="468" spans="1:18" s="40" customFormat="1" ht="31.5" customHeight="1" x14ac:dyDescent="0.2">
      <c r="A468" s="232" t="s">
        <v>1946</v>
      </c>
      <c r="B468" s="156" t="s">
        <v>45</v>
      </c>
      <c r="C468" s="232">
        <v>89272</v>
      </c>
      <c r="D468" s="150" t="s">
        <v>1828</v>
      </c>
      <c r="E468" s="156" t="s">
        <v>867</v>
      </c>
      <c r="F468" s="149">
        <v>8</v>
      </c>
      <c r="G468" s="149">
        <v>144.16999999999999</v>
      </c>
      <c r="H468" s="149">
        <f t="shared" si="82"/>
        <v>144.16999999999999</v>
      </c>
      <c r="I468" s="326">
        <f t="shared" si="83"/>
        <v>1153.3599999999999</v>
      </c>
      <c r="J468" s="275"/>
      <c r="K468" s="39"/>
      <c r="L468" s="143"/>
      <c r="M468" s="39"/>
      <c r="N468" s="39"/>
      <c r="O468" s="39"/>
      <c r="P468" s="39"/>
      <c r="R468" s="39"/>
    </row>
    <row r="469" spans="1:18" s="40" customFormat="1" ht="14.25" x14ac:dyDescent="0.2">
      <c r="A469" s="232" t="s">
        <v>1947</v>
      </c>
      <c r="B469" s="156" t="s">
        <v>45</v>
      </c>
      <c r="C469" s="232">
        <v>88296</v>
      </c>
      <c r="D469" s="150" t="s">
        <v>1829</v>
      </c>
      <c r="E469" s="156" t="s">
        <v>14</v>
      </c>
      <c r="F469" s="149">
        <v>8</v>
      </c>
      <c r="G469" s="149">
        <v>25.37</v>
      </c>
      <c r="H469" s="149">
        <f t="shared" si="82"/>
        <v>25.37</v>
      </c>
      <c r="I469" s="326">
        <f t="shared" si="83"/>
        <v>202.96</v>
      </c>
      <c r="J469" s="275"/>
      <c r="K469" s="39"/>
      <c r="L469" s="143"/>
      <c r="M469" s="39"/>
      <c r="N469" s="39"/>
      <c r="O469" s="39"/>
      <c r="P469" s="39"/>
      <c r="R469" s="39"/>
    </row>
    <row r="470" spans="1:18" s="40" customFormat="1" ht="57" x14ac:dyDescent="0.2">
      <c r="A470" s="232" t="s">
        <v>1948</v>
      </c>
      <c r="B470" s="156" t="s">
        <v>45</v>
      </c>
      <c r="C470" s="232">
        <v>89202</v>
      </c>
      <c r="D470" s="150" t="s">
        <v>1830</v>
      </c>
      <c r="E470" s="156" t="s">
        <v>17</v>
      </c>
      <c r="F470" s="149">
        <f>4*8</f>
        <v>32</v>
      </c>
      <c r="G470" s="149">
        <v>62.24</v>
      </c>
      <c r="H470" s="149">
        <f t="shared" si="82"/>
        <v>62.24</v>
      </c>
      <c r="I470" s="326">
        <f t="shared" si="83"/>
        <v>1991.68</v>
      </c>
      <c r="J470" s="275"/>
      <c r="K470" s="39"/>
      <c r="L470" s="143"/>
      <c r="M470" s="39"/>
      <c r="N470" s="39"/>
      <c r="O470" s="39"/>
      <c r="P470" s="39"/>
      <c r="R470" s="39"/>
    </row>
    <row r="471" spans="1:18" ht="14.25" x14ac:dyDescent="0.2">
      <c r="A471" s="232" t="s">
        <v>1949</v>
      </c>
      <c r="B471" s="156" t="s">
        <v>45</v>
      </c>
      <c r="C471" s="232">
        <v>88316</v>
      </c>
      <c r="D471" s="150" t="s">
        <v>1831</v>
      </c>
      <c r="E471" s="232" t="s">
        <v>14</v>
      </c>
      <c r="F471" s="149">
        <v>8</v>
      </c>
      <c r="G471" s="149">
        <v>16.64</v>
      </c>
      <c r="H471" s="149">
        <f t="shared" si="82"/>
        <v>16.64</v>
      </c>
      <c r="I471" s="326">
        <f t="shared" si="83"/>
        <v>133.12</v>
      </c>
      <c r="J471" s="44"/>
      <c r="K471" s="44"/>
      <c r="L471" s="44"/>
      <c r="M471" s="44"/>
      <c r="N471" s="44"/>
      <c r="O471" s="44"/>
      <c r="P471" s="44"/>
      <c r="Q471" s="44"/>
    </row>
    <row r="472" spans="1:18" s="40" customFormat="1" ht="28.5" x14ac:dyDescent="0.2">
      <c r="A472" s="232" t="s">
        <v>1950</v>
      </c>
      <c r="B472" s="232" t="s">
        <v>45</v>
      </c>
      <c r="C472" s="232">
        <v>95241</v>
      </c>
      <c r="D472" s="158" t="s">
        <v>733</v>
      </c>
      <c r="E472" s="232" t="s">
        <v>15</v>
      </c>
      <c r="F472" s="149">
        <f>F464</f>
        <v>19.139999999999997</v>
      </c>
      <c r="G472" s="250">
        <v>19.88</v>
      </c>
      <c r="H472" s="296">
        <f t="shared" si="82"/>
        <v>19.88</v>
      </c>
      <c r="I472" s="149">
        <f t="shared" si="83"/>
        <v>380.5</v>
      </c>
      <c r="J472" s="41"/>
      <c r="K472" s="41"/>
      <c r="L472" s="41"/>
      <c r="M472" s="41"/>
      <c r="N472" s="41"/>
      <c r="O472" s="41"/>
      <c r="P472" s="41"/>
      <c r="Q472" s="41"/>
    </row>
    <row r="473" spans="1:18" s="308" customFormat="1" ht="14.25" x14ac:dyDescent="0.2">
      <c r="A473" s="232" t="s">
        <v>1951</v>
      </c>
      <c r="B473" s="156" t="s">
        <v>45</v>
      </c>
      <c r="C473" s="232">
        <v>6454</v>
      </c>
      <c r="D473" s="158" t="s">
        <v>1794</v>
      </c>
      <c r="E473" s="156" t="s">
        <v>16</v>
      </c>
      <c r="F473" s="149">
        <f>F463</f>
        <v>19.139999999999997</v>
      </c>
      <c r="G473" s="149">
        <v>155.35</v>
      </c>
      <c r="H473" s="149">
        <f t="shared" ref="H473" si="84">ROUND((1+$L$16)*G473,2)</f>
        <v>155.35</v>
      </c>
      <c r="I473" s="149">
        <f>ROUND(F473*H473,2)</f>
        <v>2973.4</v>
      </c>
      <c r="J473" s="307"/>
      <c r="K473" s="307"/>
      <c r="L473" s="307"/>
      <c r="M473" s="307"/>
      <c r="N473" s="307"/>
      <c r="O473" s="307"/>
    </row>
    <row r="474" spans="1:18" s="40" customFormat="1" ht="14.25" x14ac:dyDescent="0.2">
      <c r="A474" s="232" t="s">
        <v>1952</v>
      </c>
      <c r="B474" s="232" t="s">
        <v>45</v>
      </c>
      <c r="C474" s="232">
        <v>25071</v>
      </c>
      <c r="D474" s="158" t="s">
        <v>1813</v>
      </c>
      <c r="E474" s="232" t="s">
        <v>18</v>
      </c>
      <c r="F474" s="149">
        <v>482</v>
      </c>
      <c r="G474" s="250">
        <v>1.53</v>
      </c>
      <c r="H474" s="296">
        <f t="shared" ref="H474:H482" si="85">G474</f>
        <v>1.53</v>
      </c>
      <c r="I474" s="149">
        <f t="shared" ref="I474:I482" si="86">ROUND(F474*H474,2)</f>
        <v>737.46</v>
      </c>
      <c r="J474" s="41"/>
      <c r="K474" s="41"/>
      <c r="L474" s="41"/>
      <c r="M474" s="41"/>
      <c r="N474" s="41"/>
      <c r="O474" s="41"/>
      <c r="P474" s="41"/>
      <c r="Q474" s="41"/>
    </row>
    <row r="475" spans="1:18" s="40" customFormat="1" ht="14.25" x14ac:dyDescent="0.2">
      <c r="A475" s="232" t="s">
        <v>1953</v>
      </c>
      <c r="B475" s="232" t="s">
        <v>45</v>
      </c>
      <c r="C475" s="232">
        <v>38591</v>
      </c>
      <c r="D475" s="158" t="s">
        <v>1814</v>
      </c>
      <c r="E475" s="232" t="s">
        <v>18</v>
      </c>
      <c r="F475" s="149">
        <v>139</v>
      </c>
      <c r="G475" s="250">
        <v>2.21</v>
      </c>
      <c r="H475" s="296">
        <f t="shared" si="85"/>
        <v>2.21</v>
      </c>
      <c r="I475" s="149">
        <f t="shared" si="86"/>
        <v>307.19</v>
      </c>
      <c r="J475" s="41"/>
      <c r="K475" s="41"/>
      <c r="L475" s="41"/>
      <c r="M475" s="41"/>
      <c r="N475" s="41"/>
      <c r="O475" s="41"/>
      <c r="P475" s="41"/>
      <c r="Q475" s="41"/>
    </row>
    <row r="476" spans="1:18" s="40" customFormat="1" ht="14.25" x14ac:dyDescent="0.2">
      <c r="A476" s="232" t="s">
        <v>1954</v>
      </c>
      <c r="B476" s="232" t="s">
        <v>45</v>
      </c>
      <c r="C476" s="232">
        <v>38593</v>
      </c>
      <c r="D476" s="158" t="s">
        <v>1815</v>
      </c>
      <c r="E476" s="232" t="s">
        <v>18</v>
      </c>
      <c r="F476" s="149">
        <v>115</v>
      </c>
      <c r="G476" s="250">
        <v>1.9</v>
      </c>
      <c r="H476" s="296">
        <f t="shared" si="85"/>
        <v>1.9</v>
      </c>
      <c r="I476" s="149">
        <f t="shared" si="86"/>
        <v>218.5</v>
      </c>
      <c r="J476" s="41"/>
      <c r="K476" s="41"/>
      <c r="L476" s="41"/>
      <c r="M476" s="41"/>
      <c r="N476" s="41"/>
      <c r="O476" s="41"/>
      <c r="P476" s="41"/>
      <c r="Q476" s="41"/>
    </row>
    <row r="477" spans="1:18" s="40" customFormat="1" ht="14.25" x14ac:dyDescent="0.2">
      <c r="A477" s="232" t="s">
        <v>1955</v>
      </c>
      <c r="B477" s="232" t="s">
        <v>45</v>
      </c>
      <c r="C477" s="232">
        <v>38598</v>
      </c>
      <c r="D477" s="158" t="s">
        <v>1816</v>
      </c>
      <c r="E477" s="232" t="s">
        <v>18</v>
      </c>
      <c r="F477" s="250">
        <f>64+86</f>
        <v>150</v>
      </c>
      <c r="G477" s="250">
        <v>1.96</v>
      </c>
      <c r="H477" s="296">
        <f t="shared" si="85"/>
        <v>1.96</v>
      </c>
      <c r="I477" s="149">
        <f t="shared" si="86"/>
        <v>294</v>
      </c>
      <c r="J477" s="41"/>
      <c r="K477" s="41"/>
      <c r="L477" s="41"/>
      <c r="M477" s="41"/>
      <c r="N477" s="41"/>
      <c r="O477" s="41"/>
      <c r="P477" s="41"/>
      <c r="Q477" s="41"/>
    </row>
    <row r="478" spans="1:18" s="40" customFormat="1" ht="14.25" x14ac:dyDescent="0.2">
      <c r="A478" s="232" t="s">
        <v>1956</v>
      </c>
      <c r="B478" s="232" t="s">
        <v>45</v>
      </c>
      <c r="C478" s="232">
        <v>34452</v>
      </c>
      <c r="D478" s="158" t="s">
        <v>1817</v>
      </c>
      <c r="E478" s="232" t="s">
        <v>169</v>
      </c>
      <c r="F478" s="250">
        <v>1</v>
      </c>
      <c r="G478" s="250">
        <v>3.7</v>
      </c>
      <c r="H478" s="296">
        <f t="shared" si="85"/>
        <v>3.7</v>
      </c>
      <c r="I478" s="149">
        <f t="shared" si="86"/>
        <v>3.7</v>
      </c>
      <c r="J478" s="41"/>
      <c r="K478" s="41"/>
      <c r="L478" s="41"/>
      <c r="M478" s="41"/>
      <c r="N478" s="41"/>
      <c r="O478" s="41"/>
      <c r="P478" s="41"/>
      <c r="Q478" s="41"/>
    </row>
    <row r="479" spans="1:18" s="40" customFormat="1" ht="14.25" customHeight="1" x14ac:dyDescent="0.2">
      <c r="A479" s="232" t="s">
        <v>1957</v>
      </c>
      <c r="B479" s="232" t="s">
        <v>45</v>
      </c>
      <c r="C479" s="232">
        <v>34456</v>
      </c>
      <c r="D479" s="158" t="s">
        <v>1818</v>
      </c>
      <c r="E479" s="232" t="s">
        <v>169</v>
      </c>
      <c r="F479" s="250">
        <v>48</v>
      </c>
      <c r="G479" s="250">
        <v>3.7</v>
      </c>
      <c r="H479" s="296">
        <f t="shared" si="85"/>
        <v>3.7</v>
      </c>
      <c r="I479" s="149">
        <f t="shared" si="86"/>
        <v>177.6</v>
      </c>
      <c r="J479" s="41"/>
      <c r="K479" s="41"/>
      <c r="L479" s="41"/>
      <c r="M479" s="41"/>
      <c r="N479" s="41"/>
      <c r="O479" s="41"/>
      <c r="P479" s="41"/>
      <c r="Q479" s="41"/>
    </row>
    <row r="480" spans="1:18" s="40" customFormat="1" ht="14.25" customHeight="1" x14ac:dyDescent="0.2">
      <c r="A480" s="232" t="s">
        <v>1958</v>
      </c>
      <c r="B480" s="232" t="s">
        <v>45</v>
      </c>
      <c r="C480" s="232">
        <v>34449</v>
      </c>
      <c r="D480" s="158" t="s">
        <v>871</v>
      </c>
      <c r="E480" s="232" t="s">
        <v>169</v>
      </c>
      <c r="F480" s="250">
        <v>21</v>
      </c>
      <c r="G480" s="250">
        <v>4.18</v>
      </c>
      <c r="H480" s="296">
        <f t="shared" si="85"/>
        <v>4.18</v>
      </c>
      <c r="I480" s="149">
        <f t="shared" si="86"/>
        <v>87.78</v>
      </c>
      <c r="J480" s="41"/>
      <c r="K480" s="41"/>
      <c r="L480" s="41"/>
      <c r="M480" s="41"/>
      <c r="N480" s="41"/>
      <c r="O480" s="41"/>
      <c r="P480" s="41"/>
      <c r="Q480" s="41"/>
    </row>
    <row r="481" spans="1:17" s="40" customFormat="1" ht="14.25" x14ac:dyDescent="0.2">
      <c r="A481" s="232" t="s">
        <v>1959</v>
      </c>
      <c r="B481" s="232" t="s">
        <v>45</v>
      </c>
      <c r="C481" s="232">
        <v>33</v>
      </c>
      <c r="D481" s="158" t="s">
        <v>799</v>
      </c>
      <c r="E481" s="232" t="s">
        <v>169</v>
      </c>
      <c r="F481" s="250">
        <v>39</v>
      </c>
      <c r="G481" s="250">
        <v>4.1900000000000004</v>
      </c>
      <c r="H481" s="296">
        <f t="shared" si="85"/>
        <v>4.1900000000000004</v>
      </c>
      <c r="I481" s="149">
        <f t="shared" si="86"/>
        <v>163.41</v>
      </c>
      <c r="J481" s="41"/>
      <c r="K481" s="41"/>
      <c r="L481" s="41"/>
      <c r="M481" s="41"/>
      <c r="N481" s="41"/>
      <c r="O481" s="41"/>
      <c r="P481" s="41"/>
      <c r="Q481" s="41"/>
    </row>
    <row r="482" spans="1:17" s="40" customFormat="1" ht="14.25" x14ac:dyDescent="0.2">
      <c r="A482" s="232" t="s">
        <v>1960</v>
      </c>
      <c r="B482" s="232" t="s">
        <v>45</v>
      </c>
      <c r="C482" s="232">
        <v>34439</v>
      </c>
      <c r="D482" s="158" t="s">
        <v>798</v>
      </c>
      <c r="E482" s="232" t="s">
        <v>169</v>
      </c>
      <c r="F482" s="250">
        <v>78</v>
      </c>
      <c r="G482" s="250">
        <v>4</v>
      </c>
      <c r="H482" s="296">
        <f t="shared" si="85"/>
        <v>4</v>
      </c>
      <c r="I482" s="149">
        <f t="shared" si="86"/>
        <v>312</v>
      </c>
      <c r="J482" s="41"/>
      <c r="K482" s="41"/>
      <c r="L482" s="41"/>
      <c r="M482" s="41"/>
      <c r="N482" s="41"/>
      <c r="O482" s="41"/>
      <c r="P482" s="41"/>
      <c r="Q482" s="41"/>
    </row>
    <row r="483" spans="1:17" s="40" customFormat="1" ht="14.25" x14ac:dyDescent="0.2">
      <c r="A483" s="232" t="s">
        <v>1961</v>
      </c>
      <c r="B483" s="232" t="s">
        <v>45</v>
      </c>
      <c r="C483" s="232">
        <v>34441</v>
      </c>
      <c r="D483" s="158" t="s">
        <v>1389</v>
      </c>
      <c r="E483" s="232" t="s">
        <v>169</v>
      </c>
      <c r="F483" s="250">
        <v>63</v>
      </c>
      <c r="G483" s="250">
        <v>3.8</v>
      </c>
      <c r="H483" s="296">
        <f t="shared" ref="H483:H487" si="87">G483</f>
        <v>3.8</v>
      </c>
      <c r="I483" s="149">
        <f t="shared" ref="I483:I487" si="88">ROUND(F483*H483,2)</f>
        <v>239.4</v>
      </c>
      <c r="J483" s="41"/>
      <c r="K483" s="41"/>
      <c r="L483" s="41"/>
      <c r="M483" s="41"/>
      <c r="N483" s="41"/>
      <c r="O483" s="41"/>
      <c r="P483" s="41"/>
      <c r="Q483" s="41"/>
    </row>
    <row r="484" spans="1:17" s="40" customFormat="1" ht="28.5" x14ac:dyDescent="0.2">
      <c r="A484" s="232" t="s">
        <v>1962</v>
      </c>
      <c r="B484" s="232" t="s">
        <v>45</v>
      </c>
      <c r="C484" s="232">
        <v>94973</v>
      </c>
      <c r="D484" s="158" t="s">
        <v>734</v>
      </c>
      <c r="E484" s="232" t="s">
        <v>16</v>
      </c>
      <c r="F484" s="149">
        <v>3.3</v>
      </c>
      <c r="G484" s="250">
        <v>318.3</v>
      </c>
      <c r="H484" s="296">
        <f t="shared" si="87"/>
        <v>318.3</v>
      </c>
      <c r="I484" s="149">
        <f t="shared" si="88"/>
        <v>1050.3900000000001</v>
      </c>
      <c r="J484" s="41"/>
      <c r="K484" s="41"/>
      <c r="L484" s="41"/>
      <c r="M484" s="41"/>
      <c r="N484" s="41"/>
      <c r="O484" s="41"/>
      <c r="P484" s="41"/>
      <c r="Q484" s="41"/>
    </row>
    <row r="485" spans="1:17" s="40" customFormat="1" ht="14.25" x14ac:dyDescent="0.2">
      <c r="A485" s="232" t="s">
        <v>1963</v>
      </c>
      <c r="B485" s="232" t="s">
        <v>45</v>
      </c>
      <c r="C485" s="232">
        <v>38124</v>
      </c>
      <c r="D485" s="158" t="s">
        <v>1833</v>
      </c>
      <c r="E485" s="232" t="s">
        <v>18</v>
      </c>
      <c r="F485" s="149">
        <v>2</v>
      </c>
      <c r="G485" s="250">
        <v>29.7</v>
      </c>
      <c r="H485" s="296">
        <f t="shared" si="87"/>
        <v>29.7</v>
      </c>
      <c r="I485" s="149">
        <f t="shared" si="88"/>
        <v>59.4</v>
      </c>
      <c r="J485" s="41"/>
      <c r="K485" s="41"/>
      <c r="L485" s="41"/>
      <c r="M485" s="41"/>
      <c r="N485" s="41"/>
      <c r="O485" s="41"/>
      <c r="P485" s="41"/>
      <c r="Q485" s="41"/>
    </row>
    <row r="486" spans="1:17" s="40" customFormat="1" ht="42.75" x14ac:dyDescent="0.2">
      <c r="A486" s="232" t="s">
        <v>1964</v>
      </c>
      <c r="B486" s="232" t="s">
        <v>45</v>
      </c>
      <c r="C486" s="156">
        <v>92541</v>
      </c>
      <c r="D486" s="151" t="s">
        <v>1823</v>
      </c>
      <c r="E486" s="232" t="s">
        <v>15</v>
      </c>
      <c r="F486" s="149">
        <f>7.6*3.9</f>
        <v>29.639999999999997</v>
      </c>
      <c r="G486" s="250">
        <v>44.87</v>
      </c>
      <c r="H486" s="296">
        <f t="shared" si="87"/>
        <v>44.87</v>
      </c>
      <c r="I486" s="149">
        <f t="shared" si="88"/>
        <v>1329.95</v>
      </c>
      <c r="J486" s="41"/>
      <c r="K486" s="41"/>
      <c r="L486" s="41"/>
      <c r="M486" s="41"/>
      <c r="N486" s="41"/>
      <c r="O486" s="41"/>
      <c r="P486" s="41"/>
      <c r="Q486" s="41"/>
    </row>
    <row r="487" spans="1:17" s="40" customFormat="1" ht="28.5" x14ac:dyDescent="0.2">
      <c r="A487" s="232" t="s">
        <v>1965</v>
      </c>
      <c r="B487" s="232" t="s">
        <v>45</v>
      </c>
      <c r="C487" s="156">
        <v>94201</v>
      </c>
      <c r="D487" s="151" t="s">
        <v>1824</v>
      </c>
      <c r="E487" s="232" t="s">
        <v>15</v>
      </c>
      <c r="F487" s="149">
        <f>F486</f>
        <v>29.639999999999997</v>
      </c>
      <c r="G487" s="250">
        <v>44.75</v>
      </c>
      <c r="H487" s="296">
        <f t="shared" si="87"/>
        <v>44.75</v>
      </c>
      <c r="I487" s="149">
        <f t="shared" si="88"/>
        <v>1326.39</v>
      </c>
      <c r="J487" s="41"/>
      <c r="K487" s="41"/>
      <c r="L487" s="41"/>
      <c r="M487" s="41"/>
      <c r="N487" s="41"/>
      <c r="O487" s="41"/>
      <c r="P487" s="41"/>
      <c r="Q487" s="41"/>
    </row>
    <row r="488" spans="1:17" s="40" customFormat="1" ht="28.5" customHeight="1" x14ac:dyDescent="0.2">
      <c r="A488" s="232" t="s">
        <v>1966</v>
      </c>
      <c r="B488" s="232" t="s">
        <v>45</v>
      </c>
      <c r="C488" s="232">
        <v>87878</v>
      </c>
      <c r="D488" s="150" t="s">
        <v>746</v>
      </c>
      <c r="E488" s="232" t="s">
        <v>15</v>
      </c>
      <c r="F488" s="149">
        <f>((3.3*6.55-1.5*1.2*2)+6.5*3.3+(6.5*2.85-0.8*2.1)*2+2.85*3.3)*2</f>
        <v>165.12</v>
      </c>
      <c r="G488" s="250">
        <v>3.13</v>
      </c>
      <c r="H488" s="296">
        <f t="shared" ref="H488:H492" si="89">G488</f>
        <v>3.13</v>
      </c>
      <c r="I488" s="149">
        <f t="shared" ref="I488:I492" si="90">ROUND(F488*H488,2)</f>
        <v>516.83000000000004</v>
      </c>
      <c r="J488" s="41"/>
      <c r="K488" s="41"/>
      <c r="L488" s="41"/>
      <c r="M488" s="41"/>
      <c r="N488" s="41"/>
      <c r="O488" s="41"/>
      <c r="P488" s="41"/>
      <c r="Q488" s="41"/>
    </row>
    <row r="489" spans="1:17" s="40" customFormat="1" ht="57" x14ac:dyDescent="0.2">
      <c r="A489" s="232" t="s">
        <v>1967</v>
      </c>
      <c r="B489" s="232" t="s">
        <v>45</v>
      </c>
      <c r="C489" s="232">
        <v>87561</v>
      </c>
      <c r="D489" s="158" t="s">
        <v>804</v>
      </c>
      <c r="E489" s="232" t="s">
        <v>15</v>
      </c>
      <c r="F489" s="149">
        <f>F488</f>
        <v>165.12</v>
      </c>
      <c r="G489" s="250">
        <v>23.88</v>
      </c>
      <c r="H489" s="296">
        <f t="shared" si="89"/>
        <v>23.88</v>
      </c>
      <c r="I489" s="149">
        <f t="shared" si="90"/>
        <v>3943.07</v>
      </c>
      <c r="J489" s="41"/>
      <c r="K489" s="41"/>
      <c r="L489" s="41"/>
      <c r="M489" s="41"/>
      <c r="N489" s="41"/>
      <c r="O489" s="41"/>
      <c r="P489" s="41"/>
      <c r="Q489" s="41"/>
    </row>
    <row r="490" spans="1:17" s="40" customFormat="1" ht="28.5" x14ac:dyDescent="0.2">
      <c r="A490" s="232" t="s">
        <v>1968</v>
      </c>
      <c r="B490" s="232" t="s">
        <v>45</v>
      </c>
      <c r="C490" s="232">
        <v>91341</v>
      </c>
      <c r="D490" s="158" t="s">
        <v>1822</v>
      </c>
      <c r="E490" s="232" t="s">
        <v>15</v>
      </c>
      <c r="F490" s="149">
        <f>0.8*2.1*2</f>
        <v>3.3600000000000003</v>
      </c>
      <c r="G490" s="250">
        <v>695.38</v>
      </c>
      <c r="H490" s="296">
        <f t="shared" si="89"/>
        <v>695.38</v>
      </c>
      <c r="I490" s="149">
        <f t="shared" si="90"/>
        <v>2336.48</v>
      </c>
      <c r="J490" s="41"/>
      <c r="K490" s="41"/>
      <c r="L490" s="41"/>
      <c r="M490" s="41"/>
      <c r="N490" s="41"/>
      <c r="O490" s="41"/>
      <c r="P490" s="41"/>
      <c r="Q490" s="41"/>
    </row>
    <row r="491" spans="1:17" s="40" customFormat="1" ht="28.5" x14ac:dyDescent="0.2">
      <c r="A491" s="232" t="s">
        <v>1969</v>
      </c>
      <c r="B491" s="232" t="s">
        <v>45</v>
      </c>
      <c r="C491" s="232">
        <v>94576</v>
      </c>
      <c r="D491" s="158" t="s">
        <v>1832</v>
      </c>
      <c r="E491" s="232" t="s">
        <v>18</v>
      </c>
      <c r="F491" s="149">
        <f>1.5*1.2*2</f>
        <v>3.5999999999999996</v>
      </c>
      <c r="G491" s="250">
        <v>520.70000000000005</v>
      </c>
      <c r="H491" s="296">
        <f t="shared" si="89"/>
        <v>520.70000000000005</v>
      </c>
      <c r="I491" s="149">
        <f t="shared" si="90"/>
        <v>1874.52</v>
      </c>
      <c r="J491" s="41"/>
      <c r="K491" s="41"/>
      <c r="L491" s="41"/>
      <c r="M491" s="41"/>
      <c r="N491" s="41"/>
      <c r="O491" s="41"/>
      <c r="P491" s="41"/>
      <c r="Q491" s="41"/>
    </row>
    <row r="492" spans="1:17" s="40" customFormat="1" ht="28.5" x14ac:dyDescent="0.2">
      <c r="A492" s="232" t="s">
        <v>1970</v>
      </c>
      <c r="B492" s="232" t="s">
        <v>45</v>
      </c>
      <c r="C492" s="232">
        <v>88487</v>
      </c>
      <c r="D492" s="158" t="s">
        <v>747</v>
      </c>
      <c r="E492" s="232" t="s">
        <v>15</v>
      </c>
      <c r="F492" s="149">
        <f>F488*1.6</f>
        <v>264.19200000000001</v>
      </c>
      <c r="G492" s="250">
        <v>7.58</v>
      </c>
      <c r="H492" s="296">
        <f t="shared" si="89"/>
        <v>7.58</v>
      </c>
      <c r="I492" s="149">
        <f t="shared" si="90"/>
        <v>2002.58</v>
      </c>
      <c r="J492" s="41"/>
      <c r="K492" s="41"/>
      <c r="L492" s="41"/>
      <c r="M492" s="41"/>
      <c r="N492" s="41"/>
      <c r="O492" s="41"/>
      <c r="P492" s="41"/>
      <c r="Q492" s="41"/>
    </row>
    <row r="493" spans="1:17" s="288" customFormat="1" ht="14.25" x14ac:dyDescent="0.2">
      <c r="A493" s="232"/>
      <c r="B493" s="232"/>
      <c r="C493" s="232"/>
      <c r="D493" s="150" t="s">
        <v>1834</v>
      </c>
      <c r="E493" s="232"/>
      <c r="F493" s="342"/>
      <c r="G493" s="196"/>
      <c r="H493" s="296"/>
      <c r="I493" s="297"/>
      <c r="J493" s="298"/>
      <c r="K493" s="298"/>
      <c r="L493" s="298"/>
      <c r="M493" s="298"/>
      <c r="N493" s="298"/>
      <c r="O493" s="298"/>
      <c r="P493" s="298"/>
      <c r="Q493" s="298"/>
    </row>
    <row r="494" spans="1:17" s="288" customFormat="1" ht="14.25" x14ac:dyDescent="0.2">
      <c r="A494" s="232"/>
      <c r="B494" s="232"/>
      <c r="C494" s="232"/>
      <c r="D494" s="150"/>
      <c r="E494" s="232"/>
      <c r="F494" s="342"/>
      <c r="G494" s="196"/>
      <c r="H494" s="296"/>
      <c r="I494" s="297"/>
      <c r="J494" s="298"/>
      <c r="K494" s="298"/>
      <c r="L494" s="298"/>
      <c r="M494" s="298"/>
      <c r="N494" s="298"/>
      <c r="O494" s="298"/>
      <c r="P494" s="298"/>
      <c r="Q494" s="298"/>
    </row>
    <row r="495" spans="1:17" s="40" customFormat="1" ht="30" x14ac:dyDescent="0.2">
      <c r="A495" s="280">
        <v>38</v>
      </c>
      <c r="B495" s="279" t="s">
        <v>335</v>
      </c>
      <c r="C495" s="290" t="s">
        <v>1731</v>
      </c>
      <c r="D495" s="181" t="str">
        <f>ORÇAMENTO!D1488</f>
        <v>FORNECIMENTO E APLICAÇÃO DOS MATERIAIS HIDRÁULICOS DA ELEVATÓRIA DE RECIRCULAÇÃO</v>
      </c>
      <c r="E495" s="276"/>
      <c r="F495" s="193"/>
      <c r="G495" s="194"/>
      <c r="H495" s="194"/>
      <c r="I495" s="281">
        <f>SUM(I496:I517)</f>
        <v>18897.900000000001</v>
      </c>
    </row>
    <row r="496" spans="1:17" s="40" customFormat="1" ht="14.25" x14ac:dyDescent="0.2">
      <c r="A496" s="246" t="s">
        <v>1720</v>
      </c>
      <c r="B496" s="232" t="s">
        <v>65</v>
      </c>
      <c r="C496" s="232"/>
      <c r="D496" s="151" t="s">
        <v>1277</v>
      </c>
      <c r="E496" s="156" t="s">
        <v>18</v>
      </c>
      <c r="F496" s="197">
        <v>1</v>
      </c>
      <c r="G496" s="196">
        <v>426</v>
      </c>
      <c r="H496" s="197">
        <f t="shared" ref="H496:H514" si="91">G496</f>
        <v>426</v>
      </c>
      <c r="I496" s="198">
        <f t="shared" ref="I496" si="92">F496*H496</f>
        <v>426</v>
      </c>
    </row>
    <row r="497" spans="1:9" s="40" customFormat="1" ht="14.25" x14ac:dyDescent="0.2">
      <c r="A497" s="246" t="s">
        <v>1721</v>
      </c>
      <c r="B497" s="232" t="s">
        <v>65</v>
      </c>
      <c r="C497" s="232"/>
      <c r="D497" s="151" t="s">
        <v>1278</v>
      </c>
      <c r="E497" s="156" t="s">
        <v>18</v>
      </c>
      <c r="F497" s="197">
        <v>2</v>
      </c>
      <c r="G497" s="196">
        <v>680</v>
      </c>
      <c r="H497" s="197">
        <f t="shared" si="91"/>
        <v>680</v>
      </c>
      <c r="I497" s="198">
        <f t="shared" ref="I497:I514" si="93">F497*H497</f>
        <v>1360</v>
      </c>
    </row>
    <row r="498" spans="1:9" s="40" customFormat="1" ht="14.25" x14ac:dyDescent="0.2">
      <c r="A498" s="246" t="s">
        <v>1722</v>
      </c>
      <c r="B498" s="232" t="s">
        <v>65</v>
      </c>
      <c r="C498" s="232"/>
      <c r="D498" s="151" t="s">
        <v>966</v>
      </c>
      <c r="E498" s="156" t="s">
        <v>18</v>
      </c>
      <c r="F498" s="197">
        <v>3</v>
      </c>
      <c r="G498" s="196">
        <v>180</v>
      </c>
      <c r="H498" s="197">
        <f t="shared" si="91"/>
        <v>180</v>
      </c>
      <c r="I498" s="198">
        <f t="shared" si="93"/>
        <v>540</v>
      </c>
    </row>
    <row r="499" spans="1:9" s="40" customFormat="1" ht="14.25" x14ac:dyDescent="0.2">
      <c r="A499" s="246" t="s">
        <v>1723</v>
      </c>
      <c r="B499" s="232" t="s">
        <v>65</v>
      </c>
      <c r="C499" s="232"/>
      <c r="D499" s="151" t="s">
        <v>1279</v>
      </c>
      <c r="E499" s="156" t="s">
        <v>18</v>
      </c>
      <c r="F499" s="197">
        <v>2</v>
      </c>
      <c r="G499" s="196">
        <v>523</v>
      </c>
      <c r="H499" s="197">
        <f t="shared" si="91"/>
        <v>523</v>
      </c>
      <c r="I499" s="198">
        <f t="shared" si="93"/>
        <v>1046</v>
      </c>
    </row>
    <row r="500" spans="1:9" s="40" customFormat="1" ht="14.25" x14ac:dyDescent="0.2">
      <c r="A500" s="246" t="s">
        <v>1724</v>
      </c>
      <c r="B500" s="232" t="s">
        <v>65</v>
      </c>
      <c r="C500" s="232"/>
      <c r="D500" s="151" t="s">
        <v>1280</v>
      </c>
      <c r="E500" s="156" t="s">
        <v>18</v>
      </c>
      <c r="F500" s="197">
        <v>2</v>
      </c>
      <c r="G500" s="196">
        <v>1100</v>
      </c>
      <c r="H500" s="197">
        <f t="shared" si="91"/>
        <v>1100</v>
      </c>
      <c r="I500" s="198">
        <f t="shared" si="93"/>
        <v>2200</v>
      </c>
    </row>
    <row r="501" spans="1:9" s="40" customFormat="1" ht="14.25" x14ac:dyDescent="0.2">
      <c r="A501" s="246" t="s">
        <v>1725</v>
      </c>
      <c r="B501" s="232" t="s">
        <v>65</v>
      </c>
      <c r="C501" s="232"/>
      <c r="D501" s="151" t="s">
        <v>1281</v>
      </c>
      <c r="E501" s="156" t="s">
        <v>18</v>
      </c>
      <c r="F501" s="197">
        <v>3</v>
      </c>
      <c r="G501" s="196">
        <v>550</v>
      </c>
      <c r="H501" s="197">
        <f t="shared" si="91"/>
        <v>550</v>
      </c>
      <c r="I501" s="198">
        <f t="shared" si="93"/>
        <v>1650</v>
      </c>
    </row>
    <row r="502" spans="1:9" s="40" customFormat="1" ht="14.25" x14ac:dyDescent="0.2">
      <c r="A502" s="246" t="s">
        <v>1726</v>
      </c>
      <c r="B502" s="232" t="s">
        <v>65</v>
      </c>
      <c r="C502" s="232"/>
      <c r="D502" s="151" t="s">
        <v>1282</v>
      </c>
      <c r="E502" s="156" t="s">
        <v>18</v>
      </c>
      <c r="F502" s="197">
        <v>3</v>
      </c>
      <c r="G502" s="196">
        <v>1100</v>
      </c>
      <c r="H502" s="197">
        <f t="shared" si="91"/>
        <v>1100</v>
      </c>
      <c r="I502" s="198">
        <f t="shared" si="93"/>
        <v>3300</v>
      </c>
    </row>
    <row r="503" spans="1:9" s="40" customFormat="1" ht="14.25" x14ac:dyDescent="0.2">
      <c r="A503" s="246" t="s">
        <v>1727</v>
      </c>
      <c r="B503" s="232" t="s">
        <v>65</v>
      </c>
      <c r="C503" s="232"/>
      <c r="D503" s="151" t="s">
        <v>1283</v>
      </c>
      <c r="E503" s="156" t="s">
        <v>18</v>
      </c>
      <c r="F503" s="197">
        <v>2</v>
      </c>
      <c r="G503" s="196">
        <v>220</v>
      </c>
      <c r="H503" s="197">
        <f t="shared" si="91"/>
        <v>220</v>
      </c>
      <c r="I503" s="198">
        <f t="shared" si="93"/>
        <v>440</v>
      </c>
    </row>
    <row r="504" spans="1:9" s="40" customFormat="1" ht="14.25" x14ac:dyDescent="0.2">
      <c r="A504" s="246" t="s">
        <v>1728</v>
      </c>
      <c r="B504" s="232" t="s">
        <v>65</v>
      </c>
      <c r="C504" s="232"/>
      <c r="D504" s="151" t="s">
        <v>1284</v>
      </c>
      <c r="E504" s="156" t="s">
        <v>18</v>
      </c>
      <c r="F504" s="197">
        <v>2</v>
      </c>
      <c r="G504" s="196">
        <v>420</v>
      </c>
      <c r="H504" s="197">
        <f t="shared" si="91"/>
        <v>420</v>
      </c>
      <c r="I504" s="198">
        <f t="shared" si="93"/>
        <v>840</v>
      </c>
    </row>
    <row r="505" spans="1:9" s="40" customFormat="1" ht="14.25" x14ac:dyDescent="0.2">
      <c r="A505" s="246" t="s">
        <v>1729</v>
      </c>
      <c r="B505" s="232" t="s">
        <v>65</v>
      </c>
      <c r="C505" s="232"/>
      <c r="D505" s="151" t="s">
        <v>1285</v>
      </c>
      <c r="E505" s="156" t="s">
        <v>18</v>
      </c>
      <c r="F505" s="197">
        <v>1</v>
      </c>
      <c r="G505" s="196">
        <v>323</v>
      </c>
      <c r="H505" s="197">
        <f t="shared" si="91"/>
        <v>323</v>
      </c>
      <c r="I505" s="198">
        <f t="shared" si="93"/>
        <v>323</v>
      </c>
    </row>
    <row r="506" spans="1:9" s="40" customFormat="1" ht="14.25" x14ac:dyDescent="0.2">
      <c r="A506" s="246" t="s">
        <v>1730</v>
      </c>
      <c r="B506" s="232" t="s">
        <v>65</v>
      </c>
      <c r="C506" s="232"/>
      <c r="D506" s="151" t="s">
        <v>1286</v>
      </c>
      <c r="E506" s="156" t="s">
        <v>18</v>
      </c>
      <c r="F506" s="197">
        <v>1</v>
      </c>
      <c r="G506" s="196">
        <v>390</v>
      </c>
      <c r="H506" s="197">
        <f t="shared" si="91"/>
        <v>390</v>
      </c>
      <c r="I506" s="198">
        <f t="shared" si="93"/>
        <v>390</v>
      </c>
    </row>
    <row r="507" spans="1:9" s="40" customFormat="1" ht="14.25" x14ac:dyDescent="0.2">
      <c r="A507" s="246" t="s">
        <v>1971</v>
      </c>
      <c r="B507" s="232" t="s">
        <v>65</v>
      </c>
      <c r="C507" s="232"/>
      <c r="D507" s="151" t="s">
        <v>1287</v>
      </c>
      <c r="E507" s="156" t="s">
        <v>18</v>
      </c>
      <c r="F507" s="197">
        <v>1</v>
      </c>
      <c r="G507" s="196">
        <v>120</v>
      </c>
      <c r="H507" s="197">
        <f t="shared" si="91"/>
        <v>120</v>
      </c>
      <c r="I507" s="198">
        <f t="shared" si="93"/>
        <v>120</v>
      </c>
    </row>
    <row r="508" spans="1:9" s="40" customFormat="1" ht="13.5" customHeight="1" x14ac:dyDescent="0.2">
      <c r="A508" s="246" t="s">
        <v>1972</v>
      </c>
      <c r="B508" s="232" t="s">
        <v>65</v>
      </c>
      <c r="C508" s="232"/>
      <c r="D508" s="151" t="s">
        <v>1288</v>
      </c>
      <c r="E508" s="156" t="s">
        <v>18</v>
      </c>
      <c r="F508" s="197">
        <v>1</v>
      </c>
      <c r="G508" s="196">
        <v>340</v>
      </c>
      <c r="H508" s="197">
        <f t="shared" si="91"/>
        <v>340</v>
      </c>
      <c r="I508" s="198">
        <f t="shared" si="93"/>
        <v>340</v>
      </c>
    </row>
    <row r="509" spans="1:9" s="40" customFormat="1" ht="14.25" x14ac:dyDescent="0.2">
      <c r="A509" s="246" t="s">
        <v>1973</v>
      </c>
      <c r="B509" s="232" t="s">
        <v>65</v>
      </c>
      <c r="C509" s="232"/>
      <c r="D509" s="151" t="s">
        <v>1290</v>
      </c>
      <c r="E509" s="156" t="s">
        <v>18</v>
      </c>
      <c r="F509" s="197">
        <v>1</v>
      </c>
      <c r="G509" s="196">
        <v>380</v>
      </c>
      <c r="H509" s="197">
        <f t="shared" si="91"/>
        <v>380</v>
      </c>
      <c r="I509" s="198">
        <f t="shared" si="93"/>
        <v>380</v>
      </c>
    </row>
    <row r="510" spans="1:9" s="40" customFormat="1" ht="14.25" x14ac:dyDescent="0.2">
      <c r="A510" s="246" t="s">
        <v>1974</v>
      </c>
      <c r="B510" s="232" t="s">
        <v>65</v>
      </c>
      <c r="C510" s="232"/>
      <c r="D510" s="151" t="s">
        <v>1291</v>
      </c>
      <c r="E510" s="156" t="s">
        <v>18</v>
      </c>
      <c r="F510" s="197">
        <v>1</v>
      </c>
      <c r="G510" s="196">
        <v>200</v>
      </c>
      <c r="H510" s="197">
        <f t="shared" si="91"/>
        <v>200</v>
      </c>
      <c r="I510" s="198">
        <f t="shared" si="93"/>
        <v>200</v>
      </c>
    </row>
    <row r="511" spans="1:9" s="40" customFormat="1" ht="14.25" x14ac:dyDescent="0.2">
      <c r="A511" s="246" t="s">
        <v>1975</v>
      </c>
      <c r="B511" s="232" t="s">
        <v>65</v>
      </c>
      <c r="C511" s="232"/>
      <c r="D511" s="151" t="s">
        <v>1289</v>
      </c>
      <c r="E511" s="156" t="s">
        <v>18</v>
      </c>
      <c r="F511" s="197">
        <v>2</v>
      </c>
      <c r="G511" s="196">
        <v>450</v>
      </c>
      <c r="H511" s="197">
        <f t="shared" si="91"/>
        <v>450</v>
      </c>
      <c r="I511" s="198">
        <f t="shared" si="93"/>
        <v>900</v>
      </c>
    </row>
    <row r="512" spans="1:9" s="40" customFormat="1" ht="14.25" x14ac:dyDescent="0.2">
      <c r="A512" s="246" t="s">
        <v>1976</v>
      </c>
      <c r="B512" s="232" t="s">
        <v>65</v>
      </c>
      <c r="C512" s="232"/>
      <c r="D512" s="151" t="s">
        <v>1292</v>
      </c>
      <c r="E512" s="156" t="s">
        <v>18</v>
      </c>
      <c r="F512" s="197">
        <v>2</v>
      </c>
      <c r="G512" s="196">
        <v>190</v>
      </c>
      <c r="H512" s="197">
        <f t="shared" si="91"/>
        <v>190</v>
      </c>
      <c r="I512" s="198">
        <f t="shared" si="93"/>
        <v>380</v>
      </c>
    </row>
    <row r="513" spans="1:17" s="40" customFormat="1" ht="14.25" x14ac:dyDescent="0.2">
      <c r="A513" s="246" t="s">
        <v>1977</v>
      </c>
      <c r="B513" s="232" t="s">
        <v>65</v>
      </c>
      <c r="C513" s="232"/>
      <c r="D513" s="151" t="s">
        <v>1260</v>
      </c>
      <c r="E513" s="156" t="s">
        <v>18</v>
      </c>
      <c r="F513" s="197">
        <v>29</v>
      </c>
      <c r="G513" s="196">
        <v>2.9</v>
      </c>
      <c r="H513" s="197">
        <f t="shared" si="91"/>
        <v>2.9</v>
      </c>
      <c r="I513" s="198">
        <f t="shared" si="93"/>
        <v>84.1</v>
      </c>
    </row>
    <row r="514" spans="1:17" s="40" customFormat="1" ht="14.25" x14ac:dyDescent="0.2">
      <c r="A514" s="246" t="s">
        <v>1978</v>
      </c>
      <c r="B514" s="232" t="s">
        <v>65</v>
      </c>
      <c r="C514" s="232"/>
      <c r="D514" s="151" t="s">
        <v>820</v>
      </c>
      <c r="E514" s="156" t="s">
        <v>18</v>
      </c>
      <c r="F514" s="197">
        <v>232</v>
      </c>
      <c r="G514" s="196">
        <v>5.4</v>
      </c>
      <c r="H514" s="197">
        <f t="shared" si="91"/>
        <v>5.4</v>
      </c>
      <c r="I514" s="198">
        <f t="shared" si="93"/>
        <v>1252.8000000000002</v>
      </c>
    </row>
    <row r="515" spans="1:17" s="40" customFormat="1" ht="14.25" x14ac:dyDescent="0.2">
      <c r="A515" s="246" t="s">
        <v>1979</v>
      </c>
      <c r="B515" s="232" t="s">
        <v>45</v>
      </c>
      <c r="C515" s="232">
        <v>88267</v>
      </c>
      <c r="D515" s="151" t="s">
        <v>822</v>
      </c>
      <c r="E515" s="232" t="s">
        <v>14</v>
      </c>
      <c r="F515" s="149">
        <v>50</v>
      </c>
      <c r="G515" s="250">
        <v>21.01</v>
      </c>
      <c r="H515" s="149">
        <f>ROUND((1+K$3)*G515,2)</f>
        <v>21.01</v>
      </c>
      <c r="I515" s="249">
        <f>ROUND(F515*H515,2)</f>
        <v>1050.5</v>
      </c>
      <c r="J515" s="41"/>
      <c r="K515" s="41"/>
      <c r="L515" s="41"/>
      <c r="M515" s="41"/>
      <c r="N515" s="41"/>
      <c r="O515" s="41"/>
      <c r="P515" s="41"/>
      <c r="Q515" s="41"/>
    </row>
    <row r="516" spans="1:17" s="40" customFormat="1" ht="14.25" customHeight="1" x14ac:dyDescent="0.2">
      <c r="A516" s="246" t="s">
        <v>1980</v>
      </c>
      <c r="B516" s="232" t="s">
        <v>45</v>
      </c>
      <c r="C516" s="232">
        <v>88248</v>
      </c>
      <c r="D516" s="151" t="s">
        <v>823</v>
      </c>
      <c r="E516" s="232" t="s">
        <v>14</v>
      </c>
      <c r="F516" s="149">
        <v>50</v>
      </c>
      <c r="G516" s="250">
        <v>16.87</v>
      </c>
      <c r="H516" s="149">
        <f>ROUND((1+K$3)*G516,2)</f>
        <v>16.87</v>
      </c>
      <c r="I516" s="249">
        <f>ROUND(F516*H516,2)</f>
        <v>843.5</v>
      </c>
      <c r="J516" s="41"/>
      <c r="K516" s="41"/>
      <c r="L516" s="41"/>
      <c r="M516" s="41"/>
      <c r="N516" s="41"/>
      <c r="O516" s="41"/>
      <c r="P516" s="41"/>
      <c r="Q516" s="41"/>
    </row>
    <row r="517" spans="1:17" s="40" customFormat="1" ht="14.25" x14ac:dyDescent="0.2">
      <c r="A517" s="246" t="s">
        <v>1981</v>
      </c>
      <c r="B517" s="232" t="s">
        <v>45</v>
      </c>
      <c r="C517" s="232">
        <v>88316</v>
      </c>
      <c r="D517" s="151" t="s">
        <v>824</v>
      </c>
      <c r="E517" s="232" t="s">
        <v>14</v>
      </c>
      <c r="F517" s="149">
        <v>50</v>
      </c>
      <c r="G517" s="250">
        <v>16.64</v>
      </c>
      <c r="H517" s="149">
        <f>ROUND((1+K$3)*G517,2)</f>
        <v>16.64</v>
      </c>
      <c r="I517" s="249">
        <f>ROUND(F517*H517,2)</f>
        <v>832</v>
      </c>
      <c r="J517" s="41"/>
      <c r="K517" s="41"/>
      <c r="L517" s="41"/>
      <c r="M517" s="41"/>
      <c r="N517" s="41"/>
      <c r="O517" s="41"/>
      <c r="P517" s="41"/>
      <c r="Q517" s="41"/>
    </row>
    <row r="518" spans="1:17" s="40" customFormat="1" ht="14.25" x14ac:dyDescent="0.2">
      <c r="A518" s="246"/>
      <c r="B518" s="156"/>
      <c r="C518" s="155"/>
      <c r="D518" s="151"/>
      <c r="E518" s="156"/>
      <c r="F518" s="197"/>
      <c r="G518" s="198"/>
      <c r="H518" s="197"/>
      <c r="I518" s="198"/>
    </row>
    <row r="519" spans="1:17" s="5" customFormat="1" ht="30" x14ac:dyDescent="0.2">
      <c r="A519" s="279">
        <v>39</v>
      </c>
      <c r="B519" s="279" t="s">
        <v>335</v>
      </c>
      <c r="C519" s="290" t="s">
        <v>443</v>
      </c>
      <c r="D519" s="291" t="str">
        <f>ORÇAMENTO!D1549</f>
        <v>PÓRTICO PARA RETIRADA DAS BOMBAS EM PERFIS METÁLICOS, CONFORME PROJETO- (SANITIZAÇÃO)</v>
      </c>
      <c r="E519" s="279"/>
      <c r="F519" s="292"/>
      <c r="G519" s="293"/>
      <c r="H519" s="293"/>
      <c r="I519" s="294">
        <f>SUM(I520:I524)</f>
        <v>9217.5099999999984</v>
      </c>
      <c r="J519" s="4"/>
      <c r="K519" s="4"/>
      <c r="L519" s="4"/>
      <c r="M519" s="4"/>
      <c r="N519" s="4"/>
      <c r="O519" s="4"/>
      <c r="P519" s="4"/>
      <c r="Q519" s="4"/>
    </row>
    <row r="520" spans="1:17" s="40" customFormat="1" ht="14.25" x14ac:dyDescent="0.2">
      <c r="A520" s="232" t="s">
        <v>686</v>
      </c>
      <c r="B520" s="232" t="s">
        <v>45</v>
      </c>
      <c r="C520" s="232">
        <v>4773</v>
      </c>
      <c r="D520" s="150" t="s">
        <v>740</v>
      </c>
      <c r="E520" s="232" t="s">
        <v>17</v>
      </c>
      <c r="F520" s="309">
        <f>3.2*2+6.1+3.6*4+1.5*4</f>
        <v>32.9</v>
      </c>
      <c r="G520" s="309">
        <v>173.59</v>
      </c>
      <c r="H520" s="196">
        <f>G520</f>
        <v>173.59</v>
      </c>
      <c r="I520" s="196">
        <f>ROUND(F520*H520,2)</f>
        <v>5711.11</v>
      </c>
      <c r="J520" s="41"/>
      <c r="K520" s="41"/>
      <c r="L520" s="41"/>
      <c r="M520" s="41"/>
      <c r="N520" s="41"/>
      <c r="O520" s="41"/>
      <c r="P520" s="41"/>
      <c r="Q520" s="41"/>
    </row>
    <row r="521" spans="1:17" s="40" customFormat="1" ht="14.25" x14ac:dyDescent="0.2">
      <c r="A521" s="232" t="s">
        <v>687</v>
      </c>
      <c r="B521" s="232" t="s">
        <v>45</v>
      </c>
      <c r="C521" s="232">
        <v>6160</v>
      </c>
      <c r="D521" s="150" t="s">
        <v>243</v>
      </c>
      <c r="E521" s="232" t="s">
        <v>14</v>
      </c>
      <c r="F521" s="309">
        <v>60</v>
      </c>
      <c r="G521" s="309">
        <v>23.46</v>
      </c>
      <c r="H521" s="196">
        <f>G521</f>
        <v>23.46</v>
      </c>
      <c r="I521" s="196">
        <f>ROUND(F521*G521,2)</f>
        <v>1407.6</v>
      </c>
      <c r="J521" s="41"/>
      <c r="K521" s="41"/>
      <c r="L521" s="41"/>
      <c r="M521" s="41"/>
      <c r="N521" s="41"/>
      <c r="O521" s="41"/>
      <c r="P521" s="41"/>
      <c r="Q521" s="41"/>
    </row>
    <row r="522" spans="1:17" s="40" customFormat="1" ht="14.25" x14ac:dyDescent="0.2">
      <c r="A522" s="232" t="s">
        <v>1732</v>
      </c>
      <c r="B522" s="232" t="s">
        <v>45</v>
      </c>
      <c r="C522" s="232">
        <v>6121</v>
      </c>
      <c r="D522" s="150" t="s">
        <v>244</v>
      </c>
      <c r="E522" s="232" t="s">
        <v>14</v>
      </c>
      <c r="F522" s="309">
        <v>60</v>
      </c>
      <c r="G522" s="309">
        <v>10.78</v>
      </c>
      <c r="H522" s="196">
        <f>G522</f>
        <v>10.78</v>
      </c>
      <c r="I522" s="196">
        <f>ROUND(F522*G522,2)</f>
        <v>646.79999999999995</v>
      </c>
      <c r="J522" s="41"/>
      <c r="K522" s="41"/>
      <c r="L522" s="41"/>
      <c r="M522" s="41"/>
      <c r="N522" s="41"/>
      <c r="O522" s="41"/>
      <c r="P522" s="41"/>
      <c r="Q522" s="41"/>
    </row>
    <row r="523" spans="1:17" s="40" customFormat="1" ht="14.25" x14ac:dyDescent="0.2">
      <c r="A523" s="232" t="s">
        <v>1733</v>
      </c>
      <c r="B523" s="232" t="s">
        <v>45</v>
      </c>
      <c r="C523" s="232">
        <v>6110</v>
      </c>
      <c r="D523" s="150" t="s">
        <v>245</v>
      </c>
      <c r="E523" s="232" t="s">
        <v>14</v>
      </c>
      <c r="F523" s="309">
        <v>60</v>
      </c>
      <c r="G523" s="309">
        <v>13.82</v>
      </c>
      <c r="H523" s="196">
        <f>G523</f>
        <v>13.82</v>
      </c>
      <c r="I523" s="196">
        <f>ROUND(F523*G523,2)</f>
        <v>829.2</v>
      </c>
      <c r="J523" s="41"/>
      <c r="K523" s="41"/>
      <c r="L523" s="41"/>
      <c r="M523" s="41"/>
      <c r="N523" s="41"/>
      <c r="O523" s="41"/>
      <c r="P523" s="41"/>
      <c r="Q523" s="41"/>
    </row>
    <row r="524" spans="1:17" s="40" customFormat="1" ht="14.25" x14ac:dyDescent="0.2">
      <c r="A524" s="232" t="s">
        <v>1982</v>
      </c>
      <c r="B524" s="232" t="s">
        <v>45</v>
      </c>
      <c r="C524" s="232">
        <v>252</v>
      </c>
      <c r="D524" s="150" t="s">
        <v>801</v>
      </c>
      <c r="E524" s="232" t="s">
        <v>14</v>
      </c>
      <c r="F524" s="309">
        <v>60</v>
      </c>
      <c r="G524" s="309">
        <v>10.38</v>
      </c>
      <c r="H524" s="196">
        <f>G524</f>
        <v>10.38</v>
      </c>
      <c r="I524" s="196">
        <f>ROUND(F524*G524,2)</f>
        <v>622.79999999999995</v>
      </c>
      <c r="J524" s="41"/>
      <c r="K524" s="41"/>
      <c r="L524" s="41"/>
      <c r="M524" s="41"/>
      <c r="N524" s="41"/>
      <c r="O524" s="41"/>
      <c r="P524" s="41"/>
      <c r="Q524" s="41"/>
    </row>
    <row r="525" spans="1:17" s="40" customFormat="1" ht="14.25" x14ac:dyDescent="0.2">
      <c r="A525" s="232"/>
      <c r="B525" s="232"/>
      <c r="C525" s="232"/>
      <c r="D525" s="150"/>
      <c r="E525" s="232"/>
      <c r="F525" s="309"/>
      <c r="G525" s="309"/>
      <c r="H525" s="196"/>
      <c r="I525" s="196"/>
      <c r="J525" s="41"/>
      <c r="K525" s="41"/>
      <c r="L525" s="41"/>
      <c r="M525" s="41"/>
      <c r="N525" s="41"/>
      <c r="O525" s="41"/>
      <c r="P525" s="41"/>
      <c r="Q525" s="41"/>
    </row>
    <row r="526" spans="1:17" s="40" customFormat="1" ht="30" x14ac:dyDescent="0.2">
      <c r="A526" s="280">
        <v>40</v>
      </c>
      <c r="B526" s="279" t="s">
        <v>335</v>
      </c>
      <c r="C526" s="290" t="s">
        <v>1738</v>
      </c>
      <c r="D526" s="181" t="s">
        <v>1594</v>
      </c>
      <c r="E526" s="341"/>
      <c r="F526" s="193"/>
      <c r="G526" s="194"/>
      <c r="H526" s="194"/>
      <c r="I526" s="281">
        <f>SUM(I527:I540)</f>
        <v>21249.200000000001</v>
      </c>
    </row>
    <row r="527" spans="1:17" s="40" customFormat="1" ht="14.25" x14ac:dyDescent="0.2">
      <c r="A527" s="366" t="s">
        <v>1734</v>
      </c>
      <c r="B527" s="367" t="s">
        <v>65</v>
      </c>
      <c r="C527" s="365"/>
      <c r="D527" s="368" t="s">
        <v>2249</v>
      </c>
      <c r="E527" s="364" t="s">
        <v>18</v>
      </c>
      <c r="F527" s="369">
        <v>1</v>
      </c>
      <c r="G527" s="370">
        <v>1792</v>
      </c>
      <c r="H527" s="370">
        <f>G527</f>
        <v>1792</v>
      </c>
      <c r="I527" s="370">
        <f>ROUND(F527*H527,2)</f>
        <v>1792</v>
      </c>
    </row>
    <row r="528" spans="1:17" s="40" customFormat="1" ht="14.25" x14ac:dyDescent="0.2">
      <c r="A528" s="366" t="s">
        <v>1735</v>
      </c>
      <c r="B528" s="367" t="s">
        <v>65</v>
      </c>
      <c r="C528" s="365"/>
      <c r="D528" s="368" t="s">
        <v>2243</v>
      </c>
      <c r="E528" s="364" t="s">
        <v>18</v>
      </c>
      <c r="F528" s="369">
        <v>1</v>
      </c>
      <c r="G528" s="370">
        <v>10200</v>
      </c>
      <c r="H528" s="370">
        <f t="shared" ref="H528:H534" si="94">G528</f>
        <v>10200</v>
      </c>
      <c r="I528" s="370">
        <f t="shared" ref="I528:I534" si="95">ROUND(F528*H528,2)</f>
        <v>10200</v>
      </c>
    </row>
    <row r="529" spans="1:18" s="40" customFormat="1" ht="14.25" x14ac:dyDescent="0.2">
      <c r="A529" s="366" t="s">
        <v>1736</v>
      </c>
      <c r="B529" s="367" t="s">
        <v>65</v>
      </c>
      <c r="C529" s="365"/>
      <c r="D529" s="368" t="s">
        <v>2244</v>
      </c>
      <c r="E529" s="364" t="s">
        <v>18</v>
      </c>
      <c r="F529" s="369">
        <v>1</v>
      </c>
      <c r="G529" s="370">
        <v>1162</v>
      </c>
      <c r="H529" s="370">
        <f t="shared" si="94"/>
        <v>1162</v>
      </c>
      <c r="I529" s="370">
        <f t="shared" si="95"/>
        <v>1162</v>
      </c>
    </row>
    <row r="530" spans="1:18" s="40" customFormat="1" ht="14.25" x14ac:dyDescent="0.2">
      <c r="A530" s="366" t="s">
        <v>1737</v>
      </c>
      <c r="B530" s="367" t="s">
        <v>65</v>
      </c>
      <c r="C530" s="365"/>
      <c r="D530" s="368" t="s">
        <v>2245</v>
      </c>
      <c r="E530" s="364" t="s">
        <v>18</v>
      </c>
      <c r="F530" s="369">
        <v>1</v>
      </c>
      <c r="G530" s="370">
        <v>2780</v>
      </c>
      <c r="H530" s="370">
        <f t="shared" si="94"/>
        <v>2780</v>
      </c>
      <c r="I530" s="370">
        <f t="shared" si="95"/>
        <v>2780</v>
      </c>
    </row>
    <row r="531" spans="1:18" s="40" customFormat="1" ht="14.25" x14ac:dyDescent="0.2">
      <c r="A531" s="246" t="s">
        <v>1983</v>
      </c>
      <c r="B531" s="232" t="s">
        <v>65</v>
      </c>
      <c r="C531" s="155"/>
      <c r="D531" s="305" t="s">
        <v>1407</v>
      </c>
      <c r="E531" s="156" t="s">
        <v>18</v>
      </c>
      <c r="F531" s="197">
        <v>1</v>
      </c>
      <c r="G531" s="309">
        <v>260</v>
      </c>
      <c r="H531" s="196">
        <f t="shared" si="94"/>
        <v>260</v>
      </c>
      <c r="I531" s="196">
        <f t="shared" si="95"/>
        <v>260</v>
      </c>
    </row>
    <row r="532" spans="1:18" s="40" customFormat="1" ht="14.25" x14ac:dyDescent="0.2">
      <c r="A532" s="246" t="s">
        <v>1984</v>
      </c>
      <c r="B532" s="232" t="s">
        <v>65</v>
      </c>
      <c r="C532" s="155"/>
      <c r="D532" s="305" t="s">
        <v>1408</v>
      </c>
      <c r="E532" s="156" t="s">
        <v>18</v>
      </c>
      <c r="F532" s="197">
        <v>1</v>
      </c>
      <c r="G532" s="309">
        <v>258</v>
      </c>
      <c r="H532" s="196">
        <f t="shared" si="94"/>
        <v>258</v>
      </c>
      <c r="I532" s="196">
        <f t="shared" si="95"/>
        <v>258</v>
      </c>
    </row>
    <row r="533" spans="1:18" s="40" customFormat="1" ht="14.25" x14ac:dyDescent="0.2">
      <c r="A533" s="246" t="s">
        <v>1985</v>
      </c>
      <c r="B533" s="232" t="s">
        <v>65</v>
      </c>
      <c r="C533" s="155"/>
      <c r="D533" s="305" t="s">
        <v>1409</v>
      </c>
      <c r="E533" s="156" t="s">
        <v>18</v>
      </c>
      <c r="F533" s="197">
        <v>1</v>
      </c>
      <c r="G533" s="309">
        <v>1100</v>
      </c>
      <c r="H533" s="196">
        <f t="shared" si="94"/>
        <v>1100</v>
      </c>
      <c r="I533" s="196">
        <f t="shared" si="95"/>
        <v>1100</v>
      </c>
    </row>
    <row r="534" spans="1:18" s="40" customFormat="1" ht="14.25" x14ac:dyDescent="0.2">
      <c r="A534" s="246" t="s">
        <v>1986</v>
      </c>
      <c r="B534" s="232" t="s">
        <v>65</v>
      </c>
      <c r="C534" s="155"/>
      <c r="D534" s="305" t="s">
        <v>1410</v>
      </c>
      <c r="E534" s="156" t="s">
        <v>18</v>
      </c>
      <c r="F534" s="197">
        <v>1</v>
      </c>
      <c r="G534" s="309">
        <v>426</v>
      </c>
      <c r="H534" s="196">
        <f t="shared" si="94"/>
        <v>426</v>
      </c>
      <c r="I534" s="196">
        <f t="shared" si="95"/>
        <v>426</v>
      </c>
    </row>
    <row r="535" spans="1:18" s="40" customFormat="1" ht="14.25" x14ac:dyDescent="0.2">
      <c r="A535" s="366" t="s">
        <v>1987</v>
      </c>
      <c r="B535" s="367" t="s">
        <v>65</v>
      </c>
      <c r="C535" s="365"/>
      <c r="D535" s="368" t="s">
        <v>2246</v>
      </c>
      <c r="E535" s="364" t="s">
        <v>18</v>
      </c>
      <c r="F535" s="369">
        <v>1</v>
      </c>
      <c r="G535" s="370"/>
      <c r="H535" s="370"/>
      <c r="I535" s="370"/>
    </row>
    <row r="536" spans="1:18" s="40" customFormat="1" ht="14.25" x14ac:dyDescent="0.2">
      <c r="A536" s="366" t="s">
        <v>1988</v>
      </c>
      <c r="B536" s="367" t="s">
        <v>65</v>
      </c>
      <c r="C536" s="365"/>
      <c r="D536" s="368" t="s">
        <v>2247</v>
      </c>
      <c r="E536" s="364" t="s">
        <v>18</v>
      </c>
      <c r="F536" s="369">
        <v>1</v>
      </c>
      <c r="G536" s="370"/>
      <c r="H536" s="370"/>
      <c r="I536" s="370"/>
    </row>
    <row r="537" spans="1:18" s="40" customFormat="1" ht="14.25" x14ac:dyDescent="0.2">
      <c r="A537" s="366" t="s">
        <v>1989</v>
      </c>
      <c r="B537" s="367" t="s">
        <v>65</v>
      </c>
      <c r="C537" s="365"/>
      <c r="D537" s="368" t="s">
        <v>2248</v>
      </c>
      <c r="E537" s="364" t="s">
        <v>18</v>
      </c>
      <c r="F537" s="369">
        <v>1</v>
      </c>
      <c r="G537" s="370"/>
      <c r="H537" s="370"/>
      <c r="I537" s="370"/>
    </row>
    <row r="538" spans="1:18" s="40" customFormat="1" ht="14.25" x14ac:dyDescent="0.2">
      <c r="A538" s="246" t="s">
        <v>1987</v>
      </c>
      <c r="B538" s="232" t="s">
        <v>45</v>
      </c>
      <c r="C538" s="232">
        <v>88267</v>
      </c>
      <c r="D538" s="151" t="s">
        <v>822</v>
      </c>
      <c r="E538" s="232" t="s">
        <v>14</v>
      </c>
      <c r="F538" s="304">
        <v>60</v>
      </c>
      <c r="G538" s="309">
        <v>21.01</v>
      </c>
      <c r="H538" s="149">
        <f>ROUND((1+K$3)*G538,2)</f>
        <v>21.01</v>
      </c>
      <c r="I538" s="249">
        <f>ROUND(F538*H538,2)</f>
        <v>1260.5999999999999</v>
      </c>
      <c r="J538" s="41"/>
      <c r="K538" s="41"/>
      <c r="L538" s="41"/>
      <c r="M538" s="41"/>
      <c r="N538" s="41"/>
      <c r="O538" s="41"/>
      <c r="P538" s="41"/>
      <c r="Q538" s="41"/>
    </row>
    <row r="539" spans="1:18" s="40" customFormat="1" ht="14.25" customHeight="1" x14ac:dyDescent="0.2">
      <c r="A539" s="246" t="s">
        <v>1988</v>
      </c>
      <c r="B539" s="232" t="s">
        <v>45</v>
      </c>
      <c r="C539" s="232">
        <v>88248</v>
      </c>
      <c r="D539" s="151" t="s">
        <v>823</v>
      </c>
      <c r="E539" s="232" t="s">
        <v>14</v>
      </c>
      <c r="F539" s="304">
        <v>60</v>
      </c>
      <c r="G539" s="312">
        <v>16.87</v>
      </c>
      <c r="H539" s="149">
        <f>ROUND((1+K$3)*G539,2)</f>
        <v>16.87</v>
      </c>
      <c r="I539" s="249">
        <f>ROUND(F539*H539,2)</f>
        <v>1012.2</v>
      </c>
      <c r="J539" s="41"/>
      <c r="K539" s="41"/>
      <c r="L539" s="41"/>
      <c r="M539" s="41"/>
      <c r="N539" s="41"/>
      <c r="O539" s="41"/>
      <c r="P539" s="41"/>
      <c r="Q539" s="41"/>
    </row>
    <row r="540" spans="1:18" s="40" customFormat="1" ht="14.25" x14ac:dyDescent="0.2">
      <c r="A540" s="246" t="s">
        <v>1989</v>
      </c>
      <c r="B540" s="232" t="s">
        <v>45</v>
      </c>
      <c r="C540" s="232">
        <v>88316</v>
      </c>
      <c r="D540" s="151" t="s">
        <v>824</v>
      </c>
      <c r="E540" s="232" t="s">
        <v>14</v>
      </c>
      <c r="F540" s="304">
        <v>60</v>
      </c>
      <c r="G540" s="312">
        <v>16.64</v>
      </c>
      <c r="H540" s="149">
        <f>ROUND((1+K$3)*G540,2)</f>
        <v>16.64</v>
      </c>
      <c r="I540" s="249">
        <f>ROUND(F540*H540,2)</f>
        <v>998.4</v>
      </c>
      <c r="J540" s="41"/>
      <c r="K540" s="41"/>
      <c r="L540" s="41"/>
      <c r="M540" s="41"/>
      <c r="N540" s="41"/>
      <c r="O540" s="41"/>
      <c r="P540" s="41"/>
      <c r="Q540" s="41"/>
    </row>
    <row r="541" spans="1:18" ht="14.25" x14ac:dyDescent="0.2">
      <c r="A541" s="335"/>
      <c r="B541" s="232"/>
      <c r="C541" s="233"/>
      <c r="D541" s="182"/>
      <c r="E541" s="233"/>
      <c r="F541" s="159"/>
      <c r="G541" s="149"/>
      <c r="H541" s="149"/>
      <c r="I541" s="336"/>
      <c r="J541" s="44"/>
      <c r="K541" s="44"/>
      <c r="L541" s="44"/>
      <c r="M541" s="44"/>
      <c r="N541" s="44"/>
      <c r="O541" s="44"/>
      <c r="P541" s="44"/>
      <c r="Q541" s="44"/>
    </row>
    <row r="542" spans="1:18" s="5" customFormat="1" ht="45" x14ac:dyDescent="0.2">
      <c r="A542" s="333">
        <v>41</v>
      </c>
      <c r="B542" s="279" t="s">
        <v>335</v>
      </c>
      <c r="C542" s="290" t="s">
        <v>1745</v>
      </c>
      <c r="D542" s="181" t="s">
        <v>1819</v>
      </c>
      <c r="E542" s="344" t="s">
        <v>18</v>
      </c>
      <c r="F542" s="193"/>
      <c r="G542" s="194"/>
      <c r="H542" s="194"/>
      <c r="I542" s="334">
        <f>SUM(I543:I548)</f>
        <v>8154.74</v>
      </c>
      <c r="J542" s="4"/>
      <c r="K542" s="4"/>
      <c r="L542" s="4"/>
      <c r="M542" s="4"/>
      <c r="N542" s="4"/>
      <c r="O542" s="4"/>
      <c r="P542" s="4"/>
      <c r="Q542" s="4"/>
    </row>
    <row r="543" spans="1:18" s="40" customFormat="1" ht="57" x14ac:dyDescent="0.2">
      <c r="A543" s="306" t="s">
        <v>1739</v>
      </c>
      <c r="B543" s="156" t="s">
        <v>45</v>
      </c>
      <c r="C543" s="232">
        <v>5824</v>
      </c>
      <c r="D543" s="150" t="s">
        <v>866</v>
      </c>
      <c r="E543" s="156" t="s">
        <v>867</v>
      </c>
      <c r="F543" s="149">
        <v>8</v>
      </c>
      <c r="G543" s="149">
        <v>106.76</v>
      </c>
      <c r="H543" s="149">
        <f t="shared" ref="H543:H548" si="96">G543</f>
        <v>106.76</v>
      </c>
      <c r="I543" s="326">
        <f t="shared" ref="I543:I548" si="97">ROUND(F543*H543,2)</f>
        <v>854.08</v>
      </c>
      <c r="J543" s="275"/>
      <c r="K543" s="39"/>
      <c r="L543" s="143"/>
      <c r="M543" s="39"/>
      <c r="N543" s="39"/>
      <c r="O543" s="39"/>
      <c r="P543" s="39"/>
      <c r="R543" s="39"/>
    </row>
    <row r="544" spans="1:18" s="40" customFormat="1" ht="14.25" x14ac:dyDescent="0.2">
      <c r="A544" s="306" t="s">
        <v>1740</v>
      </c>
      <c r="B544" s="156" t="s">
        <v>45</v>
      </c>
      <c r="C544" s="232">
        <v>88285</v>
      </c>
      <c r="D544" s="150" t="s">
        <v>873</v>
      </c>
      <c r="E544" s="156" t="s">
        <v>14</v>
      </c>
      <c r="F544" s="149">
        <f>F543</f>
        <v>8</v>
      </c>
      <c r="G544" s="149">
        <v>18.440000000000001</v>
      </c>
      <c r="H544" s="149">
        <f t="shared" si="96"/>
        <v>18.440000000000001</v>
      </c>
      <c r="I544" s="326">
        <f t="shared" si="97"/>
        <v>147.52000000000001</v>
      </c>
      <c r="J544" s="275"/>
      <c r="K544" s="39"/>
      <c r="L544" s="143"/>
      <c r="M544" s="39"/>
      <c r="N544" s="39"/>
      <c r="O544" s="39"/>
      <c r="P544" s="39"/>
      <c r="R544" s="39"/>
    </row>
    <row r="545" spans="1:18" s="40" customFormat="1" ht="31.5" customHeight="1" x14ac:dyDescent="0.2">
      <c r="A545" s="306" t="s">
        <v>1741</v>
      </c>
      <c r="B545" s="156" t="s">
        <v>45</v>
      </c>
      <c r="C545" s="232">
        <v>89272</v>
      </c>
      <c r="D545" s="150" t="s">
        <v>872</v>
      </c>
      <c r="E545" s="156" t="s">
        <v>867</v>
      </c>
      <c r="F545" s="149">
        <v>8</v>
      </c>
      <c r="G545" s="149">
        <v>144.16999999999999</v>
      </c>
      <c r="H545" s="149">
        <f t="shared" si="96"/>
        <v>144.16999999999999</v>
      </c>
      <c r="I545" s="326">
        <f t="shared" si="97"/>
        <v>1153.3599999999999</v>
      </c>
      <c r="J545" s="275"/>
      <c r="K545" s="39"/>
      <c r="L545" s="143"/>
      <c r="M545" s="39"/>
      <c r="N545" s="39"/>
      <c r="O545" s="39"/>
      <c r="P545" s="39"/>
      <c r="R545" s="39"/>
    </row>
    <row r="546" spans="1:18" s="40" customFormat="1" ht="14.25" x14ac:dyDescent="0.2">
      <c r="A546" s="306" t="s">
        <v>1742</v>
      </c>
      <c r="B546" s="156" t="s">
        <v>45</v>
      </c>
      <c r="C546" s="232">
        <v>88296</v>
      </c>
      <c r="D546" s="150" t="s">
        <v>874</v>
      </c>
      <c r="E546" s="156" t="s">
        <v>14</v>
      </c>
      <c r="F546" s="149">
        <f>F545</f>
        <v>8</v>
      </c>
      <c r="G546" s="149">
        <v>25.37</v>
      </c>
      <c r="H546" s="149">
        <f t="shared" si="96"/>
        <v>25.37</v>
      </c>
      <c r="I546" s="326">
        <f t="shared" si="97"/>
        <v>202.96</v>
      </c>
      <c r="J546" s="275"/>
      <c r="K546" s="39"/>
      <c r="L546" s="143"/>
      <c r="M546" s="39"/>
      <c r="N546" s="39"/>
      <c r="O546" s="39"/>
      <c r="P546" s="39"/>
      <c r="R546" s="39"/>
    </row>
    <row r="547" spans="1:18" s="40" customFormat="1" ht="57" x14ac:dyDescent="0.2">
      <c r="A547" s="306" t="s">
        <v>1743</v>
      </c>
      <c r="B547" s="156" t="s">
        <v>45</v>
      </c>
      <c r="C547" s="232">
        <v>89198</v>
      </c>
      <c r="D547" s="150" t="s">
        <v>1350</v>
      </c>
      <c r="E547" s="156" t="s">
        <v>17</v>
      </c>
      <c r="F547" s="149">
        <v>90</v>
      </c>
      <c r="G547" s="149">
        <v>62.93</v>
      </c>
      <c r="H547" s="149">
        <f t="shared" si="96"/>
        <v>62.93</v>
      </c>
      <c r="I547" s="326">
        <f t="shared" si="97"/>
        <v>5663.7</v>
      </c>
      <c r="J547" s="275"/>
      <c r="K547" s="39"/>
      <c r="L547" s="143"/>
      <c r="M547" s="39"/>
      <c r="N547" s="39"/>
      <c r="O547" s="39"/>
      <c r="P547" s="39"/>
      <c r="R547" s="39"/>
    </row>
    <row r="548" spans="1:18" ht="14.25" x14ac:dyDescent="0.2">
      <c r="A548" s="306" t="s">
        <v>1744</v>
      </c>
      <c r="B548" s="156" t="s">
        <v>45</v>
      </c>
      <c r="C548" s="233">
        <v>88316</v>
      </c>
      <c r="D548" s="182" t="s">
        <v>856</v>
      </c>
      <c r="E548" s="233" t="s">
        <v>14</v>
      </c>
      <c r="F548" s="149">
        <v>8</v>
      </c>
      <c r="G548" s="149">
        <v>16.64</v>
      </c>
      <c r="H548" s="149">
        <f t="shared" si="96"/>
        <v>16.64</v>
      </c>
      <c r="I548" s="326">
        <f t="shared" si="97"/>
        <v>133.12</v>
      </c>
      <c r="J548" s="44"/>
      <c r="K548" s="44"/>
      <c r="L548" s="44"/>
      <c r="M548" s="44"/>
      <c r="N548" s="44"/>
      <c r="O548" s="44"/>
      <c r="P548" s="44"/>
      <c r="Q548" s="44"/>
    </row>
    <row r="549" spans="1:18" s="40" customFormat="1" ht="14.25" x14ac:dyDescent="0.2">
      <c r="A549" s="246"/>
      <c r="B549" s="232"/>
      <c r="C549" s="232"/>
      <c r="D549" s="151"/>
      <c r="E549" s="232"/>
      <c r="F549" s="149"/>
      <c r="G549" s="250"/>
      <c r="H549" s="149"/>
      <c r="I549" s="249"/>
      <c r="J549" s="41"/>
      <c r="K549" s="41"/>
      <c r="L549" s="41"/>
      <c r="M549" s="41"/>
      <c r="N549" s="41"/>
      <c r="O549" s="41"/>
      <c r="P549" s="41"/>
      <c r="Q549" s="41"/>
    </row>
    <row r="550" spans="1:18" s="40" customFormat="1" ht="14.25" x14ac:dyDescent="0.2">
      <c r="A550" s="246"/>
      <c r="B550" s="156"/>
      <c r="C550" s="155"/>
      <c r="D550" s="151"/>
      <c r="E550" s="156"/>
      <c r="F550" s="197"/>
      <c r="G550" s="198"/>
      <c r="H550" s="197"/>
      <c r="I550" s="198"/>
    </row>
    <row r="551" spans="1:18" s="40" customFormat="1" ht="30" customHeight="1" x14ac:dyDescent="0.2">
      <c r="A551" s="280">
        <v>42</v>
      </c>
      <c r="B551" s="279" t="s">
        <v>335</v>
      </c>
      <c r="C551" s="290" t="s">
        <v>1750</v>
      </c>
      <c r="D551" s="181" t="s">
        <v>1421</v>
      </c>
      <c r="E551" s="344"/>
      <c r="F551" s="193"/>
      <c r="G551" s="194"/>
      <c r="H551" s="194"/>
      <c r="I551" s="281">
        <f>SUM(I552:I555)</f>
        <v>8492.24</v>
      </c>
    </row>
    <row r="552" spans="1:18" s="40" customFormat="1" ht="14.25" x14ac:dyDescent="0.2">
      <c r="A552" s="246" t="s">
        <v>1746</v>
      </c>
      <c r="B552" s="232" t="s">
        <v>45</v>
      </c>
      <c r="C552" s="277">
        <v>7258</v>
      </c>
      <c r="D552" s="278" t="s">
        <v>1420</v>
      </c>
      <c r="E552" s="277" t="s">
        <v>18</v>
      </c>
      <c r="F552" s="149">
        <f>(15*8.25*4-1.2*2.3)/(0.1*0.2)</f>
        <v>24611.999999999996</v>
      </c>
      <c r="G552" s="149">
        <v>0.28000000000000003</v>
      </c>
      <c r="H552" s="195">
        <f>G552</f>
        <v>0.28000000000000003</v>
      </c>
      <c r="I552" s="196">
        <f>ROUND(F552*H552,2)</f>
        <v>6891.36</v>
      </c>
    </row>
    <row r="553" spans="1:18" s="40" customFormat="1" ht="14.25" customHeight="1" x14ac:dyDescent="0.2">
      <c r="A553" s="246" t="s">
        <v>1747</v>
      </c>
      <c r="B553" s="232" t="s">
        <v>45</v>
      </c>
      <c r="C553" s="155">
        <v>366</v>
      </c>
      <c r="D553" s="151" t="s">
        <v>1422</v>
      </c>
      <c r="E553" s="156" t="s">
        <v>16</v>
      </c>
      <c r="F553" s="149">
        <f>(15*8.25*4-1.2*2.3)*0.01</f>
        <v>4.9224000000000006</v>
      </c>
      <c r="G553" s="198">
        <v>62.75</v>
      </c>
      <c r="H553" s="195">
        <f t="shared" ref="H553:H555" si="98">G553</f>
        <v>62.75</v>
      </c>
      <c r="I553" s="196">
        <f t="shared" ref="I553:I555" si="99">ROUND(F553*H553,2)</f>
        <v>308.88</v>
      </c>
    </row>
    <row r="554" spans="1:18" s="40" customFormat="1" ht="14.25" x14ac:dyDescent="0.2">
      <c r="A554" s="246" t="s">
        <v>1748</v>
      </c>
      <c r="B554" s="232" t="s">
        <v>45</v>
      </c>
      <c r="C554" s="155">
        <v>4759</v>
      </c>
      <c r="D554" s="151" t="s">
        <v>1423</v>
      </c>
      <c r="E554" s="156" t="s">
        <v>14</v>
      </c>
      <c r="F554" s="197">
        <v>50</v>
      </c>
      <c r="G554" s="198">
        <v>15.18</v>
      </c>
      <c r="H554" s="195">
        <f t="shared" si="98"/>
        <v>15.18</v>
      </c>
      <c r="I554" s="196">
        <f t="shared" si="99"/>
        <v>759</v>
      </c>
    </row>
    <row r="555" spans="1:18" s="40" customFormat="1" ht="14.25" x14ac:dyDescent="0.2">
      <c r="A555" s="246" t="s">
        <v>1749</v>
      </c>
      <c r="B555" s="232" t="s">
        <v>45</v>
      </c>
      <c r="C555" s="155">
        <v>6127</v>
      </c>
      <c r="D555" s="151" t="s">
        <v>431</v>
      </c>
      <c r="E555" s="156" t="s">
        <v>14</v>
      </c>
      <c r="F555" s="197">
        <v>50</v>
      </c>
      <c r="G555" s="198">
        <v>10.66</v>
      </c>
      <c r="H555" s="195">
        <f t="shared" si="98"/>
        <v>10.66</v>
      </c>
      <c r="I555" s="196">
        <f t="shared" si="99"/>
        <v>533</v>
      </c>
    </row>
    <row r="556" spans="1:18" s="40" customFormat="1" ht="14.25" x14ac:dyDescent="0.2">
      <c r="A556" s="246"/>
      <c r="B556" s="233"/>
      <c r="C556" s="233"/>
      <c r="D556" s="182"/>
      <c r="E556" s="233"/>
      <c r="F556" s="195"/>
      <c r="G556" s="195"/>
      <c r="H556" s="195"/>
      <c r="I556" s="196"/>
    </row>
    <row r="557" spans="1:18" s="40" customFormat="1" ht="45" x14ac:dyDescent="0.2">
      <c r="A557" s="280">
        <v>43</v>
      </c>
      <c r="B557" s="279" t="s">
        <v>335</v>
      </c>
      <c r="C557" s="290" t="s">
        <v>1755</v>
      </c>
      <c r="D557" s="181" t="s">
        <v>270</v>
      </c>
      <c r="E557" s="276"/>
      <c r="F557" s="193"/>
      <c r="G557" s="194"/>
      <c r="H557" s="194"/>
      <c r="I557" s="281">
        <f>SUM(I558:I561)</f>
        <v>180.93</v>
      </c>
    </row>
    <row r="558" spans="1:18" s="40" customFormat="1" ht="14.25" x14ac:dyDescent="0.2">
      <c r="A558" s="246" t="s">
        <v>1751</v>
      </c>
      <c r="B558" s="233" t="s">
        <v>45</v>
      </c>
      <c r="C558" s="233">
        <v>11125</v>
      </c>
      <c r="D558" s="152" t="s">
        <v>742</v>
      </c>
      <c r="E558" s="233" t="s">
        <v>169</v>
      </c>
      <c r="F558" s="195">
        <f>13.5*0.27*0.8</f>
        <v>2.9160000000000004</v>
      </c>
      <c r="G558" s="196">
        <v>14.43</v>
      </c>
      <c r="H558" s="195">
        <f>G558</f>
        <v>14.43</v>
      </c>
      <c r="I558" s="196">
        <f>ROUND(F558*H558,2)</f>
        <v>42.08</v>
      </c>
    </row>
    <row r="559" spans="1:18" s="40" customFormat="1" ht="14.25" x14ac:dyDescent="0.2">
      <c r="A559" s="246" t="s">
        <v>1752</v>
      </c>
      <c r="B559" s="233" t="s">
        <v>45</v>
      </c>
      <c r="C559" s="233">
        <v>585</v>
      </c>
      <c r="D559" s="182" t="s">
        <v>251</v>
      </c>
      <c r="E559" s="233" t="s">
        <v>169</v>
      </c>
      <c r="F559" s="195">
        <v>0.95</v>
      </c>
      <c r="G559" s="196">
        <v>18.79</v>
      </c>
      <c r="H559" s="195">
        <f>G559</f>
        <v>18.79</v>
      </c>
      <c r="I559" s="196">
        <f>ROUND(F559*H559,2)</f>
        <v>17.850000000000001</v>
      </c>
    </row>
    <row r="560" spans="1:18" s="40" customFormat="1" ht="14.25" x14ac:dyDescent="0.2">
      <c r="A560" s="246" t="s">
        <v>1753</v>
      </c>
      <c r="B560" s="233" t="s">
        <v>45</v>
      </c>
      <c r="C560" s="233">
        <v>252</v>
      </c>
      <c r="D560" s="182" t="s">
        <v>247</v>
      </c>
      <c r="E560" s="233" t="s">
        <v>14</v>
      </c>
      <c r="F560" s="195">
        <v>5</v>
      </c>
      <c r="G560" s="196">
        <v>10.38</v>
      </c>
      <c r="H560" s="195">
        <f>G560</f>
        <v>10.38</v>
      </c>
      <c r="I560" s="196">
        <f>ROUND(F560*H560,2)</f>
        <v>51.9</v>
      </c>
    </row>
    <row r="561" spans="1:17" s="40" customFormat="1" ht="14.25" x14ac:dyDescent="0.2">
      <c r="A561" s="246" t="s">
        <v>1754</v>
      </c>
      <c r="B561" s="233" t="s">
        <v>45</v>
      </c>
      <c r="C561" s="233">
        <v>6110</v>
      </c>
      <c r="D561" s="182" t="s">
        <v>245</v>
      </c>
      <c r="E561" s="233" t="s">
        <v>14</v>
      </c>
      <c r="F561" s="195">
        <v>5</v>
      </c>
      <c r="G561" s="196">
        <v>13.82</v>
      </c>
      <c r="H561" s="195">
        <f>G561</f>
        <v>13.82</v>
      </c>
      <c r="I561" s="196">
        <f>ROUND(F561*H561,2)</f>
        <v>69.099999999999994</v>
      </c>
    </row>
    <row r="562" spans="1:17" s="40" customFormat="1" ht="14.25" x14ac:dyDescent="0.2">
      <c r="A562" s="246"/>
      <c r="B562" s="156"/>
      <c r="C562" s="155"/>
      <c r="D562" s="151"/>
      <c r="E562" s="156"/>
      <c r="F562" s="197"/>
      <c r="G562" s="198"/>
      <c r="H562" s="197"/>
      <c r="I562" s="198"/>
    </row>
    <row r="563" spans="1:17" s="40" customFormat="1" ht="30" x14ac:dyDescent="0.2">
      <c r="A563" s="280">
        <v>44</v>
      </c>
      <c r="B563" s="279" t="s">
        <v>335</v>
      </c>
      <c r="C563" s="290" t="s">
        <v>444</v>
      </c>
      <c r="D563" s="181" t="str">
        <f>ORÇAMENTO!D1707</f>
        <v>FORNECIMENTO E APLICAÇÃO DO  MATERIAL HIDRÁULICO DOS LEITOS DE SECAGEM</v>
      </c>
      <c r="E563" s="276"/>
      <c r="F563" s="193"/>
      <c r="G563" s="194"/>
      <c r="H563" s="194"/>
      <c r="I563" s="281">
        <f>SUM(I564:I576)</f>
        <v>13249.76</v>
      </c>
    </row>
    <row r="564" spans="1:17" s="40" customFormat="1" ht="14.25" x14ac:dyDescent="0.2">
      <c r="A564" s="246" t="s">
        <v>688</v>
      </c>
      <c r="B564" s="156" t="s">
        <v>45</v>
      </c>
      <c r="C564" s="155">
        <v>9833</v>
      </c>
      <c r="D564" s="151" t="s">
        <v>1293</v>
      </c>
      <c r="E564" s="156" t="s">
        <v>17</v>
      </c>
      <c r="F564" s="197">
        <f>148*2</f>
        <v>296</v>
      </c>
      <c r="G564" s="196">
        <v>8.44</v>
      </c>
      <c r="H564" s="197">
        <f t="shared" ref="H564" si="100">G564</f>
        <v>8.44</v>
      </c>
      <c r="I564" s="198">
        <f t="shared" ref="I564" si="101">F564*H564</f>
        <v>2498.2399999999998</v>
      </c>
    </row>
    <row r="565" spans="1:17" s="40" customFormat="1" ht="14.25" x14ac:dyDescent="0.2">
      <c r="A565" s="246" t="s">
        <v>689</v>
      </c>
      <c r="B565" s="156" t="s">
        <v>45</v>
      </c>
      <c r="C565" s="232">
        <v>36365</v>
      </c>
      <c r="D565" s="151" t="s">
        <v>1294</v>
      </c>
      <c r="E565" s="156" t="s">
        <v>17</v>
      </c>
      <c r="F565" s="197">
        <f>12*2</f>
        <v>24</v>
      </c>
      <c r="G565" s="196">
        <v>15.14</v>
      </c>
      <c r="H565" s="197">
        <f t="shared" ref="H565:H573" si="102">G565</f>
        <v>15.14</v>
      </c>
      <c r="I565" s="198">
        <f t="shared" ref="I565:I573" si="103">F565*H565</f>
        <v>363.36</v>
      </c>
    </row>
    <row r="566" spans="1:17" s="40" customFormat="1" ht="28.5" x14ac:dyDescent="0.2">
      <c r="A566" s="246" t="s">
        <v>690</v>
      </c>
      <c r="B566" s="156" t="s">
        <v>45</v>
      </c>
      <c r="C566" s="155">
        <v>40335</v>
      </c>
      <c r="D566" s="151" t="s">
        <v>1295</v>
      </c>
      <c r="E566" s="156" t="s">
        <v>17</v>
      </c>
      <c r="F566" s="197">
        <f>4*2</f>
        <v>8</v>
      </c>
      <c r="G566" s="196">
        <v>63.5</v>
      </c>
      <c r="H566" s="197">
        <f t="shared" si="102"/>
        <v>63.5</v>
      </c>
      <c r="I566" s="198">
        <f t="shared" si="103"/>
        <v>508</v>
      </c>
    </row>
    <row r="567" spans="1:17" s="40" customFormat="1" ht="14.25" x14ac:dyDescent="0.2">
      <c r="A567" s="246" t="s">
        <v>691</v>
      </c>
      <c r="B567" s="232" t="s">
        <v>65</v>
      </c>
      <c r="C567" s="232"/>
      <c r="D567" s="361" t="s">
        <v>1296</v>
      </c>
      <c r="E567" s="156" t="s">
        <v>18</v>
      </c>
      <c r="F567" s="197">
        <f>1*2</f>
        <v>2</v>
      </c>
      <c r="G567" s="196">
        <v>1710</v>
      </c>
      <c r="H567" s="197">
        <f t="shared" si="102"/>
        <v>1710</v>
      </c>
      <c r="I567" s="198">
        <f t="shared" si="103"/>
        <v>3420</v>
      </c>
    </row>
    <row r="568" spans="1:17" s="40" customFormat="1" ht="28.5" x14ac:dyDescent="0.2">
      <c r="A568" s="246" t="s">
        <v>692</v>
      </c>
      <c r="B568" s="156" t="s">
        <v>45</v>
      </c>
      <c r="C568" s="232">
        <v>3653</v>
      </c>
      <c r="D568" s="151" t="s">
        <v>1297</v>
      </c>
      <c r="E568" s="156" t="s">
        <v>18</v>
      </c>
      <c r="F568" s="197">
        <f>36*2</f>
        <v>72</v>
      </c>
      <c r="G568" s="196">
        <v>25.13</v>
      </c>
      <c r="H568" s="197">
        <f t="shared" si="102"/>
        <v>25.13</v>
      </c>
      <c r="I568" s="198">
        <f t="shared" si="103"/>
        <v>1809.36</v>
      </c>
    </row>
    <row r="569" spans="1:17" s="40" customFormat="1" ht="14.25" x14ac:dyDescent="0.2">
      <c r="A569" s="246" t="s">
        <v>693</v>
      </c>
      <c r="B569" s="232" t="s">
        <v>65</v>
      </c>
      <c r="C569" s="232"/>
      <c r="D569" s="151" t="s">
        <v>1298</v>
      </c>
      <c r="E569" s="156" t="s">
        <v>18</v>
      </c>
      <c r="F569" s="197">
        <f>1*2</f>
        <v>2</v>
      </c>
      <c r="G569" s="196">
        <v>330</v>
      </c>
      <c r="H569" s="197">
        <f t="shared" si="102"/>
        <v>330</v>
      </c>
      <c r="I569" s="198">
        <f t="shared" si="103"/>
        <v>660</v>
      </c>
    </row>
    <row r="570" spans="1:17" s="40" customFormat="1" ht="14.25" x14ac:dyDescent="0.2">
      <c r="A570" s="246" t="s">
        <v>694</v>
      </c>
      <c r="B570" s="232" t="s">
        <v>65</v>
      </c>
      <c r="C570" s="155"/>
      <c r="D570" s="151" t="s">
        <v>1246</v>
      </c>
      <c r="E570" s="156" t="s">
        <v>18</v>
      </c>
      <c r="F570" s="197">
        <f>1*2</f>
        <v>2</v>
      </c>
      <c r="G570" s="196">
        <v>520</v>
      </c>
      <c r="H570" s="197">
        <f t="shared" si="102"/>
        <v>520</v>
      </c>
      <c r="I570" s="198">
        <f t="shared" si="103"/>
        <v>1040</v>
      </c>
    </row>
    <row r="571" spans="1:17" s="40" customFormat="1" ht="14.25" x14ac:dyDescent="0.2">
      <c r="A571" s="246" t="s">
        <v>695</v>
      </c>
      <c r="B571" s="232" t="s">
        <v>65</v>
      </c>
      <c r="C571" s="155"/>
      <c r="D571" s="151" t="s">
        <v>1299</v>
      </c>
      <c r="E571" s="156" t="s">
        <v>18</v>
      </c>
      <c r="F571" s="197">
        <f>1*2</f>
        <v>2</v>
      </c>
      <c r="G571" s="196">
        <v>320</v>
      </c>
      <c r="H571" s="197">
        <f t="shared" si="102"/>
        <v>320</v>
      </c>
      <c r="I571" s="198">
        <f t="shared" si="103"/>
        <v>640</v>
      </c>
    </row>
    <row r="572" spans="1:17" s="40" customFormat="1" ht="14.25" x14ac:dyDescent="0.2">
      <c r="A572" s="246" t="s">
        <v>699</v>
      </c>
      <c r="B572" s="232" t="s">
        <v>65</v>
      </c>
      <c r="C572" s="155"/>
      <c r="D572" s="151" t="s">
        <v>1259</v>
      </c>
      <c r="E572" s="156" t="s">
        <v>18</v>
      </c>
      <c r="F572" s="197">
        <f>1*2</f>
        <v>2</v>
      </c>
      <c r="G572" s="196">
        <v>4.2</v>
      </c>
      <c r="H572" s="197">
        <f t="shared" si="102"/>
        <v>4.2</v>
      </c>
      <c r="I572" s="198">
        <f t="shared" si="103"/>
        <v>8.4</v>
      </c>
    </row>
    <row r="573" spans="1:17" s="40" customFormat="1" ht="14.25" x14ac:dyDescent="0.2">
      <c r="A573" s="246" t="s">
        <v>700</v>
      </c>
      <c r="B573" s="232" t="s">
        <v>65</v>
      </c>
      <c r="C573" s="155"/>
      <c r="D573" s="151" t="s">
        <v>1264</v>
      </c>
      <c r="E573" s="156" t="s">
        <v>18</v>
      </c>
      <c r="F573" s="197">
        <f>8*2</f>
        <v>16</v>
      </c>
      <c r="G573" s="196">
        <v>7.6</v>
      </c>
      <c r="H573" s="197">
        <f t="shared" si="102"/>
        <v>7.6</v>
      </c>
      <c r="I573" s="198">
        <f t="shared" si="103"/>
        <v>121.6</v>
      </c>
    </row>
    <row r="574" spans="1:17" s="40" customFormat="1" ht="14.25" x14ac:dyDescent="0.2">
      <c r="A574" s="246" t="s">
        <v>701</v>
      </c>
      <c r="B574" s="232" t="s">
        <v>45</v>
      </c>
      <c r="C574" s="232">
        <v>88267</v>
      </c>
      <c r="D574" s="151" t="s">
        <v>822</v>
      </c>
      <c r="E574" s="232" t="s">
        <v>14</v>
      </c>
      <c r="F574" s="149">
        <v>40</v>
      </c>
      <c r="G574" s="196">
        <v>21.01</v>
      </c>
      <c r="H574" s="149">
        <f>ROUND((1+K$3)*G574,2)</f>
        <v>21.01</v>
      </c>
      <c r="I574" s="249">
        <f>ROUND(F574*H574,2)</f>
        <v>840.4</v>
      </c>
      <c r="J574" s="41"/>
      <c r="K574" s="41"/>
      <c r="L574" s="41"/>
      <c r="M574" s="41"/>
      <c r="N574" s="41"/>
      <c r="O574" s="41"/>
      <c r="P574" s="41"/>
      <c r="Q574" s="41"/>
    </row>
    <row r="575" spans="1:17" s="40" customFormat="1" ht="14.25" customHeight="1" x14ac:dyDescent="0.2">
      <c r="A575" s="246" t="s">
        <v>702</v>
      </c>
      <c r="B575" s="232" t="s">
        <v>45</v>
      </c>
      <c r="C575" s="232">
        <v>88248</v>
      </c>
      <c r="D575" s="151" t="s">
        <v>823</v>
      </c>
      <c r="E575" s="232" t="s">
        <v>14</v>
      </c>
      <c r="F575" s="149">
        <v>40</v>
      </c>
      <c r="G575" s="250">
        <v>16.87</v>
      </c>
      <c r="H575" s="149">
        <f>ROUND((1+K$3)*G575,2)</f>
        <v>16.87</v>
      </c>
      <c r="I575" s="249">
        <f>ROUND(F575*H575,2)</f>
        <v>674.8</v>
      </c>
      <c r="J575" s="41"/>
      <c r="K575" s="41"/>
      <c r="L575" s="41"/>
      <c r="M575" s="41"/>
      <c r="N575" s="41"/>
      <c r="O575" s="41"/>
      <c r="P575" s="41"/>
      <c r="Q575" s="41"/>
    </row>
    <row r="576" spans="1:17" s="40" customFormat="1" ht="14.25" x14ac:dyDescent="0.2">
      <c r="A576" s="246" t="s">
        <v>703</v>
      </c>
      <c r="B576" s="232" t="s">
        <v>45</v>
      </c>
      <c r="C576" s="232">
        <v>88316</v>
      </c>
      <c r="D576" s="151" t="s">
        <v>824</v>
      </c>
      <c r="E576" s="232" t="s">
        <v>14</v>
      </c>
      <c r="F576" s="149">
        <v>40</v>
      </c>
      <c r="G576" s="250">
        <v>16.64</v>
      </c>
      <c r="H576" s="149">
        <f>ROUND((1+K$3)*G576,2)</f>
        <v>16.64</v>
      </c>
      <c r="I576" s="249">
        <f>ROUND(F576*H576,2)</f>
        <v>665.6</v>
      </c>
      <c r="J576" s="41"/>
      <c r="K576" s="41"/>
      <c r="L576" s="41"/>
      <c r="M576" s="41"/>
      <c r="N576" s="41"/>
      <c r="O576" s="41"/>
      <c r="P576" s="41"/>
      <c r="Q576" s="41"/>
    </row>
    <row r="577" spans="1:9" s="40" customFormat="1" ht="14.25" x14ac:dyDescent="0.2">
      <c r="A577" s="246"/>
      <c r="B577" s="233"/>
      <c r="C577" s="233"/>
      <c r="D577" s="182"/>
      <c r="E577" s="233"/>
      <c r="F577" s="195"/>
      <c r="G577" s="195"/>
      <c r="H577" s="195"/>
      <c r="I577" s="196"/>
    </row>
    <row r="578" spans="1:9" s="40" customFormat="1" ht="30" x14ac:dyDescent="0.2">
      <c r="A578" s="280">
        <v>45</v>
      </c>
      <c r="B578" s="279" t="s">
        <v>335</v>
      </c>
      <c r="C578" s="290" t="s">
        <v>698</v>
      </c>
      <c r="D578" s="181" t="s">
        <v>155</v>
      </c>
      <c r="E578" s="276"/>
      <c r="F578" s="193"/>
      <c r="G578" s="194"/>
      <c r="H578" s="194"/>
      <c r="I578" s="281">
        <f>SUM(I579:I588)</f>
        <v>888.99999999999989</v>
      </c>
    </row>
    <row r="579" spans="1:9" s="40" customFormat="1" ht="14.25" x14ac:dyDescent="0.2">
      <c r="A579" s="246" t="s">
        <v>696</v>
      </c>
      <c r="B579" s="233" t="s">
        <v>45</v>
      </c>
      <c r="C579" s="233">
        <v>1340</v>
      </c>
      <c r="D579" s="152" t="s">
        <v>1440</v>
      </c>
      <c r="E579" s="233" t="s">
        <v>15</v>
      </c>
      <c r="F579" s="195">
        <f>1.2*1.83</f>
        <v>2.1960000000000002</v>
      </c>
      <c r="G579" s="196">
        <v>30.82</v>
      </c>
      <c r="H579" s="195">
        <f t="shared" ref="H579:H588" si="104">G579</f>
        <v>30.82</v>
      </c>
      <c r="I579" s="196">
        <f t="shared" ref="I579:I588" si="105">ROUND(F579*H579,2)</f>
        <v>67.680000000000007</v>
      </c>
    </row>
    <row r="580" spans="1:9" s="40" customFormat="1" ht="41.25" customHeight="1" x14ac:dyDescent="0.2">
      <c r="A580" s="246" t="s">
        <v>697</v>
      </c>
      <c r="B580" s="232" t="s">
        <v>45</v>
      </c>
      <c r="C580" s="277">
        <v>87471</v>
      </c>
      <c r="D580" s="278" t="s">
        <v>1393</v>
      </c>
      <c r="E580" s="232" t="s">
        <v>15</v>
      </c>
      <c r="F580" s="196">
        <f>1.2*0.765</f>
        <v>0.91799999999999993</v>
      </c>
      <c r="G580" s="196">
        <v>35.33</v>
      </c>
      <c r="H580" s="196">
        <f t="shared" si="104"/>
        <v>35.33</v>
      </c>
      <c r="I580" s="196">
        <f t="shared" si="105"/>
        <v>32.43</v>
      </c>
    </row>
    <row r="581" spans="1:9" s="40" customFormat="1" ht="28.5" x14ac:dyDescent="0.2">
      <c r="A581" s="246" t="s">
        <v>704</v>
      </c>
      <c r="B581" s="232" t="s">
        <v>45</v>
      </c>
      <c r="C581" s="153">
        <v>94975</v>
      </c>
      <c r="D581" s="152" t="s">
        <v>1434</v>
      </c>
      <c r="E581" s="232" t="s">
        <v>16</v>
      </c>
      <c r="F581" s="196">
        <v>0.13</v>
      </c>
      <c r="G581" s="196">
        <v>354.87</v>
      </c>
      <c r="H581" s="196">
        <f t="shared" si="104"/>
        <v>354.87</v>
      </c>
      <c r="I581" s="196">
        <f t="shared" si="105"/>
        <v>46.13</v>
      </c>
    </row>
    <row r="582" spans="1:9" s="40" customFormat="1" ht="14.25" x14ac:dyDescent="0.2">
      <c r="A582" s="246" t="s">
        <v>705</v>
      </c>
      <c r="B582" s="233" t="s">
        <v>45</v>
      </c>
      <c r="C582" s="233">
        <v>13983</v>
      </c>
      <c r="D582" s="152" t="s">
        <v>271</v>
      </c>
      <c r="E582" s="233" t="s">
        <v>18</v>
      </c>
      <c r="F582" s="195">
        <v>1</v>
      </c>
      <c r="G582" s="196">
        <v>38.25</v>
      </c>
      <c r="H582" s="195">
        <f t="shared" si="104"/>
        <v>38.25</v>
      </c>
      <c r="I582" s="196">
        <f t="shared" si="105"/>
        <v>38.25</v>
      </c>
    </row>
    <row r="583" spans="1:9" s="40" customFormat="1" ht="14.25" x14ac:dyDescent="0.2">
      <c r="A583" s="246" t="s">
        <v>2005</v>
      </c>
      <c r="B583" s="233" t="s">
        <v>45</v>
      </c>
      <c r="C583" s="233">
        <v>1744</v>
      </c>
      <c r="D583" s="152" t="s">
        <v>272</v>
      </c>
      <c r="E583" s="233" t="s">
        <v>18</v>
      </c>
      <c r="F583" s="195">
        <v>1</v>
      </c>
      <c r="G583" s="196">
        <v>88.99</v>
      </c>
      <c r="H583" s="195">
        <f t="shared" si="104"/>
        <v>88.99</v>
      </c>
      <c r="I583" s="196">
        <f t="shared" si="105"/>
        <v>88.99</v>
      </c>
    </row>
    <row r="584" spans="1:9" s="40" customFormat="1" ht="14.25" x14ac:dyDescent="0.2">
      <c r="A584" s="246" t="s">
        <v>2006</v>
      </c>
      <c r="B584" s="233" t="s">
        <v>45</v>
      </c>
      <c r="C584" s="233">
        <v>6157</v>
      </c>
      <c r="D584" s="152" t="s">
        <v>273</v>
      </c>
      <c r="E584" s="233" t="s">
        <v>18</v>
      </c>
      <c r="F584" s="195">
        <v>1</v>
      </c>
      <c r="G584" s="196">
        <v>39.58</v>
      </c>
      <c r="H584" s="195">
        <f t="shared" si="104"/>
        <v>39.58</v>
      </c>
      <c r="I584" s="196">
        <f t="shared" si="105"/>
        <v>39.58</v>
      </c>
    </row>
    <row r="585" spans="1:9" s="40" customFormat="1" ht="14.25" x14ac:dyDescent="0.2">
      <c r="A585" s="246" t="s">
        <v>2007</v>
      </c>
      <c r="B585" s="233" t="s">
        <v>45</v>
      </c>
      <c r="C585" s="233">
        <v>4750</v>
      </c>
      <c r="D585" s="152" t="s">
        <v>274</v>
      </c>
      <c r="E585" s="233" t="s">
        <v>14</v>
      </c>
      <c r="F585" s="195">
        <v>6</v>
      </c>
      <c r="G585" s="196">
        <v>14.67</v>
      </c>
      <c r="H585" s="195">
        <f t="shared" si="104"/>
        <v>14.67</v>
      </c>
      <c r="I585" s="196">
        <f t="shared" si="105"/>
        <v>88.02</v>
      </c>
    </row>
    <row r="586" spans="1:9" s="40" customFormat="1" ht="14.25" x14ac:dyDescent="0.2">
      <c r="A586" s="246" t="s">
        <v>2008</v>
      </c>
      <c r="B586" s="233" t="s">
        <v>45</v>
      </c>
      <c r="C586" s="233">
        <v>6111</v>
      </c>
      <c r="D586" s="152" t="s">
        <v>275</v>
      </c>
      <c r="E586" s="233" t="s">
        <v>14</v>
      </c>
      <c r="F586" s="195">
        <v>12</v>
      </c>
      <c r="G586" s="196">
        <v>12.02</v>
      </c>
      <c r="H586" s="195">
        <f t="shared" si="104"/>
        <v>12.02</v>
      </c>
      <c r="I586" s="196">
        <f t="shared" si="105"/>
        <v>144.24</v>
      </c>
    </row>
    <row r="587" spans="1:9" s="40" customFormat="1" ht="14.25" x14ac:dyDescent="0.2">
      <c r="A587" s="246" t="s">
        <v>2009</v>
      </c>
      <c r="B587" s="233" t="s">
        <v>45</v>
      </c>
      <c r="C587" s="233">
        <v>2696</v>
      </c>
      <c r="D587" s="152" t="s">
        <v>276</v>
      </c>
      <c r="E587" s="233" t="s">
        <v>14</v>
      </c>
      <c r="F587" s="195">
        <v>12</v>
      </c>
      <c r="G587" s="196">
        <v>16.36</v>
      </c>
      <c r="H587" s="195">
        <f t="shared" si="104"/>
        <v>16.36</v>
      </c>
      <c r="I587" s="196">
        <f t="shared" si="105"/>
        <v>196.32</v>
      </c>
    </row>
    <row r="588" spans="1:9" s="40" customFormat="1" ht="14.25" x14ac:dyDescent="0.2">
      <c r="A588" s="246" t="s">
        <v>2010</v>
      </c>
      <c r="B588" s="233" t="s">
        <v>45</v>
      </c>
      <c r="C588" s="233">
        <v>246</v>
      </c>
      <c r="D588" s="152" t="s">
        <v>277</v>
      </c>
      <c r="E588" s="233" t="s">
        <v>14</v>
      </c>
      <c r="F588" s="195">
        <v>12</v>
      </c>
      <c r="G588" s="196">
        <v>12.28</v>
      </c>
      <c r="H588" s="195">
        <f t="shared" si="104"/>
        <v>12.28</v>
      </c>
      <c r="I588" s="196">
        <f t="shared" si="105"/>
        <v>147.36000000000001</v>
      </c>
    </row>
    <row r="589" spans="1:9" s="40" customFormat="1" ht="14.25" x14ac:dyDescent="0.2">
      <c r="A589" s="246"/>
      <c r="B589" s="233"/>
      <c r="C589" s="233"/>
      <c r="D589" s="182"/>
      <c r="E589" s="233"/>
      <c r="F589" s="195"/>
      <c r="G589" s="195"/>
      <c r="H589" s="195"/>
      <c r="I589" s="196"/>
    </row>
    <row r="590" spans="1:9" s="40" customFormat="1" ht="30" x14ac:dyDescent="0.2">
      <c r="A590" s="280">
        <v>46</v>
      </c>
      <c r="B590" s="279" t="s">
        <v>335</v>
      </c>
      <c r="C590" s="290" t="s">
        <v>708</v>
      </c>
      <c r="D590" s="181" t="s">
        <v>191</v>
      </c>
      <c r="E590" s="276"/>
      <c r="F590" s="193"/>
      <c r="G590" s="194"/>
      <c r="H590" s="194"/>
      <c r="I590" s="281">
        <f>SUM(I591:I599)</f>
        <v>899.7600000000001</v>
      </c>
    </row>
    <row r="591" spans="1:9" s="40" customFormat="1" ht="14.25" x14ac:dyDescent="0.2">
      <c r="A591" s="246" t="s">
        <v>706</v>
      </c>
      <c r="B591" s="232" t="s">
        <v>45</v>
      </c>
      <c r="C591" s="232">
        <v>11692</v>
      </c>
      <c r="D591" s="150" t="s">
        <v>1441</v>
      </c>
      <c r="E591" s="232" t="s">
        <v>15</v>
      </c>
      <c r="F591" s="196">
        <v>1.31</v>
      </c>
      <c r="G591" s="196">
        <v>384.9</v>
      </c>
      <c r="H591" s="196">
        <f t="shared" ref="H591:H599" si="106">G591</f>
        <v>384.9</v>
      </c>
      <c r="I591" s="196">
        <f t="shared" ref="I591:I599" si="107">ROUND(F591*H591,2)</f>
        <v>504.22</v>
      </c>
    </row>
    <row r="592" spans="1:9" s="40" customFormat="1" ht="45" customHeight="1" x14ac:dyDescent="0.2">
      <c r="A592" s="246" t="s">
        <v>707</v>
      </c>
      <c r="B592" s="233" t="s">
        <v>45</v>
      </c>
      <c r="C592" s="277">
        <v>87471</v>
      </c>
      <c r="D592" s="278" t="s">
        <v>1393</v>
      </c>
      <c r="E592" s="233" t="s">
        <v>15</v>
      </c>
      <c r="F592" s="195">
        <v>1.02</v>
      </c>
      <c r="G592" s="196">
        <v>35.33</v>
      </c>
      <c r="H592" s="195">
        <f t="shared" si="106"/>
        <v>35.33</v>
      </c>
      <c r="I592" s="195">
        <f t="shared" si="107"/>
        <v>36.04</v>
      </c>
    </row>
    <row r="593" spans="1:9" s="40" customFormat="1" ht="14.25" x14ac:dyDescent="0.2">
      <c r="A593" s="246" t="s">
        <v>1756</v>
      </c>
      <c r="B593" s="233" t="s">
        <v>45</v>
      </c>
      <c r="C593" s="233">
        <v>1744</v>
      </c>
      <c r="D593" s="152" t="s">
        <v>272</v>
      </c>
      <c r="E593" s="233" t="s">
        <v>18</v>
      </c>
      <c r="F593" s="195">
        <v>1</v>
      </c>
      <c r="G593" s="196">
        <v>88.99</v>
      </c>
      <c r="H593" s="195">
        <f t="shared" si="106"/>
        <v>88.99</v>
      </c>
      <c r="I593" s="195">
        <f t="shared" si="107"/>
        <v>88.99</v>
      </c>
    </row>
    <row r="594" spans="1:9" s="40" customFormat="1" ht="14.25" x14ac:dyDescent="0.2">
      <c r="A594" s="246" t="s">
        <v>1757</v>
      </c>
      <c r="B594" s="233" t="s">
        <v>45</v>
      </c>
      <c r="C594" s="233">
        <v>6157</v>
      </c>
      <c r="D594" s="152" t="s">
        <v>273</v>
      </c>
      <c r="E594" s="233" t="s">
        <v>18</v>
      </c>
      <c r="F594" s="195">
        <v>1</v>
      </c>
      <c r="G594" s="196">
        <v>39.58</v>
      </c>
      <c r="H594" s="195">
        <f t="shared" si="106"/>
        <v>39.58</v>
      </c>
      <c r="I594" s="195">
        <f t="shared" si="107"/>
        <v>39.58</v>
      </c>
    </row>
    <row r="595" spans="1:9" s="40" customFormat="1" ht="14.25" x14ac:dyDescent="0.2">
      <c r="A595" s="246" t="s">
        <v>1758</v>
      </c>
      <c r="B595" s="233" t="s">
        <v>45</v>
      </c>
      <c r="C595" s="233">
        <v>13983</v>
      </c>
      <c r="D595" s="152" t="s">
        <v>271</v>
      </c>
      <c r="E595" s="233" t="s">
        <v>18</v>
      </c>
      <c r="F595" s="195">
        <v>1</v>
      </c>
      <c r="G595" s="196">
        <v>38.25</v>
      </c>
      <c r="H595" s="195">
        <f t="shared" si="106"/>
        <v>38.25</v>
      </c>
      <c r="I595" s="195">
        <f t="shared" si="107"/>
        <v>38.25</v>
      </c>
    </row>
    <row r="596" spans="1:9" s="40" customFormat="1" ht="14.25" x14ac:dyDescent="0.2">
      <c r="A596" s="246" t="s">
        <v>1759</v>
      </c>
      <c r="B596" s="233" t="s">
        <v>45</v>
      </c>
      <c r="C596" s="233">
        <v>4750</v>
      </c>
      <c r="D596" s="152" t="s">
        <v>274</v>
      </c>
      <c r="E596" s="233" t="s">
        <v>14</v>
      </c>
      <c r="F596" s="195">
        <v>4</v>
      </c>
      <c r="G596" s="196">
        <v>14.67</v>
      </c>
      <c r="H596" s="195">
        <f t="shared" si="106"/>
        <v>14.67</v>
      </c>
      <c r="I596" s="195">
        <f t="shared" si="107"/>
        <v>58.68</v>
      </c>
    </row>
    <row r="597" spans="1:9" s="40" customFormat="1" ht="14.25" x14ac:dyDescent="0.2">
      <c r="A597" s="246" t="s">
        <v>1760</v>
      </c>
      <c r="B597" s="233" t="s">
        <v>45</v>
      </c>
      <c r="C597" s="233">
        <v>6111</v>
      </c>
      <c r="D597" s="152" t="s">
        <v>275</v>
      </c>
      <c r="E597" s="233" t="s">
        <v>14</v>
      </c>
      <c r="F597" s="195">
        <v>4</v>
      </c>
      <c r="G597" s="196">
        <v>12.02</v>
      </c>
      <c r="H597" s="195">
        <f t="shared" si="106"/>
        <v>12.02</v>
      </c>
      <c r="I597" s="195">
        <f t="shared" si="107"/>
        <v>48.08</v>
      </c>
    </row>
    <row r="598" spans="1:9" s="40" customFormat="1" ht="14.25" x14ac:dyDescent="0.2">
      <c r="A598" s="246" t="s">
        <v>1761</v>
      </c>
      <c r="B598" s="233" t="s">
        <v>45</v>
      </c>
      <c r="C598" s="233">
        <v>2696</v>
      </c>
      <c r="D598" s="152" t="s">
        <v>276</v>
      </c>
      <c r="E598" s="233" t="s">
        <v>14</v>
      </c>
      <c r="F598" s="195">
        <v>3</v>
      </c>
      <c r="G598" s="196">
        <v>16.36</v>
      </c>
      <c r="H598" s="195">
        <f t="shared" si="106"/>
        <v>16.36</v>
      </c>
      <c r="I598" s="195">
        <f t="shared" si="107"/>
        <v>49.08</v>
      </c>
    </row>
    <row r="599" spans="1:9" s="40" customFormat="1" ht="14.25" x14ac:dyDescent="0.2">
      <c r="A599" s="246" t="s">
        <v>1762</v>
      </c>
      <c r="B599" s="233" t="s">
        <v>45</v>
      </c>
      <c r="C599" s="233">
        <v>246</v>
      </c>
      <c r="D599" s="152" t="s">
        <v>277</v>
      </c>
      <c r="E599" s="233" t="s">
        <v>14</v>
      </c>
      <c r="F599" s="195">
        <v>3</v>
      </c>
      <c r="G599" s="196">
        <v>12.28</v>
      </c>
      <c r="H599" s="195">
        <f t="shared" si="106"/>
        <v>12.28</v>
      </c>
      <c r="I599" s="195">
        <f t="shared" si="107"/>
        <v>36.840000000000003</v>
      </c>
    </row>
    <row r="600" spans="1:9" s="40" customFormat="1" ht="14.25" x14ac:dyDescent="0.2">
      <c r="A600" s="246"/>
      <c r="B600" s="185"/>
      <c r="C600" s="185"/>
      <c r="D600" s="186"/>
      <c r="E600" s="185"/>
      <c r="F600" s="199"/>
      <c r="G600" s="200"/>
      <c r="H600" s="200"/>
      <c r="I600" s="202"/>
    </row>
    <row r="601" spans="1:9" s="40" customFormat="1" ht="30" x14ac:dyDescent="0.2">
      <c r="A601" s="280">
        <v>47</v>
      </c>
      <c r="B601" s="279" t="s">
        <v>335</v>
      </c>
      <c r="C601" s="290" t="s">
        <v>713</v>
      </c>
      <c r="D601" s="181" t="str">
        <f>ORÇAMENTO!D1828</f>
        <v>FORNECIMENTO E APLICAÇÃO DOS MATERIAIS HIDRÁULICOS DA UNIDADE DE APOIO</v>
      </c>
      <c r="E601" s="276"/>
      <c r="F601" s="193"/>
      <c r="G601" s="194"/>
      <c r="H601" s="194"/>
      <c r="I601" s="281">
        <f>SUM(I602:I682)</f>
        <v>8201.7899999999991</v>
      </c>
    </row>
    <row r="602" spans="1:9" s="40" customFormat="1" ht="14.25" x14ac:dyDescent="0.2">
      <c r="A602" s="246" t="s">
        <v>709</v>
      </c>
      <c r="B602" s="156" t="s">
        <v>45</v>
      </c>
      <c r="C602" s="155" t="s">
        <v>185</v>
      </c>
      <c r="D602" s="151" t="s">
        <v>140</v>
      </c>
      <c r="E602" s="156" t="s">
        <v>18</v>
      </c>
      <c r="F602" s="197">
        <v>19</v>
      </c>
      <c r="G602" s="198">
        <v>1.1399999999999999</v>
      </c>
      <c r="H602" s="197">
        <f>G602</f>
        <v>1.1399999999999999</v>
      </c>
      <c r="I602" s="198">
        <f t="shared" ref="I602" si="108">F602*H602</f>
        <v>21.659999999999997</v>
      </c>
    </row>
    <row r="603" spans="1:9" s="40" customFormat="1" ht="14.25" x14ac:dyDescent="0.2">
      <c r="A603" s="246" t="s">
        <v>710</v>
      </c>
      <c r="B603" s="156" t="s">
        <v>45</v>
      </c>
      <c r="C603" s="155" t="s">
        <v>135</v>
      </c>
      <c r="D603" s="151" t="s">
        <v>2171</v>
      </c>
      <c r="E603" s="156" t="s">
        <v>18</v>
      </c>
      <c r="F603" s="197">
        <v>1</v>
      </c>
      <c r="G603" s="198">
        <v>5.59</v>
      </c>
      <c r="H603" s="197">
        <f t="shared" ref="H603:H667" si="109">G603</f>
        <v>5.59</v>
      </c>
      <c r="I603" s="198">
        <f t="shared" ref="I603:I620" si="110">F603*H603</f>
        <v>5.59</v>
      </c>
    </row>
    <row r="604" spans="1:9" s="40" customFormat="1" ht="14.25" x14ac:dyDescent="0.2">
      <c r="A604" s="246" t="s">
        <v>711</v>
      </c>
      <c r="B604" s="157" t="s">
        <v>45</v>
      </c>
      <c r="C604" s="155" t="s">
        <v>173</v>
      </c>
      <c r="D604" s="151" t="s">
        <v>2170</v>
      </c>
      <c r="E604" s="156" t="s">
        <v>18</v>
      </c>
      <c r="F604" s="197">
        <v>2</v>
      </c>
      <c r="G604" s="198">
        <v>124.5</v>
      </c>
      <c r="H604" s="197">
        <f t="shared" si="109"/>
        <v>124.5</v>
      </c>
      <c r="I604" s="198">
        <f t="shared" si="110"/>
        <v>249</v>
      </c>
    </row>
    <row r="605" spans="1:9" s="40" customFormat="1" ht="14.25" x14ac:dyDescent="0.2">
      <c r="A605" s="246" t="s">
        <v>712</v>
      </c>
      <c r="B605" s="157" t="s">
        <v>45</v>
      </c>
      <c r="C605" s="155" t="s">
        <v>174</v>
      </c>
      <c r="D605" s="151" t="s">
        <v>2172</v>
      </c>
      <c r="E605" s="156" t="s">
        <v>18</v>
      </c>
      <c r="F605" s="197">
        <v>4</v>
      </c>
      <c r="G605" s="198">
        <v>96.9</v>
      </c>
      <c r="H605" s="197">
        <f t="shared" si="109"/>
        <v>96.9</v>
      </c>
      <c r="I605" s="198">
        <f t="shared" si="110"/>
        <v>387.6</v>
      </c>
    </row>
    <row r="606" spans="1:9" s="40" customFormat="1" ht="28.5" x14ac:dyDescent="0.2">
      <c r="A606" s="246" t="s">
        <v>1763</v>
      </c>
      <c r="B606" s="157" t="s">
        <v>45</v>
      </c>
      <c r="C606" s="155" t="s">
        <v>175</v>
      </c>
      <c r="D606" s="151" t="s">
        <v>2173</v>
      </c>
      <c r="E606" s="156" t="s">
        <v>18</v>
      </c>
      <c r="F606" s="197">
        <v>8</v>
      </c>
      <c r="G606" s="198">
        <v>2.46</v>
      </c>
      <c r="H606" s="197">
        <f t="shared" si="109"/>
        <v>2.46</v>
      </c>
      <c r="I606" s="198">
        <f t="shared" si="110"/>
        <v>19.68</v>
      </c>
    </row>
    <row r="607" spans="1:9" s="40" customFormat="1" ht="14.25" x14ac:dyDescent="0.2">
      <c r="A607" s="246" t="s">
        <v>1764</v>
      </c>
      <c r="B607" s="156" t="s">
        <v>45</v>
      </c>
      <c r="C607" s="155" t="s">
        <v>176</v>
      </c>
      <c r="D607" s="151" t="s">
        <v>2174</v>
      </c>
      <c r="E607" s="156" t="s">
        <v>18</v>
      </c>
      <c r="F607" s="197">
        <v>1</v>
      </c>
      <c r="G607" s="198">
        <v>298.92</v>
      </c>
      <c r="H607" s="197">
        <f t="shared" si="109"/>
        <v>298.92</v>
      </c>
      <c r="I607" s="198">
        <f t="shared" si="110"/>
        <v>298.92</v>
      </c>
    </row>
    <row r="608" spans="1:9" s="40" customFormat="1" ht="28.5" x14ac:dyDescent="0.2">
      <c r="A608" s="246" t="s">
        <v>1765</v>
      </c>
      <c r="B608" s="156" t="s">
        <v>45</v>
      </c>
      <c r="C608" s="155" t="s">
        <v>177</v>
      </c>
      <c r="D608" s="151" t="s">
        <v>2175</v>
      </c>
      <c r="E608" s="156" t="s">
        <v>18</v>
      </c>
      <c r="F608" s="197">
        <v>3</v>
      </c>
      <c r="G608" s="198">
        <v>28.42</v>
      </c>
      <c r="H608" s="197">
        <f t="shared" si="109"/>
        <v>28.42</v>
      </c>
      <c r="I608" s="198">
        <f t="shared" si="110"/>
        <v>85.26</v>
      </c>
    </row>
    <row r="609" spans="1:9" s="40" customFormat="1" ht="14.25" x14ac:dyDescent="0.2">
      <c r="A609" s="246" t="s">
        <v>1766</v>
      </c>
      <c r="B609" s="156" t="s">
        <v>45</v>
      </c>
      <c r="C609" s="156" t="s">
        <v>178</v>
      </c>
      <c r="D609" s="151" t="s">
        <v>2</v>
      </c>
      <c r="E609" s="156" t="s">
        <v>17</v>
      </c>
      <c r="F609" s="197">
        <v>60</v>
      </c>
      <c r="G609" s="198">
        <v>1.87</v>
      </c>
      <c r="H609" s="197">
        <f t="shared" si="109"/>
        <v>1.87</v>
      </c>
      <c r="I609" s="198">
        <f t="shared" si="110"/>
        <v>112.2</v>
      </c>
    </row>
    <row r="610" spans="1:9" s="40" customFormat="1" ht="42.75" x14ac:dyDescent="0.2">
      <c r="A610" s="246" t="s">
        <v>1767</v>
      </c>
      <c r="B610" s="156" t="s">
        <v>45</v>
      </c>
      <c r="C610" s="156" t="s">
        <v>179</v>
      </c>
      <c r="D610" s="151" t="s">
        <v>2176</v>
      </c>
      <c r="E610" s="156" t="s">
        <v>18</v>
      </c>
      <c r="F610" s="197">
        <v>2</v>
      </c>
      <c r="G610" s="198">
        <v>55.45</v>
      </c>
      <c r="H610" s="197">
        <f t="shared" si="109"/>
        <v>55.45</v>
      </c>
      <c r="I610" s="198">
        <f t="shared" si="110"/>
        <v>110.9</v>
      </c>
    </row>
    <row r="611" spans="1:9" s="40" customFormat="1" ht="42.75" x14ac:dyDescent="0.2">
      <c r="A611" s="246" t="s">
        <v>1768</v>
      </c>
      <c r="B611" s="156" t="s">
        <v>45</v>
      </c>
      <c r="C611" s="155" t="s">
        <v>180</v>
      </c>
      <c r="D611" s="151" t="s">
        <v>2177</v>
      </c>
      <c r="E611" s="156" t="s">
        <v>18</v>
      </c>
      <c r="F611" s="197">
        <v>1</v>
      </c>
      <c r="G611" s="198">
        <v>41.49</v>
      </c>
      <c r="H611" s="197">
        <f t="shared" si="109"/>
        <v>41.49</v>
      </c>
      <c r="I611" s="198">
        <f t="shared" si="110"/>
        <v>41.49</v>
      </c>
    </row>
    <row r="612" spans="1:9" s="40" customFormat="1" ht="28.5" x14ac:dyDescent="0.2">
      <c r="A612" s="246" t="s">
        <v>1769</v>
      </c>
      <c r="B612" s="156" t="s">
        <v>45</v>
      </c>
      <c r="C612" s="155" t="s">
        <v>182</v>
      </c>
      <c r="D612" s="151" t="s">
        <v>2178</v>
      </c>
      <c r="E612" s="156" t="s">
        <v>18</v>
      </c>
      <c r="F612" s="197">
        <v>1</v>
      </c>
      <c r="G612" s="198">
        <v>8.7100000000000009</v>
      </c>
      <c r="H612" s="197">
        <f t="shared" si="109"/>
        <v>8.7100000000000009</v>
      </c>
      <c r="I612" s="198">
        <f t="shared" si="110"/>
        <v>8.7100000000000009</v>
      </c>
    </row>
    <row r="613" spans="1:9" s="40" customFormat="1" ht="14.25" x14ac:dyDescent="0.2">
      <c r="A613" s="246" t="s">
        <v>1770</v>
      </c>
      <c r="B613" s="156" t="s">
        <v>45</v>
      </c>
      <c r="C613" s="155" t="s">
        <v>132</v>
      </c>
      <c r="D613" s="151" t="s">
        <v>2179</v>
      </c>
      <c r="E613" s="156" t="s">
        <v>17</v>
      </c>
      <c r="F613" s="197">
        <v>6</v>
      </c>
      <c r="G613" s="198">
        <v>8.7100000000000009</v>
      </c>
      <c r="H613" s="197">
        <f t="shared" si="109"/>
        <v>8.7100000000000009</v>
      </c>
      <c r="I613" s="198">
        <f t="shared" si="110"/>
        <v>52.260000000000005</v>
      </c>
    </row>
    <row r="614" spans="1:9" s="40" customFormat="1" ht="14.25" x14ac:dyDescent="0.2">
      <c r="A614" s="246" t="s">
        <v>1771</v>
      </c>
      <c r="B614" s="156" t="s">
        <v>45</v>
      </c>
      <c r="C614" s="155" t="s">
        <v>183</v>
      </c>
      <c r="D614" s="151" t="s">
        <v>2180</v>
      </c>
      <c r="E614" s="156" t="s">
        <v>17</v>
      </c>
      <c r="F614" s="197">
        <v>22</v>
      </c>
      <c r="G614" s="198">
        <v>6.43</v>
      </c>
      <c r="H614" s="197">
        <f t="shared" si="109"/>
        <v>6.43</v>
      </c>
      <c r="I614" s="198">
        <f t="shared" si="110"/>
        <v>141.45999999999998</v>
      </c>
    </row>
    <row r="615" spans="1:9" s="40" customFormat="1" ht="14.25" x14ac:dyDescent="0.2">
      <c r="A615" s="246" t="s">
        <v>1772</v>
      </c>
      <c r="B615" s="156" t="s">
        <v>45</v>
      </c>
      <c r="C615" s="155" t="s">
        <v>184</v>
      </c>
      <c r="D615" s="151" t="s">
        <v>2181</v>
      </c>
      <c r="E615" s="156" t="s">
        <v>17</v>
      </c>
      <c r="F615" s="197">
        <v>15</v>
      </c>
      <c r="G615" s="198">
        <v>3.7</v>
      </c>
      <c r="H615" s="197">
        <f t="shared" si="109"/>
        <v>3.7</v>
      </c>
      <c r="I615" s="198">
        <f t="shared" si="110"/>
        <v>55.5</v>
      </c>
    </row>
    <row r="616" spans="1:9" s="40" customFormat="1" ht="14.25" x14ac:dyDescent="0.2">
      <c r="A616" s="246" t="s">
        <v>1773</v>
      </c>
      <c r="B616" s="156" t="s">
        <v>45</v>
      </c>
      <c r="C616" s="155">
        <v>20157</v>
      </c>
      <c r="D616" s="151" t="s">
        <v>1314</v>
      </c>
      <c r="E616" s="156" t="s">
        <v>18</v>
      </c>
      <c r="F616" s="197">
        <v>2</v>
      </c>
      <c r="G616" s="197">
        <v>21.93</v>
      </c>
      <c r="H616" s="197">
        <f t="shared" si="109"/>
        <v>21.93</v>
      </c>
      <c r="I616" s="198">
        <f t="shared" si="110"/>
        <v>43.86</v>
      </c>
    </row>
    <row r="617" spans="1:9" s="40" customFormat="1" ht="14.25" x14ac:dyDescent="0.2">
      <c r="A617" s="246" t="s">
        <v>1774</v>
      </c>
      <c r="B617" s="156" t="s">
        <v>45</v>
      </c>
      <c r="C617" s="155">
        <v>6140</v>
      </c>
      <c r="D617" s="151" t="s">
        <v>1315</v>
      </c>
      <c r="E617" s="156" t="s">
        <v>18</v>
      </c>
      <c r="F617" s="197">
        <v>2</v>
      </c>
      <c r="G617" s="198">
        <v>2.6</v>
      </c>
      <c r="H617" s="197">
        <f t="shared" si="109"/>
        <v>2.6</v>
      </c>
      <c r="I617" s="198">
        <f t="shared" si="110"/>
        <v>5.2</v>
      </c>
    </row>
    <row r="618" spans="1:9" s="40" customFormat="1" ht="14.25" x14ac:dyDescent="0.2">
      <c r="A618" s="246" t="s">
        <v>2011</v>
      </c>
      <c r="B618" s="156" t="s">
        <v>45</v>
      </c>
      <c r="C618" s="155" t="s">
        <v>193</v>
      </c>
      <c r="D618" s="151" t="s">
        <v>2182</v>
      </c>
      <c r="E618" s="156" t="s">
        <v>18</v>
      </c>
      <c r="F618" s="197">
        <v>6</v>
      </c>
      <c r="G618" s="198">
        <v>1.87</v>
      </c>
      <c r="H618" s="197">
        <f t="shared" si="109"/>
        <v>1.87</v>
      </c>
      <c r="I618" s="198">
        <f t="shared" si="110"/>
        <v>11.22</v>
      </c>
    </row>
    <row r="619" spans="1:9" s="40" customFormat="1" ht="14.25" x14ac:dyDescent="0.2">
      <c r="A619" s="246" t="s">
        <v>2012</v>
      </c>
      <c r="B619" s="156" t="s">
        <v>45</v>
      </c>
      <c r="C619" s="155">
        <v>37949</v>
      </c>
      <c r="D619" s="151" t="s">
        <v>1316</v>
      </c>
      <c r="E619" s="156" t="s">
        <v>18</v>
      </c>
      <c r="F619" s="197">
        <v>11</v>
      </c>
      <c r="G619" s="197">
        <v>1.29</v>
      </c>
      <c r="H619" s="197">
        <f t="shared" si="109"/>
        <v>1.29</v>
      </c>
      <c r="I619" s="198">
        <f t="shared" si="110"/>
        <v>14.190000000000001</v>
      </c>
    </row>
    <row r="620" spans="1:9" s="40" customFormat="1" ht="14.25" x14ac:dyDescent="0.2">
      <c r="A620" s="246" t="s">
        <v>2013</v>
      </c>
      <c r="B620" s="156" t="s">
        <v>45</v>
      </c>
      <c r="C620" s="155" t="s">
        <v>146</v>
      </c>
      <c r="D620" s="151" t="s">
        <v>2183</v>
      </c>
      <c r="E620" s="156" t="s">
        <v>18</v>
      </c>
      <c r="F620" s="197">
        <v>2</v>
      </c>
      <c r="G620" s="198">
        <v>5.76</v>
      </c>
      <c r="H620" s="197">
        <f>G620</f>
        <v>5.76</v>
      </c>
      <c r="I620" s="198">
        <f t="shared" si="110"/>
        <v>11.52</v>
      </c>
    </row>
    <row r="621" spans="1:9" s="40" customFormat="1" ht="14.25" x14ac:dyDescent="0.2">
      <c r="A621" s="246" t="s">
        <v>2014</v>
      </c>
      <c r="B621" s="156" t="s">
        <v>45</v>
      </c>
      <c r="C621" s="155" t="s">
        <v>147</v>
      </c>
      <c r="D621" s="151" t="s">
        <v>2184</v>
      </c>
      <c r="E621" s="156" t="s">
        <v>18</v>
      </c>
      <c r="F621" s="197">
        <v>2</v>
      </c>
      <c r="G621" s="198">
        <v>10.9</v>
      </c>
      <c r="H621" s="197">
        <f t="shared" si="109"/>
        <v>10.9</v>
      </c>
      <c r="I621" s="198">
        <f t="shared" ref="I621:I644" si="111">F621*H621</f>
        <v>21.8</v>
      </c>
    </row>
    <row r="622" spans="1:9" s="40" customFormat="1" ht="14.25" x14ac:dyDescent="0.2">
      <c r="A622" s="246" t="s">
        <v>2015</v>
      </c>
      <c r="B622" s="156" t="s">
        <v>45</v>
      </c>
      <c r="C622" s="155" t="s">
        <v>134</v>
      </c>
      <c r="D622" s="151" t="s">
        <v>2185</v>
      </c>
      <c r="E622" s="156" t="s">
        <v>18</v>
      </c>
      <c r="F622" s="197">
        <v>1</v>
      </c>
      <c r="G622" s="198">
        <v>4.9400000000000004</v>
      </c>
      <c r="H622" s="197">
        <f t="shared" si="109"/>
        <v>4.9400000000000004</v>
      </c>
      <c r="I622" s="198">
        <f t="shared" si="111"/>
        <v>4.9400000000000004</v>
      </c>
    </row>
    <row r="623" spans="1:9" s="40" customFormat="1" ht="14.25" x14ac:dyDescent="0.2">
      <c r="A623" s="246" t="s">
        <v>2016</v>
      </c>
      <c r="B623" s="148" t="s">
        <v>45</v>
      </c>
      <c r="C623" s="156" t="s">
        <v>138</v>
      </c>
      <c r="D623" s="151" t="s">
        <v>2186</v>
      </c>
      <c r="E623" s="156" t="s">
        <v>18</v>
      </c>
      <c r="F623" s="197">
        <v>2</v>
      </c>
      <c r="G623" s="198">
        <v>34.15</v>
      </c>
      <c r="H623" s="197">
        <f t="shared" si="109"/>
        <v>34.15</v>
      </c>
      <c r="I623" s="198">
        <f t="shared" si="111"/>
        <v>68.3</v>
      </c>
    </row>
    <row r="624" spans="1:9" s="40" customFormat="1" ht="14.25" x14ac:dyDescent="0.2">
      <c r="A624" s="246" t="s">
        <v>2017</v>
      </c>
      <c r="B624" s="156" t="s">
        <v>45</v>
      </c>
      <c r="C624" s="155" t="s">
        <v>139</v>
      </c>
      <c r="D624" s="151" t="s">
        <v>2187</v>
      </c>
      <c r="E624" s="156" t="s">
        <v>18</v>
      </c>
      <c r="F624" s="197">
        <v>1</v>
      </c>
      <c r="G624" s="198">
        <v>39.29</v>
      </c>
      <c r="H624" s="197">
        <f t="shared" si="109"/>
        <v>39.29</v>
      </c>
      <c r="I624" s="198">
        <f t="shared" si="111"/>
        <v>39.29</v>
      </c>
    </row>
    <row r="625" spans="1:9" s="40" customFormat="1" ht="14.25" x14ac:dyDescent="0.2">
      <c r="A625" s="246" t="s">
        <v>2018</v>
      </c>
      <c r="B625" s="156" t="s">
        <v>45</v>
      </c>
      <c r="C625" s="155" t="s">
        <v>141</v>
      </c>
      <c r="D625" s="151" t="s">
        <v>2188</v>
      </c>
      <c r="E625" s="156" t="s">
        <v>18</v>
      </c>
      <c r="F625" s="197">
        <v>3</v>
      </c>
      <c r="G625" s="198">
        <v>10.84</v>
      </c>
      <c r="H625" s="197">
        <f t="shared" si="109"/>
        <v>10.84</v>
      </c>
      <c r="I625" s="198">
        <f t="shared" si="111"/>
        <v>32.519999999999996</v>
      </c>
    </row>
    <row r="626" spans="1:9" s="40" customFormat="1" ht="14.25" x14ac:dyDescent="0.2">
      <c r="A626" s="246" t="s">
        <v>2019</v>
      </c>
      <c r="B626" s="156" t="s">
        <v>45</v>
      </c>
      <c r="C626" s="155">
        <v>9874</v>
      </c>
      <c r="D626" s="151" t="s">
        <v>1313</v>
      </c>
      <c r="E626" s="156" t="s">
        <v>17</v>
      </c>
      <c r="F626" s="197">
        <v>4</v>
      </c>
      <c r="G626" s="198">
        <v>8.4700000000000006</v>
      </c>
      <c r="H626" s="197">
        <f t="shared" si="109"/>
        <v>8.4700000000000006</v>
      </c>
      <c r="I626" s="198">
        <f t="shared" si="111"/>
        <v>33.880000000000003</v>
      </c>
    </row>
    <row r="627" spans="1:9" s="40" customFormat="1" ht="14.25" x14ac:dyDescent="0.2">
      <c r="A627" s="246" t="s">
        <v>2020</v>
      </c>
      <c r="B627" s="156" t="s">
        <v>45</v>
      </c>
      <c r="C627" s="155" t="s">
        <v>101</v>
      </c>
      <c r="D627" s="151" t="s">
        <v>2189</v>
      </c>
      <c r="E627" s="156" t="s">
        <v>17</v>
      </c>
      <c r="F627" s="197">
        <v>15</v>
      </c>
      <c r="G627" s="198">
        <v>5.81</v>
      </c>
      <c r="H627" s="197">
        <f t="shared" si="109"/>
        <v>5.81</v>
      </c>
      <c r="I627" s="198">
        <f t="shared" si="111"/>
        <v>87.149999999999991</v>
      </c>
    </row>
    <row r="628" spans="1:9" s="40" customFormat="1" ht="14.25" x14ac:dyDescent="0.2">
      <c r="A628" s="246" t="s">
        <v>2021</v>
      </c>
      <c r="B628" s="156" t="s">
        <v>45</v>
      </c>
      <c r="C628" s="155" t="s">
        <v>103</v>
      </c>
      <c r="D628" s="151" t="s">
        <v>2190</v>
      </c>
      <c r="E628" s="156" t="s">
        <v>17</v>
      </c>
      <c r="F628" s="197">
        <v>33</v>
      </c>
      <c r="G628" s="198">
        <v>3.6</v>
      </c>
      <c r="H628" s="197">
        <f t="shared" si="109"/>
        <v>3.6</v>
      </c>
      <c r="I628" s="198">
        <f t="shared" si="111"/>
        <v>118.8</v>
      </c>
    </row>
    <row r="629" spans="1:9" s="40" customFormat="1" ht="14.25" x14ac:dyDescent="0.2">
      <c r="A629" s="246" t="s">
        <v>2022</v>
      </c>
      <c r="B629" s="156" t="s">
        <v>45</v>
      </c>
      <c r="C629" s="155" t="s">
        <v>104</v>
      </c>
      <c r="D629" s="151" t="s">
        <v>2191</v>
      </c>
      <c r="E629" s="156" t="s">
        <v>17</v>
      </c>
      <c r="F629" s="197">
        <v>4</v>
      </c>
      <c r="G629" s="198">
        <v>2.04</v>
      </c>
      <c r="H629" s="197">
        <f t="shared" si="109"/>
        <v>2.04</v>
      </c>
      <c r="I629" s="198">
        <f t="shared" si="111"/>
        <v>8.16</v>
      </c>
    </row>
    <row r="630" spans="1:9" s="40" customFormat="1" ht="14.25" x14ac:dyDescent="0.2">
      <c r="A630" s="246" t="s">
        <v>2023</v>
      </c>
      <c r="B630" s="156" t="s">
        <v>45</v>
      </c>
      <c r="C630" s="155">
        <v>3535</v>
      </c>
      <c r="D630" s="151" t="s">
        <v>2192</v>
      </c>
      <c r="E630" s="156" t="s">
        <v>18</v>
      </c>
      <c r="F630" s="197">
        <v>1</v>
      </c>
      <c r="G630" s="198">
        <v>3.6</v>
      </c>
      <c r="H630" s="197">
        <f t="shared" si="109"/>
        <v>3.6</v>
      </c>
      <c r="I630" s="198">
        <f t="shared" si="111"/>
        <v>3.6</v>
      </c>
    </row>
    <row r="631" spans="1:9" s="40" customFormat="1" ht="14.25" x14ac:dyDescent="0.2">
      <c r="A631" s="246" t="s">
        <v>2024</v>
      </c>
      <c r="B631" s="156" t="s">
        <v>45</v>
      </c>
      <c r="C631" s="155" t="s">
        <v>106</v>
      </c>
      <c r="D631" s="151" t="s">
        <v>2193</v>
      </c>
      <c r="E631" s="156" t="s">
        <v>18</v>
      </c>
      <c r="F631" s="197">
        <v>2</v>
      </c>
      <c r="G631" s="198">
        <v>2.37</v>
      </c>
      <c r="H631" s="197">
        <f t="shared" si="109"/>
        <v>2.37</v>
      </c>
      <c r="I631" s="198">
        <f t="shared" si="111"/>
        <v>4.74</v>
      </c>
    </row>
    <row r="632" spans="1:9" s="40" customFormat="1" ht="28.5" x14ac:dyDescent="0.2">
      <c r="A632" s="246" t="s">
        <v>2025</v>
      </c>
      <c r="B632" s="156" t="s">
        <v>45</v>
      </c>
      <c r="C632" s="155" t="s">
        <v>108</v>
      </c>
      <c r="D632" s="151" t="s">
        <v>2194</v>
      </c>
      <c r="E632" s="156" t="s">
        <v>18</v>
      </c>
      <c r="F632" s="197">
        <v>7</v>
      </c>
      <c r="G632" s="198">
        <v>0.67</v>
      </c>
      <c r="H632" s="197">
        <f t="shared" si="109"/>
        <v>0.67</v>
      </c>
      <c r="I632" s="198">
        <f t="shared" si="111"/>
        <v>4.6900000000000004</v>
      </c>
    </row>
    <row r="633" spans="1:9" s="40" customFormat="1" ht="28.5" x14ac:dyDescent="0.2">
      <c r="A633" s="246" t="s">
        <v>2026</v>
      </c>
      <c r="B633" s="156" t="s">
        <v>45</v>
      </c>
      <c r="C633" s="155" t="s">
        <v>109</v>
      </c>
      <c r="D633" s="151" t="s">
        <v>2195</v>
      </c>
      <c r="E633" s="156" t="s">
        <v>18</v>
      </c>
      <c r="F633" s="197">
        <v>2</v>
      </c>
      <c r="G633" s="198">
        <v>0.34</v>
      </c>
      <c r="H633" s="197">
        <f t="shared" si="109"/>
        <v>0.34</v>
      </c>
      <c r="I633" s="198">
        <f t="shared" si="111"/>
        <v>0.68</v>
      </c>
    </row>
    <row r="634" spans="1:9" s="40" customFormat="1" ht="14.25" customHeight="1" x14ac:dyDescent="0.2">
      <c r="A634" s="246" t="s">
        <v>2027</v>
      </c>
      <c r="B634" s="156" t="s">
        <v>45</v>
      </c>
      <c r="C634" s="155" t="s">
        <v>110</v>
      </c>
      <c r="D634" s="151" t="s">
        <v>2196</v>
      </c>
      <c r="E634" s="156" t="s">
        <v>18</v>
      </c>
      <c r="F634" s="197">
        <v>4</v>
      </c>
      <c r="G634" s="198">
        <v>2.2599999999999998</v>
      </c>
      <c r="H634" s="197">
        <f t="shared" si="109"/>
        <v>2.2599999999999998</v>
      </c>
      <c r="I634" s="198">
        <f t="shared" si="111"/>
        <v>9.0399999999999991</v>
      </c>
    </row>
    <row r="635" spans="1:9" s="40" customFormat="1" ht="14.25" x14ac:dyDescent="0.2">
      <c r="A635" s="246" t="s">
        <v>2028</v>
      </c>
      <c r="B635" s="156" t="s">
        <v>45</v>
      </c>
      <c r="C635" s="155" t="s">
        <v>111</v>
      </c>
      <c r="D635" s="151" t="s">
        <v>2197</v>
      </c>
      <c r="E635" s="156" t="s">
        <v>18</v>
      </c>
      <c r="F635" s="197">
        <v>5</v>
      </c>
      <c r="G635" s="198">
        <v>1.47</v>
      </c>
      <c r="H635" s="197">
        <f t="shared" si="109"/>
        <v>1.47</v>
      </c>
      <c r="I635" s="198">
        <f t="shared" si="111"/>
        <v>7.35</v>
      </c>
    </row>
    <row r="636" spans="1:9" s="40" customFormat="1" ht="14.25" x14ac:dyDescent="0.2">
      <c r="A636" s="246" t="s">
        <v>2029</v>
      </c>
      <c r="B636" s="156" t="s">
        <v>45</v>
      </c>
      <c r="C636" s="155" t="s">
        <v>112</v>
      </c>
      <c r="D636" s="151" t="s">
        <v>2198</v>
      </c>
      <c r="E636" s="156" t="s">
        <v>18</v>
      </c>
      <c r="F636" s="197">
        <v>15</v>
      </c>
      <c r="G636" s="198">
        <v>0.38</v>
      </c>
      <c r="H636" s="197">
        <f t="shared" si="109"/>
        <v>0.38</v>
      </c>
      <c r="I636" s="198">
        <f t="shared" si="111"/>
        <v>5.7</v>
      </c>
    </row>
    <row r="637" spans="1:9" s="40" customFormat="1" ht="14.25" x14ac:dyDescent="0.2">
      <c r="A637" s="246" t="s">
        <v>2030</v>
      </c>
      <c r="B637" s="156" t="s">
        <v>45</v>
      </c>
      <c r="C637" s="155" t="s">
        <v>113</v>
      </c>
      <c r="D637" s="151" t="s">
        <v>2199</v>
      </c>
      <c r="E637" s="156" t="s">
        <v>18</v>
      </c>
      <c r="F637" s="197">
        <v>5</v>
      </c>
      <c r="G637" s="198">
        <v>10</v>
      </c>
      <c r="H637" s="197">
        <f t="shared" si="109"/>
        <v>10</v>
      </c>
      <c r="I637" s="198">
        <f t="shared" si="111"/>
        <v>50</v>
      </c>
    </row>
    <row r="638" spans="1:9" s="40" customFormat="1" ht="28.5" x14ac:dyDescent="0.2">
      <c r="A638" s="246" t="s">
        <v>2031</v>
      </c>
      <c r="B638" s="156" t="s">
        <v>45</v>
      </c>
      <c r="C638" s="155">
        <v>3515</v>
      </c>
      <c r="D638" s="151" t="s">
        <v>2200</v>
      </c>
      <c r="E638" s="156" t="s">
        <v>18</v>
      </c>
      <c r="F638" s="197">
        <v>7</v>
      </c>
      <c r="G638" s="198">
        <v>4.25</v>
      </c>
      <c r="H638" s="197">
        <f t="shared" si="109"/>
        <v>4.25</v>
      </c>
      <c r="I638" s="198">
        <f t="shared" si="111"/>
        <v>29.75</v>
      </c>
    </row>
    <row r="639" spans="1:9" s="40" customFormat="1" ht="28.5" x14ac:dyDescent="0.2">
      <c r="A639" s="246" t="s">
        <v>2032</v>
      </c>
      <c r="B639" s="156" t="s">
        <v>45</v>
      </c>
      <c r="C639" s="155">
        <v>3524</v>
      </c>
      <c r="D639" s="151" t="s">
        <v>2201</v>
      </c>
      <c r="E639" s="156" t="s">
        <v>18</v>
      </c>
      <c r="F639" s="197">
        <v>5</v>
      </c>
      <c r="G639" s="198">
        <v>5.19</v>
      </c>
      <c r="H639" s="197">
        <f t="shared" si="109"/>
        <v>5.19</v>
      </c>
      <c r="I639" s="198">
        <f t="shared" si="111"/>
        <v>25.950000000000003</v>
      </c>
    </row>
    <row r="640" spans="1:9" s="40" customFormat="1" ht="14.25" customHeight="1" x14ac:dyDescent="0.2">
      <c r="A640" s="246" t="s">
        <v>2033</v>
      </c>
      <c r="B640" s="148" t="s">
        <v>45</v>
      </c>
      <c r="C640" s="155" t="s">
        <v>115</v>
      </c>
      <c r="D640" s="151" t="s">
        <v>2202</v>
      </c>
      <c r="E640" s="156" t="s">
        <v>18</v>
      </c>
      <c r="F640" s="197">
        <v>4</v>
      </c>
      <c r="G640" s="198">
        <v>1.58</v>
      </c>
      <c r="H640" s="197">
        <f t="shared" si="109"/>
        <v>1.58</v>
      </c>
      <c r="I640" s="198">
        <f t="shared" si="111"/>
        <v>6.32</v>
      </c>
    </row>
    <row r="641" spans="1:9" s="40" customFormat="1" ht="14.25" customHeight="1" x14ac:dyDescent="0.2">
      <c r="A641" s="246" t="s">
        <v>2034</v>
      </c>
      <c r="B641" s="187" t="s">
        <v>45</v>
      </c>
      <c r="C641" s="155" t="s">
        <v>116</v>
      </c>
      <c r="D641" s="151" t="s">
        <v>2203</v>
      </c>
      <c r="E641" s="156" t="s">
        <v>18</v>
      </c>
      <c r="F641" s="197">
        <v>8</v>
      </c>
      <c r="G641" s="198">
        <v>0.8</v>
      </c>
      <c r="H641" s="197">
        <f t="shared" si="109"/>
        <v>0.8</v>
      </c>
      <c r="I641" s="198">
        <f t="shared" si="111"/>
        <v>6.4</v>
      </c>
    </row>
    <row r="642" spans="1:9" s="40" customFormat="1" ht="28.5" x14ac:dyDescent="0.2">
      <c r="A642" s="246" t="s">
        <v>2035</v>
      </c>
      <c r="B642" s="148" t="s">
        <v>45</v>
      </c>
      <c r="C642" s="155">
        <v>6021</v>
      </c>
      <c r="D642" s="151" t="s">
        <v>2204</v>
      </c>
      <c r="E642" s="156" t="s">
        <v>18</v>
      </c>
      <c r="F642" s="197">
        <v>2</v>
      </c>
      <c r="G642" s="198">
        <v>42.26</v>
      </c>
      <c r="H642" s="197">
        <f t="shared" si="109"/>
        <v>42.26</v>
      </c>
      <c r="I642" s="198">
        <f t="shared" si="111"/>
        <v>84.52</v>
      </c>
    </row>
    <row r="643" spans="1:9" s="40" customFormat="1" ht="28.5" x14ac:dyDescent="0.2">
      <c r="A643" s="246" t="s">
        <v>2036</v>
      </c>
      <c r="B643" s="148" t="s">
        <v>45</v>
      </c>
      <c r="C643" s="155" t="s">
        <v>187</v>
      </c>
      <c r="D643" s="151" t="s">
        <v>2205</v>
      </c>
      <c r="E643" s="156" t="s">
        <v>18</v>
      </c>
      <c r="F643" s="197">
        <v>2</v>
      </c>
      <c r="G643" s="198">
        <v>56.7</v>
      </c>
      <c r="H643" s="197">
        <f t="shared" si="109"/>
        <v>56.7</v>
      </c>
      <c r="I643" s="198">
        <f t="shared" si="111"/>
        <v>113.4</v>
      </c>
    </row>
    <row r="644" spans="1:9" s="40" customFormat="1" ht="14.25" x14ac:dyDescent="0.2">
      <c r="A644" s="246" t="s">
        <v>2037</v>
      </c>
      <c r="B644" s="156" t="s">
        <v>45</v>
      </c>
      <c r="C644" s="155">
        <v>3874</v>
      </c>
      <c r="D644" s="151" t="s">
        <v>2206</v>
      </c>
      <c r="E644" s="156" t="s">
        <v>18</v>
      </c>
      <c r="F644" s="197">
        <v>2</v>
      </c>
      <c r="G644" s="198">
        <v>3.68</v>
      </c>
      <c r="H644" s="197">
        <f t="shared" si="109"/>
        <v>3.68</v>
      </c>
      <c r="I644" s="198">
        <f t="shared" si="111"/>
        <v>7.36</v>
      </c>
    </row>
    <row r="645" spans="1:9" s="40" customFormat="1" ht="28.5" x14ac:dyDescent="0.2">
      <c r="A645" s="246" t="s">
        <v>2038</v>
      </c>
      <c r="B645" s="156" t="s">
        <v>45</v>
      </c>
      <c r="C645" s="155" t="s">
        <v>117</v>
      </c>
      <c r="D645" s="151" t="s">
        <v>2207</v>
      </c>
      <c r="E645" s="156" t="s">
        <v>18</v>
      </c>
      <c r="F645" s="197">
        <v>1</v>
      </c>
      <c r="G645" s="198">
        <v>25.9</v>
      </c>
      <c r="H645" s="197">
        <f t="shared" si="109"/>
        <v>25.9</v>
      </c>
      <c r="I645" s="198">
        <f t="shared" ref="I645:I682" si="112">F645*H645</f>
        <v>25.9</v>
      </c>
    </row>
    <row r="646" spans="1:9" s="40" customFormat="1" ht="28.5" x14ac:dyDescent="0.2">
      <c r="A646" s="246" t="s">
        <v>2039</v>
      </c>
      <c r="B646" s="156" t="s">
        <v>45</v>
      </c>
      <c r="C646" s="155" t="s">
        <v>118</v>
      </c>
      <c r="D646" s="151" t="s">
        <v>2208</v>
      </c>
      <c r="E646" s="156" t="s">
        <v>18</v>
      </c>
      <c r="F646" s="197">
        <v>1</v>
      </c>
      <c r="G646" s="198">
        <v>15.97</v>
      </c>
      <c r="H646" s="197">
        <f t="shared" si="109"/>
        <v>15.97</v>
      </c>
      <c r="I646" s="198">
        <f t="shared" si="112"/>
        <v>15.97</v>
      </c>
    </row>
    <row r="647" spans="1:9" s="40" customFormat="1" ht="28.5" x14ac:dyDescent="0.2">
      <c r="A647" s="246" t="s">
        <v>2040</v>
      </c>
      <c r="B647" s="156" t="s">
        <v>45</v>
      </c>
      <c r="C647" s="155" t="s">
        <v>119</v>
      </c>
      <c r="D647" s="151" t="s">
        <v>2209</v>
      </c>
      <c r="E647" s="156" t="s">
        <v>18</v>
      </c>
      <c r="F647" s="197">
        <v>2</v>
      </c>
      <c r="G647" s="198">
        <v>12.68</v>
      </c>
      <c r="H647" s="197">
        <f t="shared" si="109"/>
        <v>12.68</v>
      </c>
      <c r="I647" s="198">
        <f t="shared" si="112"/>
        <v>25.36</v>
      </c>
    </row>
    <row r="648" spans="1:9" s="40" customFormat="1" ht="14.25" x14ac:dyDescent="0.2">
      <c r="A648" s="246" t="s">
        <v>2041</v>
      </c>
      <c r="B648" s="148" t="s">
        <v>45</v>
      </c>
      <c r="C648" s="155" t="s">
        <v>120</v>
      </c>
      <c r="D648" s="151" t="s">
        <v>2210</v>
      </c>
      <c r="E648" s="156" t="s">
        <v>18</v>
      </c>
      <c r="F648" s="197">
        <v>2</v>
      </c>
      <c r="G648" s="198">
        <v>1.01</v>
      </c>
      <c r="H648" s="197">
        <f t="shared" si="109"/>
        <v>1.01</v>
      </c>
      <c r="I648" s="198">
        <f t="shared" si="112"/>
        <v>2.02</v>
      </c>
    </row>
    <row r="649" spans="1:9" s="40" customFormat="1" ht="14.25" x14ac:dyDescent="0.2">
      <c r="A649" s="246" t="s">
        <v>2042</v>
      </c>
      <c r="B649" s="148" t="s">
        <v>45</v>
      </c>
      <c r="C649" s="155" t="s">
        <v>121</v>
      </c>
      <c r="D649" s="151" t="s">
        <v>2211</v>
      </c>
      <c r="E649" s="156" t="s">
        <v>18</v>
      </c>
      <c r="F649" s="197">
        <v>1</v>
      </c>
      <c r="G649" s="198">
        <v>6.11</v>
      </c>
      <c r="H649" s="197">
        <f t="shared" si="109"/>
        <v>6.11</v>
      </c>
      <c r="I649" s="198">
        <f t="shared" si="112"/>
        <v>6.11</v>
      </c>
    </row>
    <row r="650" spans="1:9" s="40" customFormat="1" ht="28.5" x14ac:dyDescent="0.2">
      <c r="A650" s="246" t="s">
        <v>2043</v>
      </c>
      <c r="B650" s="148" t="s">
        <v>45</v>
      </c>
      <c r="C650" s="155" t="s">
        <v>122</v>
      </c>
      <c r="D650" s="151" t="s">
        <v>2212</v>
      </c>
      <c r="E650" s="156" t="s">
        <v>18</v>
      </c>
      <c r="F650" s="197">
        <v>4</v>
      </c>
      <c r="G650" s="198">
        <v>46.32</v>
      </c>
      <c r="H650" s="197">
        <f t="shared" si="109"/>
        <v>46.32</v>
      </c>
      <c r="I650" s="198">
        <f t="shared" si="112"/>
        <v>185.28</v>
      </c>
    </row>
    <row r="651" spans="1:9" s="40" customFormat="1" ht="28.5" x14ac:dyDescent="0.2">
      <c r="A651" s="246" t="s">
        <v>2044</v>
      </c>
      <c r="B651" s="148" t="s">
        <v>45</v>
      </c>
      <c r="C651" s="155" t="s">
        <v>123</v>
      </c>
      <c r="D651" s="151" t="s">
        <v>2213</v>
      </c>
      <c r="E651" s="156" t="s">
        <v>18</v>
      </c>
      <c r="F651" s="197">
        <v>1</v>
      </c>
      <c r="G651" s="198">
        <v>78.83</v>
      </c>
      <c r="H651" s="197">
        <f t="shared" si="109"/>
        <v>78.83</v>
      </c>
      <c r="I651" s="198">
        <f t="shared" si="112"/>
        <v>78.83</v>
      </c>
    </row>
    <row r="652" spans="1:9" s="40" customFormat="1" ht="14.25" customHeight="1" x14ac:dyDescent="0.2">
      <c r="A652" s="246" t="s">
        <v>2045</v>
      </c>
      <c r="B652" s="148" t="s">
        <v>45</v>
      </c>
      <c r="C652" s="155" t="s">
        <v>124</v>
      </c>
      <c r="D652" s="151" t="s">
        <v>2214</v>
      </c>
      <c r="E652" s="156" t="s">
        <v>18</v>
      </c>
      <c r="F652" s="197">
        <v>2</v>
      </c>
      <c r="G652" s="198">
        <v>2.85</v>
      </c>
      <c r="H652" s="197">
        <f>G652</f>
        <v>2.85</v>
      </c>
      <c r="I652" s="198">
        <f t="shared" si="112"/>
        <v>5.7</v>
      </c>
    </row>
    <row r="653" spans="1:9" s="40" customFormat="1" ht="14.25" x14ac:dyDescent="0.2">
      <c r="A653" s="246" t="s">
        <v>2046</v>
      </c>
      <c r="B653" s="156" t="s">
        <v>45</v>
      </c>
      <c r="C653" s="155" t="s">
        <v>125</v>
      </c>
      <c r="D653" s="151" t="s">
        <v>2215</v>
      </c>
      <c r="E653" s="156" t="s">
        <v>18</v>
      </c>
      <c r="F653" s="197">
        <v>1</v>
      </c>
      <c r="G653" s="198">
        <v>3.45</v>
      </c>
      <c r="H653" s="197">
        <f t="shared" si="109"/>
        <v>3.45</v>
      </c>
      <c r="I653" s="198">
        <f t="shared" si="112"/>
        <v>3.45</v>
      </c>
    </row>
    <row r="654" spans="1:9" s="40" customFormat="1" ht="14.25" x14ac:dyDescent="0.2">
      <c r="A654" s="246" t="s">
        <v>2047</v>
      </c>
      <c r="B654" s="156" t="s">
        <v>45</v>
      </c>
      <c r="C654" s="155" t="s">
        <v>127</v>
      </c>
      <c r="D654" s="151" t="s">
        <v>2216</v>
      </c>
      <c r="E654" s="156" t="s">
        <v>18</v>
      </c>
      <c r="F654" s="197">
        <v>1</v>
      </c>
      <c r="G654" s="198">
        <v>0.95</v>
      </c>
      <c r="H654" s="197">
        <f t="shared" si="109"/>
        <v>0.95</v>
      </c>
      <c r="I654" s="198">
        <f t="shared" si="112"/>
        <v>0.95</v>
      </c>
    </row>
    <row r="655" spans="1:9" s="40" customFormat="1" ht="28.5" x14ac:dyDescent="0.2">
      <c r="A655" s="246" t="s">
        <v>2048</v>
      </c>
      <c r="B655" s="156" t="s">
        <v>45</v>
      </c>
      <c r="C655" s="155" t="s">
        <v>182</v>
      </c>
      <c r="D655" s="151" t="s">
        <v>2217</v>
      </c>
      <c r="E655" s="156" t="s">
        <v>18</v>
      </c>
      <c r="F655" s="197">
        <v>1</v>
      </c>
      <c r="G655" s="198">
        <v>49.1</v>
      </c>
      <c r="H655" s="197">
        <f t="shared" si="109"/>
        <v>49.1</v>
      </c>
      <c r="I655" s="198">
        <f t="shared" si="112"/>
        <v>49.1</v>
      </c>
    </row>
    <row r="656" spans="1:9" s="40" customFormat="1" ht="14.25" x14ac:dyDescent="0.2">
      <c r="A656" s="246" t="s">
        <v>2049</v>
      </c>
      <c r="B656" s="156" t="s">
        <v>45</v>
      </c>
      <c r="C656" s="155">
        <v>3499</v>
      </c>
      <c r="D656" s="151" t="s">
        <v>2218</v>
      </c>
      <c r="E656" s="156" t="s">
        <v>18</v>
      </c>
      <c r="F656" s="197">
        <v>2</v>
      </c>
      <c r="G656" s="198">
        <v>0.57999999999999996</v>
      </c>
      <c r="H656" s="197">
        <f t="shared" si="109"/>
        <v>0.57999999999999996</v>
      </c>
      <c r="I656" s="198">
        <f t="shared" si="112"/>
        <v>1.1599999999999999</v>
      </c>
    </row>
    <row r="657" spans="1:9" s="40" customFormat="1" ht="28.5" x14ac:dyDescent="0.2">
      <c r="A657" s="246" t="s">
        <v>2050</v>
      </c>
      <c r="B657" s="156" t="s">
        <v>45</v>
      </c>
      <c r="C657" s="155" t="s">
        <v>181</v>
      </c>
      <c r="D657" s="151" t="s">
        <v>2204</v>
      </c>
      <c r="E657" s="156" t="s">
        <v>18</v>
      </c>
      <c r="F657" s="197">
        <v>1</v>
      </c>
      <c r="G657" s="198">
        <v>42.26</v>
      </c>
      <c r="H657" s="197">
        <f t="shared" si="109"/>
        <v>42.26</v>
      </c>
      <c r="I657" s="198">
        <f t="shared" si="112"/>
        <v>42.26</v>
      </c>
    </row>
    <row r="658" spans="1:9" s="40" customFormat="1" ht="14.25" customHeight="1" x14ac:dyDescent="0.2">
      <c r="A658" s="246" t="s">
        <v>2051</v>
      </c>
      <c r="B658" s="156" t="s">
        <v>45</v>
      </c>
      <c r="C658" s="155" t="s">
        <v>129</v>
      </c>
      <c r="D658" s="151" t="s">
        <v>2219</v>
      </c>
      <c r="E658" s="156" t="s">
        <v>18</v>
      </c>
      <c r="F658" s="197">
        <v>1</v>
      </c>
      <c r="G658" s="198">
        <v>0.71</v>
      </c>
      <c r="H658" s="197">
        <f t="shared" si="109"/>
        <v>0.71</v>
      </c>
      <c r="I658" s="198">
        <f t="shared" si="112"/>
        <v>0.71</v>
      </c>
    </row>
    <row r="659" spans="1:9" s="40" customFormat="1" ht="14.25" x14ac:dyDescent="0.2">
      <c r="A659" s="246" t="s">
        <v>2052</v>
      </c>
      <c r="B659" s="156" t="s">
        <v>45</v>
      </c>
      <c r="C659" s="155">
        <v>3861</v>
      </c>
      <c r="D659" s="151" t="s">
        <v>2220</v>
      </c>
      <c r="E659" s="156" t="s">
        <v>18</v>
      </c>
      <c r="F659" s="197">
        <v>1</v>
      </c>
      <c r="G659" s="198">
        <v>0.47</v>
      </c>
      <c r="H659" s="197">
        <f t="shared" si="109"/>
        <v>0.47</v>
      </c>
      <c r="I659" s="198">
        <f t="shared" si="112"/>
        <v>0.47</v>
      </c>
    </row>
    <row r="660" spans="1:9" s="40" customFormat="1" ht="14.25" x14ac:dyDescent="0.2">
      <c r="A660" s="246" t="s">
        <v>2053</v>
      </c>
      <c r="B660" s="148" t="s">
        <v>45</v>
      </c>
      <c r="C660" s="156" t="s">
        <v>130</v>
      </c>
      <c r="D660" s="151" t="s">
        <v>2221</v>
      </c>
      <c r="E660" s="156" t="s">
        <v>18</v>
      </c>
      <c r="F660" s="197">
        <v>1</v>
      </c>
      <c r="G660" s="198">
        <v>5.92</v>
      </c>
      <c r="H660" s="197">
        <f t="shared" si="109"/>
        <v>5.92</v>
      </c>
      <c r="I660" s="198">
        <f t="shared" si="112"/>
        <v>5.92</v>
      </c>
    </row>
    <row r="661" spans="1:9" s="40" customFormat="1" ht="14.25" x14ac:dyDescent="0.2">
      <c r="A661" s="246" t="s">
        <v>2054</v>
      </c>
      <c r="B661" s="156" t="s">
        <v>45</v>
      </c>
      <c r="C661" s="155" t="s">
        <v>131</v>
      </c>
      <c r="D661" s="151" t="s">
        <v>2222</v>
      </c>
      <c r="E661" s="156" t="s">
        <v>18</v>
      </c>
      <c r="F661" s="197">
        <v>1</v>
      </c>
      <c r="G661" s="198">
        <v>5.01</v>
      </c>
      <c r="H661" s="197">
        <f t="shared" si="109"/>
        <v>5.01</v>
      </c>
      <c r="I661" s="198">
        <f t="shared" si="112"/>
        <v>5.01</v>
      </c>
    </row>
    <row r="662" spans="1:9" s="40" customFormat="1" ht="28.5" x14ac:dyDescent="0.2">
      <c r="A662" s="246" t="s">
        <v>2055</v>
      </c>
      <c r="B662" s="156" t="s">
        <v>45</v>
      </c>
      <c r="C662" s="155">
        <v>7103</v>
      </c>
      <c r="D662" s="151" t="s">
        <v>2223</v>
      </c>
      <c r="E662" s="156" t="s">
        <v>18</v>
      </c>
      <c r="F662" s="197">
        <v>1</v>
      </c>
      <c r="G662" s="198">
        <v>12.33</v>
      </c>
      <c r="H662" s="197">
        <f t="shared" si="109"/>
        <v>12.33</v>
      </c>
      <c r="I662" s="198">
        <f t="shared" si="112"/>
        <v>12.33</v>
      </c>
    </row>
    <row r="663" spans="1:9" s="40" customFormat="1" ht="14.25" x14ac:dyDescent="0.2">
      <c r="A663" s="246" t="s">
        <v>2056</v>
      </c>
      <c r="B663" s="156" t="s">
        <v>45</v>
      </c>
      <c r="C663" s="155" t="s">
        <v>133</v>
      </c>
      <c r="D663" s="151" t="s">
        <v>2224</v>
      </c>
      <c r="E663" s="156" t="s">
        <v>18</v>
      </c>
      <c r="F663" s="197">
        <v>2</v>
      </c>
      <c r="G663" s="198">
        <v>14.32</v>
      </c>
      <c r="H663" s="197">
        <f t="shared" si="109"/>
        <v>14.32</v>
      </c>
      <c r="I663" s="198">
        <f t="shared" si="112"/>
        <v>28.64</v>
      </c>
    </row>
    <row r="664" spans="1:9" s="40" customFormat="1" ht="14.25" x14ac:dyDescent="0.2">
      <c r="A664" s="246" t="s">
        <v>2057</v>
      </c>
      <c r="B664" s="156" t="s">
        <v>45</v>
      </c>
      <c r="C664" s="155" t="s">
        <v>171</v>
      </c>
      <c r="D664" s="151" t="s">
        <v>2225</v>
      </c>
      <c r="E664" s="156" t="s">
        <v>18</v>
      </c>
      <c r="F664" s="197">
        <v>2</v>
      </c>
      <c r="G664" s="198">
        <v>1.71</v>
      </c>
      <c r="H664" s="197">
        <f t="shared" si="109"/>
        <v>1.71</v>
      </c>
      <c r="I664" s="198">
        <f t="shared" si="112"/>
        <v>3.42</v>
      </c>
    </row>
    <row r="665" spans="1:9" s="40" customFormat="1" ht="14.25" x14ac:dyDescent="0.2">
      <c r="A665" s="246" t="s">
        <v>2058</v>
      </c>
      <c r="B665" s="156" t="s">
        <v>65</v>
      </c>
      <c r="C665" s="155">
        <v>39319</v>
      </c>
      <c r="D665" s="151" t="s">
        <v>2226</v>
      </c>
      <c r="E665" s="156" t="s">
        <v>18</v>
      </c>
      <c r="F665" s="197">
        <v>1</v>
      </c>
      <c r="G665" s="198">
        <v>4.12</v>
      </c>
      <c r="H665" s="197">
        <f t="shared" si="109"/>
        <v>4.12</v>
      </c>
      <c r="I665" s="198">
        <f t="shared" si="112"/>
        <v>4.12</v>
      </c>
    </row>
    <row r="666" spans="1:9" s="40" customFormat="1" ht="14.25" x14ac:dyDescent="0.2">
      <c r="A666" s="246" t="s">
        <v>2059</v>
      </c>
      <c r="B666" s="156" t="s">
        <v>45</v>
      </c>
      <c r="C666" s="155" t="s">
        <v>136</v>
      </c>
      <c r="D666" s="151" t="s">
        <v>2227</v>
      </c>
      <c r="E666" s="156" t="s">
        <v>18</v>
      </c>
      <c r="F666" s="197">
        <v>4</v>
      </c>
      <c r="G666" s="198">
        <v>6.18</v>
      </c>
      <c r="H666" s="197">
        <f>G666</f>
        <v>6.18</v>
      </c>
      <c r="I666" s="198">
        <f t="shared" si="112"/>
        <v>24.72</v>
      </c>
    </row>
    <row r="667" spans="1:9" s="40" customFormat="1" ht="14.25" x14ac:dyDescent="0.2">
      <c r="A667" s="246" t="s">
        <v>2060</v>
      </c>
      <c r="B667" s="156" t="s">
        <v>45</v>
      </c>
      <c r="C667" s="155" t="s">
        <v>172</v>
      </c>
      <c r="D667" s="151" t="s">
        <v>2228</v>
      </c>
      <c r="E667" s="156" t="s">
        <v>18</v>
      </c>
      <c r="F667" s="197">
        <v>2</v>
      </c>
      <c r="G667" s="198">
        <v>7.94</v>
      </c>
      <c r="H667" s="197">
        <f t="shared" si="109"/>
        <v>7.94</v>
      </c>
      <c r="I667" s="198">
        <f t="shared" si="112"/>
        <v>15.88</v>
      </c>
    </row>
    <row r="668" spans="1:9" s="40" customFormat="1" ht="14.25" x14ac:dyDescent="0.2">
      <c r="A668" s="246" t="s">
        <v>2061</v>
      </c>
      <c r="B668" s="156" t="s">
        <v>45</v>
      </c>
      <c r="C668" s="155" t="s">
        <v>142</v>
      </c>
      <c r="D668" s="151" t="s">
        <v>2229</v>
      </c>
      <c r="E668" s="156" t="s">
        <v>18</v>
      </c>
      <c r="F668" s="197">
        <v>2</v>
      </c>
      <c r="G668" s="198">
        <v>6.61</v>
      </c>
      <c r="H668" s="197">
        <f t="shared" ref="H668:H682" si="113">G668</f>
        <v>6.61</v>
      </c>
      <c r="I668" s="198">
        <f t="shared" si="112"/>
        <v>13.22</v>
      </c>
    </row>
    <row r="669" spans="1:9" s="40" customFormat="1" ht="14.25" x14ac:dyDescent="0.2">
      <c r="A669" s="246" t="s">
        <v>2062</v>
      </c>
      <c r="B669" s="156" t="s">
        <v>45</v>
      </c>
      <c r="C669" s="155" t="s">
        <v>143</v>
      </c>
      <c r="D669" s="151" t="s">
        <v>2230</v>
      </c>
      <c r="E669" s="156" t="s">
        <v>18</v>
      </c>
      <c r="F669" s="197">
        <v>2</v>
      </c>
      <c r="G669" s="198">
        <v>10.17</v>
      </c>
      <c r="H669" s="197">
        <f t="shared" si="113"/>
        <v>10.17</v>
      </c>
      <c r="I669" s="198">
        <f t="shared" si="112"/>
        <v>20.34</v>
      </c>
    </row>
    <row r="670" spans="1:9" s="40" customFormat="1" ht="14.25" x14ac:dyDescent="0.2">
      <c r="A670" s="246" t="s">
        <v>2063</v>
      </c>
      <c r="B670" s="156" t="s">
        <v>45</v>
      </c>
      <c r="C670" s="155" t="s">
        <v>144</v>
      </c>
      <c r="D670" s="151" t="s">
        <v>2231</v>
      </c>
      <c r="E670" s="156" t="s">
        <v>18</v>
      </c>
      <c r="F670" s="197">
        <v>6</v>
      </c>
      <c r="G670" s="198">
        <v>12.12</v>
      </c>
      <c r="H670" s="197">
        <f t="shared" si="113"/>
        <v>12.12</v>
      </c>
      <c r="I670" s="198">
        <f t="shared" si="112"/>
        <v>72.72</v>
      </c>
    </row>
    <row r="671" spans="1:9" s="40" customFormat="1" ht="28.5" x14ac:dyDescent="0.2">
      <c r="A671" s="246" t="s">
        <v>2064</v>
      </c>
      <c r="B671" s="187" t="s">
        <v>45</v>
      </c>
      <c r="C671" s="155" t="s">
        <v>145</v>
      </c>
      <c r="D671" s="151" t="s">
        <v>2232</v>
      </c>
      <c r="E671" s="156" t="s">
        <v>18</v>
      </c>
      <c r="F671" s="197">
        <v>2</v>
      </c>
      <c r="G671" s="198">
        <v>2.4900000000000002</v>
      </c>
      <c r="H671" s="197">
        <f t="shared" si="113"/>
        <v>2.4900000000000002</v>
      </c>
      <c r="I671" s="198">
        <f t="shared" si="112"/>
        <v>4.9800000000000004</v>
      </c>
    </row>
    <row r="672" spans="1:9" s="40" customFormat="1" ht="14.25" x14ac:dyDescent="0.2">
      <c r="A672" s="246" t="s">
        <v>2065</v>
      </c>
      <c r="B672" s="156" t="s">
        <v>45</v>
      </c>
      <c r="C672" s="155">
        <v>6138</v>
      </c>
      <c r="D672" s="151" t="s">
        <v>2225</v>
      </c>
      <c r="E672" s="156" t="s">
        <v>18</v>
      </c>
      <c r="F672" s="197">
        <v>2</v>
      </c>
      <c r="G672" s="198">
        <v>1.71</v>
      </c>
      <c r="H672" s="197">
        <f t="shared" si="113"/>
        <v>1.71</v>
      </c>
      <c r="I672" s="198">
        <f t="shared" si="112"/>
        <v>3.42</v>
      </c>
    </row>
    <row r="673" spans="1:17" s="40" customFormat="1" ht="14.25" x14ac:dyDescent="0.2">
      <c r="A673" s="246" t="s">
        <v>2066</v>
      </c>
      <c r="B673" s="157" t="s">
        <v>45</v>
      </c>
      <c r="C673" s="155" t="s">
        <v>148</v>
      </c>
      <c r="D673" s="151" t="s">
        <v>2233</v>
      </c>
      <c r="E673" s="156" t="s">
        <v>18</v>
      </c>
      <c r="F673" s="197">
        <v>1</v>
      </c>
      <c r="G673" s="198">
        <v>11.12</v>
      </c>
      <c r="H673" s="197">
        <f t="shared" si="113"/>
        <v>11.12</v>
      </c>
      <c r="I673" s="198">
        <f t="shared" si="112"/>
        <v>11.12</v>
      </c>
    </row>
    <row r="674" spans="1:17" s="40" customFormat="1" ht="14.25" x14ac:dyDescent="0.2">
      <c r="A674" s="246" t="s">
        <v>2067</v>
      </c>
      <c r="B674" s="157" t="s">
        <v>45</v>
      </c>
      <c r="C674" s="155" t="s">
        <v>149</v>
      </c>
      <c r="D674" s="151" t="s">
        <v>2234</v>
      </c>
      <c r="E674" s="156" t="s">
        <v>18</v>
      </c>
      <c r="F674" s="197">
        <v>1</v>
      </c>
      <c r="G674" s="198">
        <v>10.5</v>
      </c>
      <c r="H674" s="197">
        <f t="shared" si="113"/>
        <v>10.5</v>
      </c>
      <c r="I674" s="198">
        <f t="shared" si="112"/>
        <v>10.5</v>
      </c>
    </row>
    <row r="675" spans="1:17" s="40" customFormat="1" ht="14.25" x14ac:dyDescent="0.2">
      <c r="A675" s="246" t="s">
        <v>2068</v>
      </c>
      <c r="B675" s="157" t="s">
        <v>45</v>
      </c>
      <c r="C675" s="155" t="s">
        <v>150</v>
      </c>
      <c r="D675" s="151" t="s">
        <v>2235</v>
      </c>
      <c r="E675" s="156" t="s">
        <v>18</v>
      </c>
      <c r="F675" s="197">
        <v>1</v>
      </c>
      <c r="G675" s="198">
        <v>32.909999999999997</v>
      </c>
      <c r="H675" s="197">
        <f t="shared" si="113"/>
        <v>32.909999999999997</v>
      </c>
      <c r="I675" s="198">
        <f t="shared" si="112"/>
        <v>32.909999999999997</v>
      </c>
    </row>
    <row r="676" spans="1:17" s="40" customFormat="1" ht="14.25" x14ac:dyDescent="0.2">
      <c r="A676" s="246" t="s">
        <v>2069</v>
      </c>
      <c r="B676" s="157" t="s">
        <v>45</v>
      </c>
      <c r="C676" s="155" t="s">
        <v>151</v>
      </c>
      <c r="D676" s="151" t="s">
        <v>2236</v>
      </c>
      <c r="E676" s="156" t="s">
        <v>18</v>
      </c>
      <c r="F676" s="197">
        <v>2</v>
      </c>
      <c r="G676" s="198">
        <v>6.13</v>
      </c>
      <c r="H676" s="197">
        <f t="shared" si="113"/>
        <v>6.13</v>
      </c>
      <c r="I676" s="198">
        <f t="shared" si="112"/>
        <v>12.26</v>
      </c>
    </row>
    <row r="677" spans="1:17" s="40" customFormat="1" ht="14.25" customHeight="1" x14ac:dyDescent="0.2">
      <c r="A677" s="246" t="s">
        <v>2070</v>
      </c>
      <c r="B677" s="157" t="s">
        <v>45</v>
      </c>
      <c r="C677" s="155">
        <v>1367</v>
      </c>
      <c r="D677" s="151" t="s">
        <v>2237</v>
      </c>
      <c r="E677" s="156" t="s">
        <v>18</v>
      </c>
      <c r="F677" s="197">
        <v>2</v>
      </c>
      <c r="G677" s="198">
        <v>155.91</v>
      </c>
      <c r="H677" s="197">
        <f t="shared" si="113"/>
        <v>155.91</v>
      </c>
      <c r="I677" s="198">
        <f t="shared" si="112"/>
        <v>311.82</v>
      </c>
    </row>
    <row r="678" spans="1:17" s="40" customFormat="1" ht="14.25" x14ac:dyDescent="0.2">
      <c r="A678" s="246" t="s">
        <v>2071</v>
      </c>
      <c r="B678" s="156" t="s">
        <v>45</v>
      </c>
      <c r="C678" s="155" t="s">
        <v>152</v>
      </c>
      <c r="D678" s="151" t="s">
        <v>2238</v>
      </c>
      <c r="E678" s="156" t="s">
        <v>18</v>
      </c>
      <c r="F678" s="197">
        <v>1</v>
      </c>
      <c r="G678" s="198">
        <v>283.02999999999997</v>
      </c>
      <c r="H678" s="197">
        <f t="shared" si="113"/>
        <v>283.02999999999997</v>
      </c>
      <c r="I678" s="198">
        <f t="shared" si="112"/>
        <v>283.02999999999997</v>
      </c>
    </row>
    <row r="679" spans="1:17" s="40" customFormat="1" ht="14.25" x14ac:dyDescent="0.2">
      <c r="A679" s="246" t="s">
        <v>2072</v>
      </c>
      <c r="B679" s="232" t="s">
        <v>45</v>
      </c>
      <c r="C679" s="232">
        <v>88267</v>
      </c>
      <c r="D679" s="151" t="s">
        <v>822</v>
      </c>
      <c r="E679" s="232" t="s">
        <v>14</v>
      </c>
      <c r="F679" s="149">
        <v>60</v>
      </c>
      <c r="G679" s="196">
        <v>21.01</v>
      </c>
      <c r="H679" s="197">
        <f t="shared" si="113"/>
        <v>21.01</v>
      </c>
      <c r="I679" s="198">
        <f t="shared" si="112"/>
        <v>1260.6000000000001</v>
      </c>
      <c r="J679" s="41"/>
      <c r="K679" s="41"/>
      <c r="L679" s="41"/>
      <c r="M679" s="41"/>
      <c r="N679" s="41"/>
      <c r="O679" s="41"/>
      <c r="P679" s="41"/>
      <c r="Q679" s="41"/>
    </row>
    <row r="680" spans="1:17" s="40" customFormat="1" ht="14.25" customHeight="1" x14ac:dyDescent="0.2">
      <c r="A680" s="246" t="s">
        <v>2073</v>
      </c>
      <c r="B680" s="232" t="s">
        <v>45</v>
      </c>
      <c r="C680" s="232">
        <v>88248</v>
      </c>
      <c r="D680" s="151" t="s">
        <v>823</v>
      </c>
      <c r="E680" s="232" t="s">
        <v>14</v>
      </c>
      <c r="F680" s="149">
        <v>60</v>
      </c>
      <c r="G680" s="250">
        <v>16.87</v>
      </c>
      <c r="H680" s="197">
        <f t="shared" si="113"/>
        <v>16.87</v>
      </c>
      <c r="I680" s="198">
        <f t="shared" si="112"/>
        <v>1012.2</v>
      </c>
      <c r="J680" s="41"/>
      <c r="K680" s="41"/>
      <c r="L680" s="41"/>
      <c r="M680" s="41"/>
      <c r="N680" s="41"/>
      <c r="O680" s="41"/>
      <c r="P680" s="41"/>
      <c r="Q680" s="41"/>
    </row>
    <row r="681" spans="1:17" s="40" customFormat="1" ht="14.25" x14ac:dyDescent="0.2">
      <c r="A681" s="246" t="s">
        <v>2074</v>
      </c>
      <c r="B681" s="233" t="s">
        <v>45</v>
      </c>
      <c r="C681" s="232">
        <v>88309</v>
      </c>
      <c r="D681" s="150" t="s">
        <v>1639</v>
      </c>
      <c r="E681" s="232" t="s">
        <v>14</v>
      </c>
      <c r="F681" s="149">
        <v>60</v>
      </c>
      <c r="G681" s="196">
        <v>19.34</v>
      </c>
      <c r="H681" s="197">
        <f t="shared" si="113"/>
        <v>19.34</v>
      </c>
      <c r="I681" s="198">
        <f t="shared" si="112"/>
        <v>1160.4000000000001</v>
      </c>
    </row>
    <row r="682" spans="1:17" s="40" customFormat="1" ht="14.25" x14ac:dyDescent="0.2">
      <c r="A682" s="246" t="s">
        <v>2075</v>
      </c>
      <c r="B682" s="232" t="s">
        <v>45</v>
      </c>
      <c r="C682" s="232">
        <v>88316</v>
      </c>
      <c r="D682" s="151" t="s">
        <v>824</v>
      </c>
      <c r="E682" s="232" t="s">
        <v>14</v>
      </c>
      <c r="F682" s="149">
        <v>60</v>
      </c>
      <c r="G682" s="250">
        <v>16.64</v>
      </c>
      <c r="H682" s="197">
        <f t="shared" si="113"/>
        <v>16.64</v>
      </c>
      <c r="I682" s="198">
        <f t="shared" si="112"/>
        <v>998.40000000000009</v>
      </c>
      <c r="J682" s="41"/>
      <c r="K682" s="41"/>
      <c r="L682" s="41"/>
      <c r="M682" s="41"/>
      <c r="N682" s="41"/>
      <c r="O682" s="41"/>
      <c r="P682" s="41"/>
      <c r="Q682" s="41"/>
    </row>
    <row r="683" spans="1:17" s="142" customFormat="1" ht="14.25" x14ac:dyDescent="0.2">
      <c r="A683" s="246"/>
      <c r="B683" s="156"/>
      <c r="C683" s="155"/>
      <c r="D683" s="151"/>
      <c r="E683" s="156"/>
      <c r="F683" s="197"/>
      <c r="G683" s="198"/>
      <c r="H683" s="197"/>
      <c r="I683" s="198"/>
    </row>
    <row r="684" spans="1:17" s="40" customFormat="1" ht="15" customHeight="1" x14ac:dyDescent="0.2">
      <c r="A684" s="280">
        <v>48</v>
      </c>
      <c r="B684" s="279" t="s">
        <v>335</v>
      </c>
      <c r="C684" s="290" t="s">
        <v>2080</v>
      </c>
      <c r="D684" s="181" t="s">
        <v>420</v>
      </c>
      <c r="E684" s="276" t="s">
        <v>18</v>
      </c>
      <c r="F684" s="193"/>
      <c r="G684" s="194"/>
      <c r="H684" s="194"/>
      <c r="I684" s="281">
        <f>SUM(I685:I688)</f>
        <v>836.74</v>
      </c>
      <c r="J684" s="39"/>
      <c r="K684" s="39"/>
      <c r="L684" s="39"/>
      <c r="M684" s="39"/>
      <c r="N684" s="39"/>
      <c r="O684" s="39"/>
      <c r="Q684" s="39"/>
    </row>
    <row r="685" spans="1:17" s="40" customFormat="1" ht="14.25" x14ac:dyDescent="0.2">
      <c r="A685" s="246" t="s">
        <v>2076</v>
      </c>
      <c r="B685" s="156" t="s">
        <v>45</v>
      </c>
      <c r="C685" s="155" t="s">
        <v>425</v>
      </c>
      <c r="D685" s="151" t="s">
        <v>426</v>
      </c>
      <c r="E685" s="156" t="s">
        <v>18</v>
      </c>
      <c r="F685" s="197">
        <v>1</v>
      </c>
      <c r="G685" s="198">
        <v>57.44</v>
      </c>
      <c r="H685" s="197">
        <f t="shared" ref="H685:H688" si="114">G685</f>
        <v>57.44</v>
      </c>
      <c r="I685" s="198">
        <f t="shared" ref="I685:I688" si="115">F685*H685</f>
        <v>57.44</v>
      </c>
      <c r="J685" s="39"/>
      <c r="K685" s="39"/>
      <c r="L685" s="39"/>
      <c r="M685" s="39"/>
      <c r="N685" s="39"/>
      <c r="O685" s="39"/>
      <c r="Q685" s="39"/>
    </row>
    <row r="686" spans="1:17" s="40" customFormat="1" ht="14.25" x14ac:dyDescent="0.2">
      <c r="A686" s="246" t="s">
        <v>2077</v>
      </c>
      <c r="B686" s="156" t="s">
        <v>45</v>
      </c>
      <c r="C686" s="155">
        <v>95674</v>
      </c>
      <c r="D686" s="151" t="s">
        <v>1464</v>
      </c>
      <c r="E686" s="156" t="s">
        <v>18</v>
      </c>
      <c r="F686" s="197">
        <v>1</v>
      </c>
      <c r="G686" s="198">
        <v>103.2</v>
      </c>
      <c r="H686" s="197">
        <f t="shared" si="114"/>
        <v>103.2</v>
      </c>
      <c r="I686" s="198">
        <f t="shared" si="115"/>
        <v>103.2</v>
      </c>
      <c r="J686" s="39"/>
      <c r="K686" s="39"/>
      <c r="L686" s="39"/>
      <c r="M686" s="39"/>
      <c r="N686" s="39"/>
      <c r="O686" s="39"/>
      <c r="Q686" s="39"/>
    </row>
    <row r="687" spans="1:17" s="40" customFormat="1" ht="14.25" x14ac:dyDescent="0.2">
      <c r="A687" s="246" t="s">
        <v>2078</v>
      </c>
      <c r="B687" s="156" t="s">
        <v>45</v>
      </c>
      <c r="C687" s="155">
        <v>83878</v>
      </c>
      <c r="D687" s="151" t="s">
        <v>429</v>
      </c>
      <c r="E687" s="156" t="s">
        <v>18</v>
      </c>
      <c r="F687" s="197">
        <v>1</v>
      </c>
      <c r="G687" s="198">
        <v>46.35</v>
      </c>
      <c r="H687" s="197">
        <f t="shared" ref="H687" si="116">G687</f>
        <v>46.35</v>
      </c>
      <c r="I687" s="198">
        <f t="shared" ref="I687" si="117">F687*H687</f>
        <v>46.35</v>
      </c>
      <c r="J687" s="39"/>
      <c r="K687" s="39"/>
      <c r="L687" s="39"/>
      <c r="M687" s="39"/>
      <c r="N687" s="39"/>
      <c r="O687" s="39"/>
      <c r="Q687" s="39"/>
    </row>
    <row r="688" spans="1:17" s="40" customFormat="1" ht="28.5" x14ac:dyDescent="0.2">
      <c r="A688" s="246" t="s">
        <v>2079</v>
      </c>
      <c r="B688" s="156" t="s">
        <v>45</v>
      </c>
      <c r="C688" s="155" t="s">
        <v>427</v>
      </c>
      <c r="D688" s="151" t="s">
        <v>428</v>
      </c>
      <c r="E688" s="156" t="s">
        <v>17</v>
      </c>
      <c r="F688" s="197">
        <v>25</v>
      </c>
      <c r="G688" s="198">
        <v>25.19</v>
      </c>
      <c r="H688" s="197">
        <f t="shared" si="114"/>
        <v>25.19</v>
      </c>
      <c r="I688" s="198">
        <f t="shared" si="115"/>
        <v>629.75</v>
      </c>
      <c r="J688" s="39"/>
      <c r="K688" s="39"/>
      <c r="L688" s="39"/>
      <c r="M688" s="39"/>
      <c r="N688" s="39"/>
      <c r="O688" s="39"/>
      <c r="Q688" s="39"/>
    </row>
    <row r="689" spans="1:17" s="40" customFormat="1" ht="14.25" x14ac:dyDescent="0.2">
      <c r="A689" s="246"/>
      <c r="B689" s="156"/>
      <c r="C689" s="155"/>
      <c r="D689" s="151"/>
      <c r="E689" s="156"/>
      <c r="F689" s="197"/>
      <c r="G689" s="198"/>
      <c r="H689" s="197"/>
      <c r="I689" s="198"/>
    </row>
    <row r="690" spans="1:17" s="40" customFormat="1" ht="15" customHeight="1" x14ac:dyDescent="0.2">
      <c r="A690" s="280">
        <v>49</v>
      </c>
      <c r="B690" s="279" t="s">
        <v>335</v>
      </c>
      <c r="C690" s="290" t="s">
        <v>2091</v>
      </c>
      <c r="D690" s="181" t="s">
        <v>352</v>
      </c>
      <c r="E690" s="276" t="s">
        <v>18</v>
      </c>
      <c r="F690" s="193"/>
      <c r="G690" s="194"/>
      <c r="H690" s="194"/>
      <c r="I690" s="281">
        <f>SUM(I691:I700)</f>
        <v>1416.15</v>
      </c>
      <c r="J690" s="41"/>
      <c r="K690" s="42"/>
      <c r="L690" s="41"/>
      <c r="M690" s="41"/>
      <c r="N690" s="41"/>
      <c r="O690" s="41"/>
      <c r="P690" s="41"/>
      <c r="Q690" s="41"/>
    </row>
    <row r="691" spans="1:17" s="146" customFormat="1" ht="14.25" x14ac:dyDescent="0.2">
      <c r="A691" s="233" t="s">
        <v>2081</v>
      </c>
      <c r="B691" s="153" t="s">
        <v>45</v>
      </c>
      <c r="C691" s="277">
        <v>93358</v>
      </c>
      <c r="D691" s="278" t="s">
        <v>803</v>
      </c>
      <c r="E691" s="153" t="s">
        <v>16</v>
      </c>
      <c r="F691" s="149">
        <f>1.5*1.5*0.55+2*2*0.4</f>
        <v>2.8375000000000004</v>
      </c>
      <c r="G691" s="149">
        <v>65.819999999999993</v>
      </c>
      <c r="H691" s="149">
        <f>G691</f>
        <v>65.819999999999993</v>
      </c>
      <c r="I691" s="154">
        <f t="shared" ref="I691:I700" si="118">ROUND(F691*H691,2)</f>
        <v>186.76</v>
      </c>
      <c r="J691" s="145"/>
      <c r="K691" s="145"/>
      <c r="L691" s="145"/>
      <c r="M691" s="145"/>
      <c r="N691" s="145"/>
      <c r="O691" s="145"/>
      <c r="P691" s="145"/>
      <c r="Q691" s="145"/>
    </row>
    <row r="692" spans="1:17" s="40" customFormat="1" ht="61.5" customHeight="1" x14ac:dyDescent="0.2">
      <c r="A692" s="233" t="s">
        <v>2082</v>
      </c>
      <c r="B692" s="232" t="s">
        <v>45</v>
      </c>
      <c r="C692" s="232">
        <v>93379</v>
      </c>
      <c r="D692" s="158" t="s">
        <v>1465</v>
      </c>
      <c r="E692" s="232" t="s">
        <v>16</v>
      </c>
      <c r="F692" s="149">
        <v>0.28375000000000006</v>
      </c>
      <c r="G692" s="149">
        <v>13.31</v>
      </c>
      <c r="H692" s="149">
        <f t="shared" ref="H692:H699" si="119">ROUND((1+K$3)*G692,2)</f>
        <v>13.31</v>
      </c>
      <c r="I692" s="149">
        <f t="shared" si="118"/>
        <v>3.78</v>
      </c>
      <c r="J692" s="41"/>
      <c r="K692" s="42"/>
      <c r="L692" s="41"/>
      <c r="M692" s="41"/>
      <c r="N692" s="41"/>
      <c r="O692" s="41"/>
      <c r="P692" s="41"/>
      <c r="Q692" s="41"/>
    </row>
    <row r="693" spans="1:17" s="40" customFormat="1" ht="14.25" customHeight="1" x14ac:dyDescent="0.2">
      <c r="A693" s="233" t="s">
        <v>2083</v>
      </c>
      <c r="B693" s="232" t="s">
        <v>45</v>
      </c>
      <c r="C693" s="232">
        <v>88039</v>
      </c>
      <c r="D693" s="158" t="s">
        <v>744</v>
      </c>
      <c r="E693" s="232" t="s">
        <v>16</v>
      </c>
      <c r="F693" s="149">
        <v>2.5537500000000004</v>
      </c>
      <c r="G693" s="149">
        <v>69.37</v>
      </c>
      <c r="H693" s="149">
        <f t="shared" si="119"/>
        <v>69.37</v>
      </c>
      <c r="I693" s="149">
        <f t="shared" si="118"/>
        <v>177.15</v>
      </c>
      <c r="J693" s="41"/>
      <c r="K693" s="42"/>
      <c r="L693" s="41"/>
      <c r="M693" s="41"/>
      <c r="N693" s="41"/>
      <c r="O693" s="41"/>
      <c r="P693" s="41"/>
      <c r="Q693" s="41"/>
    </row>
    <row r="694" spans="1:17" s="40" customFormat="1" ht="14.25" x14ac:dyDescent="0.2">
      <c r="A694" s="233" t="s">
        <v>2084</v>
      </c>
      <c r="B694" s="232" t="s">
        <v>45</v>
      </c>
      <c r="C694" s="232">
        <v>83683</v>
      </c>
      <c r="D694" s="158" t="s">
        <v>853</v>
      </c>
      <c r="E694" s="232" t="s">
        <v>16</v>
      </c>
      <c r="F694" s="149">
        <v>0.22500000000000001</v>
      </c>
      <c r="G694" s="149">
        <v>104.94</v>
      </c>
      <c r="H694" s="149">
        <f t="shared" si="119"/>
        <v>104.94</v>
      </c>
      <c r="I694" s="149">
        <f t="shared" si="118"/>
        <v>23.61</v>
      </c>
      <c r="J694" s="41"/>
      <c r="K694" s="42"/>
      <c r="L694" s="41"/>
      <c r="M694" s="41"/>
      <c r="N694" s="41"/>
      <c r="O694" s="41"/>
      <c r="P694" s="41"/>
      <c r="Q694" s="41"/>
    </row>
    <row r="695" spans="1:17" s="40" customFormat="1" ht="28.5" x14ac:dyDescent="0.2">
      <c r="A695" s="233" t="s">
        <v>2085</v>
      </c>
      <c r="B695" s="232" t="s">
        <v>45</v>
      </c>
      <c r="C695" s="232">
        <v>95241</v>
      </c>
      <c r="D695" s="158" t="s">
        <v>733</v>
      </c>
      <c r="E695" s="232" t="s">
        <v>16</v>
      </c>
      <c r="F695" s="149">
        <v>6.7499999999999991</v>
      </c>
      <c r="G695" s="149">
        <v>19.88</v>
      </c>
      <c r="H695" s="149">
        <f t="shared" si="119"/>
        <v>19.88</v>
      </c>
      <c r="I695" s="149">
        <f t="shared" si="118"/>
        <v>134.19</v>
      </c>
      <c r="J695" s="41"/>
      <c r="K695" s="42"/>
      <c r="L695" s="41"/>
      <c r="M695" s="41"/>
      <c r="N695" s="41"/>
      <c r="O695" s="41"/>
      <c r="P695" s="41"/>
      <c r="Q695" s="41"/>
    </row>
    <row r="696" spans="1:17" s="40" customFormat="1" ht="57" x14ac:dyDescent="0.2">
      <c r="A696" s="233" t="s">
        <v>2086</v>
      </c>
      <c r="B696" s="232" t="s">
        <v>45</v>
      </c>
      <c r="C696" s="232">
        <v>87479</v>
      </c>
      <c r="D696" s="158" t="s">
        <v>745</v>
      </c>
      <c r="E696" s="232" t="s">
        <v>15</v>
      </c>
      <c r="F696" s="149">
        <v>2.4849999999999999</v>
      </c>
      <c r="G696" s="149">
        <v>44.94</v>
      </c>
      <c r="H696" s="149">
        <f t="shared" si="119"/>
        <v>44.94</v>
      </c>
      <c r="I696" s="149">
        <f t="shared" si="118"/>
        <v>111.68</v>
      </c>
      <c r="J696" s="41"/>
      <c r="K696" s="42"/>
      <c r="L696" s="41"/>
      <c r="M696" s="41"/>
      <c r="N696" s="41"/>
      <c r="O696" s="41"/>
      <c r="P696" s="41"/>
      <c r="Q696" s="41"/>
    </row>
    <row r="697" spans="1:17" s="40" customFormat="1" ht="57" x14ac:dyDescent="0.2">
      <c r="A697" s="233" t="s">
        <v>2087</v>
      </c>
      <c r="B697" s="232" t="s">
        <v>45</v>
      </c>
      <c r="C697" s="232">
        <v>92417</v>
      </c>
      <c r="D697" s="151" t="s">
        <v>1388</v>
      </c>
      <c r="E697" s="232" t="s">
        <v>15</v>
      </c>
      <c r="F697" s="149">
        <v>0.9</v>
      </c>
      <c r="G697" s="149">
        <v>96.25</v>
      </c>
      <c r="H697" s="149">
        <f t="shared" si="119"/>
        <v>96.25</v>
      </c>
      <c r="I697" s="149">
        <f t="shared" si="118"/>
        <v>86.63</v>
      </c>
      <c r="J697" s="41"/>
      <c r="K697" s="42"/>
      <c r="L697" s="41"/>
      <c r="M697" s="41"/>
      <c r="N697" s="41"/>
      <c r="O697" s="41"/>
      <c r="P697" s="41"/>
      <c r="Q697" s="41"/>
    </row>
    <row r="698" spans="1:17" s="40" customFormat="1" ht="14.25" x14ac:dyDescent="0.2">
      <c r="A698" s="233" t="s">
        <v>2088</v>
      </c>
      <c r="B698" s="232" t="s">
        <v>45</v>
      </c>
      <c r="C698" s="232">
        <v>73611</v>
      </c>
      <c r="D698" s="158" t="s">
        <v>353</v>
      </c>
      <c r="E698" s="232" t="s">
        <v>16</v>
      </c>
      <c r="F698" s="149">
        <v>1.6</v>
      </c>
      <c r="G698" s="149">
        <v>338.54</v>
      </c>
      <c r="H698" s="149">
        <f t="shared" si="119"/>
        <v>338.54</v>
      </c>
      <c r="I698" s="149">
        <f t="shared" si="118"/>
        <v>541.66</v>
      </c>
      <c r="J698" s="41"/>
      <c r="K698" s="42"/>
      <c r="L698" s="41"/>
      <c r="M698" s="41"/>
      <c r="N698" s="41"/>
      <c r="O698" s="41"/>
      <c r="P698" s="41"/>
      <c r="Q698" s="41"/>
    </row>
    <row r="699" spans="1:17" s="40" customFormat="1" ht="28.5" customHeight="1" x14ac:dyDescent="0.2">
      <c r="A699" s="233" t="s">
        <v>2089</v>
      </c>
      <c r="B699" s="232" t="s">
        <v>45</v>
      </c>
      <c r="C699" s="232">
        <v>87878</v>
      </c>
      <c r="D699" s="158" t="s">
        <v>746</v>
      </c>
      <c r="E699" s="232" t="s">
        <v>15</v>
      </c>
      <c r="F699" s="149">
        <v>4.97</v>
      </c>
      <c r="G699" s="149">
        <v>3.13</v>
      </c>
      <c r="H699" s="149">
        <f t="shared" si="119"/>
        <v>3.13</v>
      </c>
      <c r="I699" s="149">
        <f t="shared" si="118"/>
        <v>15.56</v>
      </c>
      <c r="J699" s="41"/>
      <c r="K699" s="42"/>
      <c r="L699" s="41"/>
      <c r="M699" s="41"/>
      <c r="N699" s="41"/>
      <c r="O699" s="41"/>
      <c r="P699" s="41"/>
      <c r="Q699" s="41"/>
    </row>
    <row r="700" spans="1:17" s="146" customFormat="1" ht="57" x14ac:dyDescent="0.2">
      <c r="A700" s="233" t="s">
        <v>2090</v>
      </c>
      <c r="B700" s="232" t="s">
        <v>45</v>
      </c>
      <c r="C700" s="232">
        <v>87527</v>
      </c>
      <c r="D700" s="158" t="s">
        <v>445</v>
      </c>
      <c r="E700" s="232" t="s">
        <v>15</v>
      </c>
      <c r="F700" s="149">
        <f>F696*2</f>
        <v>4.97</v>
      </c>
      <c r="G700" s="250">
        <v>27.19</v>
      </c>
      <c r="H700" s="149">
        <f t="shared" ref="H700" si="120">G700</f>
        <v>27.19</v>
      </c>
      <c r="I700" s="149">
        <f t="shared" si="118"/>
        <v>135.13</v>
      </c>
      <c r="J700" s="145"/>
      <c r="K700" s="145"/>
      <c r="L700" s="145"/>
      <c r="M700" s="145"/>
      <c r="N700" s="145"/>
      <c r="O700" s="145"/>
      <c r="P700" s="145"/>
      <c r="Q700" s="145"/>
    </row>
    <row r="701" spans="1:17" s="146" customFormat="1" ht="14.25" x14ac:dyDescent="0.2">
      <c r="A701" s="233"/>
      <c r="B701" s="232"/>
      <c r="C701" s="232"/>
      <c r="D701" s="158"/>
      <c r="E701" s="232"/>
      <c r="F701" s="149"/>
      <c r="G701" s="250"/>
      <c r="H701" s="149"/>
      <c r="I701" s="149"/>
      <c r="J701" s="145"/>
      <c r="K701" s="145"/>
      <c r="L701" s="145"/>
      <c r="M701" s="145"/>
      <c r="N701" s="145"/>
      <c r="O701" s="145"/>
      <c r="P701" s="145"/>
      <c r="Q701" s="145"/>
    </row>
    <row r="702" spans="1:17" s="40" customFormat="1" ht="30" x14ac:dyDescent="0.2">
      <c r="A702" s="280">
        <v>50</v>
      </c>
      <c r="B702" s="279" t="s">
        <v>335</v>
      </c>
      <c r="C702" s="290" t="s">
        <v>713</v>
      </c>
      <c r="D702" s="181" t="str">
        <f>ORÇAMENTO!D1890</f>
        <v>FORNECIMENTO E APLICAÇÃO DO MATERIAL HIDRÁULICO DAS INTERLIGAÇÕES DE PROCESSO, DRENAGEM E ÁGUA FRIA</v>
      </c>
      <c r="E702" s="276"/>
      <c r="F702" s="193"/>
      <c r="G702" s="194"/>
      <c r="H702" s="194"/>
      <c r="I702" s="281">
        <f>SUM(I704:I786)</f>
        <v>152990.76</v>
      </c>
    </row>
    <row r="703" spans="1:17" s="40" customFormat="1" x14ac:dyDescent="0.2">
      <c r="A703" s="283" t="s">
        <v>2092</v>
      </c>
      <c r="B703" s="269"/>
      <c r="C703" s="270"/>
      <c r="D703" s="271" t="s">
        <v>1317</v>
      </c>
      <c r="E703" s="269"/>
      <c r="F703" s="272"/>
      <c r="G703" s="273"/>
      <c r="H703" s="197"/>
      <c r="I703" s="198"/>
    </row>
    <row r="704" spans="1:17" s="40" customFormat="1" ht="14.25" x14ac:dyDescent="0.2">
      <c r="A704" s="246" t="s">
        <v>2093</v>
      </c>
      <c r="B704" s="156" t="s">
        <v>65</v>
      </c>
      <c r="C704" s="156"/>
      <c r="D704" s="151" t="s">
        <v>1330</v>
      </c>
      <c r="E704" s="156" t="s">
        <v>18</v>
      </c>
      <c r="F704" s="197">
        <v>1</v>
      </c>
      <c r="G704" s="250">
        <v>1320</v>
      </c>
      <c r="H704" s="149">
        <f t="shared" ref="H704" si="121">G704</f>
        <v>1320</v>
      </c>
      <c r="I704" s="149">
        <f t="shared" ref="I704" si="122">ROUND(F704*H704,2)</f>
        <v>1320</v>
      </c>
    </row>
    <row r="705" spans="1:9" s="40" customFormat="1" ht="14.25" x14ac:dyDescent="0.2">
      <c r="A705" s="246" t="s">
        <v>2094</v>
      </c>
      <c r="B705" s="156" t="s">
        <v>65</v>
      </c>
      <c r="C705" s="155"/>
      <c r="D705" s="151" t="s">
        <v>1331</v>
      </c>
      <c r="E705" s="156" t="s">
        <v>18</v>
      </c>
      <c r="F705" s="197">
        <v>2</v>
      </c>
      <c r="G705" s="250">
        <v>1480</v>
      </c>
      <c r="H705" s="149">
        <f t="shared" ref="H705:H768" si="123">G705</f>
        <v>1480</v>
      </c>
      <c r="I705" s="149">
        <f t="shared" ref="I705:I768" si="124">ROUND(F705*H705,2)</f>
        <v>2960</v>
      </c>
    </row>
    <row r="706" spans="1:9" s="40" customFormat="1" ht="14.25" x14ac:dyDescent="0.2">
      <c r="A706" s="246" t="s">
        <v>2095</v>
      </c>
      <c r="B706" s="156" t="s">
        <v>65</v>
      </c>
      <c r="C706" s="155"/>
      <c r="D706" s="151" t="s">
        <v>1332</v>
      </c>
      <c r="E706" s="156" t="s">
        <v>18</v>
      </c>
      <c r="F706" s="197">
        <v>1</v>
      </c>
      <c r="G706" s="250">
        <v>4240</v>
      </c>
      <c r="H706" s="149">
        <f t="shared" si="123"/>
        <v>4240</v>
      </c>
      <c r="I706" s="149">
        <f t="shared" si="124"/>
        <v>4240</v>
      </c>
    </row>
    <row r="707" spans="1:9" s="40" customFormat="1" ht="14.25" x14ac:dyDescent="0.2">
      <c r="A707" s="246" t="s">
        <v>2096</v>
      </c>
      <c r="B707" s="156" t="s">
        <v>65</v>
      </c>
      <c r="C707" s="155"/>
      <c r="D707" s="151" t="s">
        <v>1333</v>
      </c>
      <c r="E707" s="156" t="s">
        <v>18</v>
      </c>
      <c r="F707" s="197">
        <v>1</v>
      </c>
      <c r="G707" s="250">
        <v>1486</v>
      </c>
      <c r="H707" s="149">
        <f t="shared" si="123"/>
        <v>1486</v>
      </c>
      <c r="I707" s="149">
        <f t="shared" si="124"/>
        <v>1486</v>
      </c>
    </row>
    <row r="708" spans="1:9" s="40" customFormat="1" ht="14.25" x14ac:dyDescent="0.2">
      <c r="A708" s="246" t="s">
        <v>2097</v>
      </c>
      <c r="B708" s="156" t="s">
        <v>65</v>
      </c>
      <c r="C708" s="155"/>
      <c r="D708" s="151" t="s">
        <v>1334</v>
      </c>
      <c r="E708" s="156" t="s">
        <v>18</v>
      </c>
      <c r="F708" s="197">
        <v>1</v>
      </c>
      <c r="G708" s="250">
        <v>2800</v>
      </c>
      <c r="H708" s="149">
        <f t="shared" si="123"/>
        <v>2800</v>
      </c>
      <c r="I708" s="149">
        <f t="shared" si="124"/>
        <v>2800</v>
      </c>
    </row>
    <row r="709" spans="1:9" s="40" customFormat="1" ht="14.25" x14ac:dyDescent="0.2">
      <c r="A709" s="246"/>
      <c r="B709" s="156"/>
      <c r="C709" s="155"/>
      <c r="D709" s="151"/>
      <c r="E709" s="156"/>
      <c r="F709" s="197"/>
      <c r="G709" s="198"/>
      <c r="H709" s="149"/>
      <c r="I709" s="149"/>
    </row>
    <row r="710" spans="1:9" s="40" customFormat="1" x14ac:dyDescent="0.2">
      <c r="A710" s="283" t="s">
        <v>2098</v>
      </c>
      <c r="B710" s="269"/>
      <c r="C710" s="270"/>
      <c r="D710" s="271" t="s">
        <v>1318</v>
      </c>
      <c r="E710" s="269"/>
      <c r="F710" s="272"/>
      <c r="G710" s="273"/>
      <c r="H710" s="197"/>
      <c r="I710" s="198"/>
    </row>
    <row r="711" spans="1:9" s="40" customFormat="1" ht="14.25" x14ac:dyDescent="0.2">
      <c r="A711" s="246" t="s">
        <v>2099</v>
      </c>
      <c r="B711" s="156" t="s">
        <v>45</v>
      </c>
      <c r="C711" s="155">
        <v>9827</v>
      </c>
      <c r="D711" s="151" t="s">
        <v>1335</v>
      </c>
      <c r="E711" s="156" t="s">
        <v>17</v>
      </c>
      <c r="F711" s="197">
        <v>27.5</v>
      </c>
      <c r="G711" s="198">
        <v>254.44</v>
      </c>
      <c r="H711" s="149"/>
      <c r="I711" s="149"/>
    </row>
    <row r="712" spans="1:9" s="40" customFormat="1" ht="14.25" x14ac:dyDescent="0.2">
      <c r="A712" s="246" t="s">
        <v>2100</v>
      </c>
      <c r="B712" s="156" t="s">
        <v>65</v>
      </c>
      <c r="C712" s="155"/>
      <c r="D712" s="151" t="s">
        <v>1336</v>
      </c>
      <c r="E712" s="156" t="s">
        <v>18</v>
      </c>
      <c r="F712" s="197">
        <v>2</v>
      </c>
      <c r="G712" s="250">
        <v>1360</v>
      </c>
      <c r="H712" s="149">
        <f t="shared" si="123"/>
        <v>1360</v>
      </c>
      <c r="I712" s="149">
        <f t="shared" si="124"/>
        <v>2720</v>
      </c>
    </row>
    <row r="713" spans="1:9" s="40" customFormat="1" ht="14.25" x14ac:dyDescent="0.2">
      <c r="A713" s="246" t="s">
        <v>2101</v>
      </c>
      <c r="B713" s="156" t="s">
        <v>65</v>
      </c>
      <c r="C713" s="232"/>
      <c r="D713" s="151" t="s">
        <v>1337</v>
      </c>
      <c r="E713" s="156" t="s">
        <v>18</v>
      </c>
      <c r="F713" s="197">
        <v>1</v>
      </c>
      <c r="G713" s="250">
        <v>1600</v>
      </c>
      <c r="H713" s="149">
        <f t="shared" si="123"/>
        <v>1600</v>
      </c>
      <c r="I713" s="149">
        <f t="shared" si="124"/>
        <v>1600</v>
      </c>
    </row>
    <row r="714" spans="1:9" s="40" customFormat="1" ht="14.25" x14ac:dyDescent="0.2">
      <c r="A714" s="246" t="s">
        <v>2102</v>
      </c>
      <c r="B714" s="156" t="s">
        <v>65</v>
      </c>
      <c r="C714" s="232"/>
      <c r="D714" s="151" t="s">
        <v>1338</v>
      </c>
      <c r="E714" s="156" t="s">
        <v>18</v>
      </c>
      <c r="F714" s="197">
        <v>1</v>
      </c>
      <c r="G714" s="250">
        <v>840</v>
      </c>
      <c r="H714" s="149">
        <f t="shared" si="123"/>
        <v>840</v>
      </c>
      <c r="I714" s="149">
        <f t="shared" si="124"/>
        <v>840</v>
      </c>
    </row>
    <row r="715" spans="1:9" s="40" customFormat="1" ht="14.25" x14ac:dyDescent="0.2">
      <c r="A715" s="246" t="s">
        <v>2103</v>
      </c>
      <c r="B715" s="156" t="s">
        <v>65</v>
      </c>
      <c r="C715" s="232"/>
      <c r="D715" s="151" t="s">
        <v>1339</v>
      </c>
      <c r="E715" s="156" t="s">
        <v>18</v>
      </c>
      <c r="F715" s="197">
        <v>1</v>
      </c>
      <c r="G715" s="250">
        <v>1100</v>
      </c>
      <c r="H715" s="149">
        <f t="shared" si="123"/>
        <v>1100</v>
      </c>
      <c r="I715" s="149">
        <f t="shared" si="124"/>
        <v>1100</v>
      </c>
    </row>
    <row r="716" spans="1:9" s="40" customFormat="1" ht="14.25" x14ac:dyDescent="0.2">
      <c r="A716" s="246"/>
      <c r="B716" s="232"/>
      <c r="C716" s="232"/>
      <c r="D716" s="151"/>
      <c r="E716" s="156"/>
      <c r="F716" s="197"/>
      <c r="G716" s="198"/>
      <c r="H716" s="149"/>
      <c r="I716" s="149"/>
    </row>
    <row r="717" spans="1:9" s="40" customFormat="1" x14ac:dyDescent="0.2">
      <c r="A717" s="283" t="s">
        <v>2104</v>
      </c>
      <c r="B717" s="269"/>
      <c r="C717" s="270"/>
      <c r="D717" s="271" t="s">
        <v>1319</v>
      </c>
      <c r="E717" s="269"/>
      <c r="F717" s="272"/>
      <c r="G717" s="273"/>
      <c r="H717" s="197"/>
      <c r="I717" s="198"/>
    </row>
    <row r="718" spans="1:9" s="40" customFormat="1" ht="14.25" x14ac:dyDescent="0.2">
      <c r="A718" s="246" t="s">
        <v>2105</v>
      </c>
      <c r="B718" s="156" t="s">
        <v>45</v>
      </c>
      <c r="C718" s="232">
        <v>9827</v>
      </c>
      <c r="D718" s="151" t="s">
        <v>1335</v>
      </c>
      <c r="E718" s="156" t="s">
        <v>17</v>
      </c>
      <c r="F718" s="197">
        <v>10.5</v>
      </c>
      <c r="G718" s="198">
        <v>254.44</v>
      </c>
      <c r="H718" s="149">
        <f t="shared" si="123"/>
        <v>254.44</v>
      </c>
      <c r="I718" s="149">
        <f t="shared" si="124"/>
        <v>2671.62</v>
      </c>
    </row>
    <row r="719" spans="1:9" s="40" customFormat="1" ht="14.25" x14ac:dyDescent="0.2">
      <c r="A719" s="246"/>
      <c r="B719" s="232"/>
      <c r="C719" s="232"/>
      <c r="D719" s="360"/>
      <c r="E719" s="156"/>
      <c r="F719" s="197"/>
      <c r="G719" s="198"/>
      <c r="H719" s="149"/>
      <c r="I719" s="149"/>
    </row>
    <row r="720" spans="1:9" s="40" customFormat="1" x14ac:dyDescent="0.2">
      <c r="A720" s="283" t="s">
        <v>2106</v>
      </c>
      <c r="B720" s="269"/>
      <c r="C720" s="270"/>
      <c r="D720" s="271" t="s">
        <v>1320</v>
      </c>
      <c r="E720" s="269"/>
      <c r="F720" s="272"/>
      <c r="G720" s="273"/>
      <c r="H720" s="197"/>
      <c r="I720" s="198"/>
    </row>
    <row r="721" spans="1:9" s="40" customFormat="1" ht="14.25" x14ac:dyDescent="0.2">
      <c r="A721" s="246" t="s">
        <v>2107</v>
      </c>
      <c r="B721" s="156" t="s">
        <v>45</v>
      </c>
      <c r="C721" s="155">
        <v>9828</v>
      </c>
      <c r="D721" s="151" t="s">
        <v>1340</v>
      </c>
      <c r="E721" s="156" t="s">
        <v>17</v>
      </c>
      <c r="F721" s="197">
        <v>48.2</v>
      </c>
      <c r="G721" s="198">
        <v>66.290000000000006</v>
      </c>
      <c r="H721" s="149"/>
      <c r="I721" s="149"/>
    </row>
    <row r="722" spans="1:9" s="40" customFormat="1" ht="14.25" x14ac:dyDescent="0.2">
      <c r="A722" s="246" t="s">
        <v>2108</v>
      </c>
      <c r="B722" s="156" t="s">
        <v>65</v>
      </c>
      <c r="C722" s="155"/>
      <c r="D722" s="151" t="s">
        <v>1246</v>
      </c>
      <c r="E722" s="156" t="s">
        <v>18</v>
      </c>
      <c r="F722" s="197">
        <v>2</v>
      </c>
      <c r="G722" s="250">
        <v>520</v>
      </c>
      <c r="H722" s="149">
        <f t="shared" si="123"/>
        <v>520</v>
      </c>
      <c r="I722" s="149">
        <f t="shared" si="124"/>
        <v>1040</v>
      </c>
    </row>
    <row r="723" spans="1:9" s="40" customFormat="1" ht="14.25" x14ac:dyDescent="0.2">
      <c r="A723" s="246" t="s">
        <v>2109</v>
      </c>
      <c r="B723" s="156" t="s">
        <v>65</v>
      </c>
      <c r="C723" s="155"/>
      <c r="D723" s="151" t="s">
        <v>1341</v>
      </c>
      <c r="E723" s="156" t="s">
        <v>18</v>
      </c>
      <c r="F723" s="197">
        <v>2</v>
      </c>
      <c r="G723" s="250">
        <v>540</v>
      </c>
      <c r="H723" s="149">
        <f t="shared" si="123"/>
        <v>540</v>
      </c>
      <c r="I723" s="149">
        <f t="shared" si="124"/>
        <v>1080</v>
      </c>
    </row>
    <row r="724" spans="1:9" s="40" customFormat="1" ht="14.25" x14ac:dyDescent="0.2">
      <c r="A724" s="246"/>
      <c r="B724" s="156"/>
      <c r="C724" s="155"/>
      <c r="D724" s="151"/>
      <c r="E724" s="156"/>
      <c r="F724" s="197"/>
      <c r="G724" s="198"/>
      <c r="H724" s="149"/>
      <c r="I724" s="149"/>
    </row>
    <row r="725" spans="1:9" s="40" customFormat="1" x14ac:dyDescent="0.2">
      <c r="A725" s="283" t="s">
        <v>2110</v>
      </c>
      <c r="B725" s="269"/>
      <c r="C725" s="270"/>
      <c r="D725" s="271" t="s">
        <v>1321</v>
      </c>
      <c r="E725" s="269"/>
      <c r="F725" s="272"/>
      <c r="G725" s="273"/>
      <c r="H725" s="197"/>
      <c r="I725" s="198"/>
    </row>
    <row r="726" spans="1:9" s="40" customFormat="1" ht="14.25" x14ac:dyDescent="0.2">
      <c r="A726" s="246" t="s">
        <v>2111</v>
      </c>
      <c r="B726" s="156" t="s">
        <v>45</v>
      </c>
      <c r="C726" s="232">
        <v>9827</v>
      </c>
      <c r="D726" s="151" t="s">
        <v>1335</v>
      </c>
      <c r="E726" s="156" t="s">
        <v>17</v>
      </c>
      <c r="F726" s="197">
        <v>18.5</v>
      </c>
      <c r="G726" s="198">
        <v>254.44</v>
      </c>
      <c r="H726" s="149">
        <f t="shared" si="123"/>
        <v>254.44</v>
      </c>
      <c r="I726" s="149">
        <f t="shared" si="124"/>
        <v>4707.1400000000003</v>
      </c>
    </row>
    <row r="727" spans="1:9" s="40" customFormat="1" ht="14.25" x14ac:dyDescent="0.2">
      <c r="A727" s="246" t="s">
        <v>2112</v>
      </c>
      <c r="B727" s="156" t="s">
        <v>65</v>
      </c>
      <c r="C727" s="155"/>
      <c r="D727" s="151" t="s">
        <v>1342</v>
      </c>
      <c r="E727" s="156" t="s">
        <v>18</v>
      </c>
      <c r="F727" s="197">
        <v>1</v>
      </c>
      <c r="G727" s="250">
        <v>820</v>
      </c>
      <c r="H727" s="149">
        <f t="shared" si="123"/>
        <v>820</v>
      </c>
      <c r="I727" s="149">
        <f t="shared" si="124"/>
        <v>820</v>
      </c>
    </row>
    <row r="728" spans="1:9" s="40" customFormat="1" ht="14.25" x14ac:dyDescent="0.2">
      <c r="A728" s="246"/>
      <c r="B728" s="156"/>
      <c r="C728" s="155"/>
      <c r="D728" s="151"/>
      <c r="E728" s="156"/>
      <c r="F728" s="197"/>
      <c r="G728" s="250"/>
      <c r="H728" s="149"/>
      <c r="I728" s="149"/>
    </row>
    <row r="729" spans="1:9" s="40" customFormat="1" ht="30" x14ac:dyDescent="0.2">
      <c r="A729" s="283" t="s">
        <v>2113</v>
      </c>
      <c r="B729" s="269"/>
      <c r="C729" s="270"/>
      <c r="D729" s="271" t="s">
        <v>1322</v>
      </c>
      <c r="E729" s="269"/>
      <c r="F729" s="272"/>
      <c r="G729" s="273"/>
      <c r="H729" s="197"/>
      <c r="I729" s="198"/>
    </row>
    <row r="730" spans="1:9" s="40" customFormat="1" ht="14.25" x14ac:dyDescent="0.2">
      <c r="A730" s="246" t="s">
        <v>2114</v>
      </c>
      <c r="B730" s="156" t="s">
        <v>45</v>
      </c>
      <c r="C730" s="232">
        <v>9827</v>
      </c>
      <c r="D730" s="151" t="s">
        <v>1335</v>
      </c>
      <c r="E730" s="156" t="s">
        <v>17</v>
      </c>
      <c r="F730" s="197">
        <v>10.5</v>
      </c>
      <c r="G730" s="198">
        <v>254.44</v>
      </c>
      <c r="H730" s="149">
        <f t="shared" si="123"/>
        <v>254.44</v>
      </c>
      <c r="I730" s="149">
        <f t="shared" si="124"/>
        <v>2671.62</v>
      </c>
    </row>
    <row r="731" spans="1:9" s="40" customFormat="1" ht="14.25" x14ac:dyDescent="0.2">
      <c r="A731" s="246"/>
      <c r="B731" s="156"/>
      <c r="C731" s="155"/>
      <c r="D731" s="151"/>
      <c r="E731" s="156"/>
      <c r="F731" s="197"/>
      <c r="G731" s="198"/>
      <c r="H731" s="149"/>
      <c r="I731" s="149"/>
    </row>
    <row r="732" spans="1:9" s="40" customFormat="1" x14ac:dyDescent="0.2">
      <c r="A732" s="283" t="s">
        <v>2115</v>
      </c>
      <c r="B732" s="269"/>
      <c r="C732" s="270"/>
      <c r="D732" s="271" t="s">
        <v>1323</v>
      </c>
      <c r="E732" s="269"/>
      <c r="F732" s="272"/>
      <c r="G732" s="273"/>
      <c r="H732" s="197"/>
      <c r="I732" s="198"/>
    </row>
    <row r="733" spans="1:9" s="40" customFormat="1" ht="14.25" x14ac:dyDescent="0.2">
      <c r="A733" s="246" t="s">
        <v>2116</v>
      </c>
      <c r="B733" s="156" t="s">
        <v>45</v>
      </c>
      <c r="C733" s="155">
        <v>41936</v>
      </c>
      <c r="D733" s="151" t="s">
        <v>2165</v>
      </c>
      <c r="E733" s="156" t="s">
        <v>17</v>
      </c>
      <c r="F733" s="197">
        <v>73</v>
      </c>
      <c r="G733" s="198">
        <v>32.57</v>
      </c>
      <c r="H733" s="149">
        <f t="shared" si="123"/>
        <v>32.57</v>
      </c>
      <c r="I733" s="149">
        <f t="shared" si="124"/>
        <v>2377.61</v>
      </c>
    </row>
    <row r="734" spans="1:9" s="40" customFormat="1" ht="14.25" x14ac:dyDescent="0.2">
      <c r="A734" s="246"/>
      <c r="B734" s="156"/>
      <c r="C734" s="155"/>
      <c r="D734" s="151"/>
      <c r="E734" s="156"/>
      <c r="F734" s="197"/>
      <c r="G734" s="198"/>
      <c r="H734" s="149"/>
      <c r="I734" s="149"/>
    </row>
    <row r="735" spans="1:9" s="40" customFormat="1" ht="30" x14ac:dyDescent="0.2">
      <c r="A735" s="283" t="s">
        <v>2117</v>
      </c>
      <c r="B735" s="269"/>
      <c r="C735" s="270"/>
      <c r="D735" s="271" t="s">
        <v>1324</v>
      </c>
      <c r="E735" s="269"/>
      <c r="F735" s="272"/>
      <c r="G735" s="273"/>
      <c r="H735" s="197"/>
      <c r="I735" s="198"/>
    </row>
    <row r="736" spans="1:9" s="40" customFormat="1" ht="14.25" x14ac:dyDescent="0.2">
      <c r="A736" s="246" t="s">
        <v>2118</v>
      </c>
      <c r="B736" s="156" t="s">
        <v>45</v>
      </c>
      <c r="C736" s="155">
        <v>9828</v>
      </c>
      <c r="D736" s="151" t="s">
        <v>1340</v>
      </c>
      <c r="E736" s="156" t="s">
        <v>17</v>
      </c>
      <c r="F736" s="197">
        <v>56.5</v>
      </c>
      <c r="G736" s="198">
        <v>66.290000000000006</v>
      </c>
      <c r="H736" s="149"/>
      <c r="I736" s="149"/>
    </row>
    <row r="737" spans="1:9" s="40" customFormat="1" ht="14.25" x14ac:dyDescent="0.2">
      <c r="A737" s="246" t="s">
        <v>2119</v>
      </c>
      <c r="B737" s="156" t="s">
        <v>65</v>
      </c>
      <c r="C737" s="155"/>
      <c r="D737" s="151" t="s">
        <v>1246</v>
      </c>
      <c r="E737" s="156" t="s">
        <v>18</v>
      </c>
      <c r="F737" s="197">
        <v>1</v>
      </c>
      <c r="G737" s="250">
        <v>520</v>
      </c>
      <c r="H737" s="149">
        <f t="shared" si="123"/>
        <v>520</v>
      </c>
      <c r="I737" s="149">
        <f t="shared" si="124"/>
        <v>520</v>
      </c>
    </row>
    <row r="738" spans="1:9" s="40" customFormat="1" ht="14.25" x14ac:dyDescent="0.2">
      <c r="A738" s="246" t="s">
        <v>2120</v>
      </c>
      <c r="B738" s="156" t="s">
        <v>65</v>
      </c>
      <c r="C738" s="155"/>
      <c r="D738" s="151" t="s">
        <v>1308</v>
      </c>
      <c r="E738" s="156" t="s">
        <v>18</v>
      </c>
      <c r="F738" s="197">
        <v>2</v>
      </c>
      <c r="G738" s="250">
        <v>340</v>
      </c>
      <c r="H738" s="149">
        <f t="shared" si="123"/>
        <v>340</v>
      </c>
      <c r="I738" s="149">
        <f t="shared" si="124"/>
        <v>680</v>
      </c>
    </row>
    <row r="739" spans="1:9" s="40" customFormat="1" ht="14.25" x14ac:dyDescent="0.2">
      <c r="A739" s="246"/>
      <c r="B739" s="156"/>
      <c r="C739" s="155"/>
      <c r="D739" s="151"/>
      <c r="E739" s="156"/>
      <c r="F739" s="197"/>
      <c r="G739" s="198"/>
      <c r="H739" s="149"/>
      <c r="I739" s="149"/>
    </row>
    <row r="740" spans="1:9" s="40" customFormat="1" x14ac:dyDescent="0.2">
      <c r="A740" s="283" t="s">
        <v>2121</v>
      </c>
      <c r="B740" s="269"/>
      <c r="C740" s="270"/>
      <c r="D740" s="271" t="s">
        <v>1325</v>
      </c>
      <c r="E740" s="269"/>
      <c r="F740" s="272"/>
      <c r="G740" s="273"/>
      <c r="H740" s="197"/>
      <c r="I740" s="198"/>
    </row>
    <row r="741" spans="1:9" s="40" customFormat="1" ht="14.25" x14ac:dyDescent="0.2">
      <c r="A741" s="246" t="s">
        <v>2122</v>
      </c>
      <c r="B741" s="156" t="s">
        <v>45</v>
      </c>
      <c r="C741" s="155">
        <v>41932</v>
      </c>
      <c r="D741" s="151" t="s">
        <v>2239</v>
      </c>
      <c r="E741" s="156" t="s">
        <v>17</v>
      </c>
      <c r="F741" s="197">
        <v>1.5</v>
      </c>
      <c r="G741" s="198">
        <v>139.68</v>
      </c>
      <c r="H741" s="149">
        <f t="shared" si="123"/>
        <v>139.68</v>
      </c>
      <c r="I741" s="149">
        <f t="shared" si="124"/>
        <v>209.52</v>
      </c>
    </row>
    <row r="742" spans="1:9" s="40" customFormat="1" ht="14.25" x14ac:dyDescent="0.2">
      <c r="A742" s="246"/>
      <c r="B742" s="156"/>
      <c r="C742" s="155"/>
      <c r="D742" s="151"/>
      <c r="E742" s="156"/>
      <c r="F742" s="197"/>
      <c r="G742" s="198"/>
      <c r="H742" s="149"/>
      <c r="I742" s="149"/>
    </row>
    <row r="743" spans="1:9" s="40" customFormat="1" x14ac:dyDescent="0.2">
      <c r="A743" s="283" t="s">
        <v>2123</v>
      </c>
      <c r="B743" s="269"/>
      <c r="C743" s="270"/>
      <c r="D743" s="271" t="s">
        <v>1326</v>
      </c>
      <c r="E743" s="269"/>
      <c r="F743" s="272"/>
      <c r="G743" s="273"/>
      <c r="H743" s="197"/>
      <c r="I743" s="198"/>
    </row>
    <row r="744" spans="1:9" s="40" customFormat="1" ht="14.25" x14ac:dyDescent="0.2">
      <c r="A744" s="246" t="s">
        <v>2124</v>
      </c>
      <c r="B744" s="156" t="s">
        <v>45</v>
      </c>
      <c r="C744" s="155">
        <v>41932</v>
      </c>
      <c r="D744" s="151" t="s">
        <v>2239</v>
      </c>
      <c r="E744" s="156" t="s">
        <v>17</v>
      </c>
      <c r="F744" s="197">
        <v>350</v>
      </c>
      <c r="G744" s="198">
        <v>139.68</v>
      </c>
      <c r="H744" s="149">
        <f t="shared" si="123"/>
        <v>139.68</v>
      </c>
      <c r="I744" s="149">
        <f t="shared" si="124"/>
        <v>48888</v>
      </c>
    </row>
    <row r="745" spans="1:9" s="40" customFormat="1" ht="14.25" x14ac:dyDescent="0.2">
      <c r="A745" s="246"/>
      <c r="B745" s="156"/>
      <c r="C745" s="155"/>
      <c r="D745" s="151"/>
      <c r="E745" s="156"/>
      <c r="F745" s="197"/>
      <c r="G745" s="198"/>
      <c r="H745" s="149"/>
      <c r="I745" s="149"/>
    </row>
    <row r="746" spans="1:9" s="40" customFormat="1" x14ac:dyDescent="0.2">
      <c r="A746" s="283" t="s">
        <v>2125</v>
      </c>
      <c r="B746" s="269"/>
      <c r="C746" s="270"/>
      <c r="D746" s="271" t="s">
        <v>1327</v>
      </c>
      <c r="E746" s="269"/>
      <c r="F746" s="272"/>
      <c r="G746" s="273"/>
      <c r="H746" s="197"/>
      <c r="I746" s="198"/>
    </row>
    <row r="747" spans="1:9" s="40" customFormat="1" ht="14.25" x14ac:dyDescent="0.2">
      <c r="A747" s="246" t="s">
        <v>2126</v>
      </c>
      <c r="B747" s="156" t="s">
        <v>45</v>
      </c>
      <c r="C747" s="155">
        <v>36365</v>
      </c>
      <c r="D747" s="151" t="s">
        <v>1294</v>
      </c>
      <c r="E747" s="156" t="s">
        <v>17</v>
      </c>
      <c r="F747" s="197">
        <v>69</v>
      </c>
      <c r="G747" s="198">
        <v>15.14</v>
      </c>
      <c r="H747" s="149">
        <f t="shared" si="123"/>
        <v>15.14</v>
      </c>
      <c r="I747" s="149">
        <f t="shared" si="124"/>
        <v>1044.6600000000001</v>
      </c>
    </row>
    <row r="748" spans="1:9" s="40" customFormat="1" ht="28.5" x14ac:dyDescent="0.2">
      <c r="A748" s="246" t="s">
        <v>2127</v>
      </c>
      <c r="B748" s="156" t="s">
        <v>45</v>
      </c>
      <c r="C748" s="155">
        <v>1858</v>
      </c>
      <c r="D748" s="151" t="s">
        <v>2240</v>
      </c>
      <c r="E748" s="156" t="s">
        <v>18</v>
      </c>
      <c r="F748" s="197">
        <v>1</v>
      </c>
      <c r="G748" s="198">
        <v>16.2</v>
      </c>
      <c r="H748" s="149">
        <f t="shared" si="123"/>
        <v>16.2</v>
      </c>
      <c r="I748" s="149">
        <f t="shared" si="124"/>
        <v>16.2</v>
      </c>
    </row>
    <row r="749" spans="1:9" s="40" customFormat="1" ht="14.25" x14ac:dyDescent="0.2">
      <c r="A749" s="246"/>
      <c r="B749" s="156"/>
      <c r="C749" s="155"/>
      <c r="D749" s="151"/>
      <c r="E749" s="156"/>
      <c r="F749" s="197"/>
      <c r="G749" s="198"/>
      <c r="H749" s="149"/>
      <c r="I749" s="149"/>
    </row>
    <row r="750" spans="1:9" s="40" customFormat="1" x14ac:dyDescent="0.2">
      <c r="A750" s="283" t="s">
        <v>2128</v>
      </c>
      <c r="B750" s="269"/>
      <c r="C750" s="270"/>
      <c r="D750" s="271" t="s">
        <v>1343</v>
      </c>
      <c r="E750" s="269"/>
      <c r="F750" s="272"/>
      <c r="G750" s="273"/>
      <c r="H750" s="197"/>
      <c r="I750" s="198"/>
    </row>
    <row r="751" spans="1:9" s="40" customFormat="1" ht="14.25" x14ac:dyDescent="0.2">
      <c r="A751" s="246" t="s">
        <v>2129</v>
      </c>
      <c r="B751" s="156" t="s">
        <v>45</v>
      </c>
      <c r="C751" s="155">
        <v>36365</v>
      </c>
      <c r="D751" s="151" t="s">
        <v>1294</v>
      </c>
      <c r="E751" s="156" t="s">
        <v>17</v>
      </c>
      <c r="F751" s="197">
        <v>42</v>
      </c>
      <c r="G751" s="198">
        <v>15.14</v>
      </c>
      <c r="H751" s="149">
        <f t="shared" si="123"/>
        <v>15.14</v>
      </c>
      <c r="I751" s="149">
        <f t="shared" si="124"/>
        <v>635.88</v>
      </c>
    </row>
    <row r="752" spans="1:9" s="40" customFormat="1" ht="14.25" x14ac:dyDescent="0.2">
      <c r="A752" s="246"/>
      <c r="B752" s="156"/>
      <c r="C752" s="155"/>
      <c r="D752" s="151"/>
      <c r="E752" s="156"/>
      <c r="F752" s="197"/>
      <c r="G752" s="198"/>
      <c r="H752" s="149"/>
      <c r="I752" s="149"/>
    </row>
    <row r="753" spans="1:9" s="40" customFormat="1" x14ac:dyDescent="0.2">
      <c r="A753" s="283" t="s">
        <v>2130</v>
      </c>
      <c r="B753" s="269"/>
      <c r="C753" s="270"/>
      <c r="D753" s="271" t="s">
        <v>1328</v>
      </c>
      <c r="E753" s="269"/>
      <c r="F753" s="272"/>
      <c r="G753" s="273"/>
      <c r="H753" s="197"/>
      <c r="I753" s="198"/>
    </row>
    <row r="754" spans="1:9" s="40" customFormat="1" ht="28.5" x14ac:dyDescent="0.2">
      <c r="A754" s="246" t="s">
        <v>2131</v>
      </c>
      <c r="B754" s="156" t="s">
        <v>45</v>
      </c>
      <c r="C754" s="155">
        <v>40626</v>
      </c>
      <c r="D754" s="151" t="s">
        <v>2242</v>
      </c>
      <c r="E754" s="156" t="s">
        <v>17</v>
      </c>
      <c r="F754" s="197">
        <v>16.2</v>
      </c>
      <c r="G754" s="198">
        <v>18.059999999999999</v>
      </c>
      <c r="H754" s="149">
        <f t="shared" si="123"/>
        <v>18.059999999999999</v>
      </c>
      <c r="I754" s="149">
        <f t="shared" si="124"/>
        <v>292.57</v>
      </c>
    </row>
    <row r="755" spans="1:9" s="40" customFormat="1" ht="14.25" x14ac:dyDescent="0.2">
      <c r="A755" s="246" t="s">
        <v>2132</v>
      </c>
      <c r="B755" s="156" t="s">
        <v>45</v>
      </c>
      <c r="C755" s="155">
        <v>21148</v>
      </c>
      <c r="D755" s="151" t="s">
        <v>2241</v>
      </c>
      <c r="E755" s="156" t="s">
        <v>17</v>
      </c>
      <c r="F755" s="197">
        <v>40</v>
      </c>
      <c r="G755" s="198">
        <v>43.41</v>
      </c>
      <c r="H755" s="149">
        <f t="shared" si="123"/>
        <v>43.41</v>
      </c>
      <c r="I755" s="149">
        <f t="shared" si="124"/>
        <v>1736.4</v>
      </c>
    </row>
    <row r="756" spans="1:9" s="40" customFormat="1" ht="14.25" x14ac:dyDescent="0.2">
      <c r="A756" s="246" t="s">
        <v>2133</v>
      </c>
      <c r="B756" s="156" t="s">
        <v>65</v>
      </c>
      <c r="C756" s="155"/>
      <c r="D756" s="151" t="s">
        <v>1344</v>
      </c>
      <c r="E756" s="156" t="s">
        <v>18</v>
      </c>
      <c r="F756" s="197">
        <v>1</v>
      </c>
      <c r="G756" s="250">
        <v>92</v>
      </c>
      <c r="H756" s="149">
        <f t="shared" si="123"/>
        <v>92</v>
      </c>
      <c r="I756" s="149">
        <f t="shared" si="124"/>
        <v>92</v>
      </c>
    </row>
    <row r="757" spans="1:9" s="40" customFormat="1" ht="28.5" x14ac:dyDescent="0.2">
      <c r="A757" s="246" t="s">
        <v>2134</v>
      </c>
      <c r="B757" s="156" t="s">
        <v>65</v>
      </c>
      <c r="C757" s="155"/>
      <c r="D757" s="151" t="s">
        <v>1345</v>
      </c>
      <c r="E757" s="156" t="s">
        <v>18</v>
      </c>
      <c r="F757" s="197">
        <v>1</v>
      </c>
      <c r="G757" s="250">
        <v>188</v>
      </c>
      <c r="H757" s="149">
        <f t="shared" si="123"/>
        <v>188</v>
      </c>
      <c r="I757" s="149">
        <f t="shared" si="124"/>
        <v>188</v>
      </c>
    </row>
    <row r="758" spans="1:9" s="40" customFormat="1" ht="14.25" x14ac:dyDescent="0.2">
      <c r="A758" s="246" t="s">
        <v>2135</v>
      </c>
      <c r="B758" s="156" t="s">
        <v>65</v>
      </c>
      <c r="C758" s="155"/>
      <c r="D758" s="151" t="s">
        <v>1346</v>
      </c>
      <c r="E758" s="156" t="s">
        <v>18</v>
      </c>
      <c r="F758" s="197">
        <v>1</v>
      </c>
      <c r="G758" s="250">
        <v>120</v>
      </c>
      <c r="H758" s="149">
        <f t="shared" si="123"/>
        <v>120</v>
      </c>
      <c r="I758" s="149">
        <f t="shared" si="124"/>
        <v>120</v>
      </c>
    </row>
    <row r="759" spans="1:9" s="40" customFormat="1" ht="14.25" x14ac:dyDescent="0.2">
      <c r="A759" s="246"/>
      <c r="B759" s="156"/>
      <c r="C759" s="155"/>
      <c r="D759" s="151"/>
      <c r="E759" s="156"/>
      <c r="F759" s="197"/>
      <c r="G759" s="198"/>
      <c r="H759" s="149"/>
      <c r="I759" s="149"/>
    </row>
    <row r="760" spans="1:9" s="40" customFormat="1" x14ac:dyDescent="0.2">
      <c r="A760" s="283" t="s">
        <v>2136</v>
      </c>
      <c r="B760" s="269"/>
      <c r="C760" s="270"/>
      <c r="D760" s="271" t="s">
        <v>1329</v>
      </c>
      <c r="E760" s="269"/>
      <c r="F760" s="272"/>
      <c r="G760" s="273"/>
      <c r="H760" s="197"/>
      <c r="I760" s="198"/>
    </row>
    <row r="761" spans="1:9" s="40" customFormat="1" ht="14.25" x14ac:dyDescent="0.2">
      <c r="A761" s="246" t="s">
        <v>2137</v>
      </c>
      <c r="B761" s="156"/>
      <c r="C761" s="155">
        <v>41936</v>
      </c>
      <c r="D761" s="151" t="s">
        <v>2165</v>
      </c>
      <c r="E761" s="156" t="s">
        <v>17</v>
      </c>
      <c r="F761" s="197">
        <v>437</v>
      </c>
      <c r="G761" s="198">
        <v>32.57</v>
      </c>
      <c r="H761" s="149">
        <f t="shared" si="123"/>
        <v>32.57</v>
      </c>
      <c r="I761" s="149">
        <f t="shared" si="124"/>
        <v>14233.09</v>
      </c>
    </row>
    <row r="762" spans="1:9" s="40" customFormat="1" ht="14.25" x14ac:dyDescent="0.2">
      <c r="A762" s="246"/>
      <c r="B762" s="156"/>
      <c r="C762" s="155"/>
      <c r="D762" s="151"/>
      <c r="E762" s="156"/>
      <c r="F762" s="197"/>
      <c r="G762" s="198"/>
      <c r="H762" s="149">
        <f t="shared" si="123"/>
        <v>0</v>
      </c>
      <c r="I762" s="149">
        <f t="shared" si="124"/>
        <v>0</v>
      </c>
    </row>
    <row r="763" spans="1:9" s="40" customFormat="1" x14ac:dyDescent="0.2">
      <c r="A763" s="283" t="s">
        <v>2138</v>
      </c>
      <c r="B763" s="269"/>
      <c r="C763" s="270"/>
      <c r="D763" s="271" t="s">
        <v>1445</v>
      </c>
      <c r="E763" s="269"/>
      <c r="F763" s="272"/>
      <c r="G763" s="273"/>
      <c r="H763" s="197">
        <f t="shared" si="123"/>
        <v>0</v>
      </c>
      <c r="I763" s="198">
        <f t="shared" si="124"/>
        <v>0</v>
      </c>
    </row>
    <row r="764" spans="1:9" s="40" customFormat="1" ht="14.25" x14ac:dyDescent="0.2">
      <c r="A764" s="246" t="s">
        <v>2139</v>
      </c>
      <c r="B764" s="156" t="s">
        <v>45</v>
      </c>
      <c r="C764" s="155">
        <v>9869</v>
      </c>
      <c r="D764" s="151" t="s">
        <v>100</v>
      </c>
      <c r="E764" s="156" t="s">
        <v>17</v>
      </c>
      <c r="F764" s="197">
        <v>332</v>
      </c>
      <c r="G764" s="198">
        <v>5.81</v>
      </c>
      <c r="H764" s="149">
        <f t="shared" si="123"/>
        <v>5.81</v>
      </c>
      <c r="I764" s="149">
        <f t="shared" si="124"/>
        <v>1928.92</v>
      </c>
    </row>
    <row r="765" spans="1:9" s="40" customFormat="1" ht="14.25" x14ac:dyDescent="0.2">
      <c r="A765" s="246" t="s">
        <v>2140</v>
      </c>
      <c r="B765" s="156" t="s">
        <v>45</v>
      </c>
      <c r="C765" s="155">
        <v>9868</v>
      </c>
      <c r="D765" s="151" t="s">
        <v>102</v>
      </c>
      <c r="E765" s="156" t="s">
        <v>17</v>
      </c>
      <c r="F765" s="197">
        <v>222</v>
      </c>
      <c r="G765" s="198">
        <v>2.71</v>
      </c>
      <c r="H765" s="149">
        <f t="shared" si="123"/>
        <v>2.71</v>
      </c>
      <c r="I765" s="149">
        <f t="shared" si="124"/>
        <v>601.62</v>
      </c>
    </row>
    <row r="766" spans="1:9" s="40" customFormat="1" ht="14.25" x14ac:dyDescent="0.2">
      <c r="A766" s="246" t="s">
        <v>2141</v>
      </c>
      <c r="B766" s="156" t="s">
        <v>45</v>
      </c>
      <c r="C766" s="155">
        <v>1956</v>
      </c>
      <c r="D766" s="151" t="s">
        <v>91</v>
      </c>
      <c r="E766" s="156" t="s">
        <v>18</v>
      </c>
      <c r="F766" s="197">
        <v>1</v>
      </c>
      <c r="G766" s="198">
        <v>2.09</v>
      </c>
      <c r="H766" s="149">
        <f t="shared" si="123"/>
        <v>2.09</v>
      </c>
      <c r="I766" s="149">
        <f t="shared" si="124"/>
        <v>2.09</v>
      </c>
    </row>
    <row r="767" spans="1:9" s="40" customFormat="1" ht="14.25" x14ac:dyDescent="0.2">
      <c r="A767" s="246" t="s">
        <v>2142</v>
      </c>
      <c r="B767" s="156" t="s">
        <v>45</v>
      </c>
      <c r="C767" s="155">
        <v>1957</v>
      </c>
      <c r="D767" s="151" t="s">
        <v>1347</v>
      </c>
      <c r="E767" s="156" t="s">
        <v>18</v>
      </c>
      <c r="F767" s="197">
        <v>1</v>
      </c>
      <c r="G767" s="198">
        <v>4.2300000000000004</v>
      </c>
      <c r="H767" s="149">
        <f t="shared" si="123"/>
        <v>4.2300000000000004</v>
      </c>
      <c r="I767" s="149">
        <f t="shared" si="124"/>
        <v>4.2300000000000004</v>
      </c>
    </row>
    <row r="768" spans="1:9" s="40" customFormat="1" ht="14.25" x14ac:dyDescent="0.2">
      <c r="A768" s="246" t="s">
        <v>2143</v>
      </c>
      <c r="B768" s="156" t="s">
        <v>45</v>
      </c>
      <c r="C768" s="155">
        <v>1927</v>
      </c>
      <c r="D768" s="151" t="s">
        <v>1348</v>
      </c>
      <c r="E768" s="156" t="s">
        <v>18</v>
      </c>
      <c r="F768" s="197">
        <v>2</v>
      </c>
      <c r="G768" s="198">
        <v>1.67</v>
      </c>
      <c r="H768" s="149">
        <f t="shared" si="123"/>
        <v>1.67</v>
      </c>
      <c r="I768" s="149">
        <f t="shared" si="124"/>
        <v>3.34</v>
      </c>
    </row>
    <row r="769" spans="1:9" s="40" customFormat="1" ht="14.25" x14ac:dyDescent="0.2">
      <c r="A769" s="246" t="s">
        <v>2144</v>
      </c>
      <c r="B769" s="156" t="s">
        <v>45</v>
      </c>
      <c r="C769" s="155">
        <v>7140</v>
      </c>
      <c r="D769" s="151" t="s">
        <v>105</v>
      </c>
      <c r="E769" s="156" t="s">
        <v>18</v>
      </c>
      <c r="F769" s="197">
        <v>2</v>
      </c>
      <c r="G769" s="198">
        <v>2.37</v>
      </c>
      <c r="H769" s="149">
        <f t="shared" ref="H769:H780" si="125">G769</f>
        <v>2.37</v>
      </c>
      <c r="I769" s="149">
        <f t="shared" ref="I769:I780" si="126">ROUND(F769*H769,2)</f>
        <v>4.74</v>
      </c>
    </row>
    <row r="770" spans="1:9" s="40" customFormat="1" ht="14.25" x14ac:dyDescent="0.2">
      <c r="A770" s="246" t="s">
        <v>2145</v>
      </c>
      <c r="B770" s="156" t="s">
        <v>45</v>
      </c>
      <c r="C770" s="155">
        <v>7139</v>
      </c>
      <c r="D770" s="151" t="s">
        <v>126</v>
      </c>
      <c r="E770" s="156" t="s">
        <v>18</v>
      </c>
      <c r="F770" s="197">
        <v>3</v>
      </c>
      <c r="G770" s="198">
        <v>0.95</v>
      </c>
      <c r="H770" s="149">
        <f t="shared" si="125"/>
        <v>0.95</v>
      </c>
      <c r="I770" s="149">
        <f t="shared" si="126"/>
        <v>2.85</v>
      </c>
    </row>
    <row r="771" spans="1:9" s="40" customFormat="1" ht="14.25" x14ac:dyDescent="0.2">
      <c r="A771" s="246" t="s">
        <v>2146</v>
      </c>
      <c r="B771" s="156" t="s">
        <v>45</v>
      </c>
      <c r="C771" s="155">
        <v>7136</v>
      </c>
      <c r="D771" s="151" t="s">
        <v>409</v>
      </c>
      <c r="E771" s="156" t="s">
        <v>18</v>
      </c>
      <c r="F771" s="197">
        <v>2</v>
      </c>
      <c r="G771" s="198">
        <v>4.4000000000000004</v>
      </c>
      <c r="H771" s="149">
        <f t="shared" si="125"/>
        <v>4.4000000000000004</v>
      </c>
      <c r="I771" s="149">
        <f t="shared" si="126"/>
        <v>8.8000000000000007</v>
      </c>
    </row>
    <row r="772" spans="1:9" s="40" customFormat="1" ht="14.25" x14ac:dyDescent="0.2">
      <c r="A772" s="246" t="s">
        <v>2147</v>
      </c>
      <c r="B772" s="156" t="s">
        <v>45</v>
      </c>
      <c r="C772" s="156">
        <v>829</v>
      </c>
      <c r="D772" s="151" t="s">
        <v>107</v>
      </c>
      <c r="E772" s="156" t="s">
        <v>18</v>
      </c>
      <c r="F772" s="197">
        <v>2</v>
      </c>
      <c r="G772" s="198">
        <v>0.67</v>
      </c>
      <c r="H772" s="149">
        <f t="shared" si="125"/>
        <v>0.67</v>
      </c>
      <c r="I772" s="149">
        <f t="shared" si="126"/>
        <v>1.34</v>
      </c>
    </row>
    <row r="773" spans="1:9" s="40" customFormat="1" ht="14.25" x14ac:dyDescent="0.2">
      <c r="A773" s="246" t="s">
        <v>2148</v>
      </c>
      <c r="B773" s="156" t="s">
        <v>45</v>
      </c>
      <c r="C773" s="155">
        <v>107</v>
      </c>
      <c r="D773" s="151" t="s">
        <v>128</v>
      </c>
      <c r="E773" s="156" t="s">
        <v>18</v>
      </c>
      <c r="F773" s="197">
        <v>6</v>
      </c>
      <c r="G773" s="198">
        <v>0.71</v>
      </c>
      <c r="H773" s="149">
        <f t="shared" si="125"/>
        <v>0.71</v>
      </c>
      <c r="I773" s="149">
        <f t="shared" si="126"/>
        <v>4.26</v>
      </c>
    </row>
    <row r="774" spans="1:9" s="40" customFormat="1" ht="28.5" x14ac:dyDescent="0.2">
      <c r="A774" s="246" t="s">
        <v>2149</v>
      </c>
      <c r="B774" s="156" t="s">
        <v>45</v>
      </c>
      <c r="C774" s="155">
        <v>7691</v>
      </c>
      <c r="D774" s="151" t="s">
        <v>410</v>
      </c>
      <c r="E774" s="156" t="s">
        <v>17</v>
      </c>
      <c r="F774" s="197">
        <v>6</v>
      </c>
      <c r="G774" s="198">
        <v>9.73</v>
      </c>
      <c r="H774" s="149">
        <f t="shared" si="125"/>
        <v>9.73</v>
      </c>
      <c r="I774" s="149">
        <f t="shared" si="126"/>
        <v>58.38</v>
      </c>
    </row>
    <row r="775" spans="1:9" s="40" customFormat="1" ht="14.25" x14ac:dyDescent="0.2">
      <c r="A775" s="246" t="s">
        <v>2150</v>
      </c>
      <c r="B775" s="156" t="s">
        <v>45</v>
      </c>
      <c r="C775" s="155">
        <v>3450</v>
      </c>
      <c r="D775" s="151" t="s">
        <v>351</v>
      </c>
      <c r="E775" s="156" t="s">
        <v>18</v>
      </c>
      <c r="F775" s="197">
        <v>6</v>
      </c>
      <c r="G775" s="198">
        <v>5.4</v>
      </c>
      <c r="H775" s="149">
        <f t="shared" si="125"/>
        <v>5.4</v>
      </c>
      <c r="I775" s="149">
        <f t="shared" si="126"/>
        <v>32.4</v>
      </c>
    </row>
    <row r="776" spans="1:9" s="40" customFormat="1" ht="14.25" x14ac:dyDescent="0.2">
      <c r="A776" s="246" t="s">
        <v>2151</v>
      </c>
      <c r="B776" s="156" t="s">
        <v>45</v>
      </c>
      <c r="C776" s="156">
        <v>7602</v>
      </c>
      <c r="D776" s="151" t="s">
        <v>350</v>
      </c>
      <c r="E776" s="156" t="s">
        <v>18</v>
      </c>
      <c r="F776" s="197">
        <v>6</v>
      </c>
      <c r="G776" s="198">
        <v>11.68</v>
      </c>
      <c r="H776" s="149">
        <f t="shared" si="125"/>
        <v>11.68</v>
      </c>
      <c r="I776" s="149">
        <f t="shared" si="126"/>
        <v>70.08</v>
      </c>
    </row>
    <row r="777" spans="1:9" s="274" customFormat="1" ht="14.25" x14ac:dyDescent="0.2">
      <c r="A777" s="246" t="s">
        <v>2152</v>
      </c>
      <c r="B777" s="156" t="s">
        <v>45</v>
      </c>
      <c r="C777" s="155">
        <v>63</v>
      </c>
      <c r="D777" s="151" t="s">
        <v>412</v>
      </c>
      <c r="E777" s="156" t="s">
        <v>18</v>
      </c>
      <c r="F777" s="197">
        <v>1</v>
      </c>
      <c r="G777" s="198">
        <v>36.46</v>
      </c>
      <c r="H777" s="149">
        <f t="shared" si="125"/>
        <v>36.46</v>
      </c>
      <c r="I777" s="149">
        <f t="shared" si="126"/>
        <v>36.46</v>
      </c>
    </row>
    <row r="778" spans="1:9" s="274" customFormat="1" ht="14.25" x14ac:dyDescent="0.2">
      <c r="A778" s="246" t="s">
        <v>2153</v>
      </c>
      <c r="B778" s="156" t="s">
        <v>45</v>
      </c>
      <c r="C778" s="155">
        <v>4178</v>
      </c>
      <c r="D778" s="151" t="s">
        <v>411</v>
      </c>
      <c r="E778" s="156" t="s">
        <v>18</v>
      </c>
      <c r="F778" s="197">
        <v>1</v>
      </c>
      <c r="G778" s="198">
        <v>4.3600000000000003</v>
      </c>
      <c r="H778" s="149">
        <f t="shared" si="125"/>
        <v>4.3600000000000003</v>
      </c>
      <c r="I778" s="149">
        <f t="shared" si="126"/>
        <v>4.3600000000000003</v>
      </c>
    </row>
    <row r="779" spans="1:9" s="274" customFormat="1" ht="14.25" x14ac:dyDescent="0.2">
      <c r="A779" s="246" t="s">
        <v>2154</v>
      </c>
      <c r="B779" s="156" t="s">
        <v>45</v>
      </c>
      <c r="C779" s="155">
        <v>108</v>
      </c>
      <c r="D779" s="151" t="s">
        <v>114</v>
      </c>
      <c r="E779" s="156" t="s">
        <v>18</v>
      </c>
      <c r="F779" s="197">
        <v>1</v>
      </c>
      <c r="G779" s="198">
        <v>1.58</v>
      </c>
      <c r="H779" s="149">
        <f t="shared" si="125"/>
        <v>1.58</v>
      </c>
      <c r="I779" s="149">
        <f t="shared" si="126"/>
        <v>1.58</v>
      </c>
    </row>
    <row r="780" spans="1:9" s="274" customFormat="1" ht="28.5" x14ac:dyDescent="0.2">
      <c r="A780" s="246" t="s">
        <v>2155</v>
      </c>
      <c r="B780" s="156" t="s">
        <v>45</v>
      </c>
      <c r="C780" s="155">
        <v>7725</v>
      </c>
      <c r="D780" s="151" t="s">
        <v>1446</v>
      </c>
      <c r="E780" s="156" t="s">
        <v>17</v>
      </c>
      <c r="F780" s="197">
        <v>190</v>
      </c>
      <c r="G780" s="198">
        <v>83.5</v>
      </c>
      <c r="H780" s="149">
        <f t="shared" si="125"/>
        <v>83.5</v>
      </c>
      <c r="I780" s="149">
        <f t="shared" si="126"/>
        <v>15865</v>
      </c>
    </row>
    <row r="781" spans="1:9" s="274" customFormat="1" ht="14.25" x14ac:dyDescent="0.2">
      <c r="A781" s="246"/>
      <c r="B781" s="156"/>
      <c r="C781" s="155"/>
      <c r="D781" s="151"/>
      <c r="E781" s="156"/>
      <c r="F781" s="197"/>
      <c r="G781" s="198"/>
      <c r="H781" s="149"/>
      <c r="I781" s="149"/>
    </row>
    <row r="782" spans="1:9" s="40" customFormat="1" x14ac:dyDescent="0.2">
      <c r="A782" s="283" t="s">
        <v>2156</v>
      </c>
      <c r="B782" s="269"/>
      <c r="C782" s="270"/>
      <c r="D782" s="271" t="s">
        <v>1444</v>
      </c>
      <c r="E782" s="269"/>
      <c r="F782" s="272"/>
      <c r="G782" s="273"/>
      <c r="H782" s="197"/>
      <c r="I782" s="198"/>
    </row>
    <row r="783" spans="1:9" s="40" customFormat="1" ht="14.25" x14ac:dyDescent="0.2">
      <c r="A783" s="246" t="s">
        <v>2157</v>
      </c>
      <c r="B783" s="156" t="s">
        <v>45</v>
      </c>
      <c r="C783" s="155">
        <v>88246</v>
      </c>
      <c r="D783" s="151" t="s">
        <v>1051</v>
      </c>
      <c r="E783" s="156" t="s">
        <v>14</v>
      </c>
      <c r="F783" s="197">
        <v>400</v>
      </c>
      <c r="G783" s="198">
        <v>25.61</v>
      </c>
      <c r="H783" s="197">
        <f>G783</f>
        <v>25.61</v>
      </c>
      <c r="I783" s="198">
        <f>F783*H783</f>
        <v>10244</v>
      </c>
    </row>
    <row r="784" spans="1:9" s="40" customFormat="1" ht="14.25" x14ac:dyDescent="0.2">
      <c r="A784" s="246" t="s">
        <v>2158</v>
      </c>
      <c r="B784" s="156" t="s">
        <v>45</v>
      </c>
      <c r="C784" s="155">
        <v>88316</v>
      </c>
      <c r="D784" s="151" t="s">
        <v>824</v>
      </c>
      <c r="E784" s="156" t="s">
        <v>14</v>
      </c>
      <c r="F784" s="197">
        <v>200</v>
      </c>
      <c r="G784" s="198">
        <v>16.64</v>
      </c>
      <c r="H784" s="197">
        <f t="shared" ref="H784:H786" si="127">G784</f>
        <v>16.64</v>
      </c>
      <c r="I784" s="198">
        <f t="shared" ref="I784:I786" si="128">F784*H784</f>
        <v>3328</v>
      </c>
    </row>
    <row r="785" spans="1:9" s="40" customFormat="1" ht="14.25" x14ac:dyDescent="0.2">
      <c r="A785" s="246" t="s">
        <v>2159</v>
      </c>
      <c r="B785" s="156" t="s">
        <v>45</v>
      </c>
      <c r="C785" s="155">
        <v>88267</v>
      </c>
      <c r="D785" s="151" t="s">
        <v>822</v>
      </c>
      <c r="E785" s="156" t="s">
        <v>14</v>
      </c>
      <c r="F785" s="197">
        <v>200</v>
      </c>
      <c r="G785" s="198">
        <v>21.01</v>
      </c>
      <c r="H785" s="197">
        <f t="shared" si="127"/>
        <v>21.01</v>
      </c>
      <c r="I785" s="198">
        <f t="shared" si="128"/>
        <v>4202</v>
      </c>
    </row>
    <row r="786" spans="1:9" s="40" customFormat="1" ht="28.5" x14ac:dyDescent="0.2">
      <c r="A786" s="246" t="s">
        <v>2160</v>
      </c>
      <c r="B786" s="156" t="s">
        <v>45</v>
      </c>
      <c r="C786" s="155">
        <v>88248</v>
      </c>
      <c r="D786" s="151" t="s">
        <v>1443</v>
      </c>
      <c r="E786" s="156" t="s">
        <v>14</v>
      </c>
      <c r="F786" s="197">
        <v>800</v>
      </c>
      <c r="G786" s="198">
        <v>16.87</v>
      </c>
      <c r="H786" s="197">
        <f t="shared" si="127"/>
        <v>16.87</v>
      </c>
      <c r="I786" s="198">
        <f t="shared" si="128"/>
        <v>13496</v>
      </c>
    </row>
  </sheetData>
  <mergeCells count="9">
    <mergeCell ref="A1:I1"/>
    <mergeCell ref="B3:D3"/>
    <mergeCell ref="B5:D5"/>
    <mergeCell ref="A9:A11"/>
    <mergeCell ref="B9:B11"/>
    <mergeCell ref="C9:C11"/>
    <mergeCell ref="D9:D11"/>
    <mergeCell ref="E9:E11"/>
    <mergeCell ref="F9:F11"/>
  </mergeCells>
  <printOptions horizontalCentered="1"/>
  <pageMargins left="0.39370078740157483" right="0.43307086614173229" top="0.78740157480314965" bottom="0.59055118110236227" header="0.35433070866141736" footer="0.31496062992125984"/>
  <pageSetup paperSize="9" scale="67" orientation="landscape" r:id="rId1"/>
  <headerFooter alignWithMargins="0">
    <oddHeader>&amp;L&amp;G&amp;R&amp;G</oddHeader>
    <oddFooter>&amp;C&amp;K03+000
Rua Nilton Baldo, 744 – Bairro Jardim Paquetá - CEP 31.330-660 – Belo Horizonte / Minas Gerais.
Endereço Eletrônico: ottawaeng@terra.com.br – Telefax (31) 3418-2175 – CNPJ: 04.472.311/0001-04&amp;R&amp;K03+000Página &amp;P de &amp;N</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53"/>
  <sheetViews>
    <sheetView view="pageBreakPreview" zoomScale="85" zoomScaleNormal="100" zoomScaleSheetLayoutView="85" workbookViewId="0">
      <selection activeCell="B7" sqref="B7"/>
    </sheetView>
  </sheetViews>
  <sheetFormatPr defaultRowHeight="14.25" x14ac:dyDescent="0.2"/>
  <cols>
    <col min="1" max="1" width="12.85546875" style="2" customWidth="1"/>
    <col min="2" max="2" width="43.7109375" style="2" customWidth="1"/>
    <col min="3" max="3" width="15.140625" style="2" customWidth="1"/>
    <col min="4" max="4" width="22.140625" style="53" customWidth="1"/>
    <col min="5" max="5" width="21" style="1" customWidth="1"/>
    <col min="6" max="6" width="5.85546875" style="1" customWidth="1"/>
    <col min="7" max="7" width="9.28515625" style="1" bestFit="1" customWidth="1"/>
    <col min="8" max="16384" width="9.140625" style="1"/>
  </cols>
  <sheetData>
    <row r="1" spans="1:16" ht="32.25" customHeight="1" thickBot="1" x14ac:dyDescent="0.25">
      <c r="A1" s="627" t="s">
        <v>284</v>
      </c>
      <c r="B1" s="628"/>
      <c r="C1" s="628"/>
      <c r="D1" s="629"/>
      <c r="E1" s="44"/>
      <c r="F1" s="44"/>
      <c r="G1" s="44"/>
      <c r="H1" s="44"/>
      <c r="I1" s="44"/>
      <c r="J1" s="44"/>
      <c r="K1" s="44"/>
      <c r="L1" s="44"/>
    </row>
    <row r="2" spans="1:16" ht="4.5" customHeight="1" thickBot="1" x14ac:dyDescent="0.25">
      <c r="A2" s="60"/>
      <c r="B2" s="61"/>
      <c r="C2" s="61"/>
      <c r="D2" s="62"/>
      <c r="E2" s="44"/>
      <c r="F2" s="44"/>
      <c r="G2" s="44"/>
      <c r="H2" s="44"/>
      <c r="I2" s="44"/>
      <c r="J2" s="44"/>
      <c r="K2" s="44"/>
      <c r="L2" s="44"/>
    </row>
    <row r="3" spans="1:16" ht="20.100000000000001" customHeight="1" thickBot="1" x14ac:dyDescent="0.25">
      <c r="A3" s="134" t="s">
        <v>38</v>
      </c>
      <c r="B3" s="630" t="s">
        <v>716</v>
      </c>
      <c r="C3" s="630"/>
      <c r="D3" s="631"/>
      <c r="E3" s="44"/>
      <c r="F3" s="44"/>
      <c r="G3" s="44"/>
      <c r="H3" s="44"/>
      <c r="I3" s="44"/>
      <c r="J3" s="44"/>
      <c r="K3" s="44"/>
      <c r="L3" s="44"/>
    </row>
    <row r="4" spans="1:16" ht="4.5" customHeight="1" thickBot="1" x14ac:dyDescent="0.25">
      <c r="A4" s="63"/>
      <c r="B4" s="59"/>
      <c r="C4" s="59"/>
      <c r="D4" s="64"/>
      <c r="E4" s="44"/>
      <c r="F4" s="44"/>
      <c r="G4" s="44"/>
      <c r="H4" s="44"/>
      <c r="I4" s="44"/>
      <c r="J4" s="44"/>
      <c r="K4" s="44"/>
      <c r="L4" s="44"/>
    </row>
    <row r="5" spans="1:16" ht="20.100000000000001" customHeight="1" thickBot="1" x14ac:dyDescent="0.25">
      <c r="A5" s="135" t="s">
        <v>197</v>
      </c>
      <c r="B5" s="571" t="s">
        <v>718</v>
      </c>
      <c r="C5" s="632"/>
      <c r="D5" s="633"/>
      <c r="E5" s="44"/>
      <c r="F5" s="44"/>
      <c r="G5" s="44"/>
      <c r="H5" s="44"/>
      <c r="I5" s="44"/>
      <c r="J5" s="44"/>
      <c r="K5" s="44"/>
      <c r="L5" s="44"/>
    </row>
    <row r="6" spans="1:16" ht="4.5" customHeight="1" thickBot="1" x14ac:dyDescent="0.25">
      <c r="A6" s="60"/>
      <c r="B6" s="61"/>
      <c r="C6" s="61"/>
      <c r="D6" s="62"/>
      <c r="E6" s="44"/>
      <c r="F6" s="44"/>
      <c r="G6" s="44"/>
      <c r="H6" s="44"/>
      <c r="I6" s="44"/>
      <c r="J6" s="44"/>
      <c r="K6" s="44"/>
      <c r="L6" s="44"/>
    </row>
    <row r="7" spans="1:16" ht="20.100000000000001" customHeight="1" thickBot="1" x14ac:dyDescent="0.25">
      <c r="A7" s="134" t="s">
        <v>39</v>
      </c>
      <c r="B7" s="136" t="s">
        <v>721</v>
      </c>
      <c r="C7" s="137" t="s">
        <v>311</v>
      </c>
      <c r="D7" s="138" t="s">
        <v>456</v>
      </c>
      <c r="E7" s="67"/>
      <c r="F7" s="44"/>
      <c r="G7" s="44"/>
      <c r="H7" s="44"/>
      <c r="I7" s="44"/>
      <c r="J7" s="44"/>
      <c r="K7" s="44"/>
      <c r="L7" s="44"/>
      <c r="M7" s="44"/>
      <c r="N7" s="44"/>
      <c r="O7" s="44"/>
      <c r="P7" s="44"/>
    </row>
    <row r="8" spans="1:16" ht="4.5" customHeight="1" thickBot="1" x14ac:dyDescent="0.25">
      <c r="A8" s="60"/>
      <c r="B8" s="61"/>
      <c r="C8" s="61"/>
      <c r="D8" s="62"/>
      <c r="E8" s="44"/>
      <c r="F8" s="44"/>
      <c r="G8" s="44"/>
      <c r="H8" s="44"/>
      <c r="I8" s="44"/>
      <c r="J8" s="44"/>
      <c r="K8" s="44"/>
      <c r="L8" s="44"/>
      <c r="M8" s="44"/>
      <c r="N8" s="44"/>
      <c r="O8" s="44"/>
      <c r="P8" s="44"/>
    </row>
    <row r="9" spans="1:16" s="5" customFormat="1" ht="20.100000000000001" customHeight="1" thickBot="1" x14ac:dyDescent="0.3">
      <c r="A9" s="139" t="s">
        <v>199</v>
      </c>
      <c r="B9" s="140" t="s">
        <v>285</v>
      </c>
      <c r="C9" s="140" t="s">
        <v>286</v>
      </c>
      <c r="D9" s="141" t="s">
        <v>287</v>
      </c>
      <c r="E9" s="68"/>
      <c r="F9" s="44"/>
      <c r="G9" s="44"/>
      <c r="H9" s="44"/>
      <c r="I9" s="44"/>
      <c r="J9" s="44"/>
      <c r="K9" s="44"/>
      <c r="L9" s="44"/>
      <c r="M9" s="44"/>
      <c r="N9" s="44"/>
      <c r="O9" s="44"/>
      <c r="P9" s="44"/>
    </row>
    <row r="10" spans="1:16" s="5" customFormat="1" ht="4.5" customHeight="1" thickBot="1" x14ac:dyDescent="0.25">
      <c r="A10" s="69"/>
      <c r="B10" s="70"/>
      <c r="C10" s="70"/>
      <c r="D10" s="71"/>
      <c r="E10" s="68"/>
      <c r="F10" s="44"/>
      <c r="G10" s="44"/>
      <c r="H10" s="44"/>
      <c r="I10" s="44"/>
      <c r="J10" s="44"/>
      <c r="K10" s="44"/>
      <c r="L10" s="44"/>
      <c r="M10" s="44"/>
      <c r="N10" s="44"/>
      <c r="O10" s="44"/>
      <c r="P10" s="44"/>
    </row>
    <row r="11" spans="1:16" s="5" customFormat="1" ht="20.100000000000001" customHeight="1" thickBot="1" x14ac:dyDescent="0.25">
      <c r="A11" s="72"/>
      <c r="B11" s="73"/>
      <c r="C11" s="73"/>
      <c r="D11" s="74"/>
      <c r="E11" s="75"/>
      <c r="F11" s="44"/>
      <c r="G11" s="44"/>
      <c r="H11" s="44"/>
      <c r="I11" s="44"/>
      <c r="J11" s="44"/>
      <c r="K11" s="44"/>
      <c r="L11" s="44"/>
      <c r="M11" s="44"/>
      <c r="N11" s="44"/>
      <c r="O11" s="44"/>
      <c r="P11" s="44"/>
    </row>
    <row r="12" spans="1:16" s="5" customFormat="1" ht="20.100000000000001" customHeight="1" thickTop="1" thickBot="1" x14ac:dyDescent="0.3">
      <c r="A12" s="76" t="s">
        <v>288</v>
      </c>
      <c r="B12" s="77" t="s">
        <v>289</v>
      </c>
      <c r="C12" s="78"/>
      <c r="D12" s="79" t="e">
        <f>D22-D14</f>
        <v>#REF!</v>
      </c>
      <c r="E12" s="80"/>
      <c r="F12" s="44"/>
      <c r="G12" s="230" t="e">
        <f>D34/D12</f>
        <v>#REF!</v>
      </c>
      <c r="H12" s="44"/>
      <c r="I12" s="44"/>
      <c r="J12" s="44"/>
      <c r="K12" s="44"/>
      <c r="L12" s="44"/>
      <c r="M12" s="44"/>
      <c r="N12" s="44"/>
      <c r="O12" s="44"/>
      <c r="P12" s="44"/>
    </row>
    <row r="13" spans="1:16" s="5" customFormat="1" ht="20.100000000000001" customHeight="1" thickBot="1" x14ac:dyDescent="0.25">
      <c r="A13" s="81"/>
      <c r="B13" s="82"/>
      <c r="C13" s="83"/>
      <c r="D13" s="84"/>
      <c r="E13"/>
      <c r="F13" s="44"/>
      <c r="G13" s="231" t="e">
        <f>D34/(D12-ORÇAMENTO!N14)</f>
        <v>#REF!</v>
      </c>
      <c r="H13" s="44"/>
      <c r="I13" s="44"/>
      <c r="J13" s="44"/>
      <c r="K13" s="44"/>
      <c r="L13" s="44"/>
      <c r="M13" s="44"/>
      <c r="N13" s="44"/>
      <c r="O13" s="44"/>
      <c r="P13" s="44"/>
    </row>
    <row r="14" spans="1:16" s="5" customFormat="1" ht="20.100000000000001" customHeight="1" thickTop="1" x14ac:dyDescent="0.25">
      <c r="A14" s="76" t="s">
        <v>290</v>
      </c>
      <c r="B14" s="77" t="s">
        <v>291</v>
      </c>
      <c r="C14" s="85">
        <f>SUM(C15:C19)</f>
        <v>7.9600000000000004E-2</v>
      </c>
      <c r="D14" s="86" t="e">
        <f>SUM(D15:D19)</f>
        <v>#REF!</v>
      </c>
      <c r="E14" s="87"/>
      <c r="F14" s="44"/>
      <c r="G14" s="44"/>
      <c r="H14" s="44"/>
      <c r="I14" s="44"/>
      <c r="J14" s="44"/>
      <c r="K14" s="44"/>
      <c r="L14" s="44"/>
      <c r="M14" s="44"/>
      <c r="N14" s="44"/>
      <c r="O14" s="44"/>
      <c r="P14" s="44"/>
    </row>
    <row r="15" spans="1:16" s="5" customFormat="1" ht="20.100000000000001" customHeight="1" x14ac:dyDescent="0.2">
      <c r="A15" s="81" t="s">
        <v>71</v>
      </c>
      <c r="B15" s="82" t="s">
        <v>292</v>
      </c>
      <c r="C15" s="88">
        <v>5.04E-2</v>
      </c>
      <c r="D15" s="89" t="e">
        <f>C15*D$22</f>
        <v>#REF!</v>
      </c>
      <c r="E15" s="90"/>
      <c r="F15" s="44"/>
      <c r="G15" s="244"/>
      <c r="H15" s="44"/>
      <c r="I15" s="44"/>
      <c r="J15" s="44"/>
      <c r="K15" s="44"/>
      <c r="L15" s="44"/>
      <c r="M15" s="44"/>
      <c r="N15" s="44"/>
      <c r="O15" s="44"/>
      <c r="P15" s="44"/>
    </row>
    <row r="16" spans="1:16" s="5" customFormat="1" ht="20.100000000000001" customHeight="1" x14ac:dyDescent="0.2">
      <c r="A16" s="81" t="s">
        <v>170</v>
      </c>
      <c r="B16" s="82" t="s">
        <v>448</v>
      </c>
      <c r="C16" s="88">
        <v>2.8999999999999998E-3</v>
      </c>
      <c r="D16" s="89" t="e">
        <f t="shared" ref="D16:D19" si="0">C16*D$22</f>
        <v>#REF!</v>
      </c>
      <c r="E16" s="90"/>
      <c r="F16" s="44"/>
      <c r="G16" s="244"/>
      <c r="H16" s="44"/>
      <c r="I16" s="44"/>
      <c r="J16" s="44"/>
      <c r="K16" s="44"/>
      <c r="L16" s="44"/>
      <c r="M16" s="44"/>
      <c r="N16" s="44"/>
      <c r="O16" s="44"/>
      <c r="P16" s="44"/>
    </row>
    <row r="17" spans="1:16" s="5" customFormat="1" ht="20.100000000000001" customHeight="1" x14ac:dyDescent="0.2">
      <c r="A17" s="81" t="s">
        <v>166</v>
      </c>
      <c r="B17" s="82" t="s">
        <v>382</v>
      </c>
      <c r="C17" s="88">
        <v>1.3899999999999999E-2</v>
      </c>
      <c r="D17" s="89" t="e">
        <f t="shared" si="0"/>
        <v>#REF!</v>
      </c>
      <c r="E17" s="90"/>
      <c r="F17" s="44"/>
      <c r="G17" s="244"/>
      <c r="H17" s="44"/>
      <c r="I17" s="44"/>
      <c r="J17" s="44"/>
      <c r="K17" s="44"/>
      <c r="L17" s="44"/>
      <c r="M17" s="44"/>
      <c r="N17" s="44"/>
      <c r="O17" s="44"/>
      <c r="P17" s="44"/>
    </row>
    <row r="18" spans="1:16" s="5" customFormat="1" ht="20.100000000000001" customHeight="1" x14ac:dyDescent="0.2">
      <c r="A18" s="81" t="s">
        <v>167</v>
      </c>
      <c r="B18" s="82" t="s">
        <v>447</v>
      </c>
      <c r="C18" s="88">
        <v>2.5000000000000001E-3</v>
      </c>
      <c r="D18" s="89" t="e">
        <f t="shared" si="0"/>
        <v>#REF!</v>
      </c>
      <c r="E18" s="90"/>
      <c r="F18" s="44"/>
      <c r="G18" s="244"/>
      <c r="H18" s="44"/>
      <c r="I18" s="44"/>
      <c r="J18" s="44"/>
      <c r="K18" s="44"/>
      <c r="L18" s="44"/>
      <c r="M18" s="44"/>
      <c r="N18" s="44"/>
      <c r="O18" s="44"/>
      <c r="P18" s="44"/>
    </row>
    <row r="19" spans="1:16" s="40" customFormat="1" ht="20.100000000000001" customHeight="1" x14ac:dyDescent="0.2">
      <c r="A19" s="81" t="s">
        <v>168</v>
      </c>
      <c r="B19" s="91" t="s">
        <v>294</v>
      </c>
      <c r="C19" s="92">
        <v>9.9000000000000008E-3</v>
      </c>
      <c r="D19" s="89" t="e">
        <f t="shared" si="0"/>
        <v>#REF!</v>
      </c>
      <c r="E19" s="93"/>
      <c r="F19" s="44"/>
      <c r="G19" s="244"/>
      <c r="H19" s="44"/>
      <c r="I19" s="44"/>
      <c r="J19" s="44"/>
      <c r="K19" s="44"/>
      <c r="L19" s="44"/>
      <c r="M19" s="44"/>
      <c r="N19" s="44"/>
      <c r="O19" s="44"/>
      <c r="P19" s="44"/>
    </row>
    <row r="20" spans="1:16" s="5" customFormat="1" ht="20.100000000000001" customHeight="1" x14ac:dyDescent="0.2">
      <c r="A20" s="624" t="s">
        <v>449</v>
      </c>
      <c r="B20" s="625"/>
      <c r="C20" s="625"/>
      <c r="D20" s="626"/>
      <c r="E20"/>
      <c r="F20" s="44"/>
      <c r="G20" s="244"/>
      <c r="H20" s="44"/>
      <c r="I20" s="44"/>
      <c r="J20" s="44"/>
      <c r="K20" s="44"/>
      <c r="L20" s="44"/>
      <c r="M20" s="44"/>
      <c r="N20" s="44"/>
      <c r="O20" s="44"/>
      <c r="P20" s="44"/>
    </row>
    <row r="21" spans="1:16" s="5" customFormat="1" ht="20.100000000000001" customHeight="1" x14ac:dyDescent="0.2">
      <c r="A21" s="94"/>
      <c r="B21" s="95"/>
      <c r="C21" s="95"/>
      <c r="D21" s="96"/>
      <c r="E21"/>
      <c r="F21" s="44"/>
      <c r="G21" s="44"/>
      <c r="H21" s="44"/>
      <c r="I21" s="44"/>
      <c r="J21" s="44"/>
      <c r="K21" s="44"/>
      <c r="L21" s="44"/>
      <c r="M21" s="44"/>
      <c r="N21" s="44"/>
      <c r="O21" s="44"/>
      <c r="P21" s="44"/>
    </row>
    <row r="22" spans="1:16" s="5" customFormat="1" ht="20.100000000000001" customHeight="1" x14ac:dyDescent="0.25">
      <c r="A22" s="76" t="s">
        <v>295</v>
      </c>
      <c r="B22" s="77" t="s">
        <v>296</v>
      </c>
      <c r="C22" s="78"/>
      <c r="D22" s="86" t="e">
        <f>D34-D31-D24</f>
        <v>#REF!</v>
      </c>
      <c r="E22" s="87"/>
      <c r="F22" s="44"/>
      <c r="G22" s="44"/>
      <c r="H22" s="44"/>
      <c r="I22" s="44"/>
      <c r="J22" s="44"/>
      <c r="K22" s="44"/>
      <c r="L22" s="44"/>
      <c r="M22" s="44"/>
      <c r="N22" s="44"/>
      <c r="O22" s="44"/>
      <c r="P22" s="44"/>
    </row>
    <row r="23" spans="1:16" s="5" customFormat="1" ht="20.100000000000001" customHeight="1" x14ac:dyDescent="0.2">
      <c r="A23" s="81"/>
      <c r="B23" s="82"/>
      <c r="C23" s="83"/>
      <c r="D23" s="84"/>
      <c r="E23"/>
      <c r="F23" s="44"/>
      <c r="G23" s="44"/>
      <c r="H23" s="44"/>
      <c r="I23" s="44"/>
      <c r="J23" s="44"/>
      <c r="K23" s="44"/>
      <c r="L23" s="44"/>
      <c r="M23" s="44"/>
      <c r="N23" s="44"/>
      <c r="O23" s="44"/>
      <c r="P23" s="44"/>
    </row>
    <row r="24" spans="1:16" s="5" customFormat="1" ht="20.100000000000001" customHeight="1" x14ac:dyDescent="0.25">
      <c r="A24" s="76" t="s">
        <v>297</v>
      </c>
      <c r="B24" s="77" t="s">
        <v>298</v>
      </c>
      <c r="C24" s="85">
        <f>SUM(C25:C28)</f>
        <v>8.1500000000000003E-2</v>
      </c>
      <c r="D24" s="86" t="e">
        <f>SUM(D25:D28)</f>
        <v>#REF!</v>
      </c>
      <c r="E24" s="87"/>
      <c r="F24" s="44"/>
      <c r="G24" s="44"/>
      <c r="H24" s="44"/>
      <c r="I24" s="44"/>
      <c r="J24" s="44"/>
      <c r="K24" s="44"/>
      <c r="L24" s="44"/>
      <c r="M24" s="44"/>
      <c r="N24" s="44"/>
      <c r="O24" s="44"/>
      <c r="P24" s="44"/>
    </row>
    <row r="25" spans="1:16" s="5" customFormat="1" ht="20.100000000000001" customHeight="1" x14ac:dyDescent="0.2">
      <c r="A25" s="81" t="s">
        <v>75</v>
      </c>
      <c r="B25" s="82" t="s">
        <v>299</v>
      </c>
      <c r="C25" s="88">
        <v>0.03</v>
      </c>
      <c r="D25" s="89" t="e">
        <f>C25*D$34</f>
        <v>#REF!</v>
      </c>
      <c r="E25" s="87"/>
      <c r="F25" s="44"/>
      <c r="G25" s="44"/>
      <c r="H25" s="44"/>
      <c r="I25" s="44"/>
      <c r="J25" s="44"/>
      <c r="K25" s="44"/>
      <c r="L25" s="44"/>
      <c r="M25" s="44"/>
      <c r="N25" s="44"/>
      <c r="O25" s="44"/>
      <c r="P25" s="44"/>
    </row>
    <row r="26" spans="1:16" s="5" customFormat="1" ht="20.100000000000001" customHeight="1" x14ac:dyDescent="0.2">
      <c r="A26" s="81" t="s">
        <v>99</v>
      </c>
      <c r="B26" s="82" t="s">
        <v>300</v>
      </c>
      <c r="C26" s="88">
        <v>6.4999999999999997E-3</v>
      </c>
      <c r="D26" s="89" t="e">
        <f t="shared" ref="D26:D28" si="1">C26*D$34</f>
        <v>#REF!</v>
      </c>
      <c r="E26" s="87"/>
      <c r="F26" s="44"/>
      <c r="G26" s="44"/>
      <c r="H26" s="44"/>
      <c r="I26" s="44"/>
      <c r="J26" s="44"/>
      <c r="K26" s="44"/>
      <c r="L26" s="44"/>
      <c r="M26" s="44"/>
      <c r="N26" s="44"/>
      <c r="O26" s="44"/>
      <c r="P26" s="44"/>
    </row>
    <row r="27" spans="1:16" s="5" customFormat="1" ht="20.100000000000001" customHeight="1" x14ac:dyDescent="0.2">
      <c r="A27" s="81" t="s">
        <v>252</v>
      </c>
      <c r="B27" s="82" t="s">
        <v>301</v>
      </c>
      <c r="C27" s="88">
        <v>2.5000000000000001E-2</v>
      </c>
      <c r="D27" s="89" t="e">
        <f t="shared" si="1"/>
        <v>#REF!</v>
      </c>
      <c r="E27" s="87"/>
      <c r="F27" s="44"/>
      <c r="G27" s="44"/>
      <c r="H27" s="44"/>
      <c r="I27" s="44"/>
      <c r="J27" s="44"/>
      <c r="K27" s="44"/>
      <c r="L27" s="44"/>
      <c r="M27" s="44"/>
      <c r="N27" s="44"/>
      <c r="O27" s="44"/>
      <c r="P27" s="44"/>
    </row>
    <row r="28" spans="1:16" s="5" customFormat="1" ht="20.100000000000001" customHeight="1" x14ac:dyDescent="0.2">
      <c r="A28" s="81" t="s">
        <v>253</v>
      </c>
      <c r="B28" s="82" t="s">
        <v>383</v>
      </c>
      <c r="C28" s="88">
        <v>0.02</v>
      </c>
      <c r="D28" s="89" t="e">
        <f t="shared" si="1"/>
        <v>#REF!</v>
      </c>
      <c r="E28" s="87"/>
      <c r="F28" s="44"/>
      <c r="G28" s="44"/>
      <c r="H28" s="44"/>
      <c r="I28" s="44"/>
      <c r="J28" s="44"/>
      <c r="K28" s="44"/>
      <c r="L28" s="44"/>
      <c r="M28" s="44"/>
      <c r="N28" s="44"/>
      <c r="O28" s="44"/>
      <c r="P28" s="44"/>
    </row>
    <row r="29" spans="1:16" s="5" customFormat="1" ht="20.100000000000001" customHeight="1" x14ac:dyDescent="0.2">
      <c r="A29" s="624" t="s">
        <v>302</v>
      </c>
      <c r="B29" s="625"/>
      <c r="C29" s="625"/>
      <c r="D29" s="626"/>
      <c r="E29" s="87"/>
      <c r="F29" s="44"/>
      <c r="G29" s="44"/>
      <c r="H29" s="44"/>
      <c r="I29" s="44"/>
      <c r="J29" s="44"/>
      <c r="K29" s="44"/>
      <c r="L29" s="44"/>
      <c r="M29" s="44"/>
      <c r="N29" s="44"/>
      <c r="O29" s="44"/>
      <c r="P29" s="44"/>
    </row>
    <row r="30" spans="1:16" s="5" customFormat="1" ht="20.100000000000001" customHeight="1" x14ac:dyDescent="0.2">
      <c r="A30" s="94"/>
      <c r="B30" s="95"/>
      <c r="C30" s="95"/>
      <c r="D30" s="96"/>
      <c r="E30" s="87"/>
      <c r="F30" s="44"/>
      <c r="G30" s="44"/>
      <c r="H30" s="44"/>
      <c r="I30" s="44"/>
      <c r="J30" s="44"/>
      <c r="K30" s="44"/>
      <c r="L30" s="44"/>
      <c r="M30" s="44"/>
      <c r="N30" s="44"/>
      <c r="O30" s="44"/>
      <c r="P30" s="44"/>
    </row>
    <row r="31" spans="1:16" s="5" customFormat="1" ht="20.100000000000001" customHeight="1" x14ac:dyDescent="0.25">
      <c r="A31" s="76" t="s">
        <v>303</v>
      </c>
      <c r="B31" s="77" t="s">
        <v>304</v>
      </c>
      <c r="C31" s="85">
        <v>7.4999999999999997E-2</v>
      </c>
      <c r="D31" s="86" t="e">
        <f>C31*(D34-D24)</f>
        <v>#REF!</v>
      </c>
      <c r="E31" s="87"/>
      <c r="F31" s="44"/>
      <c r="G31" s="44"/>
      <c r="H31" s="44"/>
      <c r="I31" s="44"/>
      <c r="J31" s="44"/>
      <c r="K31" s="44"/>
      <c r="L31" s="44"/>
      <c r="M31" s="44"/>
      <c r="N31" s="44"/>
      <c r="O31" s="44"/>
      <c r="P31" s="44"/>
    </row>
    <row r="32" spans="1:16" s="5" customFormat="1" ht="20.100000000000001" customHeight="1" x14ac:dyDescent="0.2">
      <c r="A32" s="624" t="s">
        <v>450</v>
      </c>
      <c r="B32" s="625"/>
      <c r="C32" s="625"/>
      <c r="D32" s="626"/>
      <c r="E32"/>
      <c r="F32" s="44"/>
      <c r="G32" s="44"/>
      <c r="H32" s="44"/>
      <c r="I32" s="44"/>
      <c r="J32" s="44"/>
      <c r="K32" s="44"/>
      <c r="L32" s="44"/>
      <c r="M32" s="44"/>
      <c r="N32" s="44"/>
      <c r="O32" s="44"/>
      <c r="P32" s="44"/>
    </row>
    <row r="33" spans="1:16" s="5" customFormat="1" ht="20.100000000000001" customHeight="1" x14ac:dyDescent="0.2">
      <c r="A33" s="94"/>
      <c r="B33" s="95"/>
      <c r="C33" s="95"/>
      <c r="D33" s="96"/>
      <c r="E33"/>
      <c r="F33" s="44"/>
      <c r="G33" s="44"/>
      <c r="H33" s="44"/>
      <c r="I33" s="44"/>
      <c r="J33" s="44"/>
      <c r="K33" s="44"/>
      <c r="L33" s="44"/>
      <c r="M33" s="44"/>
      <c r="N33" s="44"/>
      <c r="O33" s="44"/>
      <c r="P33" s="44"/>
    </row>
    <row r="34" spans="1:16" s="5" customFormat="1" ht="20.100000000000001" customHeight="1" x14ac:dyDescent="0.25">
      <c r="A34" s="76" t="s">
        <v>305</v>
      </c>
      <c r="B34" s="77" t="s">
        <v>306</v>
      </c>
      <c r="C34" s="83"/>
      <c r="D34" s="86" t="e">
        <f>ORÇAMENTO!I2029</f>
        <v>#REF!</v>
      </c>
      <c r="E34" s="87"/>
      <c r="F34" s="44"/>
      <c r="G34" s="44"/>
      <c r="H34" s="44"/>
      <c r="I34" s="44"/>
      <c r="J34" s="44"/>
      <c r="K34" s="44"/>
      <c r="L34" s="44"/>
      <c r="M34" s="44"/>
      <c r="N34" s="44"/>
      <c r="O34" s="44"/>
      <c r="P34" s="44"/>
    </row>
    <row r="35" spans="1:16" s="5" customFormat="1" ht="20.100000000000001" customHeight="1" x14ac:dyDescent="0.2">
      <c r="A35" s="81"/>
      <c r="B35" s="82"/>
      <c r="C35" s="83"/>
      <c r="D35" s="84"/>
      <c r="E35"/>
      <c r="F35" s="44"/>
      <c r="G35" s="44"/>
      <c r="H35" s="44"/>
      <c r="I35" s="44"/>
      <c r="J35" s="44"/>
      <c r="K35" s="44"/>
      <c r="L35" s="44"/>
      <c r="M35" s="44"/>
      <c r="N35" s="44"/>
      <c r="O35" s="44"/>
      <c r="P35" s="44"/>
    </row>
    <row r="36" spans="1:16" s="5" customFormat="1" ht="20.100000000000001" customHeight="1" x14ac:dyDescent="0.25">
      <c r="A36" s="76" t="s">
        <v>307</v>
      </c>
      <c r="B36" s="77" t="s">
        <v>308</v>
      </c>
      <c r="C36" s="85">
        <f>(1+C15+C16+C17+C18)*(1+C19)*(1+C31)/(1-C24)-1</f>
        <v>0.26435686690255822</v>
      </c>
      <c r="D36" s="84"/>
      <c r="E36"/>
      <c r="F36" s="44"/>
      <c r="G36" s="251">
        <v>26.44</v>
      </c>
      <c r="H36" s="44"/>
      <c r="I36" s="44"/>
      <c r="J36" s="44"/>
      <c r="K36" s="44"/>
      <c r="L36" s="44"/>
      <c r="M36" s="44"/>
      <c r="N36" s="44"/>
      <c r="O36" s="44"/>
      <c r="P36" s="44"/>
    </row>
    <row r="37" spans="1:16" s="5" customFormat="1" ht="20.100000000000001" customHeight="1" x14ac:dyDescent="0.2">
      <c r="A37" s="97"/>
      <c r="B37" s="98"/>
      <c r="C37" s="98"/>
      <c r="D37" s="99"/>
      <c r="E37"/>
      <c r="F37" s="4"/>
      <c r="G37" s="4"/>
      <c r="H37" s="4"/>
      <c r="I37" s="4"/>
      <c r="J37" s="4"/>
      <c r="K37" s="4"/>
      <c r="L37" s="4"/>
    </row>
    <row r="38" spans="1:16" s="5" customFormat="1" ht="20.100000000000001" customHeight="1" x14ac:dyDescent="0.25">
      <c r="A38" s="100" t="s">
        <v>381</v>
      </c>
      <c r="B38" s="98"/>
      <c r="C38" s="98"/>
      <c r="D38" s="99"/>
      <c r="E38"/>
      <c r="F38" s="4"/>
      <c r="G38" s="4"/>
      <c r="H38" s="4"/>
      <c r="I38" s="4"/>
      <c r="J38" s="4"/>
      <c r="K38" s="4"/>
      <c r="L38" s="4"/>
    </row>
    <row r="39" spans="1:16" s="5" customFormat="1" ht="20.100000000000001" customHeight="1" thickBot="1" x14ac:dyDescent="0.3">
      <c r="A39" s="252" t="s">
        <v>309</v>
      </c>
      <c r="B39" s="103"/>
      <c r="C39" s="103"/>
      <c r="D39" s="104"/>
      <c r="E39"/>
      <c r="F39" s="4"/>
      <c r="G39" s="4"/>
      <c r="H39" s="4"/>
      <c r="I39" s="4"/>
      <c r="J39" s="4"/>
      <c r="K39" s="4"/>
      <c r="L39" s="4"/>
    </row>
    <row r="40" spans="1:16" s="5" customFormat="1" x14ac:dyDescent="0.2">
      <c r="E40" s="4"/>
      <c r="F40" s="6"/>
      <c r="G40" s="4"/>
      <c r="H40" s="4"/>
      <c r="I40" s="4"/>
      <c r="J40" s="4"/>
      <c r="K40" s="4"/>
      <c r="L40" s="4"/>
    </row>
    <row r="41" spans="1:16" ht="15.95" customHeight="1" x14ac:dyDescent="0.2">
      <c r="E41" s="57"/>
      <c r="F41" s="57"/>
      <c r="G41" s="57"/>
      <c r="H41" s="57"/>
      <c r="I41" s="57"/>
      <c r="J41" s="57"/>
      <c r="K41" s="57"/>
      <c r="L41" s="57"/>
    </row>
    <row r="42" spans="1:16" ht="15.95" customHeight="1" x14ac:dyDescent="0.2">
      <c r="E42" s="57"/>
      <c r="F42" s="57"/>
      <c r="G42" s="57"/>
      <c r="H42" s="57"/>
      <c r="I42" s="57"/>
      <c r="J42" s="57"/>
      <c r="K42" s="57"/>
      <c r="L42" s="57"/>
    </row>
    <row r="43" spans="1:16" ht="15.95" customHeight="1" x14ac:dyDescent="0.2">
      <c r="E43" s="57"/>
      <c r="F43" s="57"/>
      <c r="G43" s="57"/>
      <c r="H43" s="57"/>
      <c r="I43" s="57"/>
      <c r="J43" s="57"/>
      <c r="K43" s="57"/>
      <c r="L43" s="57"/>
    </row>
    <row r="44" spans="1:16" ht="15.95" customHeight="1" x14ac:dyDescent="0.2">
      <c r="E44" s="57"/>
      <c r="F44" s="57"/>
      <c r="G44" s="57"/>
      <c r="H44" s="57"/>
      <c r="I44" s="57"/>
      <c r="J44" s="57"/>
      <c r="K44" s="57"/>
      <c r="L44" s="57"/>
    </row>
    <row r="45" spans="1:16" ht="15.95" customHeight="1" x14ac:dyDescent="0.2">
      <c r="E45" s="57"/>
      <c r="F45" s="57"/>
      <c r="G45" s="57"/>
      <c r="H45" s="57"/>
      <c r="I45" s="57"/>
      <c r="J45" s="57"/>
      <c r="K45" s="57"/>
      <c r="L45" s="57"/>
    </row>
    <row r="46" spans="1:16" ht="15.95" customHeight="1" x14ac:dyDescent="0.2">
      <c r="E46" s="57"/>
      <c r="F46" s="57"/>
      <c r="G46" s="57"/>
      <c r="H46" s="57"/>
      <c r="I46" s="57"/>
      <c r="J46" s="57"/>
      <c r="K46" s="57"/>
      <c r="L46" s="57"/>
    </row>
    <row r="47" spans="1:16" ht="15.95" customHeight="1" x14ac:dyDescent="0.2">
      <c r="E47" s="57"/>
      <c r="F47" s="57"/>
      <c r="G47" s="57"/>
      <c r="H47" s="57"/>
      <c r="I47" s="57"/>
      <c r="J47" s="57"/>
      <c r="K47" s="57"/>
      <c r="L47" s="57"/>
    </row>
    <row r="48" spans="1:16" ht="15.95" customHeight="1" x14ac:dyDescent="0.2">
      <c r="A48" s="1"/>
      <c r="B48" s="1"/>
      <c r="C48" s="1"/>
      <c r="D48" s="1"/>
      <c r="E48" s="57"/>
      <c r="F48" s="57"/>
      <c r="G48" s="57"/>
      <c r="H48" s="57"/>
      <c r="I48" s="57"/>
      <c r="J48" s="57"/>
      <c r="K48" s="57"/>
      <c r="L48" s="57"/>
    </row>
    <row r="49" spans="1:12" ht="15.95" customHeight="1" x14ac:dyDescent="0.2">
      <c r="A49" s="1"/>
      <c r="B49" s="1"/>
      <c r="C49" s="1"/>
      <c r="D49" s="1"/>
      <c r="E49" s="57"/>
      <c r="F49" s="57"/>
      <c r="G49" s="57"/>
      <c r="H49" s="57"/>
      <c r="I49" s="57"/>
      <c r="J49" s="57"/>
      <c r="K49" s="57"/>
      <c r="L49" s="57"/>
    </row>
    <row r="50" spans="1:12" ht="15.95" customHeight="1" x14ac:dyDescent="0.2">
      <c r="A50" s="1"/>
      <c r="B50" s="1"/>
      <c r="C50" s="1"/>
      <c r="D50" s="1"/>
      <c r="E50" s="57"/>
      <c r="F50" s="57"/>
      <c r="G50" s="57"/>
      <c r="H50" s="57"/>
      <c r="I50" s="57"/>
      <c r="J50" s="57"/>
      <c r="K50" s="57"/>
      <c r="L50" s="57"/>
    </row>
    <row r="51" spans="1:12" ht="15.95" customHeight="1" x14ac:dyDescent="0.2">
      <c r="A51" s="1"/>
      <c r="B51" s="1"/>
      <c r="C51" s="1"/>
      <c r="D51" s="1"/>
      <c r="E51" s="57"/>
      <c r="F51" s="57"/>
      <c r="G51" s="57"/>
      <c r="H51" s="57"/>
      <c r="I51" s="57"/>
      <c r="J51" s="57"/>
      <c r="K51" s="57"/>
      <c r="L51" s="57"/>
    </row>
    <row r="52" spans="1:12" ht="15.95" customHeight="1" x14ac:dyDescent="0.2">
      <c r="A52" s="1"/>
      <c r="B52" s="1"/>
      <c r="C52" s="1"/>
      <c r="D52" s="1"/>
      <c r="E52" s="57"/>
      <c r="F52" s="57"/>
      <c r="G52" s="57"/>
      <c r="H52" s="57"/>
      <c r="I52" s="57"/>
      <c r="J52" s="57"/>
      <c r="K52" s="57"/>
      <c r="L52" s="57"/>
    </row>
    <row r="53" spans="1:12" ht="15.95" customHeight="1" x14ac:dyDescent="0.2">
      <c r="A53" s="1"/>
      <c r="B53" s="1"/>
      <c r="C53" s="1"/>
      <c r="D53" s="1"/>
      <c r="E53" s="57"/>
      <c r="F53" s="57"/>
      <c r="G53" s="57"/>
      <c r="H53" s="57"/>
      <c r="I53" s="57"/>
      <c r="J53" s="57"/>
      <c r="K53" s="57"/>
      <c r="L53" s="57"/>
    </row>
    <row r="54" spans="1:12" ht="15.95" customHeight="1" x14ac:dyDescent="0.2">
      <c r="A54" s="1"/>
      <c r="B54" s="1"/>
      <c r="C54" s="1"/>
      <c r="D54" s="1"/>
      <c r="E54" s="57"/>
      <c r="F54" s="57"/>
      <c r="G54" s="57"/>
      <c r="H54" s="57"/>
      <c r="I54" s="57"/>
      <c r="J54" s="57"/>
      <c r="K54" s="57"/>
      <c r="L54" s="57"/>
    </row>
    <row r="55" spans="1:12" ht="15.95" customHeight="1" x14ac:dyDescent="0.2">
      <c r="A55" s="1"/>
      <c r="B55" s="1"/>
      <c r="C55" s="1"/>
      <c r="D55" s="1"/>
      <c r="E55" s="57"/>
      <c r="F55" s="57"/>
      <c r="G55" s="57"/>
      <c r="H55" s="57"/>
      <c r="I55" s="57"/>
      <c r="J55" s="57"/>
      <c r="K55" s="57"/>
      <c r="L55" s="57"/>
    </row>
    <row r="56" spans="1:12" ht="15.95" customHeight="1" x14ac:dyDescent="0.2">
      <c r="A56" s="1"/>
      <c r="B56" s="1"/>
      <c r="C56" s="1"/>
      <c r="D56" s="1"/>
      <c r="E56" s="57"/>
      <c r="F56" s="57"/>
      <c r="G56" s="57"/>
      <c r="H56" s="57"/>
      <c r="I56" s="57"/>
      <c r="J56" s="57"/>
      <c r="K56" s="57"/>
      <c r="L56" s="57"/>
    </row>
    <row r="57" spans="1:12" ht="15.95" customHeight="1" x14ac:dyDescent="0.2">
      <c r="A57" s="1"/>
      <c r="B57" s="1"/>
      <c r="C57" s="1"/>
      <c r="D57" s="1"/>
      <c r="E57" s="57"/>
      <c r="F57" s="57"/>
      <c r="G57" s="57"/>
      <c r="H57" s="57"/>
      <c r="I57" s="57"/>
      <c r="J57" s="57"/>
      <c r="K57" s="57"/>
      <c r="L57" s="57"/>
    </row>
    <row r="58" spans="1:12" ht="15.95" customHeight="1" x14ac:dyDescent="0.2">
      <c r="A58" s="1"/>
      <c r="B58" s="1"/>
      <c r="C58" s="1"/>
      <c r="D58" s="1"/>
      <c r="E58" s="57"/>
      <c r="F58" s="57"/>
      <c r="G58" s="57"/>
      <c r="H58" s="57"/>
      <c r="I58" s="57"/>
      <c r="J58" s="57"/>
      <c r="K58" s="57"/>
      <c r="L58" s="57"/>
    </row>
    <row r="59" spans="1:12" ht="15.95" customHeight="1" x14ac:dyDescent="0.2">
      <c r="A59" s="1"/>
      <c r="B59" s="1"/>
      <c r="C59" s="1"/>
      <c r="D59" s="1"/>
      <c r="E59" s="57"/>
      <c r="F59" s="57"/>
      <c r="G59" s="57"/>
      <c r="H59" s="57"/>
      <c r="I59" s="57"/>
      <c r="J59" s="57"/>
      <c r="K59" s="57"/>
      <c r="L59" s="57"/>
    </row>
    <row r="60" spans="1:12" ht="15.95" customHeight="1" x14ac:dyDescent="0.2">
      <c r="A60" s="1"/>
      <c r="B60" s="1"/>
      <c r="C60" s="1"/>
      <c r="D60" s="1"/>
      <c r="E60" s="57"/>
      <c r="F60" s="57"/>
      <c r="G60" s="57"/>
      <c r="H60" s="57"/>
      <c r="I60" s="57"/>
      <c r="J60" s="57"/>
      <c r="K60" s="57"/>
      <c r="L60" s="57"/>
    </row>
    <row r="61" spans="1:12" ht="15.95" customHeight="1" x14ac:dyDescent="0.2">
      <c r="A61" s="1"/>
      <c r="B61" s="1"/>
      <c r="C61" s="1"/>
      <c r="D61" s="1"/>
      <c r="E61" s="57"/>
      <c r="F61" s="57"/>
      <c r="G61" s="57"/>
      <c r="H61" s="57"/>
      <c r="I61" s="57"/>
      <c r="J61" s="57"/>
      <c r="K61" s="57"/>
      <c r="L61" s="57"/>
    </row>
    <row r="62" spans="1:12" ht="15.95" customHeight="1" x14ac:dyDescent="0.2">
      <c r="A62" s="1"/>
      <c r="B62" s="1"/>
      <c r="C62" s="1"/>
      <c r="D62" s="1"/>
      <c r="E62" s="57"/>
      <c r="F62" s="57"/>
      <c r="G62" s="57"/>
      <c r="H62" s="57"/>
      <c r="I62" s="57"/>
      <c r="J62" s="57"/>
      <c r="K62" s="57"/>
      <c r="L62" s="57"/>
    </row>
    <row r="63" spans="1:12" ht="15.95" customHeight="1" x14ac:dyDescent="0.2">
      <c r="A63" s="1"/>
      <c r="B63" s="1"/>
      <c r="C63" s="1"/>
      <c r="D63" s="1"/>
      <c r="E63" s="57"/>
      <c r="F63" s="57"/>
      <c r="G63" s="57"/>
      <c r="H63" s="57"/>
      <c r="I63" s="57"/>
      <c r="J63" s="57"/>
      <c r="K63" s="57"/>
      <c r="L63" s="57"/>
    </row>
    <row r="64" spans="1:12" ht="15.95" customHeight="1" x14ac:dyDescent="0.2">
      <c r="A64" s="1"/>
      <c r="B64" s="1"/>
      <c r="C64" s="1"/>
      <c r="D64" s="1"/>
      <c r="E64" s="57"/>
      <c r="F64" s="57"/>
      <c r="G64" s="57"/>
      <c r="H64" s="57"/>
      <c r="I64" s="57"/>
      <c r="J64" s="57"/>
      <c r="K64" s="57"/>
      <c r="L64" s="57"/>
    </row>
    <row r="65" spans="1:12" ht="15.95" customHeight="1" x14ac:dyDescent="0.2">
      <c r="A65" s="1"/>
      <c r="B65" s="1"/>
      <c r="C65" s="1"/>
      <c r="D65" s="1"/>
      <c r="E65" s="57"/>
      <c r="F65" s="57"/>
      <c r="G65" s="57"/>
      <c r="H65" s="57"/>
      <c r="I65" s="57"/>
      <c r="J65" s="57"/>
      <c r="K65" s="57"/>
      <c r="L65" s="57"/>
    </row>
    <row r="66" spans="1:12" ht="15.95" customHeight="1" x14ac:dyDescent="0.2">
      <c r="A66" s="1"/>
      <c r="B66" s="1"/>
      <c r="C66" s="1"/>
      <c r="D66" s="1"/>
      <c r="E66" s="57"/>
      <c r="F66" s="57"/>
      <c r="G66" s="57"/>
      <c r="H66" s="57"/>
      <c r="I66" s="57"/>
      <c r="J66" s="57"/>
      <c r="K66" s="57"/>
      <c r="L66" s="57"/>
    </row>
    <row r="67" spans="1:12" ht="15.95" customHeight="1" x14ac:dyDescent="0.2">
      <c r="A67" s="1"/>
      <c r="B67" s="1"/>
      <c r="C67" s="1"/>
      <c r="D67" s="1"/>
      <c r="E67" s="57"/>
      <c r="F67" s="57"/>
      <c r="G67" s="57"/>
      <c r="H67" s="57"/>
      <c r="I67" s="57"/>
      <c r="J67" s="57"/>
      <c r="K67" s="57"/>
      <c r="L67" s="57"/>
    </row>
    <row r="68" spans="1:12" ht="15.95" customHeight="1" x14ac:dyDescent="0.2">
      <c r="A68" s="1"/>
      <c r="B68" s="1"/>
      <c r="C68" s="1"/>
      <c r="D68" s="1"/>
      <c r="E68" s="57"/>
      <c r="F68" s="57"/>
      <c r="G68" s="57"/>
      <c r="H68" s="57"/>
      <c r="I68" s="57"/>
      <c r="J68" s="57"/>
      <c r="K68" s="57"/>
      <c r="L68" s="57"/>
    </row>
    <row r="69" spans="1:12" ht="15.95" customHeight="1" x14ac:dyDescent="0.2">
      <c r="A69" s="1"/>
      <c r="B69" s="1"/>
      <c r="C69" s="1"/>
      <c r="D69" s="1"/>
      <c r="E69" s="57"/>
      <c r="F69" s="57"/>
      <c r="G69" s="57"/>
      <c r="H69" s="57"/>
      <c r="I69" s="57"/>
      <c r="J69" s="57"/>
      <c r="K69" s="57"/>
      <c r="L69" s="57"/>
    </row>
    <row r="70" spans="1:12" ht="15.95" customHeight="1" x14ac:dyDescent="0.2">
      <c r="A70" s="1"/>
      <c r="B70" s="1"/>
      <c r="C70" s="1"/>
      <c r="D70" s="1"/>
      <c r="E70" s="57"/>
      <c r="F70" s="57"/>
      <c r="G70" s="57"/>
      <c r="H70" s="57"/>
      <c r="I70" s="57"/>
      <c r="J70" s="57"/>
      <c r="K70" s="57"/>
      <c r="L70" s="57"/>
    </row>
    <row r="71" spans="1:12" ht="15.95" customHeight="1" x14ac:dyDescent="0.2">
      <c r="A71" s="1"/>
      <c r="B71" s="1"/>
      <c r="C71" s="1"/>
      <c r="D71" s="1"/>
      <c r="E71" s="57"/>
      <c r="F71" s="57"/>
      <c r="G71" s="57"/>
      <c r="H71" s="57"/>
      <c r="I71" s="57"/>
      <c r="J71" s="57"/>
      <c r="K71" s="57"/>
      <c r="L71" s="57"/>
    </row>
    <row r="72" spans="1:12" ht="15.95" customHeight="1" x14ac:dyDescent="0.2">
      <c r="A72" s="1"/>
      <c r="B72" s="1"/>
      <c r="C72" s="1"/>
      <c r="D72" s="1"/>
      <c r="E72" s="57"/>
      <c r="F72" s="57"/>
      <c r="G72" s="57"/>
      <c r="H72" s="57"/>
      <c r="I72" s="57"/>
      <c r="J72" s="57"/>
      <c r="K72" s="57"/>
      <c r="L72" s="57"/>
    </row>
    <row r="73" spans="1:12" ht="15.95" customHeight="1" x14ac:dyDescent="0.2">
      <c r="A73" s="1"/>
      <c r="B73" s="1"/>
      <c r="C73" s="1"/>
      <c r="D73" s="1"/>
      <c r="E73" s="57"/>
      <c r="F73" s="57"/>
      <c r="G73" s="57"/>
      <c r="H73" s="57"/>
      <c r="I73" s="57"/>
      <c r="J73" s="57"/>
      <c r="K73" s="57"/>
      <c r="L73" s="57"/>
    </row>
    <row r="74" spans="1:12" ht="15.95" customHeight="1" x14ac:dyDescent="0.2">
      <c r="A74" s="1"/>
      <c r="B74" s="1"/>
      <c r="C74" s="1"/>
      <c r="D74" s="1"/>
      <c r="E74" s="57"/>
      <c r="F74" s="57"/>
      <c r="G74" s="57"/>
      <c r="H74" s="57"/>
      <c r="I74" s="57"/>
      <c r="J74" s="57"/>
      <c r="K74" s="57"/>
      <c r="L74" s="57"/>
    </row>
    <row r="75" spans="1:12" ht="15.95" customHeight="1" x14ac:dyDescent="0.2">
      <c r="A75" s="1"/>
      <c r="B75" s="1"/>
      <c r="C75" s="1"/>
      <c r="D75" s="1"/>
      <c r="E75" s="57"/>
      <c r="F75" s="57"/>
      <c r="G75" s="57"/>
      <c r="H75" s="57"/>
      <c r="I75" s="57"/>
      <c r="J75" s="57"/>
      <c r="K75" s="57"/>
      <c r="L75" s="57"/>
    </row>
    <row r="76" spans="1:12" ht="15.95" customHeight="1" x14ac:dyDescent="0.2">
      <c r="A76" s="1"/>
      <c r="B76" s="1"/>
      <c r="C76" s="1"/>
      <c r="D76" s="1"/>
      <c r="E76" s="57"/>
      <c r="F76" s="57"/>
      <c r="G76" s="57"/>
      <c r="H76" s="57"/>
      <c r="I76" s="57"/>
      <c r="J76" s="57"/>
      <c r="K76" s="57"/>
      <c r="L76" s="57"/>
    </row>
    <row r="77" spans="1:12" ht="15.95" customHeight="1" x14ac:dyDescent="0.2">
      <c r="A77" s="1"/>
      <c r="B77" s="1"/>
      <c r="C77" s="1"/>
      <c r="D77" s="1"/>
      <c r="E77" s="57"/>
      <c r="F77" s="57"/>
      <c r="G77" s="57"/>
      <c r="H77" s="57"/>
      <c r="I77" s="57"/>
      <c r="J77" s="57"/>
      <c r="K77" s="57"/>
      <c r="L77" s="57"/>
    </row>
    <row r="78" spans="1:12" ht="15.95" customHeight="1" x14ac:dyDescent="0.2">
      <c r="A78" s="1"/>
      <c r="B78" s="1"/>
      <c r="C78" s="1"/>
      <c r="D78" s="1"/>
      <c r="E78" s="57"/>
      <c r="F78" s="57"/>
      <c r="G78" s="57"/>
      <c r="H78" s="57"/>
      <c r="I78" s="57"/>
      <c r="J78" s="57"/>
      <c r="K78" s="57"/>
      <c r="L78" s="57"/>
    </row>
    <row r="79" spans="1:12" ht="15.95" customHeight="1" x14ac:dyDescent="0.2">
      <c r="A79" s="1"/>
      <c r="B79" s="1"/>
      <c r="C79" s="1"/>
      <c r="D79" s="1"/>
      <c r="E79" s="57"/>
      <c r="F79" s="57"/>
      <c r="G79" s="57"/>
      <c r="H79" s="57"/>
      <c r="I79" s="57"/>
      <c r="J79" s="57"/>
      <c r="K79" s="57"/>
      <c r="L79" s="57"/>
    </row>
    <row r="80" spans="1:12" ht="15.95" customHeight="1" x14ac:dyDescent="0.2">
      <c r="A80" s="1"/>
      <c r="B80" s="1"/>
      <c r="C80" s="1"/>
      <c r="D80" s="1"/>
      <c r="E80" s="57"/>
      <c r="F80" s="57"/>
      <c r="G80" s="57"/>
      <c r="H80" s="57"/>
      <c r="I80" s="57"/>
      <c r="J80" s="57"/>
      <c r="K80" s="57"/>
      <c r="L80" s="57"/>
    </row>
    <row r="81" spans="1:12" ht="15.95" customHeight="1" x14ac:dyDescent="0.2">
      <c r="A81" s="1"/>
      <c r="B81" s="1"/>
      <c r="C81" s="1"/>
      <c r="D81" s="1"/>
      <c r="E81" s="57"/>
      <c r="F81" s="57"/>
      <c r="G81" s="57"/>
      <c r="H81" s="57"/>
      <c r="I81" s="57"/>
      <c r="J81" s="57"/>
      <c r="K81" s="57"/>
      <c r="L81" s="57"/>
    </row>
    <row r="82" spans="1:12" ht="15.95" customHeight="1" x14ac:dyDescent="0.2">
      <c r="A82" s="1"/>
      <c r="B82" s="1"/>
      <c r="C82" s="1"/>
      <c r="D82" s="1"/>
      <c r="E82" s="57"/>
      <c r="F82" s="57"/>
      <c r="G82" s="57"/>
      <c r="H82" s="57"/>
      <c r="I82" s="57"/>
      <c r="J82" s="57"/>
      <c r="K82" s="57"/>
      <c r="L82" s="57"/>
    </row>
    <row r="83" spans="1:12" ht="15.95" customHeight="1" x14ac:dyDescent="0.2">
      <c r="A83" s="1"/>
      <c r="B83" s="1"/>
      <c r="C83" s="1"/>
      <c r="D83" s="1"/>
      <c r="E83" s="57"/>
      <c r="F83" s="57"/>
      <c r="G83" s="57"/>
      <c r="H83" s="57"/>
      <c r="I83" s="57"/>
      <c r="J83" s="57"/>
      <c r="K83" s="57"/>
      <c r="L83" s="57"/>
    </row>
    <row r="84" spans="1:12" ht="15.95" customHeight="1" x14ac:dyDescent="0.2">
      <c r="A84" s="1"/>
      <c r="B84" s="1"/>
      <c r="C84" s="1"/>
      <c r="D84" s="1"/>
      <c r="E84" s="57"/>
      <c r="F84" s="57"/>
      <c r="G84" s="57"/>
      <c r="H84" s="57"/>
      <c r="I84" s="57"/>
      <c r="J84" s="57"/>
      <c r="K84" s="57"/>
      <c r="L84" s="57"/>
    </row>
    <row r="85" spans="1:12" ht="15.95" customHeight="1" x14ac:dyDescent="0.2">
      <c r="A85" s="1"/>
      <c r="B85" s="1"/>
      <c r="C85" s="1"/>
      <c r="D85" s="1"/>
      <c r="E85" s="57"/>
      <c r="F85" s="57"/>
      <c r="G85" s="57"/>
      <c r="H85" s="57"/>
      <c r="I85" s="57"/>
      <c r="J85" s="57"/>
      <c r="K85" s="57"/>
      <c r="L85" s="57"/>
    </row>
    <row r="86" spans="1:12" ht="15.95" customHeight="1" x14ac:dyDescent="0.2">
      <c r="A86" s="1"/>
      <c r="B86" s="1"/>
      <c r="C86" s="1"/>
      <c r="D86" s="1"/>
      <c r="E86" s="57"/>
      <c r="F86" s="57"/>
      <c r="G86" s="57"/>
      <c r="H86" s="57"/>
      <c r="I86" s="57"/>
      <c r="J86" s="57"/>
      <c r="K86" s="57"/>
      <c r="L86" s="57"/>
    </row>
    <row r="87" spans="1:12" ht="15.95" customHeight="1" x14ac:dyDescent="0.2">
      <c r="A87" s="1"/>
      <c r="B87" s="1"/>
      <c r="C87" s="1"/>
      <c r="D87" s="1"/>
      <c r="E87" s="57"/>
      <c r="F87" s="57"/>
      <c r="G87" s="57"/>
      <c r="H87" s="57"/>
      <c r="I87" s="57"/>
      <c r="J87" s="57"/>
      <c r="K87" s="57"/>
      <c r="L87" s="57"/>
    </row>
    <row r="88" spans="1:12" ht="15.95" customHeight="1" x14ac:dyDescent="0.2">
      <c r="A88" s="1"/>
      <c r="B88" s="1"/>
      <c r="C88" s="1"/>
      <c r="D88" s="1"/>
      <c r="E88" s="57"/>
      <c r="F88" s="57"/>
      <c r="G88" s="57"/>
      <c r="H88" s="57"/>
      <c r="I88" s="57"/>
      <c r="J88" s="57"/>
      <c r="K88" s="57"/>
      <c r="L88" s="57"/>
    </row>
    <row r="89" spans="1:12" ht="15.95" customHeight="1" x14ac:dyDescent="0.2">
      <c r="A89" s="1"/>
      <c r="B89" s="1"/>
      <c r="C89" s="1"/>
      <c r="D89" s="1"/>
      <c r="E89" s="57"/>
      <c r="F89" s="57"/>
      <c r="G89" s="57"/>
      <c r="H89" s="57"/>
      <c r="I89" s="57"/>
      <c r="J89" s="57"/>
      <c r="K89" s="57"/>
      <c r="L89" s="57"/>
    </row>
    <row r="90" spans="1:12" ht="15.95" customHeight="1" x14ac:dyDescent="0.2">
      <c r="A90" s="1"/>
      <c r="B90" s="1"/>
      <c r="C90" s="1"/>
      <c r="D90" s="1"/>
      <c r="E90" s="57"/>
      <c r="F90" s="57"/>
      <c r="G90" s="57"/>
      <c r="H90" s="57"/>
      <c r="I90" s="57"/>
      <c r="J90" s="57"/>
      <c r="K90" s="57"/>
      <c r="L90" s="57"/>
    </row>
    <row r="91" spans="1:12" ht="15.95" customHeight="1" x14ac:dyDescent="0.2">
      <c r="A91" s="1"/>
      <c r="B91" s="1"/>
      <c r="C91" s="1"/>
      <c r="D91" s="1"/>
      <c r="E91" s="57"/>
      <c r="F91" s="57"/>
      <c r="G91" s="57"/>
      <c r="H91" s="57"/>
      <c r="I91" s="57"/>
      <c r="J91" s="57"/>
      <c r="K91" s="57"/>
      <c r="L91" s="57"/>
    </row>
    <row r="92" spans="1:12" ht="15.95" customHeight="1" x14ac:dyDescent="0.2">
      <c r="A92" s="1"/>
      <c r="B92" s="1"/>
      <c r="C92" s="1"/>
      <c r="D92" s="1"/>
      <c r="E92" s="57"/>
      <c r="F92" s="57"/>
      <c r="G92" s="57"/>
      <c r="H92" s="57"/>
      <c r="I92" s="57"/>
      <c r="J92" s="57"/>
      <c r="K92" s="57"/>
      <c r="L92" s="57"/>
    </row>
    <row r="93" spans="1:12" ht="15.95" customHeight="1" x14ac:dyDescent="0.2">
      <c r="A93" s="1"/>
      <c r="B93" s="1"/>
      <c r="C93" s="1"/>
      <c r="D93" s="1"/>
      <c r="E93" s="57"/>
      <c r="F93" s="57"/>
      <c r="G93" s="57"/>
      <c r="H93" s="57"/>
      <c r="I93" s="57"/>
      <c r="J93" s="57"/>
      <c r="K93" s="57"/>
      <c r="L93" s="57"/>
    </row>
    <row r="94" spans="1:12" ht="15.95" customHeight="1" x14ac:dyDescent="0.2">
      <c r="A94" s="1"/>
      <c r="B94" s="1"/>
      <c r="C94" s="1"/>
      <c r="D94" s="1"/>
      <c r="E94" s="57"/>
      <c r="F94" s="57"/>
      <c r="G94" s="57"/>
      <c r="H94" s="57"/>
      <c r="I94" s="57"/>
      <c r="J94" s="57"/>
      <c r="K94" s="57"/>
      <c r="L94" s="57"/>
    </row>
    <row r="95" spans="1:12" ht="15.95" customHeight="1" x14ac:dyDescent="0.2">
      <c r="A95" s="1"/>
      <c r="B95" s="1"/>
      <c r="C95" s="1"/>
      <c r="D95" s="1"/>
      <c r="E95" s="57"/>
      <c r="F95" s="57"/>
      <c r="G95" s="57"/>
      <c r="H95" s="57"/>
      <c r="I95" s="57"/>
      <c r="J95" s="57"/>
      <c r="K95" s="57"/>
      <c r="L95" s="57"/>
    </row>
    <row r="96" spans="1:12" ht="15.95" customHeight="1" x14ac:dyDescent="0.2">
      <c r="A96" s="1"/>
      <c r="B96" s="1"/>
      <c r="C96" s="1"/>
      <c r="D96" s="1"/>
      <c r="E96" s="57"/>
      <c r="F96" s="57"/>
      <c r="G96" s="57"/>
      <c r="H96" s="57"/>
      <c r="I96" s="57"/>
      <c r="J96" s="57"/>
      <c r="K96" s="57"/>
      <c r="L96" s="57"/>
    </row>
    <row r="97" spans="1:12" ht="15.95" customHeight="1" x14ac:dyDescent="0.2">
      <c r="A97" s="1"/>
      <c r="B97" s="1"/>
      <c r="C97" s="1"/>
      <c r="D97" s="1"/>
      <c r="E97" s="57"/>
      <c r="F97" s="57"/>
      <c r="G97" s="57"/>
      <c r="H97" s="57"/>
      <c r="I97" s="57"/>
      <c r="J97" s="57"/>
      <c r="K97" s="57"/>
      <c r="L97" s="57"/>
    </row>
    <row r="98" spans="1:12" ht="15.95" customHeight="1" x14ac:dyDescent="0.2">
      <c r="A98" s="1"/>
      <c r="B98" s="1"/>
      <c r="C98" s="1"/>
      <c r="D98" s="1"/>
      <c r="E98" s="57"/>
      <c r="F98" s="57"/>
      <c r="G98" s="57"/>
      <c r="H98" s="57"/>
      <c r="I98" s="57"/>
      <c r="J98" s="57"/>
      <c r="K98" s="57"/>
      <c r="L98" s="57"/>
    </row>
    <row r="99" spans="1:12" ht="15.95" customHeight="1" x14ac:dyDescent="0.2">
      <c r="A99" s="1"/>
      <c r="B99" s="1"/>
      <c r="C99" s="1"/>
      <c r="D99" s="1"/>
      <c r="E99" s="57"/>
      <c r="F99" s="57"/>
      <c r="G99" s="57"/>
      <c r="H99" s="57"/>
      <c r="I99" s="57"/>
      <c r="J99" s="57"/>
      <c r="K99" s="57"/>
      <c r="L99" s="57"/>
    </row>
    <row r="100" spans="1:12" ht="15.95" customHeight="1" x14ac:dyDescent="0.2">
      <c r="A100" s="1"/>
      <c r="B100" s="1"/>
      <c r="C100" s="1"/>
      <c r="D100" s="1"/>
      <c r="E100" s="57"/>
      <c r="F100" s="57"/>
      <c r="G100" s="57"/>
      <c r="H100" s="57"/>
      <c r="I100" s="57"/>
      <c r="J100" s="57"/>
      <c r="K100" s="57"/>
      <c r="L100" s="57"/>
    </row>
    <row r="101" spans="1:12" ht="15.95" customHeight="1" x14ac:dyDescent="0.2">
      <c r="A101" s="1"/>
      <c r="B101" s="1"/>
      <c r="C101" s="1"/>
      <c r="D101" s="1"/>
      <c r="E101" s="57"/>
      <c r="F101" s="57"/>
      <c r="G101" s="57"/>
      <c r="H101" s="57"/>
      <c r="I101" s="57"/>
      <c r="J101" s="57"/>
      <c r="K101" s="57"/>
      <c r="L101" s="57"/>
    </row>
    <row r="102" spans="1:12" ht="15.95" customHeight="1" x14ac:dyDescent="0.2">
      <c r="A102" s="1"/>
      <c r="B102" s="1"/>
      <c r="C102" s="1"/>
      <c r="D102" s="1"/>
      <c r="E102" s="57"/>
      <c r="F102" s="57"/>
      <c r="G102" s="57"/>
      <c r="H102" s="57"/>
      <c r="I102" s="57"/>
      <c r="J102" s="57"/>
      <c r="K102" s="57"/>
      <c r="L102" s="57"/>
    </row>
    <row r="103" spans="1:12" ht="15.95" customHeight="1" x14ac:dyDescent="0.2">
      <c r="A103" s="1"/>
      <c r="B103" s="1"/>
      <c r="C103" s="1"/>
      <c r="D103" s="1"/>
      <c r="E103" s="57"/>
      <c r="F103" s="57"/>
      <c r="G103" s="57"/>
      <c r="H103" s="57"/>
      <c r="I103" s="57"/>
      <c r="J103" s="57"/>
      <c r="K103" s="57"/>
      <c r="L103" s="57"/>
    </row>
    <row r="104" spans="1:12" ht="15.95" customHeight="1" x14ac:dyDescent="0.2">
      <c r="A104" s="1"/>
      <c r="B104" s="1"/>
      <c r="C104" s="1"/>
      <c r="D104" s="1"/>
      <c r="E104" s="57"/>
      <c r="F104" s="57"/>
      <c r="G104" s="57"/>
      <c r="H104" s="57"/>
      <c r="I104" s="57"/>
      <c r="J104" s="57"/>
      <c r="K104" s="57"/>
      <c r="L104" s="57"/>
    </row>
    <row r="105" spans="1:12" ht="15.95" customHeight="1" x14ac:dyDescent="0.2">
      <c r="A105" s="1"/>
      <c r="B105" s="1"/>
      <c r="C105" s="1"/>
      <c r="D105" s="1"/>
      <c r="E105" s="57"/>
      <c r="F105" s="57"/>
      <c r="G105" s="57"/>
      <c r="H105" s="57"/>
      <c r="I105" s="57"/>
      <c r="J105" s="57"/>
      <c r="K105" s="57"/>
      <c r="L105" s="57"/>
    </row>
    <row r="106" spans="1:12" ht="15.95" customHeight="1" x14ac:dyDescent="0.2">
      <c r="A106" s="1"/>
      <c r="B106" s="1"/>
      <c r="C106" s="1"/>
      <c r="D106" s="1"/>
      <c r="E106" s="57"/>
      <c r="F106" s="57"/>
      <c r="G106" s="57"/>
      <c r="H106" s="57"/>
      <c r="I106" s="57"/>
      <c r="J106" s="57"/>
      <c r="K106" s="57"/>
      <c r="L106" s="57"/>
    </row>
    <row r="107" spans="1:12" ht="15.95" customHeight="1" x14ac:dyDescent="0.2">
      <c r="A107" s="1"/>
      <c r="B107" s="1"/>
      <c r="C107" s="1"/>
      <c r="D107" s="1"/>
      <c r="E107" s="57"/>
      <c r="F107" s="57"/>
      <c r="G107" s="57"/>
      <c r="H107" s="57"/>
      <c r="I107" s="57"/>
      <c r="J107" s="57"/>
      <c r="K107" s="57"/>
      <c r="L107" s="57"/>
    </row>
    <row r="108" spans="1:12" ht="15.95" customHeight="1" x14ac:dyDescent="0.2">
      <c r="A108" s="1"/>
      <c r="B108" s="1"/>
      <c r="C108" s="1"/>
      <c r="D108" s="1"/>
      <c r="E108" s="57"/>
      <c r="F108" s="57"/>
      <c r="G108" s="57"/>
      <c r="H108" s="57"/>
      <c r="I108" s="57"/>
      <c r="J108" s="57"/>
      <c r="K108" s="57"/>
      <c r="L108" s="57"/>
    </row>
    <row r="109" spans="1:12" ht="15.95" customHeight="1" x14ac:dyDescent="0.2">
      <c r="A109" s="1"/>
      <c r="B109" s="1"/>
      <c r="C109" s="1"/>
      <c r="D109" s="1"/>
      <c r="E109" s="57"/>
      <c r="F109" s="57"/>
      <c r="G109" s="57"/>
      <c r="H109" s="57"/>
      <c r="I109" s="57"/>
      <c r="J109" s="57"/>
      <c r="K109" s="57"/>
      <c r="L109" s="57"/>
    </row>
    <row r="110" spans="1:12" ht="15.95" customHeight="1" x14ac:dyDescent="0.2">
      <c r="A110" s="1"/>
      <c r="B110" s="1"/>
      <c r="C110" s="1"/>
      <c r="D110" s="1"/>
      <c r="E110" s="57"/>
      <c r="F110" s="57"/>
      <c r="G110" s="57"/>
      <c r="H110" s="57"/>
      <c r="I110" s="57"/>
      <c r="J110" s="57"/>
      <c r="K110" s="57"/>
      <c r="L110" s="57"/>
    </row>
    <row r="111" spans="1:12" ht="15.95" customHeight="1" x14ac:dyDescent="0.2">
      <c r="A111" s="1"/>
      <c r="B111" s="1"/>
      <c r="C111" s="1"/>
      <c r="D111" s="1"/>
      <c r="E111" s="57"/>
      <c r="F111" s="57"/>
      <c r="G111" s="57"/>
      <c r="H111" s="57"/>
      <c r="I111" s="57"/>
      <c r="J111" s="57"/>
      <c r="K111" s="57"/>
      <c r="L111" s="57"/>
    </row>
    <row r="112" spans="1:12" ht="15.95" customHeight="1" x14ac:dyDescent="0.2">
      <c r="A112" s="1"/>
      <c r="B112" s="1"/>
      <c r="C112" s="1"/>
      <c r="D112" s="1"/>
      <c r="E112" s="57"/>
      <c r="F112" s="57"/>
      <c r="G112" s="57"/>
      <c r="H112" s="57"/>
      <c r="I112" s="57"/>
      <c r="J112" s="57"/>
      <c r="K112" s="57"/>
      <c r="L112" s="57"/>
    </row>
    <row r="113" spans="1:12" ht="15.95" customHeight="1" x14ac:dyDescent="0.2">
      <c r="A113" s="1"/>
      <c r="B113" s="1"/>
      <c r="C113" s="1"/>
      <c r="D113" s="1"/>
      <c r="E113" s="57"/>
      <c r="F113" s="57"/>
      <c r="G113" s="57"/>
      <c r="H113" s="57"/>
      <c r="I113" s="57"/>
      <c r="J113" s="57"/>
      <c r="K113" s="57"/>
      <c r="L113" s="57"/>
    </row>
    <row r="114" spans="1:12" ht="15.95" customHeight="1" x14ac:dyDescent="0.2">
      <c r="A114" s="1"/>
      <c r="B114" s="1"/>
      <c r="C114" s="1"/>
      <c r="D114" s="1"/>
      <c r="E114" s="57"/>
      <c r="F114" s="57"/>
      <c r="G114" s="57"/>
      <c r="H114" s="57"/>
      <c r="I114" s="57"/>
      <c r="J114" s="57"/>
      <c r="K114" s="57"/>
      <c r="L114" s="57"/>
    </row>
    <row r="115" spans="1:12" ht="15.95" customHeight="1" x14ac:dyDescent="0.2">
      <c r="A115" s="1"/>
      <c r="B115" s="1"/>
      <c r="C115" s="1"/>
      <c r="D115" s="1"/>
      <c r="E115" s="57"/>
      <c r="F115" s="57"/>
      <c r="G115" s="57"/>
      <c r="H115" s="57"/>
      <c r="I115" s="57"/>
      <c r="J115" s="57"/>
      <c r="K115" s="57"/>
      <c r="L115" s="57"/>
    </row>
    <row r="116" spans="1:12" ht="15.95" customHeight="1" x14ac:dyDescent="0.2">
      <c r="A116" s="1"/>
      <c r="B116" s="1"/>
      <c r="C116" s="1"/>
      <c r="D116" s="1"/>
      <c r="E116" s="57"/>
      <c r="F116" s="57"/>
      <c r="G116" s="57"/>
      <c r="H116" s="57"/>
      <c r="I116" s="57"/>
      <c r="J116" s="57"/>
      <c r="K116" s="57"/>
      <c r="L116" s="57"/>
    </row>
    <row r="117" spans="1:12" ht="15.95" customHeight="1" x14ac:dyDescent="0.2">
      <c r="A117" s="1"/>
      <c r="B117" s="1"/>
      <c r="C117" s="1"/>
      <c r="D117" s="1"/>
      <c r="E117" s="57"/>
      <c r="F117" s="57"/>
      <c r="G117" s="57"/>
      <c r="H117" s="57"/>
      <c r="I117" s="57"/>
      <c r="J117" s="57"/>
      <c r="K117" s="57"/>
      <c r="L117" s="57"/>
    </row>
    <row r="118" spans="1:12" ht="15.95" customHeight="1" x14ac:dyDescent="0.2">
      <c r="A118" s="1"/>
      <c r="B118" s="1"/>
      <c r="C118" s="1"/>
      <c r="D118" s="1"/>
      <c r="E118" s="57"/>
      <c r="F118" s="57"/>
      <c r="G118" s="57"/>
      <c r="H118" s="57"/>
      <c r="I118" s="57"/>
      <c r="J118" s="57"/>
      <c r="K118" s="57"/>
      <c r="L118" s="57"/>
    </row>
    <row r="119" spans="1:12" ht="15.95" customHeight="1" x14ac:dyDescent="0.2">
      <c r="A119" s="1"/>
      <c r="B119" s="1"/>
      <c r="C119" s="1"/>
      <c r="D119" s="1"/>
      <c r="E119" s="57"/>
      <c r="F119" s="57"/>
      <c r="G119" s="57"/>
      <c r="H119" s="57"/>
      <c r="I119" s="57"/>
      <c r="J119" s="57"/>
      <c r="K119" s="57"/>
      <c r="L119" s="57"/>
    </row>
    <row r="120" spans="1:12" ht="15.95" customHeight="1" x14ac:dyDescent="0.2">
      <c r="A120" s="1"/>
      <c r="B120" s="1"/>
      <c r="C120" s="1"/>
      <c r="D120" s="1"/>
      <c r="E120" s="57"/>
      <c r="F120" s="57"/>
      <c r="G120" s="57"/>
      <c r="H120" s="57"/>
      <c r="I120" s="57"/>
      <c r="J120" s="57"/>
      <c r="K120" s="57"/>
      <c r="L120" s="57"/>
    </row>
    <row r="121" spans="1:12" ht="15.95" customHeight="1" x14ac:dyDescent="0.2">
      <c r="A121" s="1"/>
      <c r="B121" s="1"/>
      <c r="C121" s="1"/>
      <c r="D121" s="1"/>
      <c r="E121" s="57"/>
      <c r="F121" s="57"/>
      <c r="G121" s="57"/>
      <c r="H121" s="57"/>
      <c r="I121" s="57"/>
      <c r="J121" s="57"/>
      <c r="K121" s="57"/>
      <c r="L121" s="57"/>
    </row>
    <row r="122" spans="1:12" ht="15.95" customHeight="1" x14ac:dyDescent="0.2">
      <c r="A122" s="1"/>
      <c r="B122" s="1"/>
      <c r="C122" s="1"/>
      <c r="D122" s="1"/>
      <c r="E122" s="57"/>
      <c r="F122" s="57"/>
      <c r="G122" s="57"/>
      <c r="H122" s="57"/>
      <c r="I122" s="57"/>
      <c r="J122" s="57"/>
      <c r="K122" s="57"/>
      <c r="L122" s="57"/>
    </row>
    <row r="123" spans="1:12" ht="15.95" customHeight="1" x14ac:dyDescent="0.2">
      <c r="A123" s="1"/>
      <c r="B123" s="1"/>
      <c r="C123" s="1"/>
      <c r="D123" s="1"/>
      <c r="E123" s="57"/>
      <c r="F123" s="57"/>
      <c r="G123" s="57"/>
      <c r="H123" s="57"/>
      <c r="I123" s="57"/>
      <c r="J123" s="57"/>
      <c r="K123" s="57"/>
      <c r="L123" s="57"/>
    </row>
    <row r="124" spans="1:12" ht="15.95" customHeight="1" x14ac:dyDescent="0.2">
      <c r="A124" s="1"/>
      <c r="B124" s="1"/>
      <c r="C124" s="1"/>
      <c r="D124" s="1"/>
      <c r="E124" s="57"/>
      <c r="F124" s="57"/>
      <c r="G124" s="57"/>
      <c r="H124" s="57"/>
      <c r="I124" s="57"/>
      <c r="J124" s="57"/>
      <c r="K124" s="57"/>
      <c r="L124" s="57"/>
    </row>
    <row r="125" spans="1:12" ht="15.95" customHeight="1" x14ac:dyDescent="0.2">
      <c r="A125" s="1"/>
      <c r="B125" s="1"/>
      <c r="C125" s="1"/>
      <c r="D125" s="1"/>
      <c r="E125" s="57"/>
      <c r="F125" s="57"/>
      <c r="G125" s="57"/>
      <c r="H125" s="57"/>
      <c r="I125" s="57"/>
      <c r="J125" s="57"/>
      <c r="K125" s="57"/>
      <c r="L125" s="57"/>
    </row>
    <row r="126" spans="1:12" ht="15.95" customHeight="1" x14ac:dyDescent="0.2">
      <c r="A126" s="1"/>
      <c r="B126" s="1"/>
      <c r="C126" s="1"/>
      <c r="D126" s="1"/>
      <c r="E126" s="57"/>
      <c r="F126" s="57"/>
      <c r="G126" s="57"/>
      <c r="H126" s="57"/>
      <c r="I126" s="57"/>
      <c r="J126" s="57"/>
      <c r="K126" s="57"/>
      <c r="L126" s="57"/>
    </row>
    <row r="127" spans="1:12" ht="15.95" customHeight="1" x14ac:dyDescent="0.2">
      <c r="A127" s="1"/>
      <c r="B127" s="1"/>
      <c r="C127" s="1"/>
      <c r="D127" s="1"/>
      <c r="E127" s="57"/>
      <c r="F127" s="57"/>
      <c r="G127" s="57"/>
      <c r="H127" s="57"/>
      <c r="I127" s="57"/>
      <c r="J127" s="57"/>
      <c r="K127" s="57"/>
      <c r="L127" s="57"/>
    </row>
    <row r="128" spans="1:12" ht="15.95" customHeight="1" x14ac:dyDescent="0.2">
      <c r="A128" s="1"/>
      <c r="B128" s="1"/>
      <c r="C128" s="1"/>
      <c r="D128" s="1"/>
      <c r="E128" s="57"/>
      <c r="F128" s="57"/>
      <c r="G128" s="57"/>
      <c r="H128" s="57"/>
      <c r="I128" s="57"/>
      <c r="J128" s="57"/>
      <c r="K128" s="57"/>
      <c r="L128" s="57"/>
    </row>
    <row r="129" spans="1:12" ht="15.95" customHeight="1" x14ac:dyDescent="0.2">
      <c r="A129" s="1"/>
      <c r="B129" s="1"/>
      <c r="C129" s="1"/>
      <c r="D129" s="1"/>
      <c r="E129" s="57"/>
      <c r="F129" s="57"/>
      <c r="G129" s="57"/>
      <c r="H129" s="57"/>
      <c r="I129" s="57"/>
      <c r="J129" s="57"/>
      <c r="K129" s="57"/>
      <c r="L129" s="57"/>
    </row>
    <row r="130" spans="1:12" ht="15.95" customHeight="1" x14ac:dyDescent="0.2">
      <c r="A130" s="1"/>
      <c r="B130" s="1"/>
      <c r="C130" s="1"/>
      <c r="D130" s="1"/>
      <c r="E130" s="57"/>
      <c r="F130" s="57"/>
      <c r="G130" s="57"/>
      <c r="H130" s="57"/>
      <c r="I130" s="57"/>
      <c r="J130" s="57"/>
      <c r="K130" s="57"/>
      <c r="L130" s="57"/>
    </row>
    <row r="131" spans="1:12" ht="15.95" customHeight="1" x14ac:dyDescent="0.2">
      <c r="A131" s="1"/>
      <c r="B131" s="1"/>
      <c r="C131" s="1"/>
      <c r="D131" s="1"/>
      <c r="E131" s="57"/>
      <c r="F131" s="57"/>
      <c r="G131" s="57"/>
      <c r="H131" s="57"/>
      <c r="I131" s="57"/>
      <c r="J131" s="57"/>
      <c r="K131" s="57"/>
      <c r="L131" s="57"/>
    </row>
    <row r="132" spans="1:12" ht="15.95" customHeight="1" x14ac:dyDescent="0.2">
      <c r="A132" s="1"/>
      <c r="B132" s="1"/>
      <c r="C132" s="1"/>
      <c r="D132" s="1"/>
      <c r="E132" s="57"/>
      <c r="F132" s="57"/>
      <c r="G132" s="57"/>
      <c r="H132" s="57"/>
      <c r="I132" s="57"/>
      <c r="J132" s="57"/>
      <c r="K132" s="57"/>
      <c r="L132" s="57"/>
    </row>
    <row r="133" spans="1:12" ht="15.95" customHeight="1" x14ac:dyDescent="0.2">
      <c r="A133" s="1"/>
      <c r="B133" s="1"/>
      <c r="C133" s="1"/>
      <c r="D133" s="1"/>
      <c r="E133" s="57"/>
      <c r="F133" s="57"/>
      <c r="G133" s="57"/>
      <c r="H133" s="57"/>
      <c r="I133" s="57"/>
      <c r="J133" s="57"/>
      <c r="K133" s="57"/>
      <c r="L133" s="57"/>
    </row>
    <row r="134" spans="1:12" ht="15.95" customHeight="1" x14ac:dyDescent="0.2">
      <c r="A134" s="1"/>
      <c r="B134" s="1"/>
      <c r="C134" s="1"/>
      <c r="D134" s="1"/>
      <c r="E134" s="57"/>
      <c r="F134" s="57"/>
      <c r="G134" s="57"/>
      <c r="H134" s="57"/>
      <c r="I134" s="57"/>
      <c r="J134" s="57"/>
      <c r="K134" s="57"/>
      <c r="L134" s="57"/>
    </row>
    <row r="135" spans="1:12" ht="15.95" customHeight="1" x14ac:dyDescent="0.2">
      <c r="A135" s="1"/>
      <c r="B135" s="1"/>
      <c r="C135" s="1"/>
      <c r="D135" s="1"/>
      <c r="E135" s="57"/>
      <c r="F135" s="57"/>
      <c r="G135" s="57"/>
      <c r="H135" s="57"/>
      <c r="I135" s="57"/>
      <c r="J135" s="57"/>
      <c r="K135" s="57"/>
      <c r="L135" s="57"/>
    </row>
    <row r="136" spans="1:12" ht="15.95" customHeight="1" x14ac:dyDescent="0.2">
      <c r="A136" s="1"/>
      <c r="B136" s="1"/>
      <c r="C136" s="1"/>
      <c r="D136" s="1"/>
      <c r="E136" s="57"/>
      <c r="F136" s="57"/>
      <c r="G136" s="57"/>
      <c r="H136" s="57"/>
      <c r="I136" s="57"/>
      <c r="J136" s="57"/>
      <c r="K136" s="57"/>
      <c r="L136" s="57"/>
    </row>
    <row r="137" spans="1:12" ht="15.95" customHeight="1" x14ac:dyDescent="0.2">
      <c r="A137" s="1"/>
      <c r="B137" s="1"/>
      <c r="C137" s="1"/>
      <c r="D137" s="1"/>
      <c r="E137" s="57"/>
      <c r="F137" s="57"/>
      <c r="G137" s="57"/>
      <c r="H137" s="57"/>
      <c r="I137" s="57"/>
      <c r="J137" s="57"/>
      <c r="K137" s="57"/>
      <c r="L137" s="57"/>
    </row>
    <row r="138" spans="1:12" ht="15.95" customHeight="1" x14ac:dyDescent="0.2">
      <c r="A138" s="1"/>
      <c r="B138" s="1"/>
      <c r="C138" s="1"/>
      <c r="D138" s="1"/>
      <c r="E138" s="57"/>
      <c r="F138" s="57"/>
      <c r="G138" s="57"/>
      <c r="H138" s="57"/>
      <c r="I138" s="57"/>
      <c r="J138" s="57"/>
      <c r="K138" s="57"/>
      <c r="L138" s="57"/>
    </row>
    <row r="139" spans="1:12" ht="15.95" customHeight="1" x14ac:dyDescent="0.2">
      <c r="A139" s="1"/>
      <c r="B139" s="1"/>
      <c r="C139" s="1"/>
      <c r="D139" s="1"/>
      <c r="E139" s="57"/>
      <c r="F139" s="57"/>
      <c r="G139" s="57"/>
      <c r="H139" s="57"/>
      <c r="I139" s="57"/>
      <c r="J139" s="57"/>
      <c r="K139" s="57"/>
      <c r="L139" s="57"/>
    </row>
    <row r="140" spans="1:12" ht="15.95" customHeight="1" x14ac:dyDescent="0.2">
      <c r="A140" s="1"/>
      <c r="B140" s="1"/>
      <c r="C140" s="1"/>
      <c r="D140" s="1"/>
      <c r="E140" s="57"/>
      <c r="F140" s="57"/>
      <c r="G140" s="57"/>
      <c r="H140" s="57"/>
      <c r="I140" s="57"/>
      <c r="J140" s="57"/>
      <c r="K140" s="57"/>
      <c r="L140" s="57"/>
    </row>
    <row r="141" spans="1:12" ht="15.95" customHeight="1" x14ac:dyDescent="0.2">
      <c r="A141" s="1"/>
      <c r="B141" s="1"/>
      <c r="C141" s="1"/>
      <c r="D141" s="1"/>
      <c r="E141" s="57"/>
      <c r="F141" s="57"/>
      <c r="G141" s="57"/>
      <c r="H141" s="57"/>
      <c r="I141" s="57"/>
      <c r="J141" s="57"/>
      <c r="K141" s="57"/>
      <c r="L141" s="57"/>
    </row>
    <row r="142" spans="1:12" ht="15.95" customHeight="1" x14ac:dyDescent="0.2">
      <c r="A142" s="1"/>
      <c r="B142" s="1"/>
      <c r="C142" s="1"/>
      <c r="D142" s="1"/>
      <c r="E142" s="57"/>
      <c r="F142" s="57"/>
      <c r="G142" s="57"/>
      <c r="H142" s="57"/>
      <c r="I142" s="57"/>
      <c r="J142" s="57"/>
      <c r="K142" s="57"/>
      <c r="L142" s="57"/>
    </row>
    <row r="143" spans="1:12" ht="15.95" customHeight="1" x14ac:dyDescent="0.2">
      <c r="A143" s="1"/>
      <c r="B143" s="1"/>
      <c r="C143" s="1"/>
      <c r="D143" s="1"/>
      <c r="E143" s="57"/>
      <c r="F143" s="57"/>
      <c r="G143" s="57"/>
      <c r="H143" s="57"/>
      <c r="I143" s="57"/>
      <c r="J143" s="57"/>
      <c r="K143" s="57"/>
      <c r="L143" s="57"/>
    </row>
    <row r="144" spans="1:12" ht="15.95" customHeight="1" x14ac:dyDescent="0.2">
      <c r="A144" s="1"/>
      <c r="B144" s="1"/>
      <c r="C144" s="1"/>
      <c r="D144" s="1"/>
      <c r="E144" s="57"/>
      <c r="F144" s="57"/>
      <c r="G144" s="57"/>
      <c r="H144" s="57"/>
      <c r="I144" s="57"/>
      <c r="J144" s="57"/>
      <c r="K144" s="57"/>
      <c r="L144" s="57"/>
    </row>
    <row r="145" spans="1:12" ht="15.95" customHeight="1" x14ac:dyDescent="0.2">
      <c r="A145" s="1"/>
      <c r="B145" s="1"/>
      <c r="C145" s="1"/>
      <c r="D145" s="1"/>
      <c r="E145" s="57"/>
      <c r="F145" s="57"/>
      <c r="G145" s="57"/>
      <c r="H145" s="57"/>
      <c r="I145" s="57"/>
      <c r="J145" s="57"/>
      <c r="K145" s="57"/>
      <c r="L145" s="57"/>
    </row>
    <row r="146" spans="1:12" ht="15.95" customHeight="1" x14ac:dyDescent="0.2">
      <c r="A146" s="1"/>
      <c r="B146" s="1"/>
      <c r="C146" s="1"/>
      <c r="D146" s="1"/>
      <c r="E146" s="57"/>
      <c r="F146" s="57"/>
      <c r="G146" s="57"/>
      <c r="H146" s="57"/>
      <c r="I146" s="57"/>
      <c r="J146" s="57"/>
      <c r="K146" s="57"/>
      <c r="L146" s="57"/>
    </row>
    <row r="147" spans="1:12" ht="15.95" customHeight="1" x14ac:dyDescent="0.2">
      <c r="A147" s="1"/>
      <c r="B147" s="1"/>
      <c r="C147" s="1"/>
      <c r="D147" s="1"/>
      <c r="E147" s="57"/>
      <c r="F147" s="57"/>
      <c r="G147" s="57"/>
      <c r="H147" s="57"/>
      <c r="I147" s="57"/>
      <c r="J147" s="57"/>
      <c r="K147" s="57"/>
      <c r="L147" s="57"/>
    </row>
    <row r="148" spans="1:12" ht="15.95" customHeight="1" x14ac:dyDescent="0.2">
      <c r="A148" s="1"/>
      <c r="B148" s="1"/>
      <c r="C148" s="1"/>
      <c r="D148" s="1"/>
      <c r="E148" s="57"/>
      <c r="F148" s="57"/>
      <c r="G148" s="57"/>
      <c r="H148" s="57"/>
      <c r="I148" s="57"/>
      <c r="J148" s="57"/>
      <c r="K148" s="57"/>
      <c r="L148" s="57"/>
    </row>
    <row r="149" spans="1:12" ht="15.95" customHeight="1" x14ac:dyDescent="0.2">
      <c r="A149" s="1"/>
      <c r="B149" s="1"/>
      <c r="C149" s="1"/>
      <c r="D149" s="1"/>
      <c r="E149" s="57"/>
      <c r="F149" s="57"/>
      <c r="G149" s="57"/>
      <c r="H149" s="57"/>
      <c r="I149" s="57"/>
      <c r="J149" s="57"/>
      <c r="K149" s="57"/>
      <c r="L149" s="57"/>
    </row>
    <row r="150" spans="1:12" ht="15.95" customHeight="1" x14ac:dyDescent="0.2">
      <c r="A150" s="1"/>
      <c r="B150" s="1"/>
      <c r="C150" s="1"/>
      <c r="D150" s="1"/>
      <c r="E150" s="57"/>
      <c r="F150" s="57"/>
      <c r="G150" s="57"/>
      <c r="H150" s="57"/>
      <c r="I150" s="57"/>
      <c r="J150" s="57"/>
      <c r="K150" s="57"/>
      <c r="L150" s="57"/>
    </row>
    <row r="151" spans="1:12" ht="15.95" customHeight="1" x14ac:dyDescent="0.2">
      <c r="A151" s="1"/>
      <c r="B151" s="1"/>
      <c r="C151" s="1"/>
      <c r="D151" s="1"/>
      <c r="E151" s="57"/>
      <c r="F151" s="57"/>
      <c r="G151" s="57"/>
      <c r="H151" s="57"/>
      <c r="I151" s="57"/>
      <c r="J151" s="57"/>
      <c r="K151" s="57"/>
      <c r="L151" s="57"/>
    </row>
    <row r="152" spans="1:12" ht="15.95" customHeight="1" x14ac:dyDescent="0.2">
      <c r="A152" s="1"/>
      <c r="B152" s="1"/>
      <c r="C152" s="1"/>
      <c r="D152" s="1"/>
      <c r="E152" s="57"/>
      <c r="F152" s="57"/>
      <c r="G152" s="57"/>
      <c r="H152" s="57"/>
      <c r="I152" s="57"/>
      <c r="J152" s="57"/>
      <c r="K152" s="57"/>
      <c r="L152" s="57"/>
    </row>
    <row r="153" spans="1:12" ht="15.95" customHeight="1" x14ac:dyDescent="0.2">
      <c r="A153" s="1"/>
      <c r="B153" s="1"/>
      <c r="C153" s="1"/>
      <c r="D153" s="1"/>
      <c r="E153" s="57"/>
      <c r="F153" s="57"/>
      <c r="G153" s="57"/>
      <c r="H153" s="57"/>
      <c r="I153" s="57"/>
      <c r="J153" s="57"/>
      <c r="K153" s="57"/>
      <c r="L153" s="57"/>
    </row>
    <row r="154" spans="1:12" ht="15.95" customHeight="1" x14ac:dyDescent="0.2">
      <c r="A154" s="1"/>
      <c r="B154" s="1"/>
      <c r="C154" s="1"/>
      <c r="D154" s="1"/>
      <c r="E154" s="57"/>
      <c r="F154" s="57"/>
      <c r="G154" s="57"/>
      <c r="H154" s="57"/>
      <c r="I154" s="57"/>
      <c r="J154" s="57"/>
      <c r="K154" s="57"/>
      <c r="L154" s="57"/>
    </row>
    <row r="155" spans="1:12" ht="15.95" customHeight="1" x14ac:dyDescent="0.2">
      <c r="A155" s="1"/>
      <c r="B155" s="1"/>
      <c r="C155" s="1"/>
      <c r="D155" s="1"/>
      <c r="E155" s="57"/>
      <c r="F155" s="57"/>
      <c r="G155" s="57"/>
      <c r="H155" s="57"/>
      <c r="I155" s="57"/>
      <c r="J155" s="57"/>
      <c r="K155" s="57"/>
      <c r="L155" s="57"/>
    </row>
    <row r="156" spans="1:12" ht="15.95" customHeight="1" x14ac:dyDescent="0.2">
      <c r="A156" s="1"/>
      <c r="B156" s="1"/>
      <c r="C156" s="1"/>
      <c r="D156" s="1"/>
      <c r="E156" s="57"/>
      <c r="F156" s="57"/>
      <c r="G156" s="57"/>
      <c r="H156" s="57"/>
      <c r="I156" s="57"/>
      <c r="J156" s="57"/>
      <c r="K156" s="57"/>
      <c r="L156" s="57"/>
    </row>
    <row r="157" spans="1:12" ht="15.95" customHeight="1" x14ac:dyDescent="0.2">
      <c r="A157" s="1"/>
      <c r="B157" s="1"/>
      <c r="C157" s="1"/>
      <c r="D157" s="1"/>
      <c r="E157" s="57"/>
      <c r="F157" s="57"/>
      <c r="G157" s="57"/>
      <c r="H157" s="57"/>
      <c r="I157" s="57"/>
      <c r="J157" s="57"/>
      <c r="K157" s="57"/>
      <c r="L157" s="57"/>
    </row>
    <row r="158" spans="1:12" ht="15.95" customHeight="1" x14ac:dyDescent="0.2">
      <c r="A158" s="1"/>
      <c r="B158" s="1"/>
      <c r="C158" s="1"/>
      <c r="D158" s="1"/>
      <c r="E158" s="57"/>
      <c r="F158" s="57"/>
      <c r="G158" s="57"/>
      <c r="H158" s="57"/>
      <c r="I158" s="57"/>
      <c r="J158" s="57"/>
      <c r="K158" s="57"/>
      <c r="L158" s="57"/>
    </row>
    <row r="159" spans="1:12" ht="15.95" customHeight="1" x14ac:dyDescent="0.2">
      <c r="A159" s="1"/>
      <c r="B159" s="1"/>
      <c r="C159" s="1"/>
      <c r="D159" s="1"/>
      <c r="E159" s="57"/>
      <c r="F159" s="57"/>
      <c r="G159" s="57"/>
      <c r="H159" s="57"/>
      <c r="I159" s="57"/>
      <c r="J159" s="57"/>
      <c r="K159" s="57"/>
      <c r="L159" s="57"/>
    </row>
    <row r="160" spans="1:12" ht="15.95" customHeight="1" x14ac:dyDescent="0.2">
      <c r="A160" s="1"/>
      <c r="B160" s="1"/>
      <c r="C160" s="1"/>
      <c r="D160" s="1"/>
      <c r="E160" s="57"/>
      <c r="F160" s="57"/>
      <c r="G160" s="57"/>
      <c r="H160" s="57"/>
      <c r="I160" s="57"/>
      <c r="J160" s="57"/>
      <c r="K160" s="57"/>
      <c r="L160" s="57"/>
    </row>
    <row r="161" spans="1:12" ht="15.95" customHeight="1" x14ac:dyDescent="0.2">
      <c r="A161" s="1"/>
      <c r="B161" s="1"/>
      <c r="C161" s="1"/>
      <c r="D161" s="1"/>
      <c r="E161" s="57"/>
      <c r="F161" s="57"/>
      <c r="G161" s="57"/>
      <c r="H161" s="57"/>
      <c r="I161" s="57"/>
      <c r="J161" s="57"/>
      <c r="K161" s="57"/>
      <c r="L161" s="57"/>
    </row>
    <row r="162" spans="1:12" ht="15.95" customHeight="1" x14ac:dyDescent="0.2">
      <c r="A162" s="1"/>
      <c r="B162" s="1"/>
      <c r="C162" s="1"/>
      <c r="D162" s="1"/>
      <c r="E162" s="57"/>
      <c r="F162" s="57"/>
      <c r="G162" s="57"/>
      <c r="H162" s="57"/>
      <c r="I162" s="57"/>
      <c r="J162" s="57"/>
      <c r="K162" s="57"/>
      <c r="L162" s="57"/>
    </row>
    <row r="163" spans="1:12" ht="15.95" customHeight="1" x14ac:dyDescent="0.2">
      <c r="A163" s="1"/>
      <c r="B163" s="1"/>
      <c r="C163" s="1"/>
      <c r="D163" s="1"/>
      <c r="E163" s="57"/>
      <c r="F163" s="57"/>
      <c r="G163" s="57"/>
      <c r="H163" s="57"/>
      <c r="I163" s="57"/>
      <c r="J163" s="57"/>
      <c r="K163" s="57"/>
      <c r="L163" s="57"/>
    </row>
    <row r="164" spans="1:12" ht="15.95" customHeight="1" x14ac:dyDescent="0.2">
      <c r="A164" s="1"/>
      <c r="B164" s="1"/>
      <c r="C164" s="1"/>
      <c r="D164" s="1"/>
      <c r="E164" s="57"/>
      <c r="F164" s="57"/>
      <c r="G164" s="57"/>
      <c r="H164" s="57"/>
      <c r="I164" s="57"/>
      <c r="J164" s="57"/>
      <c r="K164" s="57"/>
      <c r="L164" s="57"/>
    </row>
    <row r="165" spans="1:12" ht="15.95" customHeight="1" x14ac:dyDescent="0.2">
      <c r="A165" s="1"/>
      <c r="B165" s="1"/>
      <c r="C165" s="1"/>
      <c r="D165" s="1"/>
      <c r="E165" s="57"/>
      <c r="F165" s="57"/>
      <c r="G165" s="57"/>
      <c r="H165" s="57"/>
      <c r="I165" s="57"/>
      <c r="J165" s="57"/>
      <c r="K165" s="57"/>
      <c r="L165" s="57"/>
    </row>
    <row r="166" spans="1:12" ht="15.95" customHeight="1" x14ac:dyDescent="0.2">
      <c r="A166" s="1"/>
      <c r="B166" s="1"/>
      <c r="C166" s="1"/>
      <c r="D166" s="1"/>
      <c r="E166" s="57"/>
      <c r="F166" s="57"/>
      <c r="G166" s="57"/>
      <c r="H166" s="57"/>
      <c r="I166" s="57"/>
      <c r="J166" s="57"/>
      <c r="K166" s="57"/>
      <c r="L166" s="57"/>
    </row>
    <row r="167" spans="1:12" ht="15.95" customHeight="1" x14ac:dyDescent="0.2">
      <c r="A167" s="1"/>
      <c r="B167" s="1"/>
      <c r="C167" s="1"/>
      <c r="D167" s="1"/>
      <c r="E167" s="57"/>
      <c r="F167" s="57"/>
      <c r="G167" s="57"/>
      <c r="H167" s="57"/>
      <c r="I167" s="57"/>
      <c r="J167" s="57"/>
      <c r="K167" s="57"/>
      <c r="L167" s="57"/>
    </row>
    <row r="168" spans="1:12" ht="15.95" customHeight="1" x14ac:dyDescent="0.2">
      <c r="A168" s="1"/>
      <c r="B168" s="1"/>
      <c r="C168" s="1"/>
      <c r="D168" s="1"/>
      <c r="E168" s="57"/>
      <c r="F168" s="57"/>
      <c r="G168" s="57"/>
      <c r="H168" s="57"/>
      <c r="I168" s="57"/>
      <c r="J168" s="57"/>
      <c r="K168" s="57"/>
      <c r="L168" s="57"/>
    </row>
    <row r="169" spans="1:12" ht="15.95" customHeight="1" x14ac:dyDescent="0.2">
      <c r="A169" s="1"/>
      <c r="B169" s="1"/>
      <c r="C169" s="1"/>
      <c r="D169" s="1"/>
      <c r="E169" s="57"/>
      <c r="F169" s="57"/>
      <c r="G169" s="57"/>
      <c r="H169" s="57"/>
      <c r="I169" s="57"/>
      <c r="J169" s="57"/>
      <c r="K169" s="57"/>
      <c r="L169" s="57"/>
    </row>
    <row r="170" spans="1:12" ht="15.95" customHeight="1" x14ac:dyDescent="0.2">
      <c r="A170" s="1"/>
      <c r="B170" s="1"/>
      <c r="C170" s="1"/>
      <c r="D170" s="1"/>
      <c r="E170" s="57"/>
      <c r="F170" s="57"/>
      <c r="G170" s="57"/>
      <c r="H170" s="57"/>
      <c r="I170" s="57"/>
      <c r="J170" s="57"/>
      <c r="K170" s="57"/>
      <c r="L170" s="57"/>
    </row>
    <row r="171" spans="1:12" ht="15.95" customHeight="1" x14ac:dyDescent="0.2">
      <c r="A171" s="1"/>
      <c r="B171" s="1"/>
      <c r="C171" s="1"/>
      <c r="D171" s="1"/>
      <c r="E171" s="57"/>
      <c r="F171" s="57"/>
      <c r="G171" s="57"/>
      <c r="H171" s="57"/>
      <c r="I171" s="57"/>
      <c r="J171" s="57"/>
      <c r="K171" s="57"/>
      <c r="L171" s="57"/>
    </row>
    <row r="172" spans="1:12" x14ac:dyDescent="0.2">
      <c r="A172" s="1"/>
      <c r="B172" s="1"/>
      <c r="C172" s="1"/>
      <c r="D172" s="1"/>
      <c r="E172" s="57"/>
      <c r="F172" s="57"/>
      <c r="G172" s="57"/>
      <c r="H172" s="57"/>
      <c r="I172" s="57"/>
      <c r="J172" s="57"/>
      <c r="K172" s="57"/>
      <c r="L172" s="57"/>
    </row>
    <row r="173" spans="1:12" x14ac:dyDescent="0.2">
      <c r="A173" s="1"/>
      <c r="B173" s="1"/>
      <c r="C173" s="1"/>
      <c r="D173" s="1"/>
      <c r="E173" s="57"/>
      <c r="F173" s="57"/>
      <c r="G173" s="57"/>
      <c r="H173" s="57"/>
      <c r="I173" s="57"/>
      <c r="J173" s="57"/>
      <c r="K173" s="57"/>
      <c r="L173" s="57"/>
    </row>
    <row r="174" spans="1:12" x14ac:dyDescent="0.2">
      <c r="A174" s="1"/>
      <c r="B174" s="1"/>
      <c r="C174" s="1"/>
      <c r="D174" s="1"/>
      <c r="E174" s="57"/>
      <c r="F174" s="57"/>
      <c r="G174" s="57"/>
      <c r="H174" s="57"/>
      <c r="I174" s="57"/>
      <c r="J174" s="57"/>
      <c r="K174" s="57"/>
      <c r="L174" s="57"/>
    </row>
    <row r="175" spans="1:12" x14ac:dyDescent="0.2">
      <c r="A175" s="1"/>
      <c r="B175" s="1"/>
      <c r="C175" s="1"/>
      <c r="D175" s="1"/>
      <c r="E175" s="57"/>
      <c r="F175" s="57"/>
      <c r="G175" s="57"/>
      <c r="H175" s="57"/>
      <c r="I175" s="57"/>
      <c r="J175" s="57"/>
      <c r="K175" s="57"/>
      <c r="L175" s="57"/>
    </row>
    <row r="176" spans="1:12" x14ac:dyDescent="0.2">
      <c r="A176" s="1"/>
      <c r="B176" s="1"/>
      <c r="C176" s="1"/>
      <c r="D176" s="1"/>
      <c r="E176" s="57"/>
      <c r="F176" s="57"/>
      <c r="G176" s="57"/>
      <c r="H176" s="57"/>
      <c r="I176" s="57"/>
      <c r="J176" s="57"/>
      <c r="K176" s="57"/>
      <c r="L176" s="57"/>
    </row>
    <row r="177" spans="1:12" x14ac:dyDescent="0.2">
      <c r="A177" s="1"/>
      <c r="B177" s="1"/>
      <c r="C177" s="1"/>
      <c r="D177" s="1"/>
      <c r="E177" s="57"/>
      <c r="F177" s="57"/>
      <c r="G177" s="57"/>
      <c r="H177" s="57"/>
      <c r="I177" s="57"/>
      <c r="J177" s="57"/>
      <c r="K177" s="57"/>
      <c r="L177" s="57"/>
    </row>
    <row r="178" spans="1:12" x14ac:dyDescent="0.2">
      <c r="A178" s="1"/>
      <c r="B178" s="1"/>
      <c r="C178" s="1"/>
      <c r="D178" s="1"/>
      <c r="E178" s="57"/>
      <c r="F178" s="57"/>
      <c r="G178" s="57"/>
      <c r="H178" s="57"/>
      <c r="I178" s="57"/>
      <c r="J178" s="57"/>
      <c r="K178" s="57"/>
      <c r="L178" s="57"/>
    </row>
    <row r="179" spans="1:12" x14ac:dyDescent="0.2">
      <c r="A179" s="1"/>
      <c r="B179" s="1"/>
      <c r="C179" s="1"/>
      <c r="D179" s="1"/>
      <c r="E179" s="57"/>
      <c r="F179" s="57"/>
      <c r="G179" s="57"/>
      <c r="H179" s="57"/>
      <c r="I179" s="57"/>
      <c r="J179" s="57"/>
      <c r="K179" s="57"/>
      <c r="L179" s="57"/>
    </row>
    <row r="180" spans="1:12" x14ac:dyDescent="0.2">
      <c r="A180" s="1"/>
      <c r="B180" s="1"/>
      <c r="C180" s="1"/>
      <c r="D180" s="1"/>
      <c r="E180" s="57"/>
      <c r="F180" s="57"/>
      <c r="G180" s="57"/>
      <c r="H180" s="57"/>
      <c r="I180" s="57"/>
      <c r="J180" s="57"/>
      <c r="K180" s="57"/>
      <c r="L180" s="57"/>
    </row>
    <row r="181" spans="1:12" x14ac:dyDescent="0.2">
      <c r="A181" s="1"/>
      <c r="B181" s="1"/>
      <c r="C181" s="1"/>
      <c r="D181" s="1"/>
      <c r="E181" s="57"/>
      <c r="F181" s="57"/>
      <c r="G181" s="57"/>
      <c r="H181" s="57"/>
      <c r="I181" s="57"/>
      <c r="J181" s="57"/>
      <c r="K181" s="57"/>
      <c r="L181" s="57"/>
    </row>
    <row r="182" spans="1:12" x14ac:dyDescent="0.2">
      <c r="A182" s="1"/>
      <c r="B182" s="1"/>
      <c r="C182" s="1"/>
      <c r="D182" s="1"/>
      <c r="E182" s="57"/>
      <c r="F182" s="57"/>
      <c r="G182" s="57"/>
      <c r="H182" s="57"/>
      <c r="I182" s="57"/>
      <c r="J182" s="57"/>
      <c r="K182" s="57"/>
      <c r="L182" s="57"/>
    </row>
    <row r="183" spans="1:12" x14ac:dyDescent="0.2">
      <c r="A183" s="1"/>
      <c r="B183" s="1"/>
      <c r="C183" s="1"/>
      <c r="D183" s="1"/>
      <c r="E183" s="57"/>
      <c r="F183" s="57"/>
      <c r="G183" s="57"/>
      <c r="H183" s="57"/>
      <c r="I183" s="57"/>
      <c r="J183" s="57"/>
      <c r="K183" s="57"/>
      <c r="L183" s="57"/>
    </row>
    <row r="184" spans="1:12" x14ac:dyDescent="0.2">
      <c r="A184" s="1"/>
      <c r="B184" s="1"/>
      <c r="C184" s="1"/>
      <c r="D184" s="1"/>
      <c r="E184" s="57"/>
      <c r="F184" s="57"/>
      <c r="G184" s="57"/>
      <c r="H184" s="57"/>
      <c r="I184" s="57"/>
      <c r="J184" s="57"/>
      <c r="K184" s="57"/>
      <c r="L184" s="57"/>
    </row>
    <row r="185" spans="1:12" x14ac:dyDescent="0.2">
      <c r="A185" s="1"/>
      <c r="B185" s="1"/>
      <c r="C185" s="1"/>
      <c r="D185" s="1"/>
      <c r="E185" s="57"/>
      <c r="F185" s="57"/>
      <c r="G185" s="57"/>
      <c r="H185" s="57"/>
      <c r="I185" s="57"/>
      <c r="J185" s="57"/>
      <c r="K185" s="57"/>
      <c r="L185" s="57"/>
    </row>
    <row r="186" spans="1:12" x14ac:dyDescent="0.2">
      <c r="A186" s="1"/>
      <c r="B186" s="1"/>
      <c r="C186" s="1"/>
      <c r="D186" s="1"/>
      <c r="E186" s="57"/>
      <c r="F186" s="57"/>
      <c r="G186" s="57"/>
      <c r="H186" s="57"/>
      <c r="I186" s="57"/>
      <c r="J186" s="57"/>
      <c r="K186" s="57"/>
      <c r="L186" s="57"/>
    </row>
    <row r="187" spans="1:12" x14ac:dyDescent="0.2">
      <c r="A187" s="1"/>
      <c r="B187" s="1"/>
      <c r="C187" s="1"/>
      <c r="D187" s="1"/>
      <c r="E187" s="57"/>
      <c r="F187" s="57"/>
      <c r="G187" s="57"/>
      <c r="H187" s="57"/>
      <c r="I187" s="57"/>
      <c r="J187" s="57"/>
      <c r="K187" s="57"/>
      <c r="L187" s="57"/>
    </row>
    <row r="188" spans="1:12" x14ac:dyDescent="0.2">
      <c r="A188" s="1"/>
      <c r="B188" s="1"/>
      <c r="C188" s="1"/>
      <c r="D188" s="1"/>
      <c r="E188" s="57"/>
      <c r="F188" s="57"/>
      <c r="G188" s="57"/>
      <c r="H188" s="57"/>
      <c r="I188" s="57"/>
      <c r="J188" s="57"/>
      <c r="K188" s="57"/>
      <c r="L188" s="57"/>
    </row>
    <row r="189" spans="1:12" x14ac:dyDescent="0.2">
      <c r="A189" s="1"/>
      <c r="B189" s="1"/>
      <c r="C189" s="1"/>
      <c r="D189" s="1"/>
      <c r="E189" s="57"/>
      <c r="F189" s="57"/>
      <c r="G189" s="57"/>
      <c r="H189" s="57"/>
      <c r="I189" s="57"/>
      <c r="J189" s="57"/>
      <c r="K189" s="57"/>
      <c r="L189" s="57"/>
    </row>
    <row r="190" spans="1:12" x14ac:dyDescent="0.2">
      <c r="A190" s="1"/>
      <c r="B190" s="1"/>
      <c r="C190" s="1"/>
      <c r="D190" s="1"/>
      <c r="E190" s="57"/>
      <c r="F190" s="57"/>
      <c r="G190" s="57"/>
      <c r="H190" s="57"/>
      <c r="I190" s="57"/>
      <c r="J190" s="57"/>
      <c r="K190" s="57"/>
      <c r="L190" s="57"/>
    </row>
    <row r="191" spans="1:12" x14ac:dyDescent="0.2">
      <c r="A191" s="1"/>
      <c r="B191" s="1"/>
      <c r="C191" s="1"/>
      <c r="D191" s="1"/>
      <c r="E191" s="57"/>
      <c r="F191" s="57"/>
      <c r="G191" s="57"/>
      <c r="H191" s="57"/>
      <c r="I191" s="57"/>
      <c r="J191" s="57"/>
      <c r="K191" s="57"/>
      <c r="L191" s="57"/>
    </row>
    <row r="192" spans="1:12" x14ac:dyDescent="0.2">
      <c r="A192" s="1"/>
      <c r="B192" s="1"/>
      <c r="C192" s="1"/>
      <c r="D192" s="1"/>
      <c r="E192" s="57"/>
      <c r="F192" s="57"/>
      <c r="G192" s="57"/>
      <c r="H192" s="57"/>
      <c r="I192" s="57"/>
      <c r="J192" s="57"/>
      <c r="K192" s="57"/>
      <c r="L192" s="57"/>
    </row>
    <row r="193" spans="1:12" x14ac:dyDescent="0.2">
      <c r="A193" s="1"/>
      <c r="B193" s="1"/>
      <c r="C193" s="1"/>
      <c r="D193" s="1"/>
      <c r="E193" s="57"/>
      <c r="F193" s="57"/>
      <c r="G193" s="57"/>
      <c r="H193" s="57"/>
      <c r="I193" s="57"/>
      <c r="J193" s="57"/>
      <c r="K193" s="57"/>
      <c r="L193" s="57"/>
    </row>
    <row r="194" spans="1:12" x14ac:dyDescent="0.2">
      <c r="A194" s="1"/>
      <c r="B194" s="1"/>
      <c r="C194" s="1"/>
      <c r="D194" s="1"/>
      <c r="E194" s="57"/>
      <c r="F194" s="57"/>
      <c r="G194" s="57"/>
      <c r="H194" s="57"/>
      <c r="I194" s="57"/>
      <c r="J194" s="57"/>
      <c r="K194" s="57"/>
      <c r="L194" s="57"/>
    </row>
    <row r="195" spans="1:12" x14ac:dyDescent="0.2">
      <c r="A195" s="1"/>
      <c r="B195" s="1"/>
      <c r="C195" s="1"/>
      <c r="D195" s="1"/>
      <c r="E195" s="57"/>
      <c r="F195" s="57"/>
      <c r="G195" s="57"/>
      <c r="H195" s="57"/>
      <c r="I195" s="57"/>
      <c r="J195" s="57"/>
      <c r="K195" s="57"/>
      <c r="L195" s="57"/>
    </row>
    <row r="196" spans="1:12" x14ac:dyDescent="0.2">
      <c r="A196" s="1"/>
      <c r="B196" s="1"/>
      <c r="C196" s="1"/>
      <c r="D196" s="1"/>
      <c r="E196" s="57"/>
      <c r="F196" s="57"/>
      <c r="G196" s="57"/>
      <c r="H196" s="57"/>
      <c r="I196" s="57"/>
      <c r="J196" s="57"/>
      <c r="K196" s="57"/>
      <c r="L196" s="57"/>
    </row>
    <row r="197" spans="1:12" x14ac:dyDescent="0.2">
      <c r="A197" s="1"/>
      <c r="B197" s="1"/>
      <c r="C197" s="1"/>
      <c r="D197" s="1"/>
      <c r="E197" s="57"/>
      <c r="F197" s="57"/>
      <c r="G197" s="57"/>
      <c r="H197" s="57"/>
      <c r="I197" s="57"/>
      <c r="J197" s="57"/>
      <c r="K197" s="57"/>
      <c r="L197" s="57"/>
    </row>
    <row r="198" spans="1:12" x14ac:dyDescent="0.2">
      <c r="A198" s="1"/>
      <c r="B198" s="1"/>
      <c r="C198" s="1"/>
      <c r="D198" s="1"/>
      <c r="E198" s="57"/>
      <c r="F198" s="57"/>
      <c r="G198" s="57"/>
      <c r="H198" s="57"/>
      <c r="I198" s="57"/>
      <c r="J198" s="57"/>
      <c r="K198" s="57"/>
      <c r="L198" s="57"/>
    </row>
    <row r="199" spans="1:12" x14ac:dyDescent="0.2">
      <c r="A199" s="1"/>
      <c r="B199" s="1"/>
      <c r="C199" s="1"/>
      <c r="D199" s="1"/>
      <c r="E199" s="57"/>
      <c r="F199" s="57"/>
      <c r="G199" s="57"/>
      <c r="H199" s="57"/>
      <c r="I199" s="57"/>
      <c r="J199" s="57"/>
      <c r="K199" s="57"/>
      <c r="L199" s="57"/>
    </row>
    <row r="200" spans="1:12" x14ac:dyDescent="0.2">
      <c r="A200" s="1"/>
      <c r="B200" s="1"/>
      <c r="C200" s="1"/>
      <c r="D200" s="1"/>
      <c r="E200" s="57"/>
      <c r="F200" s="57"/>
      <c r="G200" s="57"/>
      <c r="H200" s="57"/>
      <c r="I200" s="57"/>
      <c r="J200" s="57"/>
      <c r="K200" s="57"/>
      <c r="L200" s="57"/>
    </row>
    <row r="201" spans="1:12" x14ac:dyDescent="0.2">
      <c r="A201" s="1"/>
      <c r="B201" s="1"/>
      <c r="C201" s="1"/>
      <c r="D201" s="1"/>
      <c r="E201" s="57"/>
      <c r="F201" s="57"/>
      <c r="G201" s="57"/>
      <c r="H201" s="57"/>
      <c r="I201" s="57"/>
      <c r="J201" s="57"/>
      <c r="K201" s="57"/>
      <c r="L201" s="57"/>
    </row>
    <row r="202" spans="1:12" x14ac:dyDescent="0.2">
      <c r="A202" s="1"/>
      <c r="B202" s="1"/>
      <c r="C202" s="1"/>
      <c r="D202" s="1"/>
      <c r="E202" s="57"/>
      <c r="F202" s="57"/>
      <c r="G202" s="57"/>
      <c r="H202" s="57"/>
      <c r="I202" s="57"/>
      <c r="J202" s="57"/>
      <c r="K202" s="57"/>
      <c r="L202" s="57"/>
    </row>
    <row r="203" spans="1:12" x14ac:dyDescent="0.2">
      <c r="A203" s="1"/>
      <c r="B203" s="1"/>
      <c r="C203" s="1"/>
      <c r="D203" s="1"/>
      <c r="E203" s="57"/>
      <c r="F203" s="57"/>
      <c r="G203" s="57"/>
      <c r="H203" s="57"/>
      <c r="I203" s="57"/>
      <c r="J203" s="57"/>
      <c r="K203" s="57"/>
      <c r="L203" s="57"/>
    </row>
    <row r="204" spans="1:12" x14ac:dyDescent="0.2">
      <c r="A204" s="1"/>
      <c r="B204" s="1"/>
      <c r="C204" s="1"/>
      <c r="D204" s="1"/>
      <c r="E204" s="57"/>
      <c r="F204" s="57"/>
      <c r="G204" s="57"/>
      <c r="H204" s="57"/>
      <c r="I204" s="57"/>
      <c r="J204" s="57"/>
      <c r="K204" s="57"/>
      <c r="L204" s="57"/>
    </row>
    <row r="205" spans="1:12" x14ac:dyDescent="0.2">
      <c r="A205" s="1"/>
      <c r="B205" s="1"/>
      <c r="C205" s="1"/>
      <c r="D205" s="1"/>
      <c r="E205" s="57"/>
      <c r="F205" s="57"/>
      <c r="G205" s="57"/>
      <c r="H205" s="57"/>
      <c r="I205" s="57"/>
      <c r="J205" s="57"/>
      <c r="K205" s="57"/>
      <c r="L205" s="57"/>
    </row>
    <row r="206" spans="1:12" x14ac:dyDescent="0.2">
      <c r="A206" s="1"/>
      <c r="B206" s="1"/>
      <c r="C206" s="1"/>
      <c r="D206" s="1"/>
      <c r="E206" s="57"/>
      <c r="F206" s="57"/>
      <c r="G206" s="57"/>
      <c r="H206" s="57"/>
      <c r="I206" s="57"/>
      <c r="J206" s="57"/>
      <c r="K206" s="57"/>
      <c r="L206" s="57"/>
    </row>
    <row r="207" spans="1:12" x14ac:dyDescent="0.2">
      <c r="A207" s="1"/>
      <c r="B207" s="1"/>
      <c r="C207" s="1"/>
      <c r="D207" s="1"/>
      <c r="E207" s="57"/>
      <c r="F207" s="57"/>
      <c r="G207" s="57"/>
      <c r="H207" s="57"/>
      <c r="I207" s="57"/>
      <c r="J207" s="57"/>
      <c r="K207" s="57"/>
      <c r="L207" s="57"/>
    </row>
    <row r="208" spans="1:12" x14ac:dyDescent="0.2">
      <c r="A208" s="1"/>
      <c r="B208" s="1"/>
      <c r="C208" s="1"/>
      <c r="D208" s="1"/>
      <c r="E208" s="57"/>
      <c r="F208" s="57"/>
      <c r="G208" s="57"/>
      <c r="H208" s="57"/>
      <c r="I208" s="57"/>
      <c r="J208" s="57"/>
      <c r="K208" s="57"/>
      <c r="L208" s="57"/>
    </row>
    <row r="209" spans="1:12" x14ac:dyDescent="0.2">
      <c r="A209" s="1"/>
      <c r="B209" s="1"/>
      <c r="C209" s="1"/>
      <c r="D209" s="1"/>
      <c r="E209" s="57"/>
      <c r="F209" s="57"/>
      <c r="G209" s="57"/>
      <c r="H209" s="57"/>
      <c r="I209" s="57"/>
      <c r="J209" s="57"/>
      <c r="K209" s="57"/>
      <c r="L209" s="57"/>
    </row>
    <row r="210" spans="1:12" x14ac:dyDescent="0.2">
      <c r="A210" s="1"/>
      <c r="B210" s="1"/>
      <c r="C210" s="1"/>
      <c r="D210" s="1"/>
      <c r="E210" s="57"/>
      <c r="F210" s="57"/>
      <c r="G210" s="57"/>
      <c r="H210" s="57"/>
      <c r="I210" s="57"/>
      <c r="J210" s="57"/>
      <c r="K210" s="57"/>
      <c r="L210" s="57"/>
    </row>
    <row r="211" spans="1:12" x14ac:dyDescent="0.2">
      <c r="A211" s="1"/>
      <c r="B211" s="1"/>
      <c r="C211" s="1"/>
      <c r="D211" s="1"/>
      <c r="E211" s="57"/>
      <c r="F211" s="57"/>
      <c r="G211" s="57"/>
      <c r="H211" s="57"/>
      <c r="I211" s="57"/>
      <c r="J211" s="57"/>
      <c r="K211" s="57"/>
      <c r="L211" s="57"/>
    </row>
    <row r="212" spans="1:12" x14ac:dyDescent="0.2">
      <c r="A212" s="1"/>
      <c r="B212" s="1"/>
      <c r="C212" s="1"/>
      <c r="D212" s="1"/>
      <c r="E212" s="57"/>
      <c r="F212" s="57"/>
      <c r="G212" s="57"/>
      <c r="H212" s="57"/>
      <c r="I212" s="57"/>
      <c r="J212" s="57"/>
      <c r="K212" s="57"/>
      <c r="L212" s="57"/>
    </row>
    <row r="213" spans="1:12" x14ac:dyDescent="0.2">
      <c r="A213" s="1"/>
      <c r="B213" s="1"/>
      <c r="C213" s="1"/>
      <c r="D213" s="1"/>
      <c r="E213" s="57"/>
      <c r="F213" s="57"/>
      <c r="G213" s="57"/>
      <c r="H213" s="57"/>
      <c r="I213" s="57"/>
      <c r="J213" s="57"/>
      <c r="K213" s="57"/>
      <c r="L213" s="57"/>
    </row>
    <row r="214" spans="1:12" x14ac:dyDescent="0.2">
      <c r="A214" s="1"/>
      <c r="B214" s="1"/>
      <c r="C214" s="1"/>
      <c r="D214" s="1"/>
      <c r="E214" s="57"/>
      <c r="F214" s="57"/>
      <c r="G214" s="57"/>
      <c r="H214" s="57"/>
      <c r="I214" s="57"/>
      <c r="J214" s="57"/>
      <c r="K214" s="57"/>
      <c r="L214" s="57"/>
    </row>
    <row r="215" spans="1:12" x14ac:dyDescent="0.2">
      <c r="A215" s="1"/>
      <c r="B215" s="1"/>
      <c r="C215" s="1"/>
      <c r="D215" s="1"/>
      <c r="E215" s="57"/>
      <c r="F215" s="57"/>
      <c r="G215" s="57"/>
      <c r="H215" s="57"/>
      <c r="I215" s="57"/>
      <c r="J215" s="57"/>
      <c r="K215" s="57"/>
      <c r="L215" s="57"/>
    </row>
    <row r="216" spans="1:12" x14ac:dyDescent="0.2">
      <c r="A216" s="1"/>
      <c r="B216" s="1"/>
      <c r="C216" s="1"/>
      <c r="D216" s="1"/>
      <c r="E216" s="57"/>
      <c r="F216" s="57"/>
      <c r="G216" s="57"/>
      <c r="H216" s="57"/>
      <c r="I216" s="57"/>
      <c r="J216" s="57"/>
      <c r="K216" s="57"/>
      <c r="L216" s="57"/>
    </row>
    <row r="217" spans="1:12" x14ac:dyDescent="0.2">
      <c r="A217" s="1"/>
      <c r="B217" s="1"/>
      <c r="C217" s="1"/>
      <c r="D217" s="1"/>
      <c r="E217" s="57"/>
      <c r="F217" s="57"/>
      <c r="G217" s="57"/>
      <c r="H217" s="57"/>
      <c r="I217" s="57"/>
      <c r="J217" s="57"/>
      <c r="K217" s="57"/>
      <c r="L217" s="57"/>
    </row>
    <row r="218" spans="1:12" x14ac:dyDescent="0.2">
      <c r="A218" s="1"/>
      <c r="B218" s="1"/>
      <c r="C218" s="1"/>
      <c r="D218" s="1"/>
      <c r="E218" s="57"/>
      <c r="F218" s="57"/>
      <c r="G218" s="57"/>
      <c r="H218" s="57"/>
      <c r="I218" s="57"/>
      <c r="J218" s="57"/>
      <c r="K218" s="57"/>
      <c r="L218" s="57"/>
    </row>
    <row r="219" spans="1:12" x14ac:dyDescent="0.2">
      <c r="A219" s="1"/>
      <c r="B219" s="1"/>
      <c r="C219" s="1"/>
      <c r="D219" s="1"/>
      <c r="E219" s="57"/>
      <c r="F219" s="57"/>
      <c r="G219" s="57"/>
      <c r="H219" s="57"/>
      <c r="I219" s="57"/>
      <c r="J219" s="57"/>
      <c r="K219" s="57"/>
      <c r="L219" s="57"/>
    </row>
    <row r="220" spans="1:12" x14ac:dyDescent="0.2">
      <c r="A220" s="1"/>
      <c r="B220" s="1"/>
      <c r="C220" s="1"/>
      <c r="D220" s="1"/>
      <c r="E220" s="57"/>
      <c r="F220" s="57"/>
      <c r="G220" s="57"/>
      <c r="H220" s="57"/>
      <c r="I220" s="57"/>
      <c r="J220" s="57"/>
      <c r="K220" s="57"/>
      <c r="L220" s="57"/>
    </row>
    <row r="221" spans="1:12" x14ac:dyDescent="0.2">
      <c r="A221" s="1"/>
      <c r="B221" s="1"/>
      <c r="C221" s="1"/>
      <c r="D221" s="1"/>
      <c r="E221" s="57"/>
      <c r="F221" s="57"/>
      <c r="G221" s="57"/>
      <c r="H221" s="57"/>
      <c r="I221" s="57"/>
      <c r="J221" s="57"/>
      <c r="K221" s="57"/>
      <c r="L221" s="57"/>
    </row>
    <row r="222" spans="1:12" x14ac:dyDescent="0.2">
      <c r="A222" s="1"/>
      <c r="B222" s="1"/>
      <c r="C222" s="1"/>
      <c r="D222" s="1"/>
      <c r="E222" s="57"/>
      <c r="F222" s="57"/>
      <c r="G222" s="57"/>
      <c r="H222" s="57"/>
      <c r="I222" s="57"/>
      <c r="J222" s="57"/>
      <c r="K222" s="57"/>
      <c r="L222" s="57"/>
    </row>
    <row r="223" spans="1:12" x14ac:dyDescent="0.2">
      <c r="A223" s="1"/>
      <c r="B223" s="1"/>
      <c r="C223" s="1"/>
      <c r="D223" s="1"/>
      <c r="E223" s="57"/>
      <c r="F223" s="57"/>
      <c r="G223" s="57"/>
      <c r="H223" s="57"/>
      <c r="I223" s="57"/>
      <c r="J223" s="57"/>
      <c r="K223" s="57"/>
      <c r="L223" s="57"/>
    </row>
    <row r="224" spans="1:12" x14ac:dyDescent="0.2">
      <c r="A224" s="1"/>
      <c r="B224" s="1"/>
      <c r="C224" s="1"/>
      <c r="D224" s="1"/>
      <c r="E224" s="57"/>
      <c r="F224" s="57"/>
      <c r="G224" s="57"/>
      <c r="H224" s="57"/>
      <c r="I224" s="57"/>
      <c r="J224" s="57"/>
      <c r="K224" s="57"/>
      <c r="L224" s="57"/>
    </row>
    <row r="225" spans="1:12" x14ac:dyDescent="0.2">
      <c r="A225" s="1"/>
      <c r="B225" s="1"/>
      <c r="C225" s="1"/>
      <c r="D225" s="1"/>
      <c r="E225" s="57"/>
      <c r="F225" s="57"/>
      <c r="G225" s="57"/>
      <c r="H225" s="57"/>
      <c r="I225" s="57"/>
      <c r="J225" s="57"/>
      <c r="K225" s="57"/>
      <c r="L225" s="57"/>
    </row>
    <row r="226" spans="1:12" x14ac:dyDescent="0.2">
      <c r="A226" s="1"/>
      <c r="B226" s="1"/>
      <c r="C226" s="1"/>
      <c r="D226" s="1"/>
      <c r="E226" s="57"/>
      <c r="F226" s="57"/>
      <c r="G226" s="57"/>
      <c r="H226" s="57"/>
      <c r="I226" s="57"/>
      <c r="J226" s="57"/>
      <c r="K226" s="57"/>
      <c r="L226" s="57"/>
    </row>
    <row r="227" spans="1:12" x14ac:dyDescent="0.2">
      <c r="A227" s="1"/>
      <c r="B227" s="1"/>
      <c r="C227" s="1"/>
      <c r="D227" s="1"/>
      <c r="E227" s="57"/>
      <c r="F227" s="57"/>
      <c r="G227" s="57"/>
      <c r="H227" s="57"/>
      <c r="I227" s="57"/>
      <c r="J227" s="57"/>
      <c r="K227" s="57"/>
      <c r="L227" s="57"/>
    </row>
    <row r="228" spans="1:12" x14ac:dyDescent="0.2">
      <c r="A228" s="1"/>
      <c r="B228" s="1"/>
      <c r="C228" s="1"/>
      <c r="D228" s="1"/>
      <c r="E228" s="57"/>
      <c r="F228" s="57"/>
      <c r="G228" s="57"/>
      <c r="H228" s="57"/>
      <c r="I228" s="57"/>
      <c r="J228" s="57"/>
      <c r="K228" s="57"/>
      <c r="L228" s="57"/>
    </row>
    <row r="229" spans="1:12" x14ac:dyDescent="0.2">
      <c r="A229" s="1"/>
      <c r="B229" s="1"/>
      <c r="C229" s="1"/>
      <c r="D229" s="1"/>
      <c r="E229" s="57"/>
      <c r="F229" s="57"/>
      <c r="G229" s="57"/>
      <c r="H229" s="57"/>
      <c r="I229" s="57"/>
      <c r="J229" s="57"/>
      <c r="K229" s="57"/>
      <c r="L229" s="57"/>
    </row>
    <row r="230" spans="1:12" x14ac:dyDescent="0.2">
      <c r="A230" s="1"/>
      <c r="B230" s="1"/>
      <c r="C230" s="1"/>
      <c r="D230" s="1"/>
      <c r="E230" s="57"/>
      <c r="F230" s="57"/>
      <c r="G230" s="57"/>
      <c r="H230" s="57"/>
      <c r="I230" s="57"/>
      <c r="J230" s="57"/>
      <c r="K230" s="57"/>
      <c r="L230" s="57"/>
    </row>
    <row r="231" spans="1:12" x14ac:dyDescent="0.2">
      <c r="A231" s="1"/>
      <c r="B231" s="1"/>
      <c r="C231" s="1"/>
      <c r="D231" s="1"/>
      <c r="E231" s="57"/>
      <c r="F231" s="57"/>
      <c r="G231" s="57"/>
      <c r="H231" s="57"/>
      <c r="I231" s="57"/>
      <c r="J231" s="57"/>
      <c r="K231" s="57"/>
      <c r="L231" s="57"/>
    </row>
    <row r="232" spans="1:12" x14ac:dyDescent="0.2">
      <c r="A232" s="1"/>
      <c r="B232" s="1"/>
      <c r="C232" s="1"/>
      <c r="D232" s="1"/>
      <c r="E232" s="57"/>
      <c r="F232" s="57"/>
      <c r="G232" s="57"/>
      <c r="H232" s="57"/>
      <c r="I232" s="57"/>
      <c r="J232" s="57"/>
      <c r="K232" s="57"/>
      <c r="L232" s="57"/>
    </row>
    <row r="233" spans="1:12" x14ac:dyDescent="0.2">
      <c r="A233" s="1"/>
      <c r="B233" s="1"/>
      <c r="C233" s="1"/>
      <c r="D233" s="1"/>
      <c r="E233" s="57"/>
      <c r="F233" s="57"/>
      <c r="G233" s="57"/>
      <c r="H233" s="57"/>
      <c r="I233" s="57"/>
      <c r="J233" s="57"/>
      <c r="K233" s="57"/>
      <c r="L233" s="57"/>
    </row>
    <row r="234" spans="1:12" x14ac:dyDescent="0.2">
      <c r="A234" s="1"/>
      <c r="B234" s="1"/>
      <c r="C234" s="1"/>
      <c r="D234" s="1"/>
      <c r="E234" s="57"/>
      <c r="F234" s="57"/>
      <c r="G234" s="57"/>
      <c r="H234" s="57"/>
      <c r="I234" s="57"/>
      <c r="J234" s="57"/>
      <c r="K234" s="57"/>
      <c r="L234" s="57"/>
    </row>
    <row r="235" spans="1:12" x14ac:dyDescent="0.2">
      <c r="A235" s="1"/>
      <c r="B235" s="1"/>
      <c r="C235" s="1"/>
      <c r="D235" s="1"/>
      <c r="E235" s="57"/>
      <c r="F235" s="57"/>
      <c r="G235" s="57"/>
      <c r="H235" s="57"/>
      <c r="I235" s="57"/>
      <c r="J235" s="57"/>
      <c r="K235" s="57"/>
      <c r="L235" s="57"/>
    </row>
    <row r="236" spans="1:12" x14ac:dyDescent="0.2">
      <c r="A236" s="1"/>
      <c r="B236" s="1"/>
      <c r="C236" s="1"/>
      <c r="D236" s="1"/>
      <c r="E236" s="57"/>
      <c r="F236" s="57"/>
      <c r="G236" s="57"/>
      <c r="H236" s="57"/>
      <c r="I236" s="57"/>
      <c r="J236" s="57"/>
      <c r="K236" s="57"/>
      <c r="L236" s="57"/>
    </row>
    <row r="237" spans="1:12" x14ac:dyDescent="0.2">
      <c r="A237" s="1"/>
      <c r="B237" s="1"/>
      <c r="C237" s="1"/>
      <c r="D237" s="1"/>
      <c r="E237" s="57"/>
      <c r="F237" s="57"/>
      <c r="G237" s="57"/>
      <c r="H237" s="57"/>
      <c r="I237" s="57"/>
      <c r="J237" s="57"/>
      <c r="K237" s="57"/>
      <c r="L237" s="57"/>
    </row>
    <row r="238" spans="1:12" x14ac:dyDescent="0.2">
      <c r="A238" s="1"/>
      <c r="B238" s="1"/>
      <c r="C238" s="1"/>
      <c r="D238" s="1"/>
      <c r="E238" s="57"/>
      <c r="F238" s="57"/>
      <c r="G238" s="57"/>
      <c r="H238" s="57"/>
      <c r="I238" s="57"/>
      <c r="J238" s="57"/>
      <c r="K238" s="57"/>
      <c r="L238" s="57"/>
    </row>
    <row r="239" spans="1:12" x14ac:dyDescent="0.2">
      <c r="A239" s="1"/>
      <c r="B239" s="1"/>
      <c r="C239" s="1"/>
      <c r="D239" s="1"/>
      <c r="E239" s="57"/>
      <c r="F239" s="57"/>
      <c r="G239" s="57"/>
      <c r="H239" s="57"/>
      <c r="I239" s="57"/>
      <c r="J239" s="57"/>
      <c r="K239" s="57"/>
      <c r="L239" s="57"/>
    </row>
    <row r="240" spans="1:12" x14ac:dyDescent="0.2">
      <c r="A240" s="1"/>
      <c r="B240" s="1"/>
      <c r="C240" s="1"/>
      <c r="D240" s="1"/>
      <c r="E240" s="57"/>
      <c r="F240" s="57"/>
      <c r="G240" s="57"/>
      <c r="H240" s="57"/>
      <c r="I240" s="57"/>
      <c r="J240" s="57"/>
      <c r="K240" s="57"/>
      <c r="L240" s="57"/>
    </row>
    <row r="241" spans="1:12" x14ac:dyDescent="0.2">
      <c r="A241" s="1"/>
      <c r="B241" s="1"/>
      <c r="C241" s="1"/>
      <c r="D241" s="1"/>
      <c r="E241" s="57"/>
      <c r="F241" s="57"/>
      <c r="G241" s="57"/>
      <c r="H241" s="57"/>
      <c r="I241" s="57"/>
      <c r="J241" s="57"/>
      <c r="K241" s="57"/>
      <c r="L241" s="57"/>
    </row>
    <row r="242" spans="1:12" x14ac:dyDescent="0.2">
      <c r="A242" s="1"/>
      <c r="B242" s="1"/>
      <c r="C242" s="1"/>
      <c r="D242" s="1"/>
      <c r="E242" s="57"/>
      <c r="F242" s="57"/>
      <c r="G242" s="57"/>
      <c r="H242" s="57"/>
      <c r="I242" s="57"/>
      <c r="J242" s="57"/>
      <c r="K242" s="57"/>
      <c r="L242" s="57"/>
    </row>
    <row r="243" spans="1:12" x14ac:dyDescent="0.2">
      <c r="A243" s="1"/>
      <c r="B243" s="1"/>
      <c r="C243" s="1"/>
      <c r="D243" s="1"/>
      <c r="E243" s="57"/>
      <c r="F243" s="57"/>
      <c r="G243" s="57"/>
      <c r="H243" s="57"/>
      <c r="I243" s="57"/>
      <c r="J243" s="57"/>
      <c r="K243" s="57"/>
      <c r="L243" s="57"/>
    </row>
    <row r="244" spans="1:12" x14ac:dyDescent="0.2">
      <c r="A244" s="1"/>
      <c r="B244" s="1"/>
      <c r="C244" s="1"/>
      <c r="D244" s="1"/>
      <c r="E244" s="57"/>
      <c r="F244" s="57"/>
      <c r="G244" s="57"/>
      <c r="H244" s="57"/>
      <c r="I244" s="57"/>
      <c r="J244" s="57"/>
      <c r="K244" s="57"/>
      <c r="L244" s="57"/>
    </row>
    <row r="245" spans="1:12" x14ac:dyDescent="0.2">
      <c r="A245" s="1"/>
      <c r="B245" s="1"/>
      <c r="C245" s="1"/>
      <c r="D245" s="1"/>
      <c r="E245" s="57"/>
      <c r="F245" s="57"/>
      <c r="G245" s="57"/>
      <c r="H245" s="57"/>
      <c r="I245" s="57"/>
      <c r="J245" s="57"/>
      <c r="K245" s="57"/>
      <c r="L245" s="57"/>
    </row>
    <row r="246" spans="1:12" x14ac:dyDescent="0.2">
      <c r="A246" s="1"/>
      <c r="B246" s="1"/>
      <c r="C246" s="1"/>
      <c r="D246" s="1"/>
      <c r="E246" s="57"/>
      <c r="F246" s="57"/>
      <c r="G246" s="57"/>
      <c r="H246" s="57"/>
      <c r="I246" s="57"/>
      <c r="J246" s="57"/>
      <c r="K246" s="57"/>
      <c r="L246" s="57"/>
    </row>
    <row r="247" spans="1:12" x14ac:dyDescent="0.2">
      <c r="A247" s="1"/>
      <c r="B247" s="1"/>
      <c r="C247" s="1"/>
      <c r="D247" s="1"/>
      <c r="E247" s="57"/>
      <c r="F247" s="57"/>
      <c r="G247" s="57"/>
      <c r="H247" s="57"/>
      <c r="I247" s="57"/>
      <c r="J247" s="57"/>
      <c r="K247" s="57"/>
      <c r="L247" s="57"/>
    </row>
    <row r="248" spans="1:12" x14ac:dyDescent="0.2">
      <c r="A248" s="1"/>
      <c r="B248" s="1"/>
      <c r="C248" s="1"/>
      <c r="D248" s="1"/>
      <c r="E248" s="57"/>
      <c r="F248" s="57"/>
      <c r="G248" s="57"/>
      <c r="H248" s="57"/>
      <c r="I248" s="57"/>
      <c r="J248" s="57"/>
      <c r="K248" s="57"/>
      <c r="L248" s="57"/>
    </row>
    <row r="249" spans="1:12" x14ac:dyDescent="0.2">
      <c r="A249" s="1"/>
      <c r="B249" s="1"/>
      <c r="C249" s="1"/>
      <c r="D249" s="1"/>
      <c r="E249" s="57"/>
      <c r="F249" s="57"/>
      <c r="G249" s="57"/>
      <c r="H249" s="57"/>
      <c r="I249" s="57"/>
      <c r="J249" s="57"/>
      <c r="K249" s="57"/>
      <c r="L249" s="57"/>
    </row>
    <row r="250" spans="1:12" x14ac:dyDescent="0.2">
      <c r="A250" s="1"/>
      <c r="B250" s="1"/>
      <c r="C250" s="1"/>
      <c r="D250" s="1"/>
      <c r="E250" s="57"/>
      <c r="F250" s="57"/>
      <c r="G250" s="57"/>
      <c r="H250" s="57"/>
      <c r="I250" s="57"/>
      <c r="J250" s="57"/>
      <c r="K250" s="57"/>
      <c r="L250" s="57"/>
    </row>
    <row r="251" spans="1:12" x14ac:dyDescent="0.2">
      <c r="A251" s="1"/>
      <c r="B251" s="1"/>
      <c r="C251" s="1"/>
      <c r="D251" s="1"/>
      <c r="E251" s="57"/>
      <c r="F251" s="57"/>
      <c r="G251" s="57"/>
      <c r="H251" s="57"/>
      <c r="I251" s="57"/>
      <c r="J251" s="57"/>
      <c r="K251" s="57"/>
      <c r="L251" s="57"/>
    </row>
    <row r="252" spans="1:12" x14ac:dyDescent="0.2">
      <c r="A252" s="1"/>
      <c r="B252" s="1"/>
      <c r="C252" s="1"/>
      <c r="D252" s="1"/>
      <c r="E252" s="57"/>
      <c r="F252" s="57"/>
      <c r="G252" s="57"/>
      <c r="H252" s="57"/>
      <c r="I252" s="57"/>
      <c r="J252" s="57"/>
      <c r="K252" s="57"/>
      <c r="L252" s="57"/>
    </row>
    <row r="253" spans="1:12" x14ac:dyDescent="0.2">
      <c r="A253" s="1"/>
      <c r="B253" s="1"/>
      <c r="C253" s="1"/>
      <c r="D253" s="1"/>
      <c r="E253" s="57"/>
      <c r="F253" s="57"/>
      <c r="G253" s="57"/>
      <c r="H253" s="57"/>
      <c r="I253" s="57"/>
      <c r="J253" s="57"/>
      <c r="K253" s="57"/>
      <c r="L253" s="57"/>
    </row>
  </sheetData>
  <mergeCells count="6">
    <mergeCell ref="A32:D32"/>
    <mergeCell ref="A1:D1"/>
    <mergeCell ref="B3:D3"/>
    <mergeCell ref="B5:D5"/>
    <mergeCell ref="A20:D20"/>
    <mergeCell ref="A29:D29"/>
  </mergeCells>
  <printOptions horizontalCentered="1" verticalCentered="1"/>
  <pageMargins left="0.51181102362204722" right="0.51181102362204722" top="0.98425196850393704" bottom="0.78740157480314965" header="0.31496062992125984" footer="0.31496062992125984"/>
  <pageSetup paperSize="9" orientation="portrait" r:id="rId1"/>
  <headerFooter>
    <oddHeader>&amp;L&amp;G&amp;R
&amp;G</oddHeader>
    <oddFooter>&amp;C&amp;K03+000
Rua Nilton Baldo, 744 – Bairro Jardim Paquetá - CEP 31.330-660 – Belo Horizonte / Minas Gerais.
Endereço Eletrônico: ottawaeng@terra.com.br – Telefax (31) 3418-2175 – CNPJ: 04.472.311/0001-04</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3"/>
  <sheetViews>
    <sheetView view="pageBreakPreview" zoomScaleNormal="100" zoomScaleSheetLayoutView="100" workbookViewId="0">
      <selection activeCell="B7" sqref="B7"/>
    </sheetView>
  </sheetViews>
  <sheetFormatPr defaultRowHeight="14.25" x14ac:dyDescent="0.2"/>
  <cols>
    <col min="1" max="1" width="12.85546875" style="2" customWidth="1"/>
    <col min="2" max="2" width="43.7109375" style="2" customWidth="1"/>
    <col min="3" max="3" width="15.140625" style="2" customWidth="1"/>
    <col min="4" max="4" width="22.28515625" style="53" customWidth="1"/>
    <col min="5" max="5" width="21" style="1" customWidth="1"/>
    <col min="6" max="6" width="5.85546875" style="1" customWidth="1"/>
    <col min="7" max="7" width="16.28515625" style="1" customWidth="1"/>
    <col min="8" max="256" width="9.140625" style="1"/>
    <col min="257" max="257" width="12.85546875" style="1" customWidth="1"/>
    <col min="258" max="258" width="43.7109375" style="1" customWidth="1"/>
    <col min="259" max="259" width="15.140625" style="1" customWidth="1"/>
    <col min="260" max="260" width="20.42578125" style="1" customWidth="1"/>
    <col min="261" max="261" width="21" style="1" customWidth="1"/>
    <col min="262" max="262" width="5.85546875" style="1" customWidth="1"/>
    <col min="263" max="263" width="16.28515625" style="1" customWidth="1"/>
    <col min="264" max="512" width="9.140625" style="1"/>
    <col min="513" max="513" width="12.85546875" style="1" customWidth="1"/>
    <col min="514" max="514" width="43.7109375" style="1" customWidth="1"/>
    <col min="515" max="515" width="15.140625" style="1" customWidth="1"/>
    <col min="516" max="516" width="20.42578125" style="1" customWidth="1"/>
    <col min="517" max="517" width="21" style="1" customWidth="1"/>
    <col min="518" max="518" width="5.85546875" style="1" customWidth="1"/>
    <col min="519" max="519" width="16.28515625" style="1" customWidth="1"/>
    <col min="520" max="768" width="9.140625" style="1"/>
    <col min="769" max="769" width="12.85546875" style="1" customWidth="1"/>
    <col min="770" max="770" width="43.7109375" style="1" customWidth="1"/>
    <col min="771" max="771" width="15.140625" style="1" customWidth="1"/>
    <col min="772" max="772" width="20.42578125" style="1" customWidth="1"/>
    <col min="773" max="773" width="21" style="1" customWidth="1"/>
    <col min="774" max="774" width="5.85546875" style="1" customWidth="1"/>
    <col min="775" max="775" width="16.28515625" style="1" customWidth="1"/>
    <col min="776" max="1024" width="9.140625" style="1"/>
    <col min="1025" max="1025" width="12.85546875" style="1" customWidth="1"/>
    <col min="1026" max="1026" width="43.7109375" style="1" customWidth="1"/>
    <col min="1027" max="1027" width="15.140625" style="1" customWidth="1"/>
    <col min="1028" max="1028" width="20.42578125" style="1" customWidth="1"/>
    <col min="1029" max="1029" width="21" style="1" customWidth="1"/>
    <col min="1030" max="1030" width="5.85546875" style="1" customWidth="1"/>
    <col min="1031" max="1031" width="16.28515625" style="1" customWidth="1"/>
    <col min="1032" max="1280" width="9.140625" style="1"/>
    <col min="1281" max="1281" width="12.85546875" style="1" customWidth="1"/>
    <col min="1282" max="1282" width="43.7109375" style="1" customWidth="1"/>
    <col min="1283" max="1283" width="15.140625" style="1" customWidth="1"/>
    <col min="1284" max="1284" width="20.42578125" style="1" customWidth="1"/>
    <col min="1285" max="1285" width="21" style="1" customWidth="1"/>
    <col min="1286" max="1286" width="5.85546875" style="1" customWidth="1"/>
    <col min="1287" max="1287" width="16.28515625" style="1" customWidth="1"/>
    <col min="1288" max="1536" width="9.140625" style="1"/>
    <col min="1537" max="1537" width="12.85546875" style="1" customWidth="1"/>
    <col min="1538" max="1538" width="43.7109375" style="1" customWidth="1"/>
    <col min="1539" max="1539" width="15.140625" style="1" customWidth="1"/>
    <col min="1540" max="1540" width="20.42578125" style="1" customWidth="1"/>
    <col min="1541" max="1541" width="21" style="1" customWidth="1"/>
    <col min="1542" max="1542" width="5.85546875" style="1" customWidth="1"/>
    <col min="1543" max="1543" width="16.28515625" style="1" customWidth="1"/>
    <col min="1544" max="1792" width="9.140625" style="1"/>
    <col min="1793" max="1793" width="12.85546875" style="1" customWidth="1"/>
    <col min="1794" max="1794" width="43.7109375" style="1" customWidth="1"/>
    <col min="1795" max="1795" width="15.140625" style="1" customWidth="1"/>
    <col min="1796" max="1796" width="20.42578125" style="1" customWidth="1"/>
    <col min="1797" max="1797" width="21" style="1" customWidth="1"/>
    <col min="1798" max="1798" width="5.85546875" style="1" customWidth="1"/>
    <col min="1799" max="1799" width="16.28515625" style="1" customWidth="1"/>
    <col min="1800" max="2048" width="9.140625" style="1"/>
    <col min="2049" max="2049" width="12.85546875" style="1" customWidth="1"/>
    <col min="2050" max="2050" width="43.7109375" style="1" customWidth="1"/>
    <col min="2051" max="2051" width="15.140625" style="1" customWidth="1"/>
    <col min="2052" max="2052" width="20.42578125" style="1" customWidth="1"/>
    <col min="2053" max="2053" width="21" style="1" customWidth="1"/>
    <col min="2054" max="2054" width="5.85546875" style="1" customWidth="1"/>
    <col min="2055" max="2055" width="16.28515625" style="1" customWidth="1"/>
    <col min="2056" max="2304" width="9.140625" style="1"/>
    <col min="2305" max="2305" width="12.85546875" style="1" customWidth="1"/>
    <col min="2306" max="2306" width="43.7109375" style="1" customWidth="1"/>
    <col min="2307" max="2307" width="15.140625" style="1" customWidth="1"/>
    <col min="2308" max="2308" width="20.42578125" style="1" customWidth="1"/>
    <col min="2309" max="2309" width="21" style="1" customWidth="1"/>
    <col min="2310" max="2310" width="5.85546875" style="1" customWidth="1"/>
    <col min="2311" max="2311" width="16.28515625" style="1" customWidth="1"/>
    <col min="2312" max="2560" width="9.140625" style="1"/>
    <col min="2561" max="2561" width="12.85546875" style="1" customWidth="1"/>
    <col min="2562" max="2562" width="43.7109375" style="1" customWidth="1"/>
    <col min="2563" max="2563" width="15.140625" style="1" customWidth="1"/>
    <col min="2564" max="2564" width="20.42578125" style="1" customWidth="1"/>
    <col min="2565" max="2565" width="21" style="1" customWidth="1"/>
    <col min="2566" max="2566" width="5.85546875" style="1" customWidth="1"/>
    <col min="2567" max="2567" width="16.28515625" style="1" customWidth="1"/>
    <col min="2568" max="2816" width="9.140625" style="1"/>
    <col min="2817" max="2817" width="12.85546875" style="1" customWidth="1"/>
    <col min="2818" max="2818" width="43.7109375" style="1" customWidth="1"/>
    <col min="2819" max="2819" width="15.140625" style="1" customWidth="1"/>
    <col min="2820" max="2820" width="20.42578125" style="1" customWidth="1"/>
    <col min="2821" max="2821" width="21" style="1" customWidth="1"/>
    <col min="2822" max="2822" width="5.85546875" style="1" customWidth="1"/>
    <col min="2823" max="2823" width="16.28515625" style="1" customWidth="1"/>
    <col min="2824" max="3072" width="9.140625" style="1"/>
    <col min="3073" max="3073" width="12.85546875" style="1" customWidth="1"/>
    <col min="3074" max="3074" width="43.7109375" style="1" customWidth="1"/>
    <col min="3075" max="3075" width="15.140625" style="1" customWidth="1"/>
    <col min="3076" max="3076" width="20.42578125" style="1" customWidth="1"/>
    <col min="3077" max="3077" width="21" style="1" customWidth="1"/>
    <col min="3078" max="3078" width="5.85546875" style="1" customWidth="1"/>
    <col min="3079" max="3079" width="16.28515625" style="1" customWidth="1"/>
    <col min="3080" max="3328" width="9.140625" style="1"/>
    <col min="3329" max="3329" width="12.85546875" style="1" customWidth="1"/>
    <col min="3330" max="3330" width="43.7109375" style="1" customWidth="1"/>
    <col min="3331" max="3331" width="15.140625" style="1" customWidth="1"/>
    <col min="3332" max="3332" width="20.42578125" style="1" customWidth="1"/>
    <col min="3333" max="3333" width="21" style="1" customWidth="1"/>
    <col min="3334" max="3334" width="5.85546875" style="1" customWidth="1"/>
    <col min="3335" max="3335" width="16.28515625" style="1" customWidth="1"/>
    <col min="3336" max="3584" width="9.140625" style="1"/>
    <col min="3585" max="3585" width="12.85546875" style="1" customWidth="1"/>
    <col min="3586" max="3586" width="43.7109375" style="1" customWidth="1"/>
    <col min="3587" max="3587" width="15.140625" style="1" customWidth="1"/>
    <col min="3588" max="3588" width="20.42578125" style="1" customWidth="1"/>
    <col min="3589" max="3589" width="21" style="1" customWidth="1"/>
    <col min="3590" max="3590" width="5.85546875" style="1" customWidth="1"/>
    <col min="3591" max="3591" width="16.28515625" style="1" customWidth="1"/>
    <col min="3592" max="3840" width="9.140625" style="1"/>
    <col min="3841" max="3841" width="12.85546875" style="1" customWidth="1"/>
    <col min="3842" max="3842" width="43.7109375" style="1" customWidth="1"/>
    <col min="3843" max="3843" width="15.140625" style="1" customWidth="1"/>
    <col min="3844" max="3844" width="20.42578125" style="1" customWidth="1"/>
    <col min="3845" max="3845" width="21" style="1" customWidth="1"/>
    <col min="3846" max="3846" width="5.85546875" style="1" customWidth="1"/>
    <col min="3847" max="3847" width="16.28515625" style="1" customWidth="1"/>
    <col min="3848" max="4096" width="9.140625" style="1"/>
    <col min="4097" max="4097" width="12.85546875" style="1" customWidth="1"/>
    <col min="4098" max="4098" width="43.7109375" style="1" customWidth="1"/>
    <col min="4099" max="4099" width="15.140625" style="1" customWidth="1"/>
    <col min="4100" max="4100" width="20.42578125" style="1" customWidth="1"/>
    <col min="4101" max="4101" width="21" style="1" customWidth="1"/>
    <col min="4102" max="4102" width="5.85546875" style="1" customWidth="1"/>
    <col min="4103" max="4103" width="16.28515625" style="1" customWidth="1"/>
    <col min="4104" max="4352" width="9.140625" style="1"/>
    <col min="4353" max="4353" width="12.85546875" style="1" customWidth="1"/>
    <col min="4354" max="4354" width="43.7109375" style="1" customWidth="1"/>
    <col min="4355" max="4355" width="15.140625" style="1" customWidth="1"/>
    <col min="4356" max="4356" width="20.42578125" style="1" customWidth="1"/>
    <col min="4357" max="4357" width="21" style="1" customWidth="1"/>
    <col min="4358" max="4358" width="5.85546875" style="1" customWidth="1"/>
    <col min="4359" max="4359" width="16.28515625" style="1" customWidth="1"/>
    <col min="4360" max="4608" width="9.140625" style="1"/>
    <col min="4609" max="4609" width="12.85546875" style="1" customWidth="1"/>
    <col min="4610" max="4610" width="43.7109375" style="1" customWidth="1"/>
    <col min="4611" max="4611" width="15.140625" style="1" customWidth="1"/>
    <col min="4612" max="4612" width="20.42578125" style="1" customWidth="1"/>
    <col min="4613" max="4613" width="21" style="1" customWidth="1"/>
    <col min="4614" max="4614" width="5.85546875" style="1" customWidth="1"/>
    <col min="4615" max="4615" width="16.28515625" style="1" customWidth="1"/>
    <col min="4616" max="4864" width="9.140625" style="1"/>
    <col min="4865" max="4865" width="12.85546875" style="1" customWidth="1"/>
    <col min="4866" max="4866" width="43.7109375" style="1" customWidth="1"/>
    <col min="4867" max="4867" width="15.140625" style="1" customWidth="1"/>
    <col min="4868" max="4868" width="20.42578125" style="1" customWidth="1"/>
    <col min="4869" max="4869" width="21" style="1" customWidth="1"/>
    <col min="4870" max="4870" width="5.85546875" style="1" customWidth="1"/>
    <col min="4871" max="4871" width="16.28515625" style="1" customWidth="1"/>
    <col min="4872" max="5120" width="9.140625" style="1"/>
    <col min="5121" max="5121" width="12.85546875" style="1" customWidth="1"/>
    <col min="5122" max="5122" width="43.7109375" style="1" customWidth="1"/>
    <col min="5123" max="5123" width="15.140625" style="1" customWidth="1"/>
    <col min="5124" max="5124" width="20.42578125" style="1" customWidth="1"/>
    <col min="5125" max="5125" width="21" style="1" customWidth="1"/>
    <col min="5126" max="5126" width="5.85546875" style="1" customWidth="1"/>
    <col min="5127" max="5127" width="16.28515625" style="1" customWidth="1"/>
    <col min="5128" max="5376" width="9.140625" style="1"/>
    <col min="5377" max="5377" width="12.85546875" style="1" customWidth="1"/>
    <col min="5378" max="5378" width="43.7109375" style="1" customWidth="1"/>
    <col min="5379" max="5379" width="15.140625" style="1" customWidth="1"/>
    <col min="5380" max="5380" width="20.42578125" style="1" customWidth="1"/>
    <col min="5381" max="5381" width="21" style="1" customWidth="1"/>
    <col min="5382" max="5382" width="5.85546875" style="1" customWidth="1"/>
    <col min="5383" max="5383" width="16.28515625" style="1" customWidth="1"/>
    <col min="5384" max="5632" width="9.140625" style="1"/>
    <col min="5633" max="5633" width="12.85546875" style="1" customWidth="1"/>
    <col min="5634" max="5634" width="43.7109375" style="1" customWidth="1"/>
    <col min="5635" max="5635" width="15.140625" style="1" customWidth="1"/>
    <col min="5636" max="5636" width="20.42578125" style="1" customWidth="1"/>
    <col min="5637" max="5637" width="21" style="1" customWidth="1"/>
    <col min="5638" max="5638" width="5.85546875" style="1" customWidth="1"/>
    <col min="5639" max="5639" width="16.28515625" style="1" customWidth="1"/>
    <col min="5640" max="5888" width="9.140625" style="1"/>
    <col min="5889" max="5889" width="12.85546875" style="1" customWidth="1"/>
    <col min="5890" max="5890" width="43.7109375" style="1" customWidth="1"/>
    <col min="5891" max="5891" width="15.140625" style="1" customWidth="1"/>
    <col min="5892" max="5892" width="20.42578125" style="1" customWidth="1"/>
    <col min="5893" max="5893" width="21" style="1" customWidth="1"/>
    <col min="5894" max="5894" width="5.85546875" style="1" customWidth="1"/>
    <col min="5895" max="5895" width="16.28515625" style="1" customWidth="1"/>
    <col min="5896" max="6144" width="9.140625" style="1"/>
    <col min="6145" max="6145" width="12.85546875" style="1" customWidth="1"/>
    <col min="6146" max="6146" width="43.7109375" style="1" customWidth="1"/>
    <col min="6147" max="6147" width="15.140625" style="1" customWidth="1"/>
    <col min="6148" max="6148" width="20.42578125" style="1" customWidth="1"/>
    <col min="6149" max="6149" width="21" style="1" customWidth="1"/>
    <col min="6150" max="6150" width="5.85546875" style="1" customWidth="1"/>
    <col min="6151" max="6151" width="16.28515625" style="1" customWidth="1"/>
    <col min="6152" max="6400" width="9.140625" style="1"/>
    <col min="6401" max="6401" width="12.85546875" style="1" customWidth="1"/>
    <col min="6402" max="6402" width="43.7109375" style="1" customWidth="1"/>
    <col min="6403" max="6403" width="15.140625" style="1" customWidth="1"/>
    <col min="6404" max="6404" width="20.42578125" style="1" customWidth="1"/>
    <col min="6405" max="6405" width="21" style="1" customWidth="1"/>
    <col min="6406" max="6406" width="5.85546875" style="1" customWidth="1"/>
    <col min="6407" max="6407" width="16.28515625" style="1" customWidth="1"/>
    <col min="6408" max="6656" width="9.140625" style="1"/>
    <col min="6657" max="6657" width="12.85546875" style="1" customWidth="1"/>
    <col min="6658" max="6658" width="43.7109375" style="1" customWidth="1"/>
    <col min="6659" max="6659" width="15.140625" style="1" customWidth="1"/>
    <col min="6660" max="6660" width="20.42578125" style="1" customWidth="1"/>
    <col min="6661" max="6661" width="21" style="1" customWidth="1"/>
    <col min="6662" max="6662" width="5.85546875" style="1" customWidth="1"/>
    <col min="6663" max="6663" width="16.28515625" style="1" customWidth="1"/>
    <col min="6664" max="6912" width="9.140625" style="1"/>
    <col min="6913" max="6913" width="12.85546875" style="1" customWidth="1"/>
    <col min="6914" max="6914" width="43.7109375" style="1" customWidth="1"/>
    <col min="6915" max="6915" width="15.140625" style="1" customWidth="1"/>
    <col min="6916" max="6916" width="20.42578125" style="1" customWidth="1"/>
    <col min="6917" max="6917" width="21" style="1" customWidth="1"/>
    <col min="6918" max="6918" width="5.85546875" style="1" customWidth="1"/>
    <col min="6919" max="6919" width="16.28515625" style="1" customWidth="1"/>
    <col min="6920" max="7168" width="9.140625" style="1"/>
    <col min="7169" max="7169" width="12.85546875" style="1" customWidth="1"/>
    <col min="7170" max="7170" width="43.7109375" style="1" customWidth="1"/>
    <col min="7171" max="7171" width="15.140625" style="1" customWidth="1"/>
    <col min="7172" max="7172" width="20.42578125" style="1" customWidth="1"/>
    <col min="7173" max="7173" width="21" style="1" customWidth="1"/>
    <col min="7174" max="7174" width="5.85546875" style="1" customWidth="1"/>
    <col min="7175" max="7175" width="16.28515625" style="1" customWidth="1"/>
    <col min="7176" max="7424" width="9.140625" style="1"/>
    <col min="7425" max="7425" width="12.85546875" style="1" customWidth="1"/>
    <col min="7426" max="7426" width="43.7109375" style="1" customWidth="1"/>
    <col min="7427" max="7427" width="15.140625" style="1" customWidth="1"/>
    <col min="7428" max="7428" width="20.42578125" style="1" customWidth="1"/>
    <col min="7429" max="7429" width="21" style="1" customWidth="1"/>
    <col min="7430" max="7430" width="5.85546875" style="1" customWidth="1"/>
    <col min="7431" max="7431" width="16.28515625" style="1" customWidth="1"/>
    <col min="7432" max="7680" width="9.140625" style="1"/>
    <col min="7681" max="7681" width="12.85546875" style="1" customWidth="1"/>
    <col min="7682" max="7682" width="43.7109375" style="1" customWidth="1"/>
    <col min="7683" max="7683" width="15.140625" style="1" customWidth="1"/>
    <col min="7684" max="7684" width="20.42578125" style="1" customWidth="1"/>
    <col min="7685" max="7685" width="21" style="1" customWidth="1"/>
    <col min="7686" max="7686" width="5.85546875" style="1" customWidth="1"/>
    <col min="7687" max="7687" width="16.28515625" style="1" customWidth="1"/>
    <col min="7688" max="7936" width="9.140625" style="1"/>
    <col min="7937" max="7937" width="12.85546875" style="1" customWidth="1"/>
    <col min="7938" max="7938" width="43.7109375" style="1" customWidth="1"/>
    <col min="7939" max="7939" width="15.140625" style="1" customWidth="1"/>
    <col min="7940" max="7940" width="20.42578125" style="1" customWidth="1"/>
    <col min="7941" max="7941" width="21" style="1" customWidth="1"/>
    <col min="7942" max="7942" width="5.85546875" style="1" customWidth="1"/>
    <col min="7943" max="7943" width="16.28515625" style="1" customWidth="1"/>
    <col min="7944" max="8192" width="9.140625" style="1"/>
    <col min="8193" max="8193" width="12.85546875" style="1" customWidth="1"/>
    <col min="8194" max="8194" width="43.7109375" style="1" customWidth="1"/>
    <col min="8195" max="8195" width="15.140625" style="1" customWidth="1"/>
    <col min="8196" max="8196" width="20.42578125" style="1" customWidth="1"/>
    <col min="8197" max="8197" width="21" style="1" customWidth="1"/>
    <col min="8198" max="8198" width="5.85546875" style="1" customWidth="1"/>
    <col min="8199" max="8199" width="16.28515625" style="1" customWidth="1"/>
    <col min="8200" max="8448" width="9.140625" style="1"/>
    <col min="8449" max="8449" width="12.85546875" style="1" customWidth="1"/>
    <col min="8450" max="8450" width="43.7109375" style="1" customWidth="1"/>
    <col min="8451" max="8451" width="15.140625" style="1" customWidth="1"/>
    <col min="8452" max="8452" width="20.42578125" style="1" customWidth="1"/>
    <col min="8453" max="8453" width="21" style="1" customWidth="1"/>
    <col min="8454" max="8454" width="5.85546875" style="1" customWidth="1"/>
    <col min="8455" max="8455" width="16.28515625" style="1" customWidth="1"/>
    <col min="8456" max="8704" width="9.140625" style="1"/>
    <col min="8705" max="8705" width="12.85546875" style="1" customWidth="1"/>
    <col min="8706" max="8706" width="43.7109375" style="1" customWidth="1"/>
    <col min="8707" max="8707" width="15.140625" style="1" customWidth="1"/>
    <col min="8708" max="8708" width="20.42578125" style="1" customWidth="1"/>
    <col min="8709" max="8709" width="21" style="1" customWidth="1"/>
    <col min="8710" max="8710" width="5.85546875" style="1" customWidth="1"/>
    <col min="8711" max="8711" width="16.28515625" style="1" customWidth="1"/>
    <col min="8712" max="8960" width="9.140625" style="1"/>
    <col min="8961" max="8961" width="12.85546875" style="1" customWidth="1"/>
    <col min="8962" max="8962" width="43.7109375" style="1" customWidth="1"/>
    <col min="8963" max="8963" width="15.140625" style="1" customWidth="1"/>
    <col min="8964" max="8964" width="20.42578125" style="1" customWidth="1"/>
    <col min="8965" max="8965" width="21" style="1" customWidth="1"/>
    <col min="8966" max="8966" width="5.85546875" style="1" customWidth="1"/>
    <col min="8967" max="8967" width="16.28515625" style="1" customWidth="1"/>
    <col min="8968" max="9216" width="9.140625" style="1"/>
    <col min="9217" max="9217" width="12.85546875" style="1" customWidth="1"/>
    <col min="9218" max="9218" width="43.7109375" style="1" customWidth="1"/>
    <col min="9219" max="9219" width="15.140625" style="1" customWidth="1"/>
    <col min="9220" max="9220" width="20.42578125" style="1" customWidth="1"/>
    <col min="9221" max="9221" width="21" style="1" customWidth="1"/>
    <col min="9222" max="9222" width="5.85546875" style="1" customWidth="1"/>
    <col min="9223" max="9223" width="16.28515625" style="1" customWidth="1"/>
    <col min="9224" max="9472" width="9.140625" style="1"/>
    <col min="9473" max="9473" width="12.85546875" style="1" customWidth="1"/>
    <col min="9474" max="9474" width="43.7109375" style="1" customWidth="1"/>
    <col min="9475" max="9475" width="15.140625" style="1" customWidth="1"/>
    <col min="9476" max="9476" width="20.42578125" style="1" customWidth="1"/>
    <col min="9477" max="9477" width="21" style="1" customWidth="1"/>
    <col min="9478" max="9478" width="5.85546875" style="1" customWidth="1"/>
    <col min="9479" max="9479" width="16.28515625" style="1" customWidth="1"/>
    <col min="9480" max="9728" width="9.140625" style="1"/>
    <col min="9729" max="9729" width="12.85546875" style="1" customWidth="1"/>
    <col min="9730" max="9730" width="43.7109375" style="1" customWidth="1"/>
    <col min="9731" max="9731" width="15.140625" style="1" customWidth="1"/>
    <col min="9732" max="9732" width="20.42578125" style="1" customWidth="1"/>
    <col min="9733" max="9733" width="21" style="1" customWidth="1"/>
    <col min="9734" max="9734" width="5.85546875" style="1" customWidth="1"/>
    <col min="9735" max="9735" width="16.28515625" style="1" customWidth="1"/>
    <col min="9736" max="9984" width="9.140625" style="1"/>
    <col min="9985" max="9985" width="12.85546875" style="1" customWidth="1"/>
    <col min="9986" max="9986" width="43.7109375" style="1" customWidth="1"/>
    <col min="9987" max="9987" width="15.140625" style="1" customWidth="1"/>
    <col min="9988" max="9988" width="20.42578125" style="1" customWidth="1"/>
    <col min="9989" max="9989" width="21" style="1" customWidth="1"/>
    <col min="9990" max="9990" width="5.85546875" style="1" customWidth="1"/>
    <col min="9991" max="9991" width="16.28515625" style="1" customWidth="1"/>
    <col min="9992" max="10240" width="9.140625" style="1"/>
    <col min="10241" max="10241" width="12.85546875" style="1" customWidth="1"/>
    <col min="10242" max="10242" width="43.7109375" style="1" customWidth="1"/>
    <col min="10243" max="10243" width="15.140625" style="1" customWidth="1"/>
    <col min="10244" max="10244" width="20.42578125" style="1" customWidth="1"/>
    <col min="10245" max="10245" width="21" style="1" customWidth="1"/>
    <col min="10246" max="10246" width="5.85546875" style="1" customWidth="1"/>
    <col min="10247" max="10247" width="16.28515625" style="1" customWidth="1"/>
    <col min="10248" max="10496" width="9.140625" style="1"/>
    <col min="10497" max="10497" width="12.85546875" style="1" customWidth="1"/>
    <col min="10498" max="10498" width="43.7109375" style="1" customWidth="1"/>
    <col min="10499" max="10499" width="15.140625" style="1" customWidth="1"/>
    <col min="10500" max="10500" width="20.42578125" style="1" customWidth="1"/>
    <col min="10501" max="10501" width="21" style="1" customWidth="1"/>
    <col min="10502" max="10502" width="5.85546875" style="1" customWidth="1"/>
    <col min="10503" max="10503" width="16.28515625" style="1" customWidth="1"/>
    <col min="10504" max="10752" width="9.140625" style="1"/>
    <col min="10753" max="10753" width="12.85546875" style="1" customWidth="1"/>
    <col min="10754" max="10754" width="43.7109375" style="1" customWidth="1"/>
    <col min="10755" max="10755" width="15.140625" style="1" customWidth="1"/>
    <col min="10756" max="10756" width="20.42578125" style="1" customWidth="1"/>
    <col min="10757" max="10757" width="21" style="1" customWidth="1"/>
    <col min="10758" max="10758" width="5.85546875" style="1" customWidth="1"/>
    <col min="10759" max="10759" width="16.28515625" style="1" customWidth="1"/>
    <col min="10760" max="11008" width="9.140625" style="1"/>
    <col min="11009" max="11009" width="12.85546875" style="1" customWidth="1"/>
    <col min="11010" max="11010" width="43.7109375" style="1" customWidth="1"/>
    <col min="11011" max="11011" width="15.140625" style="1" customWidth="1"/>
    <col min="11012" max="11012" width="20.42578125" style="1" customWidth="1"/>
    <col min="11013" max="11013" width="21" style="1" customWidth="1"/>
    <col min="11014" max="11014" width="5.85546875" style="1" customWidth="1"/>
    <col min="11015" max="11015" width="16.28515625" style="1" customWidth="1"/>
    <col min="11016" max="11264" width="9.140625" style="1"/>
    <col min="11265" max="11265" width="12.85546875" style="1" customWidth="1"/>
    <col min="11266" max="11266" width="43.7109375" style="1" customWidth="1"/>
    <col min="11267" max="11267" width="15.140625" style="1" customWidth="1"/>
    <col min="11268" max="11268" width="20.42578125" style="1" customWidth="1"/>
    <col min="11269" max="11269" width="21" style="1" customWidth="1"/>
    <col min="11270" max="11270" width="5.85546875" style="1" customWidth="1"/>
    <col min="11271" max="11271" width="16.28515625" style="1" customWidth="1"/>
    <col min="11272" max="11520" width="9.140625" style="1"/>
    <col min="11521" max="11521" width="12.85546875" style="1" customWidth="1"/>
    <col min="11522" max="11522" width="43.7109375" style="1" customWidth="1"/>
    <col min="11523" max="11523" width="15.140625" style="1" customWidth="1"/>
    <col min="11524" max="11524" width="20.42578125" style="1" customWidth="1"/>
    <col min="11525" max="11525" width="21" style="1" customWidth="1"/>
    <col min="11526" max="11526" width="5.85546875" style="1" customWidth="1"/>
    <col min="11527" max="11527" width="16.28515625" style="1" customWidth="1"/>
    <col min="11528" max="11776" width="9.140625" style="1"/>
    <col min="11777" max="11777" width="12.85546875" style="1" customWidth="1"/>
    <col min="11778" max="11778" width="43.7109375" style="1" customWidth="1"/>
    <col min="11779" max="11779" width="15.140625" style="1" customWidth="1"/>
    <col min="11780" max="11780" width="20.42578125" style="1" customWidth="1"/>
    <col min="11781" max="11781" width="21" style="1" customWidth="1"/>
    <col min="11782" max="11782" width="5.85546875" style="1" customWidth="1"/>
    <col min="11783" max="11783" width="16.28515625" style="1" customWidth="1"/>
    <col min="11784" max="12032" width="9.140625" style="1"/>
    <col min="12033" max="12033" width="12.85546875" style="1" customWidth="1"/>
    <col min="12034" max="12034" width="43.7109375" style="1" customWidth="1"/>
    <col min="12035" max="12035" width="15.140625" style="1" customWidth="1"/>
    <col min="12036" max="12036" width="20.42578125" style="1" customWidth="1"/>
    <col min="12037" max="12037" width="21" style="1" customWidth="1"/>
    <col min="12038" max="12038" width="5.85546875" style="1" customWidth="1"/>
    <col min="12039" max="12039" width="16.28515625" style="1" customWidth="1"/>
    <col min="12040" max="12288" width="9.140625" style="1"/>
    <col min="12289" max="12289" width="12.85546875" style="1" customWidth="1"/>
    <col min="12290" max="12290" width="43.7109375" style="1" customWidth="1"/>
    <col min="12291" max="12291" width="15.140625" style="1" customWidth="1"/>
    <col min="12292" max="12292" width="20.42578125" style="1" customWidth="1"/>
    <col min="12293" max="12293" width="21" style="1" customWidth="1"/>
    <col min="12294" max="12294" width="5.85546875" style="1" customWidth="1"/>
    <col min="12295" max="12295" width="16.28515625" style="1" customWidth="1"/>
    <col min="12296" max="12544" width="9.140625" style="1"/>
    <col min="12545" max="12545" width="12.85546875" style="1" customWidth="1"/>
    <col min="12546" max="12546" width="43.7109375" style="1" customWidth="1"/>
    <col min="12547" max="12547" width="15.140625" style="1" customWidth="1"/>
    <col min="12548" max="12548" width="20.42578125" style="1" customWidth="1"/>
    <col min="12549" max="12549" width="21" style="1" customWidth="1"/>
    <col min="12550" max="12550" width="5.85546875" style="1" customWidth="1"/>
    <col min="12551" max="12551" width="16.28515625" style="1" customWidth="1"/>
    <col min="12552" max="12800" width="9.140625" style="1"/>
    <col min="12801" max="12801" width="12.85546875" style="1" customWidth="1"/>
    <col min="12802" max="12802" width="43.7109375" style="1" customWidth="1"/>
    <col min="12803" max="12803" width="15.140625" style="1" customWidth="1"/>
    <col min="12804" max="12804" width="20.42578125" style="1" customWidth="1"/>
    <col min="12805" max="12805" width="21" style="1" customWidth="1"/>
    <col min="12806" max="12806" width="5.85546875" style="1" customWidth="1"/>
    <col min="12807" max="12807" width="16.28515625" style="1" customWidth="1"/>
    <col min="12808" max="13056" width="9.140625" style="1"/>
    <col min="13057" max="13057" width="12.85546875" style="1" customWidth="1"/>
    <col min="13058" max="13058" width="43.7109375" style="1" customWidth="1"/>
    <col min="13059" max="13059" width="15.140625" style="1" customWidth="1"/>
    <col min="13060" max="13060" width="20.42578125" style="1" customWidth="1"/>
    <col min="13061" max="13061" width="21" style="1" customWidth="1"/>
    <col min="13062" max="13062" width="5.85546875" style="1" customWidth="1"/>
    <col min="13063" max="13063" width="16.28515625" style="1" customWidth="1"/>
    <col min="13064" max="13312" width="9.140625" style="1"/>
    <col min="13313" max="13313" width="12.85546875" style="1" customWidth="1"/>
    <col min="13314" max="13314" width="43.7109375" style="1" customWidth="1"/>
    <col min="13315" max="13315" width="15.140625" style="1" customWidth="1"/>
    <col min="13316" max="13316" width="20.42578125" style="1" customWidth="1"/>
    <col min="13317" max="13317" width="21" style="1" customWidth="1"/>
    <col min="13318" max="13318" width="5.85546875" style="1" customWidth="1"/>
    <col min="13319" max="13319" width="16.28515625" style="1" customWidth="1"/>
    <col min="13320" max="13568" width="9.140625" style="1"/>
    <col min="13569" max="13569" width="12.85546875" style="1" customWidth="1"/>
    <col min="13570" max="13570" width="43.7109375" style="1" customWidth="1"/>
    <col min="13571" max="13571" width="15.140625" style="1" customWidth="1"/>
    <col min="13572" max="13572" width="20.42578125" style="1" customWidth="1"/>
    <col min="13573" max="13573" width="21" style="1" customWidth="1"/>
    <col min="13574" max="13574" width="5.85546875" style="1" customWidth="1"/>
    <col min="13575" max="13575" width="16.28515625" style="1" customWidth="1"/>
    <col min="13576" max="13824" width="9.140625" style="1"/>
    <col min="13825" max="13825" width="12.85546875" style="1" customWidth="1"/>
    <col min="13826" max="13826" width="43.7109375" style="1" customWidth="1"/>
    <col min="13827" max="13827" width="15.140625" style="1" customWidth="1"/>
    <col min="13828" max="13828" width="20.42578125" style="1" customWidth="1"/>
    <col min="13829" max="13829" width="21" style="1" customWidth="1"/>
    <col min="13830" max="13830" width="5.85546875" style="1" customWidth="1"/>
    <col min="13831" max="13831" width="16.28515625" style="1" customWidth="1"/>
    <col min="13832" max="14080" width="9.140625" style="1"/>
    <col min="14081" max="14081" width="12.85546875" style="1" customWidth="1"/>
    <col min="14082" max="14082" width="43.7109375" style="1" customWidth="1"/>
    <col min="14083" max="14083" width="15.140625" style="1" customWidth="1"/>
    <col min="14084" max="14084" width="20.42578125" style="1" customWidth="1"/>
    <col min="14085" max="14085" width="21" style="1" customWidth="1"/>
    <col min="14086" max="14086" width="5.85546875" style="1" customWidth="1"/>
    <col min="14087" max="14087" width="16.28515625" style="1" customWidth="1"/>
    <col min="14088" max="14336" width="9.140625" style="1"/>
    <col min="14337" max="14337" width="12.85546875" style="1" customWidth="1"/>
    <col min="14338" max="14338" width="43.7109375" style="1" customWidth="1"/>
    <col min="14339" max="14339" width="15.140625" style="1" customWidth="1"/>
    <col min="14340" max="14340" width="20.42578125" style="1" customWidth="1"/>
    <col min="14341" max="14341" width="21" style="1" customWidth="1"/>
    <col min="14342" max="14342" width="5.85546875" style="1" customWidth="1"/>
    <col min="14343" max="14343" width="16.28515625" style="1" customWidth="1"/>
    <col min="14344" max="14592" width="9.140625" style="1"/>
    <col min="14593" max="14593" width="12.85546875" style="1" customWidth="1"/>
    <col min="14594" max="14594" width="43.7109375" style="1" customWidth="1"/>
    <col min="14595" max="14595" width="15.140625" style="1" customWidth="1"/>
    <col min="14596" max="14596" width="20.42578125" style="1" customWidth="1"/>
    <col min="14597" max="14597" width="21" style="1" customWidth="1"/>
    <col min="14598" max="14598" width="5.85546875" style="1" customWidth="1"/>
    <col min="14599" max="14599" width="16.28515625" style="1" customWidth="1"/>
    <col min="14600" max="14848" width="9.140625" style="1"/>
    <col min="14849" max="14849" width="12.85546875" style="1" customWidth="1"/>
    <col min="14850" max="14850" width="43.7109375" style="1" customWidth="1"/>
    <col min="14851" max="14851" width="15.140625" style="1" customWidth="1"/>
    <col min="14852" max="14852" width="20.42578125" style="1" customWidth="1"/>
    <col min="14853" max="14853" width="21" style="1" customWidth="1"/>
    <col min="14854" max="14854" width="5.85546875" style="1" customWidth="1"/>
    <col min="14855" max="14855" width="16.28515625" style="1" customWidth="1"/>
    <col min="14856" max="15104" width="9.140625" style="1"/>
    <col min="15105" max="15105" width="12.85546875" style="1" customWidth="1"/>
    <col min="15106" max="15106" width="43.7109375" style="1" customWidth="1"/>
    <col min="15107" max="15107" width="15.140625" style="1" customWidth="1"/>
    <col min="15108" max="15108" width="20.42578125" style="1" customWidth="1"/>
    <col min="15109" max="15109" width="21" style="1" customWidth="1"/>
    <col min="15110" max="15110" width="5.85546875" style="1" customWidth="1"/>
    <col min="15111" max="15111" width="16.28515625" style="1" customWidth="1"/>
    <col min="15112" max="15360" width="9.140625" style="1"/>
    <col min="15361" max="15361" width="12.85546875" style="1" customWidth="1"/>
    <col min="15362" max="15362" width="43.7109375" style="1" customWidth="1"/>
    <col min="15363" max="15363" width="15.140625" style="1" customWidth="1"/>
    <col min="15364" max="15364" width="20.42578125" style="1" customWidth="1"/>
    <col min="15365" max="15365" width="21" style="1" customWidth="1"/>
    <col min="15366" max="15366" width="5.85546875" style="1" customWidth="1"/>
    <col min="15367" max="15367" width="16.28515625" style="1" customWidth="1"/>
    <col min="15368" max="15616" width="9.140625" style="1"/>
    <col min="15617" max="15617" width="12.85546875" style="1" customWidth="1"/>
    <col min="15618" max="15618" width="43.7109375" style="1" customWidth="1"/>
    <col min="15619" max="15619" width="15.140625" style="1" customWidth="1"/>
    <col min="15620" max="15620" width="20.42578125" style="1" customWidth="1"/>
    <col min="15621" max="15621" width="21" style="1" customWidth="1"/>
    <col min="15622" max="15622" width="5.85546875" style="1" customWidth="1"/>
    <col min="15623" max="15623" width="16.28515625" style="1" customWidth="1"/>
    <col min="15624" max="15872" width="9.140625" style="1"/>
    <col min="15873" max="15873" width="12.85546875" style="1" customWidth="1"/>
    <col min="15874" max="15874" width="43.7109375" style="1" customWidth="1"/>
    <col min="15875" max="15875" width="15.140625" style="1" customWidth="1"/>
    <col min="15876" max="15876" width="20.42578125" style="1" customWidth="1"/>
    <col min="15877" max="15877" width="21" style="1" customWidth="1"/>
    <col min="15878" max="15878" width="5.85546875" style="1" customWidth="1"/>
    <col min="15879" max="15879" width="16.28515625" style="1" customWidth="1"/>
    <col min="15880" max="16128" width="9.140625" style="1"/>
    <col min="16129" max="16129" width="12.85546875" style="1" customWidth="1"/>
    <col min="16130" max="16130" width="43.7109375" style="1" customWidth="1"/>
    <col min="16131" max="16131" width="15.140625" style="1" customWidth="1"/>
    <col min="16132" max="16132" width="20.42578125" style="1" customWidth="1"/>
    <col min="16133" max="16133" width="21" style="1" customWidth="1"/>
    <col min="16134" max="16134" width="5.85546875" style="1" customWidth="1"/>
    <col min="16135" max="16135" width="16.28515625" style="1" customWidth="1"/>
    <col min="16136" max="16384" width="9.140625" style="1"/>
  </cols>
  <sheetData>
    <row r="1" spans="1:12" ht="32.25" customHeight="1" thickBot="1" x14ac:dyDescent="0.25">
      <c r="A1" s="627" t="s">
        <v>310</v>
      </c>
      <c r="B1" s="628"/>
      <c r="C1" s="628"/>
      <c r="D1" s="629"/>
      <c r="E1" s="44"/>
      <c r="F1" s="44"/>
      <c r="G1" s="44"/>
      <c r="H1" s="44"/>
      <c r="I1" s="44"/>
      <c r="J1" s="44"/>
      <c r="K1" s="44"/>
      <c r="L1" s="44"/>
    </row>
    <row r="2" spans="1:12" ht="4.5" customHeight="1" thickBot="1" x14ac:dyDescent="0.25">
      <c r="A2" s="60"/>
      <c r="B2" s="61"/>
      <c r="C2" s="61"/>
      <c r="D2" s="62"/>
      <c r="E2" s="44"/>
      <c r="F2" s="44"/>
      <c r="G2" s="44"/>
      <c r="H2" s="44"/>
      <c r="I2" s="44"/>
      <c r="J2" s="44"/>
      <c r="K2" s="44"/>
      <c r="L2" s="44"/>
    </row>
    <row r="3" spans="1:12" ht="20.100000000000001" customHeight="1" thickBot="1" x14ac:dyDescent="0.25">
      <c r="A3" s="134" t="s">
        <v>38</v>
      </c>
      <c r="B3" s="630" t="s">
        <v>716</v>
      </c>
      <c r="C3" s="630"/>
      <c r="D3" s="631"/>
      <c r="E3" s="44"/>
      <c r="F3" s="44"/>
      <c r="G3" s="44"/>
      <c r="H3" s="44"/>
      <c r="I3" s="44"/>
      <c r="J3" s="44"/>
      <c r="K3" s="44"/>
      <c r="L3" s="44"/>
    </row>
    <row r="4" spans="1:12" ht="4.5" customHeight="1" thickBot="1" x14ac:dyDescent="0.25">
      <c r="A4" s="63"/>
      <c r="B4" s="59"/>
      <c r="C4" s="59"/>
      <c r="D4" s="64"/>
      <c r="E4" s="44"/>
      <c r="F4" s="44"/>
      <c r="G4" s="44"/>
      <c r="H4" s="44"/>
      <c r="I4" s="44"/>
      <c r="J4" s="44"/>
      <c r="K4" s="44"/>
      <c r="L4" s="44"/>
    </row>
    <row r="5" spans="1:12" ht="20.100000000000001" customHeight="1" thickBot="1" x14ac:dyDescent="0.25">
      <c r="A5" s="135" t="s">
        <v>197</v>
      </c>
      <c r="B5" s="571" t="s">
        <v>719</v>
      </c>
      <c r="C5" s="632"/>
      <c r="D5" s="633"/>
      <c r="E5" s="44"/>
      <c r="F5" s="44"/>
      <c r="G5" s="44"/>
      <c r="H5" s="44"/>
      <c r="I5" s="44"/>
      <c r="J5" s="44"/>
      <c r="K5" s="44"/>
      <c r="L5" s="44"/>
    </row>
    <row r="6" spans="1:12" ht="4.5" customHeight="1" thickBot="1" x14ac:dyDescent="0.25">
      <c r="A6" s="63"/>
      <c r="B6" s="59"/>
      <c r="C6" s="61"/>
      <c r="D6" s="62"/>
      <c r="E6" s="44"/>
      <c r="F6" s="44"/>
      <c r="G6" s="44"/>
      <c r="H6" s="44"/>
      <c r="I6" s="44"/>
      <c r="J6" s="44"/>
      <c r="K6" s="44"/>
      <c r="L6" s="44"/>
    </row>
    <row r="7" spans="1:12" ht="20.100000000000001" customHeight="1" thickBot="1" x14ac:dyDescent="0.25">
      <c r="A7" s="65" t="s">
        <v>39</v>
      </c>
      <c r="B7" s="66" t="s">
        <v>721</v>
      </c>
      <c r="C7" s="106" t="s">
        <v>311</v>
      </c>
      <c r="D7" s="107" t="s">
        <v>386</v>
      </c>
      <c r="E7" s="67"/>
      <c r="F7" s="44"/>
      <c r="G7" s="44"/>
      <c r="H7" s="44"/>
      <c r="I7" s="44"/>
      <c r="J7" s="44"/>
      <c r="K7" s="44"/>
      <c r="L7" s="44"/>
    </row>
    <row r="8" spans="1:12" ht="4.5" customHeight="1" thickBot="1" x14ac:dyDescent="0.25">
      <c r="A8" s="60"/>
      <c r="B8" s="61"/>
      <c r="C8" s="61"/>
      <c r="D8" s="62"/>
      <c r="E8" s="44"/>
      <c r="F8" s="44"/>
      <c r="G8" s="44"/>
      <c r="H8" s="44"/>
      <c r="I8" s="44"/>
      <c r="J8" s="44"/>
      <c r="K8" s="44"/>
      <c r="L8" s="44"/>
    </row>
    <row r="9" spans="1:12" s="5" customFormat="1" ht="20.100000000000001" customHeight="1" thickBot="1" x14ac:dyDescent="0.3">
      <c r="A9" s="139" t="s">
        <v>199</v>
      </c>
      <c r="B9" s="140" t="s">
        <v>285</v>
      </c>
      <c r="C9" s="140" t="s">
        <v>286</v>
      </c>
      <c r="D9" s="141" t="s">
        <v>287</v>
      </c>
      <c r="E9" s="68"/>
      <c r="F9" s="4"/>
      <c r="G9" s="4"/>
      <c r="H9" s="4"/>
      <c r="I9" s="4"/>
      <c r="J9" s="4"/>
      <c r="K9" s="4"/>
      <c r="L9" s="4"/>
    </row>
    <row r="10" spans="1:12" s="5" customFormat="1" ht="4.5" customHeight="1" thickBot="1" x14ac:dyDescent="0.25">
      <c r="A10" s="69"/>
      <c r="B10" s="70"/>
      <c r="C10" s="70"/>
      <c r="D10" s="71"/>
      <c r="E10" s="68"/>
      <c r="F10" s="4"/>
      <c r="G10" s="4"/>
      <c r="H10" s="4"/>
      <c r="I10" s="4"/>
      <c r="J10" s="4"/>
      <c r="K10" s="4"/>
      <c r="L10" s="4"/>
    </row>
    <row r="11" spans="1:12" s="5" customFormat="1" ht="20.100000000000001" customHeight="1" x14ac:dyDescent="0.2">
      <c r="A11" s="72"/>
      <c r="B11" s="73"/>
      <c r="C11" s="73"/>
      <c r="D11" s="74"/>
      <c r="E11" s="75"/>
      <c r="F11" s="4"/>
      <c r="G11" s="4"/>
      <c r="H11" s="4"/>
      <c r="I11" s="4"/>
      <c r="J11" s="4"/>
      <c r="K11" s="4"/>
      <c r="L11" s="4"/>
    </row>
    <row r="12" spans="1:12" s="5" customFormat="1" ht="20.100000000000001" customHeight="1" x14ac:dyDescent="0.25">
      <c r="A12" s="76" t="s">
        <v>288</v>
      </c>
      <c r="B12" s="77" t="s">
        <v>312</v>
      </c>
      <c r="C12" s="78"/>
      <c r="D12" s="79" t="e">
        <f>D22-D14</f>
        <v>#REF!</v>
      </c>
      <c r="E12" s="80"/>
      <c r="F12" s="4"/>
      <c r="G12" s="4"/>
      <c r="H12" s="4"/>
      <c r="I12" s="4"/>
      <c r="J12" s="4"/>
      <c r="K12" s="4"/>
      <c r="L12" s="4"/>
    </row>
    <row r="13" spans="1:12" s="5" customFormat="1" ht="20.100000000000001" customHeight="1" x14ac:dyDescent="0.2">
      <c r="A13" s="81"/>
      <c r="B13" s="82"/>
      <c r="C13" s="83"/>
      <c r="D13" s="84"/>
      <c r="E13"/>
      <c r="F13" s="4"/>
      <c r="G13" s="4"/>
      <c r="H13" s="4"/>
      <c r="I13" s="4"/>
      <c r="J13" s="4"/>
      <c r="K13" s="4"/>
      <c r="L13" s="4"/>
    </row>
    <row r="14" spans="1:12" s="5" customFormat="1" ht="20.100000000000001" customHeight="1" x14ac:dyDescent="0.25">
      <c r="A14" s="76" t="s">
        <v>290</v>
      </c>
      <c r="B14" s="77" t="s">
        <v>291</v>
      </c>
      <c r="C14" s="85">
        <f>SUM(C15:C19)</f>
        <v>4.8099999999999997E-2</v>
      </c>
      <c r="D14" s="86" t="e">
        <f>SUM(D15:D19)</f>
        <v>#REF!</v>
      </c>
      <c r="E14" s="87"/>
      <c r="F14" s="4"/>
      <c r="G14" s="4"/>
      <c r="H14" s="4"/>
      <c r="I14" s="4"/>
      <c r="J14" s="4"/>
      <c r="K14" s="4"/>
      <c r="L14" s="4"/>
    </row>
    <row r="15" spans="1:12" s="5" customFormat="1" ht="20.100000000000001" customHeight="1" x14ac:dyDescent="0.2">
      <c r="A15" s="81" t="s">
        <v>71</v>
      </c>
      <c r="B15" s="82" t="s">
        <v>292</v>
      </c>
      <c r="C15" s="88">
        <v>3.0700000000000002E-2</v>
      </c>
      <c r="D15" s="89" t="e">
        <f>C15*D$22</f>
        <v>#REF!</v>
      </c>
      <c r="E15" s="90"/>
      <c r="F15" s="4"/>
      <c r="G15" s="4"/>
      <c r="H15" s="4"/>
      <c r="I15" s="4"/>
      <c r="J15" s="4"/>
      <c r="K15" s="4"/>
      <c r="L15" s="4"/>
    </row>
    <row r="16" spans="1:12" s="5" customFormat="1" ht="20.100000000000001" customHeight="1" x14ac:dyDescent="0.2">
      <c r="A16" s="81" t="s">
        <v>170</v>
      </c>
      <c r="B16" s="82" t="s">
        <v>448</v>
      </c>
      <c r="C16" s="88">
        <v>1.6999999999999999E-3</v>
      </c>
      <c r="D16" s="89" t="e">
        <f t="shared" ref="D16:D19" si="0">C16*D$22</f>
        <v>#REF!</v>
      </c>
      <c r="E16" s="90"/>
      <c r="F16" s="4"/>
      <c r="G16" s="245"/>
      <c r="H16" s="4"/>
      <c r="I16" s="4"/>
      <c r="J16" s="4"/>
      <c r="K16" s="4"/>
      <c r="L16" s="4"/>
    </row>
    <row r="17" spans="1:12" s="5" customFormat="1" ht="20.100000000000001" customHeight="1" x14ac:dyDescent="0.2">
      <c r="A17" s="81" t="s">
        <v>166</v>
      </c>
      <c r="B17" s="82" t="s">
        <v>293</v>
      </c>
      <c r="C17" s="88">
        <v>5.5999999999999999E-3</v>
      </c>
      <c r="D17" s="89" t="e">
        <f t="shared" si="0"/>
        <v>#REF!</v>
      </c>
      <c r="E17" s="90"/>
      <c r="F17" s="4"/>
      <c r="G17" s="245"/>
      <c r="H17" s="4"/>
      <c r="I17" s="4"/>
      <c r="J17" s="4"/>
      <c r="K17" s="4"/>
      <c r="L17" s="4"/>
    </row>
    <row r="18" spans="1:12" s="5" customFormat="1" ht="20.100000000000001" customHeight="1" x14ac:dyDescent="0.2">
      <c r="A18" s="81" t="s">
        <v>167</v>
      </c>
      <c r="B18" s="82" t="s">
        <v>447</v>
      </c>
      <c r="C18" s="88">
        <v>1.6000000000000001E-3</v>
      </c>
      <c r="D18" s="89" t="e">
        <f t="shared" si="0"/>
        <v>#REF!</v>
      </c>
      <c r="E18" s="90"/>
      <c r="F18" s="4"/>
      <c r="G18" s="245"/>
      <c r="H18" s="4"/>
      <c r="I18" s="4"/>
      <c r="J18" s="4"/>
      <c r="K18" s="4"/>
      <c r="L18" s="4"/>
    </row>
    <row r="19" spans="1:12" s="5" customFormat="1" ht="20.100000000000001" customHeight="1" x14ac:dyDescent="0.2">
      <c r="A19" s="81" t="s">
        <v>168</v>
      </c>
      <c r="B19" s="82" t="s">
        <v>294</v>
      </c>
      <c r="C19" s="88">
        <v>8.5000000000000006E-3</v>
      </c>
      <c r="D19" s="89" t="e">
        <f t="shared" si="0"/>
        <v>#REF!</v>
      </c>
      <c r="E19" s="90"/>
      <c r="F19" s="4"/>
      <c r="G19" s="245"/>
      <c r="H19" s="4"/>
      <c r="I19" s="4"/>
      <c r="J19" s="4"/>
      <c r="K19" s="4"/>
      <c r="L19" s="4"/>
    </row>
    <row r="20" spans="1:12" s="5" customFormat="1" ht="20.100000000000001" customHeight="1" x14ac:dyDescent="0.2">
      <c r="A20" s="624" t="s">
        <v>449</v>
      </c>
      <c r="B20" s="625"/>
      <c r="C20" s="625"/>
      <c r="D20" s="626"/>
      <c r="E20"/>
      <c r="F20" s="4"/>
      <c r="G20" s="245"/>
      <c r="H20" s="4"/>
      <c r="I20" s="4"/>
      <c r="J20" s="4"/>
      <c r="K20" s="4"/>
      <c r="L20" s="4"/>
    </row>
    <row r="21" spans="1:12" s="5" customFormat="1" ht="20.100000000000001" customHeight="1" x14ac:dyDescent="0.2">
      <c r="A21" s="94"/>
      <c r="B21" s="95"/>
      <c r="C21" s="95"/>
      <c r="D21" s="96"/>
      <c r="E21"/>
      <c r="F21" s="4"/>
      <c r="G21" s="245"/>
      <c r="H21" s="4"/>
      <c r="I21" s="4"/>
      <c r="J21" s="4"/>
      <c r="K21" s="4"/>
      <c r="L21" s="4"/>
    </row>
    <row r="22" spans="1:12" s="5" customFormat="1" ht="20.100000000000001" customHeight="1" x14ac:dyDescent="0.25">
      <c r="A22" s="76" t="s">
        <v>295</v>
      </c>
      <c r="B22" s="77" t="s">
        <v>296</v>
      </c>
      <c r="C22" s="78"/>
      <c r="D22" s="86" t="e">
        <f>D33-D30-D24</f>
        <v>#REF!</v>
      </c>
      <c r="E22" s="87"/>
      <c r="F22" s="4"/>
      <c r="G22" s="4"/>
      <c r="H22" s="4"/>
      <c r="I22" s="4"/>
      <c r="J22" s="4"/>
      <c r="K22" s="4"/>
      <c r="L22" s="4"/>
    </row>
    <row r="23" spans="1:12" s="5" customFormat="1" ht="20.100000000000001" customHeight="1" x14ac:dyDescent="0.2">
      <c r="A23" s="81"/>
      <c r="B23" s="82"/>
      <c r="C23" s="83"/>
      <c r="D23" s="84"/>
      <c r="E23"/>
      <c r="F23" s="4"/>
      <c r="G23" s="4"/>
      <c r="H23" s="4"/>
      <c r="I23" s="4"/>
      <c r="J23" s="4"/>
      <c r="K23" s="4"/>
      <c r="L23" s="4"/>
    </row>
    <row r="24" spans="1:12" s="5" customFormat="1" ht="20.100000000000001" customHeight="1" x14ac:dyDescent="0.25">
      <c r="A24" s="76" t="s">
        <v>297</v>
      </c>
      <c r="B24" s="77" t="s">
        <v>298</v>
      </c>
      <c r="C24" s="85">
        <f>SUM(C25:C27)</f>
        <v>5.6499999999999995E-2</v>
      </c>
      <c r="D24" s="86" t="e">
        <f>ROUND(SUM(D25:D27),2)</f>
        <v>#REF!</v>
      </c>
      <c r="E24" s="87"/>
      <c r="F24" s="4"/>
      <c r="G24" s="4"/>
      <c r="H24" s="4"/>
      <c r="I24" s="4"/>
      <c r="J24" s="4"/>
      <c r="K24" s="4"/>
      <c r="L24" s="4"/>
    </row>
    <row r="25" spans="1:12" s="5" customFormat="1" ht="20.100000000000001" customHeight="1" x14ac:dyDescent="0.2">
      <c r="A25" s="81" t="s">
        <v>75</v>
      </c>
      <c r="B25" s="82" t="s">
        <v>299</v>
      </c>
      <c r="C25" s="88">
        <v>0.03</v>
      </c>
      <c r="D25" s="89" t="e">
        <f>C25*D$33</f>
        <v>#REF!</v>
      </c>
      <c r="E25" s="87"/>
      <c r="F25" s="4"/>
      <c r="G25" s="4"/>
      <c r="H25" s="4"/>
      <c r="I25" s="4"/>
      <c r="J25" s="4"/>
      <c r="K25" s="4"/>
      <c r="L25" s="4"/>
    </row>
    <row r="26" spans="1:12" s="5" customFormat="1" ht="20.100000000000001" customHeight="1" x14ac:dyDescent="0.2">
      <c r="A26" s="81" t="s">
        <v>99</v>
      </c>
      <c r="B26" s="82" t="s">
        <v>300</v>
      </c>
      <c r="C26" s="88">
        <v>6.4999999999999997E-3</v>
      </c>
      <c r="D26" s="89" t="e">
        <f>C26*D$33</f>
        <v>#REF!</v>
      </c>
      <c r="E26" s="87"/>
      <c r="F26" s="4"/>
      <c r="G26" s="4"/>
      <c r="H26" s="4"/>
      <c r="I26" s="4"/>
      <c r="J26" s="4"/>
      <c r="K26" s="4"/>
      <c r="L26" s="4"/>
    </row>
    <row r="27" spans="1:12" s="5" customFormat="1" ht="20.100000000000001" customHeight="1" x14ac:dyDescent="0.2">
      <c r="A27" s="81" t="s">
        <v>252</v>
      </c>
      <c r="B27" s="82" t="s">
        <v>383</v>
      </c>
      <c r="C27" s="88">
        <v>0.02</v>
      </c>
      <c r="D27" s="89" t="e">
        <f>C27*D$33</f>
        <v>#REF!</v>
      </c>
      <c r="E27" s="87"/>
      <c r="F27" s="4"/>
      <c r="G27" s="4"/>
      <c r="H27" s="4"/>
      <c r="I27" s="4"/>
      <c r="J27" s="4"/>
      <c r="K27" s="4"/>
      <c r="L27" s="4"/>
    </row>
    <row r="28" spans="1:12" s="5" customFormat="1" ht="20.100000000000001" customHeight="1" x14ac:dyDescent="0.2">
      <c r="A28" s="624" t="s">
        <v>302</v>
      </c>
      <c r="B28" s="625"/>
      <c r="C28" s="625"/>
      <c r="D28" s="626"/>
      <c r="E28" s="87"/>
      <c r="F28" s="4"/>
      <c r="G28" s="4"/>
      <c r="H28" s="4"/>
      <c r="I28" s="4"/>
      <c r="J28" s="4"/>
      <c r="K28" s="4"/>
      <c r="L28" s="4"/>
    </row>
    <row r="29" spans="1:12" s="5" customFormat="1" ht="20.100000000000001" customHeight="1" x14ac:dyDescent="0.2">
      <c r="A29" s="94"/>
      <c r="B29" s="95"/>
      <c r="C29" s="95"/>
      <c r="D29" s="96"/>
      <c r="E29" s="87"/>
      <c r="F29" s="4"/>
      <c r="G29" s="4"/>
      <c r="H29" s="4"/>
      <c r="I29" s="4"/>
      <c r="J29" s="4"/>
      <c r="K29" s="4"/>
      <c r="L29" s="4"/>
    </row>
    <row r="30" spans="1:12" s="5" customFormat="1" ht="20.100000000000001" customHeight="1" x14ac:dyDescent="0.25">
      <c r="A30" s="76" t="s">
        <v>303</v>
      </c>
      <c r="B30" s="77" t="s">
        <v>313</v>
      </c>
      <c r="C30" s="85">
        <v>5.11E-2</v>
      </c>
      <c r="D30" s="86" t="e">
        <f>C30*(D$33-D24)</f>
        <v>#REF!</v>
      </c>
      <c r="E30" s="87"/>
      <c r="F30" s="4"/>
      <c r="G30" s="4"/>
      <c r="H30" s="4"/>
      <c r="I30" s="4"/>
      <c r="J30" s="4"/>
      <c r="K30" s="4"/>
      <c r="L30" s="4"/>
    </row>
    <row r="31" spans="1:12" s="5" customFormat="1" ht="20.100000000000001" customHeight="1" x14ac:dyDescent="0.2">
      <c r="A31" s="624" t="s">
        <v>450</v>
      </c>
      <c r="B31" s="625"/>
      <c r="C31" s="625"/>
      <c r="D31" s="626"/>
      <c r="E31"/>
      <c r="F31" s="4"/>
      <c r="G31" s="4"/>
      <c r="H31" s="4"/>
      <c r="I31" s="4"/>
      <c r="J31" s="4"/>
      <c r="K31" s="4"/>
      <c r="L31" s="4"/>
    </row>
    <row r="32" spans="1:12" s="5" customFormat="1" ht="20.100000000000001" customHeight="1" x14ac:dyDescent="0.2">
      <c r="A32" s="94"/>
      <c r="B32" s="95"/>
      <c r="C32" s="95"/>
      <c r="D32" s="96"/>
      <c r="E32"/>
      <c r="F32" s="4"/>
      <c r="G32" s="4"/>
      <c r="H32" s="4"/>
      <c r="I32" s="4"/>
      <c r="J32" s="4"/>
      <c r="K32" s="4"/>
      <c r="L32" s="4"/>
    </row>
    <row r="33" spans="1:12" s="5" customFormat="1" ht="20.100000000000001" customHeight="1" x14ac:dyDescent="0.25">
      <c r="A33" s="76" t="s">
        <v>305</v>
      </c>
      <c r="B33" s="77" t="s">
        <v>314</v>
      </c>
      <c r="C33" s="83"/>
      <c r="D33" s="86" t="e">
        <f>ORÇAMENTO!I2027</f>
        <v>#REF!</v>
      </c>
      <c r="E33" s="87"/>
      <c r="F33" s="4"/>
      <c r="G33" s="105"/>
      <c r="H33" s="4"/>
      <c r="I33" s="4"/>
      <c r="J33" s="4"/>
      <c r="K33" s="4"/>
      <c r="L33" s="4"/>
    </row>
    <row r="34" spans="1:12" s="5" customFormat="1" ht="20.100000000000001" customHeight="1" x14ac:dyDescent="0.2">
      <c r="A34" s="81"/>
      <c r="B34" s="82"/>
      <c r="C34" s="83"/>
      <c r="D34" s="84"/>
      <c r="E34"/>
      <c r="F34" s="4"/>
      <c r="G34" s="4"/>
      <c r="H34" s="4"/>
      <c r="I34" s="4"/>
      <c r="J34" s="4"/>
      <c r="K34" s="4"/>
      <c r="L34" s="4"/>
    </row>
    <row r="35" spans="1:12" s="5" customFormat="1" ht="20.100000000000001" customHeight="1" x14ac:dyDescent="0.25">
      <c r="A35" s="76" t="s">
        <v>307</v>
      </c>
      <c r="B35" s="77" t="s">
        <v>308</v>
      </c>
      <c r="C35" s="85">
        <f>(1+C15+C16+C17+C18)*(1+C19)*(1+C30)/(1-C24)-1</f>
        <v>0.16800393244303136</v>
      </c>
      <c r="D35" s="84"/>
      <c r="E35"/>
      <c r="F35" s="4"/>
      <c r="G35" s="4">
        <v>16.8</v>
      </c>
      <c r="H35" s="4"/>
      <c r="I35" s="4"/>
      <c r="J35" s="4"/>
      <c r="K35" s="4"/>
      <c r="L35" s="4"/>
    </row>
    <row r="36" spans="1:12" s="5" customFormat="1" ht="20.100000000000001" customHeight="1" x14ac:dyDescent="0.2">
      <c r="A36" s="97"/>
      <c r="B36" s="98"/>
      <c r="C36" s="98"/>
      <c r="D36" s="99"/>
      <c r="E36"/>
      <c r="F36" s="4"/>
      <c r="G36" s="4"/>
      <c r="H36" s="4"/>
      <c r="I36" s="4"/>
      <c r="J36" s="4"/>
      <c r="K36" s="4"/>
      <c r="L36" s="4"/>
    </row>
    <row r="37" spans="1:12" s="5" customFormat="1" ht="20.100000000000001" customHeight="1" x14ac:dyDescent="0.25">
      <c r="A37" s="100" t="s">
        <v>381</v>
      </c>
      <c r="B37" s="98"/>
      <c r="C37" s="98"/>
      <c r="D37" s="99"/>
      <c r="E37"/>
      <c r="F37" s="4"/>
      <c r="G37" s="4"/>
      <c r="H37" s="4"/>
      <c r="I37" s="4"/>
      <c r="J37" s="4"/>
      <c r="K37" s="4"/>
      <c r="L37" s="4"/>
    </row>
    <row r="38" spans="1:12" s="5" customFormat="1" ht="20.100000000000001" customHeight="1" x14ac:dyDescent="0.25">
      <c r="A38" s="100" t="s">
        <v>309</v>
      </c>
      <c r="B38" s="98"/>
      <c r="C38" s="98"/>
      <c r="D38" s="99"/>
      <c r="E38"/>
      <c r="F38" s="4"/>
      <c r="G38" s="4"/>
      <c r="H38" s="4"/>
      <c r="I38" s="4"/>
      <c r="J38" s="4"/>
      <c r="K38" s="4"/>
      <c r="L38" s="4"/>
    </row>
    <row r="39" spans="1:12" s="5" customFormat="1" ht="20.100000000000001" customHeight="1" thickBot="1" x14ac:dyDescent="0.25">
      <c r="A39" s="101"/>
      <c r="B39" s="102"/>
      <c r="C39" s="103"/>
      <c r="D39" s="104"/>
      <c r="E39" s="4"/>
      <c r="F39" s="4"/>
      <c r="G39" s="4"/>
      <c r="H39" s="4"/>
      <c r="I39" s="4"/>
      <c r="J39" s="4"/>
      <c r="K39" s="4"/>
      <c r="L39" s="4"/>
    </row>
    <row r="40" spans="1:12" s="5" customFormat="1" x14ac:dyDescent="0.2">
      <c r="E40" s="4"/>
      <c r="F40" s="6"/>
      <c r="G40" s="4"/>
      <c r="H40" s="4"/>
      <c r="I40" s="4"/>
      <c r="J40" s="4"/>
      <c r="K40" s="4"/>
      <c r="L40" s="4"/>
    </row>
    <row r="41" spans="1:12" ht="15.95" customHeight="1" x14ac:dyDescent="0.2">
      <c r="E41" s="57"/>
      <c r="F41" s="57"/>
      <c r="G41" s="57"/>
      <c r="H41" s="57"/>
      <c r="I41" s="57"/>
      <c r="J41" s="57"/>
      <c r="K41" s="57"/>
      <c r="L41" s="57"/>
    </row>
    <row r="42" spans="1:12" ht="15.95" customHeight="1" x14ac:dyDescent="0.2">
      <c r="E42" s="57"/>
      <c r="F42" s="57"/>
      <c r="G42" s="57"/>
      <c r="H42" s="57"/>
      <c r="I42" s="57"/>
      <c r="J42" s="57"/>
      <c r="K42" s="57"/>
      <c r="L42" s="57"/>
    </row>
    <row r="43" spans="1:12" ht="15.95" customHeight="1" x14ac:dyDescent="0.2">
      <c r="E43" s="57"/>
      <c r="F43" s="57"/>
      <c r="G43" s="57"/>
      <c r="H43" s="57"/>
      <c r="I43" s="57"/>
      <c r="J43" s="57"/>
      <c r="K43" s="57"/>
      <c r="L43" s="57"/>
    </row>
    <row r="44" spans="1:12" ht="15.95" customHeight="1" x14ac:dyDescent="0.2">
      <c r="E44" s="57"/>
      <c r="F44" s="57"/>
      <c r="G44" s="57"/>
      <c r="H44" s="57"/>
      <c r="I44" s="57"/>
      <c r="J44" s="57"/>
      <c r="K44" s="57"/>
      <c r="L44" s="57"/>
    </row>
    <row r="45" spans="1:12" ht="15.95" customHeight="1" x14ac:dyDescent="0.2">
      <c r="E45" s="57"/>
      <c r="F45" s="57"/>
      <c r="G45" s="57"/>
      <c r="H45" s="57"/>
      <c r="I45" s="57"/>
      <c r="J45" s="57"/>
      <c r="K45" s="57"/>
      <c r="L45" s="57"/>
    </row>
    <row r="46" spans="1:12" ht="15.95" customHeight="1" x14ac:dyDescent="0.2">
      <c r="E46" s="57"/>
      <c r="F46" s="57"/>
      <c r="G46" s="57"/>
      <c r="H46" s="57"/>
      <c r="I46" s="57"/>
      <c r="J46" s="57"/>
      <c r="K46" s="57"/>
      <c r="L46" s="57"/>
    </row>
    <row r="47" spans="1:12" ht="15.95" customHeight="1" x14ac:dyDescent="0.2">
      <c r="E47" s="57"/>
      <c r="F47" s="57"/>
      <c r="G47" s="57"/>
      <c r="H47" s="57"/>
      <c r="I47" s="57"/>
      <c r="J47" s="57"/>
      <c r="K47" s="57"/>
      <c r="L47" s="57"/>
    </row>
    <row r="48" spans="1:12" ht="15.95" customHeight="1" x14ac:dyDescent="0.2">
      <c r="A48" s="1"/>
      <c r="B48" s="1"/>
      <c r="C48" s="1"/>
      <c r="D48" s="1"/>
      <c r="E48" s="57"/>
      <c r="F48" s="57"/>
      <c r="G48" s="57"/>
      <c r="H48" s="57"/>
      <c r="I48" s="57"/>
      <c r="J48" s="57"/>
      <c r="K48" s="57"/>
      <c r="L48" s="57"/>
    </row>
    <row r="49" spans="1:12" ht="15.95" customHeight="1" x14ac:dyDescent="0.2">
      <c r="A49" s="1"/>
      <c r="B49" s="1"/>
      <c r="C49" s="1"/>
      <c r="D49" s="1"/>
      <c r="E49" s="57"/>
      <c r="F49" s="57"/>
      <c r="G49" s="57"/>
      <c r="H49" s="57"/>
      <c r="I49" s="57"/>
      <c r="J49" s="57"/>
      <c r="K49" s="57"/>
      <c r="L49" s="57"/>
    </row>
    <row r="50" spans="1:12" ht="15.95" customHeight="1" x14ac:dyDescent="0.2">
      <c r="A50" s="1"/>
      <c r="B50" s="1"/>
      <c r="C50" s="1"/>
      <c r="D50" s="1"/>
      <c r="E50" s="57"/>
      <c r="F50" s="57"/>
      <c r="G50" s="57"/>
      <c r="H50" s="57"/>
      <c r="I50" s="57"/>
      <c r="J50" s="57"/>
      <c r="K50" s="57"/>
      <c r="L50" s="57"/>
    </row>
    <row r="51" spans="1:12" ht="15.95" customHeight="1" x14ac:dyDescent="0.2">
      <c r="A51" s="1"/>
      <c r="B51" s="1"/>
      <c r="C51" s="1"/>
      <c r="D51" s="1"/>
      <c r="E51" s="57"/>
      <c r="F51" s="57"/>
      <c r="G51" s="57"/>
      <c r="H51" s="57"/>
      <c r="I51" s="57"/>
      <c r="J51" s="57"/>
      <c r="K51" s="57"/>
      <c r="L51" s="57"/>
    </row>
    <row r="52" spans="1:12" ht="15.95" customHeight="1" x14ac:dyDescent="0.2">
      <c r="A52" s="1"/>
      <c r="B52" s="1"/>
      <c r="C52" s="1"/>
      <c r="D52" s="1"/>
      <c r="E52" s="57"/>
      <c r="F52" s="57"/>
      <c r="G52" s="57"/>
      <c r="H52" s="57"/>
      <c r="I52" s="57"/>
      <c r="J52" s="57"/>
      <c r="K52" s="57"/>
      <c r="L52" s="57"/>
    </row>
    <row r="53" spans="1:12" ht="15.95" customHeight="1" x14ac:dyDescent="0.2">
      <c r="A53" s="1"/>
      <c r="B53" s="1"/>
      <c r="C53" s="1"/>
      <c r="D53" s="1"/>
      <c r="E53" s="57"/>
      <c r="F53" s="57"/>
      <c r="G53" s="57"/>
      <c r="H53" s="57"/>
      <c r="I53" s="57"/>
      <c r="J53" s="57"/>
      <c r="K53" s="57"/>
      <c r="L53" s="57"/>
    </row>
    <row r="54" spans="1:12" ht="15.95" customHeight="1" x14ac:dyDescent="0.2">
      <c r="A54" s="1"/>
      <c r="B54" s="1"/>
      <c r="C54" s="1"/>
      <c r="D54" s="1"/>
      <c r="E54" s="57"/>
      <c r="F54" s="57"/>
      <c r="G54" s="57"/>
      <c r="H54" s="57"/>
      <c r="I54" s="57"/>
      <c r="J54" s="57"/>
      <c r="K54" s="57"/>
      <c r="L54" s="57"/>
    </row>
    <row r="55" spans="1:12" ht="15.95" customHeight="1" x14ac:dyDescent="0.2">
      <c r="A55" s="1"/>
      <c r="B55" s="1"/>
      <c r="C55" s="1"/>
      <c r="D55" s="1"/>
      <c r="E55" s="57"/>
      <c r="F55" s="57"/>
      <c r="G55" s="57"/>
      <c r="H55" s="57"/>
      <c r="I55" s="57"/>
      <c r="J55" s="57"/>
      <c r="K55" s="57"/>
      <c r="L55" s="57"/>
    </row>
    <row r="56" spans="1:12" ht="15.95" customHeight="1" x14ac:dyDescent="0.2">
      <c r="A56" s="1"/>
      <c r="B56" s="1"/>
      <c r="C56" s="1"/>
      <c r="D56" s="1"/>
      <c r="E56" s="57"/>
      <c r="F56" s="57"/>
      <c r="G56" s="57"/>
      <c r="H56" s="57"/>
      <c r="I56" s="57"/>
      <c r="J56" s="57"/>
      <c r="K56" s="57"/>
      <c r="L56" s="57"/>
    </row>
    <row r="57" spans="1:12" ht="15.95" customHeight="1" x14ac:dyDescent="0.2">
      <c r="A57" s="1"/>
      <c r="B57" s="1"/>
      <c r="C57" s="1"/>
      <c r="D57" s="1"/>
      <c r="E57" s="57"/>
      <c r="F57" s="57"/>
      <c r="G57" s="57"/>
      <c r="H57" s="57"/>
      <c r="I57" s="57"/>
      <c r="J57" s="57"/>
      <c r="K57" s="57"/>
      <c r="L57" s="57"/>
    </row>
    <row r="58" spans="1:12" ht="15.95" customHeight="1" x14ac:dyDescent="0.2">
      <c r="A58" s="1"/>
      <c r="B58" s="1"/>
      <c r="C58" s="1"/>
      <c r="D58" s="1"/>
      <c r="E58" s="57"/>
      <c r="F58" s="57"/>
      <c r="G58" s="57"/>
      <c r="H58" s="57"/>
      <c r="I58" s="57"/>
      <c r="J58" s="57"/>
      <c r="K58" s="57"/>
      <c r="L58" s="57"/>
    </row>
    <row r="59" spans="1:12" ht="15.95" customHeight="1" x14ac:dyDescent="0.2">
      <c r="A59" s="1"/>
      <c r="B59" s="1"/>
      <c r="C59" s="1"/>
      <c r="D59" s="1"/>
      <c r="E59" s="57"/>
      <c r="F59" s="57"/>
      <c r="G59" s="57"/>
      <c r="H59" s="57"/>
      <c r="I59" s="57"/>
      <c r="J59" s="57"/>
      <c r="K59" s="57"/>
      <c r="L59" s="57"/>
    </row>
    <row r="60" spans="1:12" ht="15.95" customHeight="1" x14ac:dyDescent="0.2">
      <c r="A60" s="1"/>
      <c r="B60" s="1"/>
      <c r="C60" s="1"/>
      <c r="D60" s="1"/>
      <c r="E60" s="57"/>
      <c r="F60" s="57"/>
      <c r="G60" s="57"/>
      <c r="H60" s="57"/>
      <c r="I60" s="57"/>
      <c r="J60" s="57"/>
      <c r="K60" s="57"/>
      <c r="L60" s="57"/>
    </row>
    <row r="61" spans="1:12" ht="15.95" customHeight="1" x14ac:dyDescent="0.2">
      <c r="A61" s="1"/>
      <c r="B61" s="1"/>
      <c r="C61" s="1"/>
      <c r="D61" s="1"/>
      <c r="E61" s="57"/>
      <c r="F61" s="57"/>
      <c r="G61" s="57"/>
      <c r="H61" s="57"/>
      <c r="I61" s="57"/>
      <c r="J61" s="57"/>
      <c r="K61" s="57"/>
      <c r="L61" s="57"/>
    </row>
    <row r="62" spans="1:12" ht="15.95" customHeight="1" x14ac:dyDescent="0.2">
      <c r="A62" s="1"/>
      <c r="B62" s="1"/>
      <c r="C62" s="1"/>
      <c r="D62" s="1"/>
      <c r="E62" s="57"/>
      <c r="F62" s="57"/>
      <c r="G62" s="57"/>
      <c r="H62" s="57"/>
      <c r="I62" s="57"/>
      <c r="J62" s="57"/>
      <c r="K62" s="57"/>
      <c r="L62" s="57"/>
    </row>
    <row r="63" spans="1:12" ht="15.95" customHeight="1" x14ac:dyDescent="0.2">
      <c r="A63" s="1"/>
      <c r="B63" s="1"/>
      <c r="C63" s="1"/>
      <c r="D63" s="1"/>
      <c r="E63" s="57"/>
      <c r="F63" s="57"/>
      <c r="G63" s="57"/>
      <c r="H63" s="57"/>
      <c r="I63" s="57"/>
      <c r="J63" s="57"/>
      <c r="K63" s="57"/>
      <c r="L63" s="57"/>
    </row>
    <row r="64" spans="1:12" ht="15.95" customHeight="1" x14ac:dyDescent="0.2">
      <c r="A64" s="1"/>
      <c r="B64" s="1"/>
      <c r="C64" s="1"/>
      <c r="D64" s="1"/>
      <c r="E64" s="57"/>
      <c r="F64" s="57"/>
      <c r="G64" s="57"/>
      <c r="H64" s="57"/>
      <c r="I64" s="57"/>
      <c r="J64" s="57"/>
      <c r="K64" s="57"/>
      <c r="L64" s="57"/>
    </row>
    <row r="65" spans="1:12" ht="15.95" customHeight="1" x14ac:dyDescent="0.2">
      <c r="A65" s="1"/>
      <c r="B65" s="1"/>
      <c r="C65" s="1"/>
      <c r="D65" s="1"/>
      <c r="E65" s="57"/>
      <c r="F65" s="57"/>
      <c r="G65" s="57"/>
      <c r="H65" s="57"/>
      <c r="I65" s="57"/>
      <c r="J65" s="57"/>
      <c r="K65" s="57"/>
      <c r="L65" s="57"/>
    </row>
    <row r="66" spans="1:12" ht="15.95" customHeight="1" x14ac:dyDescent="0.2">
      <c r="A66" s="1"/>
      <c r="B66" s="1"/>
      <c r="C66" s="1"/>
      <c r="D66" s="1"/>
      <c r="E66" s="57"/>
      <c r="F66" s="57"/>
      <c r="G66" s="57"/>
      <c r="H66" s="57"/>
      <c r="I66" s="57"/>
      <c r="J66" s="57"/>
      <c r="K66" s="57"/>
      <c r="L66" s="57"/>
    </row>
    <row r="67" spans="1:12" ht="15.95" customHeight="1" x14ac:dyDescent="0.2">
      <c r="A67" s="1"/>
      <c r="B67" s="1"/>
      <c r="C67" s="1"/>
      <c r="D67" s="1"/>
      <c r="E67" s="57"/>
      <c r="F67" s="57"/>
      <c r="G67" s="57"/>
      <c r="H67" s="57"/>
      <c r="I67" s="57"/>
      <c r="J67" s="57"/>
      <c r="K67" s="57"/>
      <c r="L67" s="57"/>
    </row>
    <row r="68" spans="1:12" ht="15.95" customHeight="1" x14ac:dyDescent="0.2">
      <c r="A68" s="1"/>
      <c r="B68" s="1"/>
      <c r="C68" s="1"/>
      <c r="D68" s="1"/>
      <c r="E68" s="57"/>
      <c r="F68" s="57"/>
      <c r="G68" s="57"/>
      <c r="H68" s="57"/>
      <c r="I68" s="57"/>
      <c r="J68" s="57"/>
      <c r="K68" s="57"/>
      <c r="L68" s="57"/>
    </row>
    <row r="69" spans="1:12" ht="15.95" customHeight="1" x14ac:dyDescent="0.2">
      <c r="A69" s="1"/>
      <c r="B69" s="1"/>
      <c r="C69" s="1"/>
      <c r="D69" s="1"/>
      <c r="E69" s="57"/>
      <c r="F69" s="57"/>
      <c r="G69" s="57"/>
      <c r="H69" s="57"/>
      <c r="I69" s="57"/>
      <c r="J69" s="57"/>
      <c r="K69" s="57"/>
      <c r="L69" s="57"/>
    </row>
    <row r="70" spans="1:12" ht="15.95" customHeight="1" x14ac:dyDescent="0.2">
      <c r="A70" s="1"/>
      <c r="B70" s="1"/>
      <c r="C70" s="1"/>
      <c r="D70" s="1"/>
      <c r="E70" s="57"/>
      <c r="F70" s="57"/>
      <c r="G70" s="57"/>
      <c r="H70" s="57"/>
      <c r="I70" s="57"/>
      <c r="J70" s="57"/>
      <c r="K70" s="57"/>
      <c r="L70" s="57"/>
    </row>
    <row r="71" spans="1:12" ht="15.95" customHeight="1" x14ac:dyDescent="0.2">
      <c r="A71" s="1"/>
      <c r="B71" s="1"/>
      <c r="C71" s="1"/>
      <c r="D71" s="1"/>
      <c r="E71" s="57"/>
      <c r="F71" s="57"/>
      <c r="G71" s="57"/>
      <c r="H71" s="57"/>
      <c r="I71" s="57"/>
      <c r="J71" s="57"/>
      <c r="K71" s="57"/>
      <c r="L71" s="57"/>
    </row>
    <row r="72" spans="1:12" ht="15.95" customHeight="1" x14ac:dyDescent="0.2">
      <c r="A72" s="1"/>
      <c r="B72" s="1"/>
      <c r="C72" s="1"/>
      <c r="D72" s="1"/>
      <c r="E72" s="57"/>
      <c r="F72" s="57"/>
      <c r="G72" s="57"/>
      <c r="H72" s="57"/>
      <c r="I72" s="57"/>
      <c r="J72" s="57"/>
      <c r="K72" s="57"/>
      <c r="L72" s="57"/>
    </row>
    <row r="73" spans="1:12" ht="15.95" customHeight="1" x14ac:dyDescent="0.2">
      <c r="A73" s="1"/>
      <c r="B73" s="1"/>
      <c r="C73" s="1"/>
      <c r="D73" s="1"/>
      <c r="E73" s="57"/>
      <c r="F73" s="57"/>
      <c r="G73" s="57"/>
      <c r="H73" s="57"/>
      <c r="I73" s="57"/>
      <c r="J73" s="57"/>
      <c r="K73" s="57"/>
      <c r="L73" s="57"/>
    </row>
    <row r="74" spans="1:12" ht="15.95" customHeight="1" x14ac:dyDescent="0.2">
      <c r="A74" s="1"/>
      <c r="B74" s="1"/>
      <c r="C74" s="1"/>
      <c r="D74" s="1"/>
      <c r="E74" s="57"/>
      <c r="F74" s="57"/>
      <c r="G74" s="57"/>
      <c r="H74" s="57"/>
      <c r="I74" s="57"/>
      <c r="J74" s="57"/>
      <c r="K74" s="57"/>
      <c r="L74" s="57"/>
    </row>
    <row r="75" spans="1:12" ht="15.95" customHeight="1" x14ac:dyDescent="0.2">
      <c r="A75" s="1"/>
      <c r="B75" s="1"/>
      <c r="C75" s="1"/>
      <c r="D75" s="1"/>
      <c r="E75" s="57"/>
      <c r="F75" s="57"/>
      <c r="G75" s="57"/>
      <c r="H75" s="57"/>
      <c r="I75" s="57"/>
      <c r="J75" s="57"/>
      <c r="K75" s="57"/>
      <c r="L75" s="57"/>
    </row>
    <row r="76" spans="1:12" ht="15.95" customHeight="1" x14ac:dyDescent="0.2">
      <c r="A76" s="1"/>
      <c r="B76" s="1"/>
      <c r="C76" s="1"/>
      <c r="D76" s="1"/>
      <c r="E76" s="57"/>
      <c r="F76" s="57"/>
      <c r="G76" s="57"/>
      <c r="H76" s="57"/>
      <c r="I76" s="57"/>
      <c r="J76" s="57"/>
      <c r="K76" s="57"/>
      <c r="L76" s="57"/>
    </row>
    <row r="77" spans="1:12" ht="15.95" customHeight="1" x14ac:dyDescent="0.2">
      <c r="A77" s="1"/>
      <c r="B77" s="1"/>
      <c r="C77" s="1"/>
      <c r="D77" s="1"/>
      <c r="E77" s="57"/>
      <c r="F77" s="57"/>
      <c r="G77" s="57"/>
      <c r="H77" s="57"/>
      <c r="I77" s="57"/>
      <c r="J77" s="57"/>
      <c r="K77" s="57"/>
      <c r="L77" s="57"/>
    </row>
    <row r="78" spans="1:12" ht="15.95" customHeight="1" x14ac:dyDescent="0.2">
      <c r="A78" s="1"/>
      <c r="B78" s="1"/>
      <c r="C78" s="1"/>
      <c r="D78" s="1"/>
      <c r="E78" s="57"/>
      <c r="F78" s="57"/>
      <c r="G78" s="57"/>
      <c r="H78" s="57"/>
      <c r="I78" s="57"/>
      <c r="J78" s="57"/>
      <c r="K78" s="57"/>
      <c r="L78" s="57"/>
    </row>
    <row r="79" spans="1:12" ht="15.95" customHeight="1" x14ac:dyDescent="0.2">
      <c r="A79" s="1"/>
      <c r="B79" s="1"/>
      <c r="C79" s="1"/>
      <c r="D79" s="1"/>
      <c r="E79" s="57"/>
      <c r="F79" s="57"/>
      <c r="G79" s="57"/>
      <c r="H79" s="57"/>
      <c r="I79" s="57"/>
      <c r="J79" s="57"/>
      <c r="K79" s="57"/>
      <c r="L79" s="57"/>
    </row>
    <row r="80" spans="1:12" ht="15.95" customHeight="1" x14ac:dyDescent="0.2">
      <c r="A80" s="1"/>
      <c r="B80" s="1"/>
      <c r="C80" s="1"/>
      <c r="D80" s="1"/>
      <c r="E80" s="57"/>
      <c r="F80" s="57"/>
      <c r="G80" s="57"/>
      <c r="H80" s="57"/>
      <c r="I80" s="57"/>
      <c r="J80" s="57"/>
      <c r="K80" s="57"/>
      <c r="L80" s="57"/>
    </row>
    <row r="81" spans="1:12" ht="15.95" customHeight="1" x14ac:dyDescent="0.2">
      <c r="A81" s="1"/>
      <c r="B81" s="1"/>
      <c r="C81" s="1"/>
      <c r="D81" s="1"/>
      <c r="E81" s="57"/>
      <c r="F81" s="57"/>
      <c r="G81" s="57"/>
      <c r="H81" s="57"/>
      <c r="I81" s="57"/>
      <c r="J81" s="57"/>
      <c r="K81" s="57"/>
      <c r="L81" s="57"/>
    </row>
    <row r="82" spans="1:12" ht="15.95" customHeight="1" x14ac:dyDescent="0.2">
      <c r="A82" s="1"/>
      <c r="B82" s="1"/>
      <c r="C82" s="1"/>
      <c r="D82" s="1"/>
      <c r="E82" s="57"/>
      <c r="F82" s="57"/>
      <c r="G82" s="57"/>
      <c r="H82" s="57"/>
      <c r="I82" s="57"/>
      <c r="J82" s="57"/>
      <c r="K82" s="57"/>
      <c r="L82" s="57"/>
    </row>
    <row r="83" spans="1:12" ht="15.95" customHeight="1" x14ac:dyDescent="0.2">
      <c r="A83" s="1"/>
      <c r="B83" s="1"/>
      <c r="C83" s="1"/>
      <c r="D83" s="1"/>
      <c r="E83" s="57"/>
      <c r="F83" s="57"/>
      <c r="G83" s="57"/>
      <c r="H83" s="57"/>
      <c r="I83" s="57"/>
      <c r="J83" s="57"/>
      <c r="K83" s="57"/>
      <c r="L83" s="57"/>
    </row>
    <row r="84" spans="1:12" ht="15.95" customHeight="1" x14ac:dyDescent="0.2">
      <c r="A84" s="1"/>
      <c r="B84" s="1"/>
      <c r="C84" s="1"/>
      <c r="D84" s="1"/>
      <c r="E84" s="57"/>
      <c r="F84" s="57"/>
      <c r="G84" s="57"/>
      <c r="H84" s="57"/>
      <c r="I84" s="57"/>
      <c r="J84" s="57"/>
      <c r="K84" s="57"/>
      <c r="L84" s="57"/>
    </row>
    <row r="85" spans="1:12" ht="15.95" customHeight="1" x14ac:dyDescent="0.2">
      <c r="A85" s="1"/>
      <c r="B85" s="1"/>
      <c r="C85" s="1"/>
      <c r="D85" s="1"/>
      <c r="E85" s="57"/>
      <c r="F85" s="57"/>
      <c r="G85" s="57"/>
      <c r="H85" s="57"/>
      <c r="I85" s="57"/>
      <c r="J85" s="57"/>
      <c r="K85" s="57"/>
      <c r="L85" s="57"/>
    </row>
    <row r="86" spans="1:12" ht="15.95" customHeight="1" x14ac:dyDescent="0.2">
      <c r="A86" s="1"/>
      <c r="B86" s="1"/>
      <c r="C86" s="1"/>
      <c r="D86" s="1"/>
      <c r="E86" s="57"/>
      <c r="F86" s="57"/>
      <c r="G86" s="57"/>
      <c r="H86" s="57"/>
      <c r="I86" s="57"/>
      <c r="J86" s="57"/>
      <c r="K86" s="57"/>
      <c r="L86" s="57"/>
    </row>
    <row r="87" spans="1:12" ht="15.95" customHeight="1" x14ac:dyDescent="0.2">
      <c r="A87" s="1"/>
      <c r="B87" s="1"/>
      <c r="C87" s="1"/>
      <c r="D87" s="1"/>
      <c r="E87" s="57"/>
      <c r="F87" s="57"/>
      <c r="G87" s="57"/>
      <c r="H87" s="57"/>
      <c r="I87" s="57"/>
      <c r="J87" s="57"/>
      <c r="K87" s="57"/>
      <c r="L87" s="57"/>
    </row>
    <row r="88" spans="1:12" ht="15.95" customHeight="1" x14ac:dyDescent="0.2">
      <c r="A88" s="1"/>
      <c r="B88" s="1"/>
      <c r="C88" s="1"/>
      <c r="D88" s="1"/>
      <c r="E88" s="57"/>
      <c r="F88" s="57"/>
      <c r="G88" s="57"/>
      <c r="H88" s="57"/>
      <c r="I88" s="57"/>
      <c r="J88" s="57"/>
      <c r="K88" s="57"/>
      <c r="L88" s="57"/>
    </row>
    <row r="89" spans="1:12" ht="15.95" customHeight="1" x14ac:dyDescent="0.2">
      <c r="A89" s="1"/>
      <c r="B89" s="1"/>
      <c r="C89" s="1"/>
      <c r="D89" s="1"/>
      <c r="E89" s="57"/>
      <c r="F89" s="57"/>
      <c r="G89" s="57"/>
      <c r="H89" s="57"/>
      <c r="I89" s="57"/>
      <c r="J89" s="57"/>
      <c r="K89" s="57"/>
      <c r="L89" s="57"/>
    </row>
    <row r="90" spans="1:12" ht="15.95" customHeight="1" x14ac:dyDescent="0.2">
      <c r="A90" s="1"/>
      <c r="B90" s="1"/>
      <c r="C90" s="1"/>
      <c r="D90" s="1"/>
      <c r="E90" s="57"/>
      <c r="F90" s="57"/>
      <c r="G90" s="57"/>
      <c r="H90" s="57"/>
      <c r="I90" s="57"/>
      <c r="J90" s="57"/>
      <c r="K90" s="57"/>
      <c r="L90" s="57"/>
    </row>
    <row r="91" spans="1:12" ht="15.95" customHeight="1" x14ac:dyDescent="0.2">
      <c r="A91" s="1"/>
      <c r="B91" s="1"/>
      <c r="C91" s="1"/>
      <c r="D91" s="1"/>
      <c r="E91" s="57"/>
      <c r="F91" s="57"/>
      <c r="G91" s="57"/>
      <c r="H91" s="57"/>
      <c r="I91" s="57"/>
      <c r="J91" s="57"/>
      <c r="K91" s="57"/>
      <c r="L91" s="57"/>
    </row>
    <row r="92" spans="1:12" ht="15.95" customHeight="1" x14ac:dyDescent="0.2">
      <c r="A92" s="1"/>
      <c r="B92" s="1"/>
      <c r="C92" s="1"/>
      <c r="D92" s="1"/>
      <c r="E92" s="57"/>
      <c r="F92" s="57"/>
      <c r="G92" s="57"/>
      <c r="H92" s="57"/>
      <c r="I92" s="57"/>
      <c r="J92" s="57"/>
      <c r="K92" s="57"/>
      <c r="L92" s="57"/>
    </row>
    <row r="93" spans="1:12" ht="15.95" customHeight="1" x14ac:dyDescent="0.2">
      <c r="A93" s="1"/>
      <c r="B93" s="1"/>
      <c r="C93" s="1"/>
      <c r="D93" s="1"/>
      <c r="E93" s="57"/>
      <c r="F93" s="57"/>
      <c r="G93" s="57"/>
      <c r="H93" s="57"/>
      <c r="I93" s="57"/>
      <c r="J93" s="57"/>
      <c r="K93" s="57"/>
      <c r="L93" s="57"/>
    </row>
    <row r="94" spans="1:12" ht="15.95" customHeight="1" x14ac:dyDescent="0.2">
      <c r="A94" s="1"/>
      <c r="B94" s="1"/>
      <c r="C94" s="1"/>
      <c r="D94" s="1"/>
      <c r="E94" s="57"/>
      <c r="F94" s="57"/>
      <c r="G94" s="57"/>
      <c r="H94" s="57"/>
      <c r="I94" s="57"/>
      <c r="J94" s="57"/>
      <c r="K94" s="57"/>
      <c r="L94" s="57"/>
    </row>
    <row r="95" spans="1:12" ht="15.95" customHeight="1" x14ac:dyDescent="0.2">
      <c r="A95" s="1"/>
      <c r="B95" s="1"/>
      <c r="C95" s="1"/>
      <c r="D95" s="1"/>
      <c r="E95" s="57"/>
      <c r="F95" s="57"/>
      <c r="G95" s="57"/>
      <c r="H95" s="57"/>
      <c r="I95" s="57"/>
      <c r="J95" s="57"/>
      <c r="K95" s="57"/>
      <c r="L95" s="57"/>
    </row>
    <row r="96" spans="1:12" ht="15.95" customHeight="1" x14ac:dyDescent="0.2">
      <c r="A96" s="1"/>
      <c r="B96" s="1"/>
      <c r="C96" s="1"/>
      <c r="D96" s="1"/>
      <c r="E96" s="57"/>
      <c r="F96" s="57"/>
      <c r="G96" s="57"/>
      <c r="H96" s="57"/>
      <c r="I96" s="57"/>
      <c r="J96" s="57"/>
      <c r="K96" s="57"/>
      <c r="L96" s="57"/>
    </row>
    <row r="97" spans="1:12" ht="15.95" customHeight="1" x14ac:dyDescent="0.2">
      <c r="A97" s="1"/>
      <c r="B97" s="1"/>
      <c r="C97" s="1"/>
      <c r="D97" s="1"/>
      <c r="E97" s="57"/>
      <c r="F97" s="57"/>
      <c r="G97" s="57"/>
      <c r="H97" s="57"/>
      <c r="I97" s="57"/>
      <c r="J97" s="57"/>
      <c r="K97" s="57"/>
      <c r="L97" s="57"/>
    </row>
    <row r="98" spans="1:12" ht="15.95" customHeight="1" x14ac:dyDescent="0.2">
      <c r="A98" s="1"/>
      <c r="B98" s="1"/>
      <c r="C98" s="1"/>
      <c r="D98" s="1"/>
      <c r="E98" s="57"/>
      <c r="F98" s="57"/>
      <c r="G98" s="57"/>
      <c r="H98" s="57"/>
      <c r="I98" s="57"/>
      <c r="J98" s="57"/>
      <c r="K98" s="57"/>
      <c r="L98" s="57"/>
    </row>
    <row r="99" spans="1:12" ht="15.95" customHeight="1" x14ac:dyDescent="0.2">
      <c r="A99" s="1"/>
      <c r="B99" s="1"/>
      <c r="C99" s="1"/>
      <c r="D99" s="1"/>
      <c r="E99" s="57"/>
      <c r="F99" s="57"/>
      <c r="G99" s="57"/>
      <c r="H99" s="57"/>
      <c r="I99" s="57"/>
      <c r="J99" s="57"/>
      <c r="K99" s="57"/>
      <c r="L99" s="57"/>
    </row>
    <row r="100" spans="1:12" ht="15.95" customHeight="1" x14ac:dyDescent="0.2">
      <c r="A100" s="1"/>
      <c r="B100" s="1"/>
      <c r="C100" s="1"/>
      <c r="D100" s="1"/>
      <c r="E100" s="57"/>
      <c r="F100" s="57"/>
      <c r="G100" s="57"/>
      <c r="H100" s="57"/>
      <c r="I100" s="57"/>
      <c r="J100" s="57"/>
      <c r="K100" s="57"/>
      <c r="L100" s="57"/>
    </row>
    <row r="101" spans="1:12" ht="15.95" customHeight="1" x14ac:dyDescent="0.2">
      <c r="A101" s="1"/>
      <c r="B101" s="1"/>
      <c r="C101" s="1"/>
      <c r="D101" s="1"/>
      <c r="E101" s="57"/>
      <c r="F101" s="57"/>
      <c r="G101" s="57"/>
      <c r="H101" s="57"/>
      <c r="I101" s="57"/>
      <c r="J101" s="57"/>
      <c r="K101" s="57"/>
      <c r="L101" s="57"/>
    </row>
    <row r="102" spans="1:12" ht="15.95" customHeight="1" x14ac:dyDescent="0.2">
      <c r="A102" s="1"/>
      <c r="B102" s="1"/>
      <c r="C102" s="1"/>
      <c r="D102" s="1"/>
      <c r="E102" s="57"/>
      <c r="F102" s="57"/>
      <c r="G102" s="57"/>
      <c r="H102" s="57"/>
      <c r="I102" s="57"/>
      <c r="J102" s="57"/>
      <c r="K102" s="57"/>
      <c r="L102" s="57"/>
    </row>
    <row r="103" spans="1:12" ht="15.95" customHeight="1" x14ac:dyDescent="0.2">
      <c r="A103" s="1"/>
      <c r="B103" s="1"/>
      <c r="C103" s="1"/>
      <c r="D103" s="1"/>
      <c r="E103" s="57"/>
      <c r="F103" s="57"/>
      <c r="G103" s="57"/>
      <c r="H103" s="57"/>
      <c r="I103" s="57"/>
      <c r="J103" s="57"/>
      <c r="K103" s="57"/>
      <c r="L103" s="57"/>
    </row>
    <row r="104" spans="1:12" ht="15.95" customHeight="1" x14ac:dyDescent="0.2">
      <c r="A104" s="1"/>
      <c r="B104" s="1"/>
      <c r="C104" s="1"/>
      <c r="D104" s="1"/>
      <c r="E104" s="57"/>
      <c r="F104" s="57"/>
      <c r="G104" s="57"/>
      <c r="H104" s="57"/>
      <c r="I104" s="57"/>
      <c r="J104" s="57"/>
      <c r="K104" s="57"/>
      <c r="L104" s="57"/>
    </row>
    <row r="105" spans="1:12" ht="15.95" customHeight="1" x14ac:dyDescent="0.2">
      <c r="A105" s="1"/>
      <c r="B105" s="1"/>
      <c r="C105" s="1"/>
      <c r="D105" s="1"/>
      <c r="E105" s="57"/>
      <c r="F105" s="57"/>
      <c r="G105" s="57"/>
      <c r="H105" s="57"/>
      <c r="I105" s="57"/>
      <c r="J105" s="57"/>
      <c r="K105" s="57"/>
      <c r="L105" s="57"/>
    </row>
    <row r="106" spans="1:12" ht="15.95" customHeight="1" x14ac:dyDescent="0.2">
      <c r="A106" s="1"/>
      <c r="B106" s="1"/>
      <c r="C106" s="1"/>
      <c r="D106" s="1"/>
      <c r="E106" s="57"/>
      <c r="F106" s="57"/>
      <c r="G106" s="57"/>
      <c r="H106" s="57"/>
      <c r="I106" s="57"/>
      <c r="J106" s="57"/>
      <c r="K106" s="57"/>
      <c r="L106" s="57"/>
    </row>
    <row r="107" spans="1:12" ht="15.95" customHeight="1" x14ac:dyDescent="0.2">
      <c r="A107" s="1"/>
      <c r="B107" s="1"/>
      <c r="C107" s="1"/>
      <c r="D107" s="1"/>
      <c r="E107" s="57"/>
      <c r="F107" s="57"/>
      <c r="G107" s="57"/>
      <c r="H107" s="57"/>
      <c r="I107" s="57"/>
      <c r="J107" s="57"/>
      <c r="K107" s="57"/>
      <c r="L107" s="57"/>
    </row>
    <row r="108" spans="1:12" ht="15.95" customHeight="1" x14ac:dyDescent="0.2">
      <c r="A108" s="1"/>
      <c r="B108" s="1"/>
      <c r="C108" s="1"/>
      <c r="D108" s="1"/>
      <c r="E108" s="57"/>
      <c r="F108" s="57"/>
      <c r="G108" s="57"/>
      <c r="H108" s="57"/>
      <c r="I108" s="57"/>
      <c r="J108" s="57"/>
      <c r="K108" s="57"/>
      <c r="L108" s="57"/>
    </row>
    <row r="109" spans="1:12" ht="15.95" customHeight="1" x14ac:dyDescent="0.2">
      <c r="A109" s="1"/>
      <c r="B109" s="1"/>
      <c r="C109" s="1"/>
      <c r="D109" s="1"/>
      <c r="E109" s="57"/>
      <c r="F109" s="57"/>
      <c r="G109" s="57"/>
      <c r="H109" s="57"/>
      <c r="I109" s="57"/>
      <c r="J109" s="57"/>
      <c r="K109" s="57"/>
      <c r="L109" s="57"/>
    </row>
    <row r="110" spans="1:12" ht="15.95" customHeight="1" x14ac:dyDescent="0.2">
      <c r="A110" s="1"/>
      <c r="B110" s="1"/>
      <c r="C110" s="1"/>
      <c r="D110" s="1"/>
      <c r="E110" s="57"/>
      <c r="F110" s="57"/>
      <c r="G110" s="57"/>
      <c r="H110" s="57"/>
      <c r="I110" s="57"/>
      <c r="J110" s="57"/>
      <c r="K110" s="57"/>
      <c r="L110" s="57"/>
    </row>
    <row r="111" spans="1:12" x14ac:dyDescent="0.2">
      <c r="A111" s="1"/>
      <c r="B111" s="1"/>
      <c r="C111" s="1"/>
      <c r="D111" s="1"/>
      <c r="E111" s="57"/>
      <c r="F111" s="57"/>
      <c r="G111" s="57"/>
      <c r="H111" s="57"/>
      <c r="I111" s="57"/>
      <c r="J111" s="57"/>
      <c r="K111" s="57"/>
      <c r="L111" s="57"/>
    </row>
    <row r="112" spans="1:12" x14ac:dyDescent="0.2">
      <c r="A112" s="1"/>
      <c r="B112" s="1"/>
      <c r="C112" s="1"/>
      <c r="D112" s="1"/>
      <c r="E112" s="57"/>
      <c r="F112" s="57"/>
      <c r="G112" s="57"/>
      <c r="H112" s="57"/>
      <c r="I112" s="57"/>
      <c r="J112" s="57"/>
      <c r="K112" s="57"/>
      <c r="L112" s="57"/>
    </row>
    <row r="113" spans="1:12" x14ac:dyDescent="0.2">
      <c r="A113" s="1"/>
      <c r="B113" s="1"/>
      <c r="C113" s="1"/>
      <c r="D113" s="1"/>
      <c r="E113" s="57"/>
      <c r="F113" s="57"/>
      <c r="G113" s="57"/>
      <c r="H113" s="57"/>
      <c r="I113" s="57"/>
      <c r="J113" s="57"/>
      <c r="K113" s="57"/>
      <c r="L113" s="57"/>
    </row>
    <row r="114" spans="1:12" x14ac:dyDescent="0.2">
      <c r="A114" s="1"/>
      <c r="B114" s="1"/>
      <c r="C114" s="1"/>
      <c r="D114" s="1"/>
      <c r="E114" s="57"/>
      <c r="F114" s="57"/>
      <c r="G114" s="57"/>
      <c r="H114" s="57"/>
      <c r="I114" s="57"/>
      <c r="J114" s="57"/>
      <c r="K114" s="57"/>
      <c r="L114" s="57"/>
    </row>
    <row r="115" spans="1:12" x14ac:dyDescent="0.2">
      <c r="A115" s="1"/>
      <c r="B115" s="1"/>
      <c r="C115" s="1"/>
      <c r="D115" s="1"/>
      <c r="E115" s="57"/>
      <c r="F115" s="57"/>
      <c r="G115" s="57"/>
      <c r="H115" s="57"/>
      <c r="I115" s="57"/>
      <c r="J115" s="57"/>
      <c r="K115" s="57"/>
      <c r="L115" s="57"/>
    </row>
    <row r="116" spans="1:12" x14ac:dyDescent="0.2">
      <c r="A116" s="1"/>
      <c r="B116" s="1"/>
      <c r="C116" s="1"/>
      <c r="D116" s="1"/>
      <c r="E116" s="57"/>
      <c r="F116" s="57"/>
      <c r="G116" s="57"/>
      <c r="H116" s="57"/>
      <c r="I116" s="57"/>
      <c r="J116" s="57"/>
      <c r="K116" s="57"/>
      <c r="L116" s="57"/>
    </row>
    <row r="117" spans="1:12" x14ac:dyDescent="0.2">
      <c r="A117" s="1"/>
      <c r="B117" s="1"/>
      <c r="C117" s="1"/>
      <c r="D117" s="1"/>
      <c r="E117" s="57"/>
      <c r="F117" s="57"/>
      <c r="G117" s="57"/>
      <c r="H117" s="57"/>
      <c r="I117" s="57"/>
      <c r="J117" s="57"/>
      <c r="K117" s="57"/>
      <c r="L117" s="57"/>
    </row>
    <row r="118" spans="1:12" x14ac:dyDescent="0.2">
      <c r="A118" s="1"/>
      <c r="B118" s="1"/>
      <c r="C118" s="1"/>
      <c r="D118" s="1"/>
      <c r="E118" s="57"/>
      <c r="F118" s="57"/>
      <c r="G118" s="57"/>
      <c r="H118" s="57"/>
      <c r="I118" s="57"/>
      <c r="J118" s="57"/>
      <c r="K118" s="57"/>
      <c r="L118" s="57"/>
    </row>
    <row r="119" spans="1:12" x14ac:dyDescent="0.2">
      <c r="A119" s="1"/>
      <c r="B119" s="1"/>
      <c r="C119" s="1"/>
      <c r="D119" s="1"/>
      <c r="E119" s="57"/>
      <c r="F119" s="57"/>
      <c r="G119" s="57"/>
      <c r="H119" s="57"/>
      <c r="I119" s="57"/>
      <c r="J119" s="57"/>
      <c r="K119" s="57"/>
      <c r="L119" s="57"/>
    </row>
    <row r="120" spans="1:12" x14ac:dyDescent="0.2">
      <c r="A120" s="1"/>
      <c r="B120" s="1"/>
      <c r="C120" s="1"/>
      <c r="D120" s="1"/>
      <c r="E120" s="57"/>
      <c r="F120" s="57"/>
      <c r="G120" s="57"/>
      <c r="H120" s="57"/>
      <c r="I120" s="57"/>
      <c r="J120" s="57"/>
      <c r="K120" s="57"/>
      <c r="L120" s="57"/>
    </row>
    <row r="121" spans="1:12" x14ac:dyDescent="0.2">
      <c r="A121" s="1"/>
      <c r="B121" s="1"/>
      <c r="C121" s="1"/>
      <c r="D121" s="1"/>
      <c r="E121" s="57"/>
      <c r="F121" s="57"/>
      <c r="G121" s="57"/>
      <c r="H121" s="57"/>
      <c r="I121" s="57"/>
      <c r="J121" s="57"/>
      <c r="K121" s="57"/>
      <c r="L121" s="57"/>
    </row>
    <row r="122" spans="1:12" x14ac:dyDescent="0.2">
      <c r="A122" s="1"/>
      <c r="B122" s="1"/>
      <c r="C122" s="1"/>
      <c r="D122" s="1"/>
      <c r="E122" s="57"/>
      <c r="F122" s="57"/>
      <c r="G122" s="57"/>
      <c r="H122" s="57"/>
      <c r="I122" s="57"/>
      <c r="J122" s="57"/>
      <c r="K122" s="57"/>
      <c r="L122" s="57"/>
    </row>
    <row r="123" spans="1:12" x14ac:dyDescent="0.2">
      <c r="A123" s="1"/>
      <c r="B123" s="1"/>
      <c r="C123" s="1"/>
      <c r="D123" s="1"/>
      <c r="E123" s="57"/>
      <c r="F123" s="57"/>
      <c r="G123" s="57"/>
      <c r="H123" s="57"/>
      <c r="I123" s="57"/>
      <c r="J123" s="57"/>
      <c r="K123" s="57"/>
      <c r="L123" s="57"/>
    </row>
    <row r="124" spans="1:12" x14ac:dyDescent="0.2">
      <c r="A124" s="1"/>
      <c r="B124" s="1"/>
      <c r="C124" s="1"/>
      <c r="D124" s="1"/>
      <c r="E124" s="57"/>
      <c r="F124" s="57"/>
      <c r="G124" s="57"/>
      <c r="H124" s="57"/>
      <c r="I124" s="57"/>
      <c r="J124" s="57"/>
      <c r="K124" s="57"/>
      <c r="L124" s="57"/>
    </row>
    <row r="125" spans="1:12" x14ac:dyDescent="0.2">
      <c r="A125" s="1"/>
      <c r="B125" s="1"/>
      <c r="C125" s="1"/>
      <c r="D125" s="1"/>
      <c r="E125" s="57"/>
      <c r="F125" s="57"/>
      <c r="G125" s="57"/>
      <c r="H125" s="57"/>
      <c r="I125" s="57"/>
      <c r="J125" s="57"/>
      <c r="K125" s="57"/>
      <c r="L125" s="57"/>
    </row>
    <row r="126" spans="1:12" x14ac:dyDescent="0.2">
      <c r="A126" s="1"/>
      <c r="B126" s="1"/>
      <c r="C126" s="1"/>
      <c r="D126" s="1"/>
      <c r="E126" s="57"/>
      <c r="F126" s="57"/>
      <c r="G126" s="57"/>
      <c r="H126" s="57"/>
      <c r="I126" s="57"/>
      <c r="J126" s="57"/>
      <c r="K126" s="57"/>
      <c r="L126" s="57"/>
    </row>
    <row r="127" spans="1:12" x14ac:dyDescent="0.2">
      <c r="A127" s="1"/>
      <c r="B127" s="1"/>
      <c r="C127" s="1"/>
      <c r="D127" s="1"/>
      <c r="E127" s="57"/>
      <c r="F127" s="57"/>
      <c r="G127" s="57"/>
      <c r="H127" s="57"/>
      <c r="I127" s="57"/>
      <c r="J127" s="57"/>
      <c r="K127" s="57"/>
      <c r="L127" s="57"/>
    </row>
    <row r="128" spans="1:12" x14ac:dyDescent="0.2">
      <c r="A128" s="1"/>
      <c r="B128" s="1"/>
      <c r="C128" s="1"/>
      <c r="D128" s="1"/>
      <c r="E128" s="57"/>
      <c r="F128" s="57"/>
      <c r="G128" s="57"/>
      <c r="H128" s="57"/>
      <c r="I128" s="57"/>
      <c r="J128" s="57"/>
      <c r="K128" s="57"/>
      <c r="L128" s="57"/>
    </row>
    <row r="129" spans="1:12" x14ac:dyDescent="0.2">
      <c r="A129" s="1"/>
      <c r="B129" s="1"/>
      <c r="C129" s="1"/>
      <c r="D129" s="1"/>
      <c r="E129" s="57"/>
      <c r="F129" s="57"/>
      <c r="G129" s="57"/>
      <c r="H129" s="57"/>
      <c r="I129" s="57"/>
      <c r="J129" s="57"/>
      <c r="K129" s="57"/>
      <c r="L129" s="57"/>
    </row>
    <row r="130" spans="1:12" x14ac:dyDescent="0.2">
      <c r="A130" s="1"/>
      <c r="B130" s="1"/>
      <c r="C130" s="1"/>
      <c r="D130" s="1"/>
      <c r="E130" s="57"/>
      <c r="F130" s="57"/>
      <c r="G130" s="57"/>
      <c r="H130" s="57"/>
      <c r="I130" s="57"/>
      <c r="J130" s="57"/>
      <c r="K130" s="57"/>
      <c r="L130" s="57"/>
    </row>
    <row r="131" spans="1:12" x14ac:dyDescent="0.2">
      <c r="A131" s="1"/>
      <c r="B131" s="1"/>
      <c r="C131" s="1"/>
      <c r="D131" s="1"/>
      <c r="E131" s="57"/>
      <c r="F131" s="57"/>
      <c r="G131" s="57"/>
      <c r="H131" s="57"/>
      <c r="I131" s="57"/>
      <c r="J131" s="57"/>
      <c r="K131" s="57"/>
      <c r="L131" s="57"/>
    </row>
    <row r="132" spans="1:12" x14ac:dyDescent="0.2">
      <c r="A132" s="1"/>
      <c r="B132" s="1"/>
      <c r="C132" s="1"/>
      <c r="D132" s="1"/>
      <c r="E132" s="57"/>
      <c r="F132" s="57"/>
      <c r="G132" s="57"/>
      <c r="H132" s="57"/>
      <c r="I132" s="57"/>
      <c r="J132" s="57"/>
      <c r="K132" s="57"/>
      <c r="L132" s="57"/>
    </row>
    <row r="133" spans="1:12" x14ac:dyDescent="0.2">
      <c r="A133" s="1"/>
      <c r="B133" s="1"/>
      <c r="C133" s="1"/>
      <c r="D133" s="1"/>
      <c r="E133" s="57"/>
      <c r="F133" s="57"/>
      <c r="G133" s="57"/>
      <c r="H133" s="57"/>
      <c r="I133" s="57"/>
      <c r="J133" s="57"/>
      <c r="K133" s="57"/>
      <c r="L133" s="57"/>
    </row>
    <row r="134" spans="1:12" x14ac:dyDescent="0.2">
      <c r="A134" s="1"/>
      <c r="B134" s="1"/>
      <c r="C134" s="1"/>
      <c r="D134" s="1"/>
      <c r="E134" s="57"/>
      <c r="F134" s="57"/>
      <c r="G134" s="57"/>
      <c r="H134" s="57"/>
      <c r="I134" s="57"/>
      <c r="J134" s="57"/>
      <c r="K134" s="57"/>
      <c r="L134" s="57"/>
    </row>
    <row r="135" spans="1:12" x14ac:dyDescent="0.2">
      <c r="A135" s="1"/>
      <c r="B135" s="1"/>
      <c r="C135" s="1"/>
      <c r="D135" s="1"/>
      <c r="E135" s="57"/>
      <c r="F135" s="57"/>
      <c r="G135" s="57"/>
      <c r="H135" s="57"/>
      <c r="I135" s="57"/>
      <c r="J135" s="57"/>
      <c r="K135" s="57"/>
      <c r="L135" s="57"/>
    </row>
    <row r="136" spans="1:12" x14ac:dyDescent="0.2">
      <c r="A136" s="1"/>
      <c r="B136" s="1"/>
      <c r="C136" s="1"/>
      <c r="D136" s="1"/>
      <c r="E136" s="57"/>
      <c r="F136" s="57"/>
      <c r="G136" s="57"/>
      <c r="H136" s="57"/>
      <c r="I136" s="57"/>
      <c r="J136" s="57"/>
      <c r="K136" s="57"/>
      <c r="L136" s="57"/>
    </row>
    <row r="137" spans="1:12" x14ac:dyDescent="0.2">
      <c r="A137" s="1"/>
      <c r="B137" s="1"/>
      <c r="C137" s="1"/>
      <c r="D137" s="1"/>
      <c r="E137" s="57"/>
      <c r="F137" s="57"/>
      <c r="G137" s="57"/>
      <c r="H137" s="57"/>
      <c r="I137" s="57"/>
      <c r="J137" s="57"/>
      <c r="K137" s="57"/>
      <c r="L137" s="57"/>
    </row>
    <row r="138" spans="1:12" x14ac:dyDescent="0.2">
      <c r="A138" s="1"/>
      <c r="B138" s="1"/>
      <c r="C138" s="1"/>
      <c r="D138" s="1"/>
      <c r="E138" s="57"/>
      <c r="F138" s="57"/>
      <c r="G138" s="57"/>
      <c r="H138" s="57"/>
      <c r="I138" s="57"/>
      <c r="J138" s="57"/>
      <c r="K138" s="57"/>
      <c r="L138" s="57"/>
    </row>
    <row r="139" spans="1:12" x14ac:dyDescent="0.2">
      <c r="A139" s="1"/>
      <c r="B139" s="1"/>
      <c r="C139" s="1"/>
      <c r="D139" s="1"/>
      <c r="E139" s="57"/>
      <c r="F139" s="57"/>
      <c r="G139" s="57"/>
      <c r="H139" s="57"/>
      <c r="I139" s="57"/>
      <c r="J139" s="57"/>
      <c r="K139" s="57"/>
      <c r="L139" s="57"/>
    </row>
    <row r="140" spans="1:12" x14ac:dyDescent="0.2">
      <c r="A140" s="1"/>
      <c r="B140" s="1"/>
      <c r="C140" s="1"/>
      <c r="D140" s="1"/>
      <c r="E140" s="57"/>
      <c r="F140" s="57"/>
      <c r="G140" s="57"/>
      <c r="H140" s="57"/>
      <c r="I140" s="57"/>
      <c r="J140" s="57"/>
      <c r="K140" s="57"/>
      <c r="L140" s="57"/>
    </row>
    <row r="141" spans="1:12" x14ac:dyDescent="0.2">
      <c r="A141" s="1"/>
      <c r="B141" s="1"/>
      <c r="C141" s="1"/>
      <c r="D141" s="1"/>
      <c r="E141" s="57"/>
      <c r="F141" s="57"/>
      <c r="G141" s="57"/>
      <c r="H141" s="57"/>
      <c r="I141" s="57"/>
      <c r="J141" s="57"/>
      <c r="K141" s="57"/>
      <c r="L141" s="57"/>
    </row>
    <row r="142" spans="1:12" x14ac:dyDescent="0.2">
      <c r="A142" s="1"/>
      <c r="B142" s="1"/>
      <c r="C142" s="1"/>
      <c r="D142" s="1"/>
      <c r="E142" s="57"/>
      <c r="F142" s="57"/>
      <c r="G142" s="57"/>
      <c r="H142" s="57"/>
      <c r="I142" s="57"/>
      <c r="J142" s="57"/>
      <c r="K142" s="57"/>
      <c r="L142" s="57"/>
    </row>
    <row r="143" spans="1:12" x14ac:dyDescent="0.2">
      <c r="A143" s="1"/>
      <c r="B143" s="1"/>
      <c r="C143" s="1"/>
      <c r="D143" s="1"/>
      <c r="E143" s="57"/>
      <c r="F143" s="57"/>
      <c r="G143" s="57"/>
      <c r="H143" s="57"/>
      <c r="I143" s="57"/>
      <c r="J143" s="57"/>
      <c r="K143" s="57"/>
      <c r="L143" s="57"/>
    </row>
    <row r="144" spans="1:12" x14ac:dyDescent="0.2">
      <c r="A144" s="1"/>
      <c r="B144" s="1"/>
      <c r="C144" s="1"/>
      <c r="D144" s="1"/>
      <c r="E144" s="57"/>
      <c r="F144" s="57"/>
      <c r="G144" s="57"/>
      <c r="H144" s="57"/>
      <c r="I144" s="57"/>
      <c r="J144" s="57"/>
      <c r="K144" s="57"/>
      <c r="L144" s="57"/>
    </row>
    <row r="145" spans="1:12" x14ac:dyDescent="0.2">
      <c r="A145" s="1"/>
      <c r="B145" s="1"/>
      <c r="C145" s="1"/>
      <c r="D145" s="1"/>
      <c r="E145" s="57"/>
      <c r="F145" s="57"/>
      <c r="G145" s="57"/>
      <c r="H145" s="57"/>
      <c r="I145" s="57"/>
      <c r="J145" s="57"/>
      <c r="K145" s="57"/>
      <c r="L145" s="57"/>
    </row>
    <row r="146" spans="1:12" x14ac:dyDescent="0.2">
      <c r="A146" s="1"/>
      <c r="B146" s="1"/>
      <c r="C146" s="1"/>
      <c r="D146" s="1"/>
      <c r="E146" s="57"/>
      <c r="F146" s="57"/>
      <c r="G146" s="57"/>
      <c r="H146" s="57"/>
      <c r="I146" s="57"/>
      <c r="J146" s="57"/>
      <c r="K146" s="57"/>
      <c r="L146" s="57"/>
    </row>
    <row r="147" spans="1:12" x14ac:dyDescent="0.2">
      <c r="A147" s="1"/>
      <c r="B147" s="1"/>
      <c r="C147" s="1"/>
      <c r="D147" s="1"/>
      <c r="E147" s="57"/>
      <c r="F147" s="57"/>
      <c r="G147" s="57"/>
      <c r="H147" s="57"/>
      <c r="I147" s="57"/>
      <c r="J147" s="57"/>
      <c r="K147" s="57"/>
      <c r="L147" s="57"/>
    </row>
    <row r="148" spans="1:12" x14ac:dyDescent="0.2">
      <c r="A148" s="1"/>
      <c r="B148" s="1"/>
      <c r="C148" s="1"/>
      <c r="D148" s="1"/>
      <c r="E148" s="57"/>
      <c r="F148" s="57"/>
      <c r="G148" s="57"/>
      <c r="H148" s="57"/>
      <c r="I148" s="57"/>
      <c r="J148" s="57"/>
      <c r="K148" s="57"/>
      <c r="L148" s="57"/>
    </row>
    <row r="149" spans="1:12" x14ac:dyDescent="0.2">
      <c r="A149" s="1"/>
      <c r="B149" s="1"/>
      <c r="C149" s="1"/>
      <c r="D149" s="1"/>
      <c r="E149" s="57"/>
      <c r="F149" s="57"/>
      <c r="G149" s="57"/>
      <c r="H149" s="57"/>
      <c r="I149" s="57"/>
      <c r="J149" s="57"/>
      <c r="K149" s="57"/>
      <c r="L149" s="57"/>
    </row>
    <row r="150" spans="1:12" x14ac:dyDescent="0.2">
      <c r="A150" s="1"/>
      <c r="B150" s="1"/>
      <c r="C150" s="1"/>
      <c r="D150" s="1"/>
      <c r="E150" s="57"/>
      <c r="F150" s="57"/>
      <c r="G150" s="57"/>
      <c r="H150" s="57"/>
      <c r="I150" s="57"/>
      <c r="J150" s="57"/>
      <c r="K150" s="57"/>
      <c r="L150" s="57"/>
    </row>
    <row r="151" spans="1:12" x14ac:dyDescent="0.2">
      <c r="A151" s="1"/>
      <c r="B151" s="1"/>
      <c r="C151" s="1"/>
      <c r="D151" s="1"/>
      <c r="E151" s="57"/>
      <c r="F151" s="57"/>
      <c r="G151" s="57"/>
      <c r="H151" s="57"/>
      <c r="I151" s="57"/>
      <c r="J151" s="57"/>
      <c r="K151" s="57"/>
      <c r="L151" s="57"/>
    </row>
    <row r="152" spans="1:12" x14ac:dyDescent="0.2">
      <c r="A152" s="1"/>
      <c r="B152" s="1"/>
      <c r="C152" s="1"/>
      <c r="D152" s="1"/>
      <c r="E152" s="57"/>
      <c r="F152" s="57"/>
      <c r="G152" s="57"/>
      <c r="H152" s="57"/>
      <c r="I152" s="57"/>
      <c r="J152" s="57"/>
      <c r="K152" s="57"/>
      <c r="L152" s="57"/>
    </row>
    <row r="153" spans="1:12" x14ac:dyDescent="0.2">
      <c r="A153" s="1"/>
      <c r="B153" s="1"/>
      <c r="C153" s="1"/>
      <c r="D153" s="1"/>
      <c r="E153" s="57"/>
      <c r="F153" s="57"/>
      <c r="G153" s="57"/>
      <c r="H153" s="57"/>
      <c r="I153" s="57"/>
      <c r="J153" s="57"/>
      <c r="K153" s="57"/>
      <c r="L153" s="57"/>
    </row>
    <row r="154" spans="1:12" x14ac:dyDescent="0.2">
      <c r="A154" s="1"/>
      <c r="B154" s="1"/>
      <c r="C154" s="1"/>
      <c r="D154" s="1"/>
      <c r="E154" s="57"/>
      <c r="F154" s="57"/>
      <c r="G154" s="57"/>
      <c r="H154" s="57"/>
      <c r="I154" s="57"/>
      <c r="J154" s="57"/>
      <c r="K154" s="57"/>
      <c r="L154" s="57"/>
    </row>
    <row r="155" spans="1:12" x14ac:dyDescent="0.2">
      <c r="A155" s="1"/>
      <c r="B155" s="1"/>
      <c r="C155" s="1"/>
      <c r="D155" s="1"/>
      <c r="E155" s="57"/>
      <c r="F155" s="57"/>
      <c r="G155" s="57"/>
      <c r="H155" s="57"/>
      <c r="I155" s="57"/>
      <c r="J155" s="57"/>
      <c r="K155" s="57"/>
      <c r="L155" s="57"/>
    </row>
    <row r="156" spans="1:12" x14ac:dyDescent="0.2">
      <c r="A156" s="1"/>
      <c r="B156" s="1"/>
      <c r="C156" s="1"/>
      <c r="D156" s="1"/>
      <c r="E156" s="57"/>
      <c r="F156" s="57"/>
      <c r="G156" s="57"/>
      <c r="H156" s="57"/>
      <c r="I156" s="57"/>
      <c r="J156" s="57"/>
      <c r="K156" s="57"/>
      <c r="L156" s="57"/>
    </row>
    <row r="157" spans="1:12" x14ac:dyDescent="0.2">
      <c r="A157" s="1"/>
      <c r="B157" s="1"/>
      <c r="C157" s="1"/>
      <c r="D157" s="1"/>
      <c r="E157" s="57"/>
      <c r="F157" s="57"/>
      <c r="G157" s="57"/>
      <c r="H157" s="57"/>
      <c r="I157" s="57"/>
      <c r="J157" s="57"/>
      <c r="K157" s="57"/>
      <c r="L157" s="57"/>
    </row>
    <row r="158" spans="1:12" x14ac:dyDescent="0.2">
      <c r="A158" s="1"/>
      <c r="B158" s="1"/>
      <c r="C158" s="1"/>
      <c r="D158" s="1"/>
      <c r="E158" s="57"/>
      <c r="F158" s="57"/>
      <c r="G158" s="57"/>
      <c r="H158" s="57"/>
      <c r="I158" s="57"/>
      <c r="J158" s="57"/>
      <c r="K158" s="57"/>
      <c r="L158" s="57"/>
    </row>
    <row r="159" spans="1:12" x14ac:dyDescent="0.2">
      <c r="A159" s="1"/>
      <c r="B159" s="1"/>
      <c r="C159" s="1"/>
      <c r="D159" s="1"/>
      <c r="E159" s="57"/>
      <c r="F159" s="57"/>
      <c r="G159" s="57"/>
      <c r="H159" s="57"/>
      <c r="I159" s="57"/>
      <c r="J159" s="57"/>
      <c r="K159" s="57"/>
      <c r="L159" s="57"/>
    </row>
    <row r="160" spans="1:12" x14ac:dyDescent="0.2">
      <c r="A160" s="1"/>
      <c r="B160" s="1"/>
      <c r="C160" s="1"/>
      <c r="D160" s="1"/>
      <c r="E160" s="57"/>
      <c r="F160" s="57"/>
      <c r="G160" s="57"/>
      <c r="H160" s="57"/>
      <c r="I160" s="57"/>
      <c r="J160" s="57"/>
      <c r="K160" s="57"/>
      <c r="L160" s="57"/>
    </row>
    <row r="161" spans="1:12" x14ac:dyDescent="0.2">
      <c r="A161" s="1"/>
      <c r="B161" s="1"/>
      <c r="C161" s="1"/>
      <c r="D161" s="1"/>
      <c r="E161" s="57"/>
      <c r="F161" s="57"/>
      <c r="G161" s="57"/>
      <c r="H161" s="57"/>
      <c r="I161" s="57"/>
      <c r="J161" s="57"/>
      <c r="K161" s="57"/>
      <c r="L161" s="57"/>
    </row>
    <row r="162" spans="1:12" x14ac:dyDescent="0.2">
      <c r="A162" s="1"/>
      <c r="B162" s="1"/>
      <c r="C162" s="1"/>
      <c r="D162" s="1"/>
      <c r="E162" s="57"/>
      <c r="F162" s="57"/>
      <c r="G162" s="57"/>
      <c r="H162" s="57"/>
      <c r="I162" s="57"/>
      <c r="J162" s="57"/>
      <c r="K162" s="57"/>
      <c r="L162" s="57"/>
    </row>
    <row r="163" spans="1:12" x14ac:dyDescent="0.2">
      <c r="A163" s="1"/>
      <c r="B163" s="1"/>
      <c r="C163" s="1"/>
      <c r="D163" s="1"/>
      <c r="E163" s="57"/>
      <c r="F163" s="57"/>
      <c r="G163" s="57"/>
      <c r="H163" s="57"/>
      <c r="I163" s="57"/>
      <c r="J163" s="57"/>
      <c r="K163" s="57"/>
      <c r="L163" s="57"/>
    </row>
    <row r="164" spans="1:12" x14ac:dyDescent="0.2">
      <c r="A164" s="1"/>
      <c r="B164" s="1"/>
      <c r="C164" s="1"/>
      <c r="D164" s="1"/>
      <c r="E164" s="57"/>
      <c r="F164" s="57"/>
      <c r="G164" s="57"/>
      <c r="H164" s="57"/>
      <c r="I164" s="57"/>
      <c r="J164" s="57"/>
      <c r="K164" s="57"/>
      <c r="L164" s="57"/>
    </row>
    <row r="165" spans="1:12" x14ac:dyDescent="0.2">
      <c r="A165" s="1"/>
      <c r="B165" s="1"/>
      <c r="C165" s="1"/>
      <c r="D165" s="1"/>
      <c r="E165" s="57"/>
      <c r="F165" s="57"/>
      <c r="G165" s="57"/>
      <c r="H165" s="57"/>
      <c r="I165" s="57"/>
      <c r="J165" s="57"/>
      <c r="K165" s="57"/>
      <c r="L165" s="57"/>
    </row>
    <row r="166" spans="1:12" x14ac:dyDescent="0.2">
      <c r="A166" s="1"/>
      <c r="B166" s="1"/>
      <c r="C166" s="1"/>
      <c r="D166" s="1"/>
      <c r="E166" s="57"/>
      <c r="F166" s="57"/>
      <c r="G166" s="57"/>
      <c r="H166" s="57"/>
      <c r="I166" s="57"/>
      <c r="J166" s="57"/>
      <c r="K166" s="57"/>
      <c r="L166" s="57"/>
    </row>
    <row r="167" spans="1:12" x14ac:dyDescent="0.2">
      <c r="A167" s="1"/>
      <c r="B167" s="1"/>
      <c r="C167" s="1"/>
      <c r="D167" s="1"/>
      <c r="E167" s="57"/>
      <c r="F167" s="57"/>
      <c r="G167" s="57"/>
      <c r="H167" s="57"/>
      <c r="I167" s="57"/>
      <c r="J167" s="57"/>
      <c r="K167" s="57"/>
      <c r="L167" s="57"/>
    </row>
    <row r="168" spans="1:12" x14ac:dyDescent="0.2">
      <c r="A168" s="1"/>
      <c r="B168" s="1"/>
      <c r="C168" s="1"/>
      <c r="D168" s="1"/>
      <c r="E168" s="57"/>
      <c r="F168" s="57"/>
      <c r="G168" s="57"/>
      <c r="H168" s="57"/>
      <c r="I168" s="57"/>
      <c r="J168" s="57"/>
      <c r="K168" s="57"/>
      <c r="L168" s="57"/>
    </row>
    <row r="169" spans="1:12" x14ac:dyDescent="0.2">
      <c r="A169" s="1"/>
      <c r="B169" s="1"/>
      <c r="C169" s="1"/>
      <c r="D169" s="1"/>
      <c r="E169" s="57"/>
      <c r="F169" s="57"/>
      <c r="G169" s="57"/>
      <c r="H169" s="57"/>
      <c r="I169" s="57"/>
      <c r="J169" s="57"/>
      <c r="K169" s="57"/>
      <c r="L169" s="57"/>
    </row>
    <row r="170" spans="1:12" x14ac:dyDescent="0.2">
      <c r="A170" s="1"/>
      <c r="B170" s="1"/>
      <c r="C170" s="1"/>
      <c r="D170" s="1"/>
      <c r="E170" s="57"/>
      <c r="F170" s="57"/>
      <c r="G170" s="57"/>
      <c r="H170" s="57"/>
      <c r="I170" s="57"/>
      <c r="J170" s="57"/>
      <c r="K170" s="57"/>
      <c r="L170" s="57"/>
    </row>
    <row r="171" spans="1:12" x14ac:dyDescent="0.2">
      <c r="A171" s="1"/>
      <c r="B171" s="1"/>
      <c r="C171" s="1"/>
      <c r="D171" s="1"/>
      <c r="E171" s="57"/>
      <c r="F171" s="57"/>
      <c r="G171" s="57"/>
      <c r="H171" s="57"/>
      <c r="I171" s="57"/>
      <c r="J171" s="57"/>
      <c r="K171" s="57"/>
      <c r="L171" s="57"/>
    </row>
    <row r="172" spans="1:12" x14ac:dyDescent="0.2">
      <c r="A172" s="1"/>
      <c r="B172" s="1"/>
      <c r="C172" s="1"/>
      <c r="D172" s="1"/>
      <c r="E172" s="57"/>
      <c r="F172" s="57"/>
      <c r="G172" s="57"/>
      <c r="H172" s="57"/>
      <c r="I172" s="57"/>
      <c r="J172" s="57"/>
      <c r="K172" s="57"/>
      <c r="L172" s="57"/>
    </row>
    <row r="173" spans="1:12" x14ac:dyDescent="0.2">
      <c r="A173" s="1"/>
      <c r="B173" s="1"/>
      <c r="C173" s="1"/>
      <c r="D173" s="1"/>
      <c r="E173" s="57"/>
      <c r="F173" s="57"/>
      <c r="G173" s="57"/>
      <c r="H173" s="57"/>
      <c r="I173" s="57"/>
      <c r="J173" s="57"/>
      <c r="K173" s="57"/>
      <c r="L173" s="57"/>
    </row>
    <row r="174" spans="1:12" x14ac:dyDescent="0.2">
      <c r="A174" s="1"/>
      <c r="B174" s="1"/>
      <c r="C174" s="1"/>
      <c r="D174" s="1"/>
      <c r="E174" s="57"/>
      <c r="F174" s="57"/>
      <c r="G174" s="57"/>
      <c r="H174" s="57"/>
      <c r="I174" s="57"/>
      <c r="J174" s="57"/>
      <c r="K174" s="57"/>
      <c r="L174" s="57"/>
    </row>
    <row r="175" spans="1:12" x14ac:dyDescent="0.2">
      <c r="A175" s="1"/>
      <c r="B175" s="1"/>
      <c r="C175" s="1"/>
      <c r="D175" s="1"/>
      <c r="E175" s="57"/>
      <c r="F175" s="57"/>
      <c r="G175" s="57"/>
      <c r="H175" s="57"/>
      <c r="I175" s="57"/>
      <c r="J175" s="57"/>
      <c r="K175" s="57"/>
      <c r="L175" s="57"/>
    </row>
    <row r="176" spans="1:12" x14ac:dyDescent="0.2">
      <c r="A176" s="1"/>
      <c r="B176" s="1"/>
      <c r="C176" s="1"/>
      <c r="D176" s="1"/>
      <c r="E176" s="57"/>
      <c r="F176" s="57"/>
      <c r="G176" s="57"/>
      <c r="H176" s="57"/>
      <c r="I176" s="57"/>
      <c r="J176" s="57"/>
      <c r="K176" s="57"/>
      <c r="L176" s="57"/>
    </row>
    <row r="177" spans="1:12" x14ac:dyDescent="0.2">
      <c r="A177" s="1"/>
      <c r="B177" s="1"/>
      <c r="C177" s="1"/>
      <c r="D177" s="1"/>
      <c r="E177" s="57"/>
      <c r="F177" s="57"/>
      <c r="G177" s="57"/>
      <c r="H177" s="57"/>
      <c r="I177" s="57"/>
      <c r="J177" s="57"/>
      <c r="K177" s="57"/>
      <c r="L177" s="57"/>
    </row>
    <row r="178" spans="1:12" x14ac:dyDescent="0.2">
      <c r="A178" s="1"/>
      <c r="B178" s="1"/>
      <c r="C178" s="1"/>
      <c r="D178" s="1"/>
      <c r="E178" s="57"/>
      <c r="F178" s="57"/>
      <c r="G178" s="57"/>
      <c r="H178" s="57"/>
      <c r="I178" s="57"/>
      <c r="J178" s="57"/>
      <c r="K178" s="57"/>
      <c r="L178" s="57"/>
    </row>
    <row r="179" spans="1:12" x14ac:dyDescent="0.2">
      <c r="A179" s="1"/>
      <c r="B179" s="1"/>
      <c r="C179" s="1"/>
      <c r="D179" s="1"/>
      <c r="E179" s="57"/>
      <c r="F179" s="57"/>
      <c r="G179" s="57"/>
      <c r="H179" s="57"/>
      <c r="I179" s="57"/>
      <c r="J179" s="57"/>
      <c r="K179" s="57"/>
      <c r="L179" s="57"/>
    </row>
    <row r="180" spans="1:12" x14ac:dyDescent="0.2">
      <c r="A180" s="1"/>
      <c r="B180" s="1"/>
      <c r="C180" s="1"/>
      <c r="D180" s="1"/>
      <c r="E180" s="57"/>
      <c r="F180" s="57"/>
      <c r="G180" s="57"/>
      <c r="H180" s="57"/>
      <c r="I180" s="57"/>
      <c r="J180" s="57"/>
      <c r="K180" s="57"/>
      <c r="L180" s="57"/>
    </row>
    <row r="181" spans="1:12" x14ac:dyDescent="0.2">
      <c r="A181" s="1"/>
      <c r="B181" s="1"/>
      <c r="C181" s="1"/>
      <c r="D181" s="1"/>
      <c r="E181" s="57"/>
      <c r="F181" s="57"/>
      <c r="G181" s="57"/>
      <c r="H181" s="57"/>
      <c r="I181" s="57"/>
      <c r="J181" s="57"/>
      <c r="K181" s="57"/>
      <c r="L181" s="57"/>
    </row>
    <row r="182" spans="1:12" x14ac:dyDescent="0.2">
      <c r="A182" s="1"/>
      <c r="B182" s="1"/>
      <c r="C182" s="1"/>
      <c r="D182" s="1"/>
      <c r="E182" s="57"/>
      <c r="F182" s="57"/>
      <c r="G182" s="57"/>
      <c r="H182" s="57"/>
      <c r="I182" s="57"/>
      <c r="J182" s="57"/>
      <c r="K182" s="57"/>
      <c r="L182" s="57"/>
    </row>
    <row r="183" spans="1:12" x14ac:dyDescent="0.2">
      <c r="A183" s="1"/>
      <c r="B183" s="1"/>
      <c r="C183" s="1"/>
      <c r="D183" s="1"/>
      <c r="E183" s="57"/>
      <c r="F183" s="57"/>
      <c r="G183" s="57"/>
      <c r="H183" s="57"/>
      <c r="I183" s="57"/>
      <c r="J183" s="57"/>
      <c r="K183" s="57"/>
      <c r="L183" s="57"/>
    </row>
    <row r="184" spans="1:12" x14ac:dyDescent="0.2">
      <c r="A184" s="1"/>
      <c r="B184" s="1"/>
      <c r="C184" s="1"/>
      <c r="D184" s="1"/>
      <c r="E184" s="57"/>
      <c r="F184" s="57"/>
      <c r="G184" s="57"/>
      <c r="H184" s="57"/>
      <c r="I184" s="57"/>
      <c r="J184" s="57"/>
      <c r="K184" s="57"/>
      <c r="L184" s="57"/>
    </row>
    <row r="185" spans="1:12" x14ac:dyDescent="0.2">
      <c r="A185" s="1"/>
      <c r="B185" s="1"/>
      <c r="C185" s="1"/>
      <c r="D185" s="1"/>
      <c r="E185" s="57"/>
      <c r="F185" s="57"/>
      <c r="G185" s="57"/>
      <c r="H185" s="57"/>
      <c r="I185" s="57"/>
      <c r="J185" s="57"/>
      <c r="K185" s="57"/>
      <c r="L185" s="57"/>
    </row>
    <row r="186" spans="1:12" x14ac:dyDescent="0.2">
      <c r="A186" s="1"/>
      <c r="B186" s="1"/>
      <c r="C186" s="1"/>
      <c r="D186" s="1"/>
      <c r="E186" s="57"/>
      <c r="F186" s="57"/>
      <c r="G186" s="57"/>
      <c r="H186" s="57"/>
      <c r="I186" s="57"/>
      <c r="J186" s="57"/>
      <c r="K186" s="57"/>
      <c r="L186" s="57"/>
    </row>
    <row r="187" spans="1:12" x14ac:dyDescent="0.2">
      <c r="A187" s="1"/>
      <c r="B187" s="1"/>
      <c r="C187" s="1"/>
      <c r="D187" s="1"/>
      <c r="E187" s="57"/>
      <c r="F187" s="57"/>
      <c r="G187" s="57"/>
      <c r="H187" s="57"/>
      <c r="I187" s="57"/>
      <c r="J187" s="57"/>
      <c r="K187" s="57"/>
      <c r="L187" s="57"/>
    </row>
    <row r="188" spans="1:12" x14ac:dyDescent="0.2">
      <c r="A188" s="1"/>
      <c r="B188" s="1"/>
      <c r="C188" s="1"/>
      <c r="D188" s="1"/>
      <c r="E188" s="57"/>
      <c r="F188" s="57"/>
      <c r="G188" s="57"/>
      <c r="H188" s="57"/>
      <c r="I188" s="57"/>
      <c r="J188" s="57"/>
      <c r="K188" s="57"/>
      <c r="L188" s="57"/>
    </row>
    <row r="189" spans="1:12" x14ac:dyDescent="0.2">
      <c r="A189" s="1"/>
      <c r="B189" s="1"/>
      <c r="C189" s="1"/>
      <c r="D189" s="1"/>
      <c r="E189" s="57"/>
      <c r="F189" s="57"/>
      <c r="G189" s="57"/>
      <c r="H189" s="57"/>
      <c r="I189" s="57"/>
      <c r="J189" s="57"/>
      <c r="K189" s="57"/>
      <c r="L189" s="57"/>
    </row>
    <row r="190" spans="1:12" x14ac:dyDescent="0.2">
      <c r="A190" s="1"/>
      <c r="B190" s="1"/>
      <c r="C190" s="1"/>
      <c r="D190" s="1"/>
      <c r="E190" s="57"/>
      <c r="F190" s="57"/>
      <c r="G190" s="57"/>
      <c r="H190" s="57"/>
      <c r="I190" s="57"/>
      <c r="J190" s="57"/>
      <c r="K190" s="57"/>
      <c r="L190" s="57"/>
    </row>
    <row r="191" spans="1:12" x14ac:dyDescent="0.2">
      <c r="A191" s="1"/>
      <c r="B191" s="1"/>
      <c r="C191" s="1"/>
      <c r="D191" s="1"/>
      <c r="E191" s="57"/>
      <c r="F191" s="57"/>
      <c r="G191" s="57"/>
      <c r="H191" s="57"/>
      <c r="I191" s="57"/>
      <c r="J191" s="57"/>
      <c r="K191" s="57"/>
      <c r="L191" s="57"/>
    </row>
    <row r="192" spans="1:12" x14ac:dyDescent="0.2">
      <c r="A192" s="1"/>
      <c r="B192" s="1"/>
      <c r="C192" s="1"/>
      <c r="D192" s="1"/>
      <c r="E192" s="57"/>
      <c r="F192" s="57"/>
      <c r="G192" s="57"/>
      <c r="H192" s="57"/>
      <c r="I192" s="57"/>
      <c r="J192" s="57"/>
      <c r="K192" s="57"/>
      <c r="L192" s="57"/>
    </row>
    <row r="193" spans="1:12" x14ac:dyDescent="0.2">
      <c r="A193" s="1"/>
      <c r="B193" s="1"/>
      <c r="C193" s="1"/>
      <c r="D193" s="1"/>
      <c r="E193" s="57"/>
      <c r="F193" s="57"/>
      <c r="G193" s="57"/>
      <c r="H193" s="57"/>
      <c r="I193" s="57"/>
      <c r="J193" s="57"/>
      <c r="K193" s="57"/>
      <c r="L193" s="57"/>
    </row>
    <row r="194" spans="1:12" x14ac:dyDescent="0.2">
      <c r="A194" s="1"/>
      <c r="B194" s="1"/>
      <c r="C194" s="1"/>
      <c r="D194" s="1"/>
      <c r="E194" s="57"/>
      <c r="F194" s="57"/>
      <c r="G194" s="57"/>
      <c r="H194" s="57"/>
      <c r="I194" s="57"/>
      <c r="J194" s="57"/>
      <c r="K194" s="57"/>
      <c r="L194" s="57"/>
    </row>
    <row r="195" spans="1:12" x14ac:dyDescent="0.2">
      <c r="A195" s="1"/>
      <c r="B195" s="1"/>
      <c r="C195" s="1"/>
      <c r="D195" s="1"/>
      <c r="E195" s="57"/>
      <c r="F195" s="57"/>
      <c r="G195" s="57"/>
      <c r="H195" s="57"/>
      <c r="I195" s="57"/>
      <c r="J195" s="57"/>
      <c r="K195" s="57"/>
      <c r="L195" s="57"/>
    </row>
    <row r="196" spans="1:12" x14ac:dyDescent="0.2">
      <c r="A196" s="1"/>
      <c r="B196" s="1"/>
      <c r="C196" s="1"/>
      <c r="D196" s="1"/>
      <c r="E196" s="57"/>
      <c r="F196" s="57"/>
      <c r="G196" s="57"/>
      <c r="H196" s="57"/>
      <c r="I196" s="57"/>
      <c r="J196" s="57"/>
      <c r="K196" s="57"/>
      <c r="L196" s="57"/>
    </row>
    <row r="197" spans="1:12" x14ac:dyDescent="0.2">
      <c r="A197" s="1"/>
      <c r="B197" s="1"/>
      <c r="C197" s="1"/>
      <c r="D197" s="1"/>
      <c r="E197" s="57"/>
      <c r="F197" s="57"/>
      <c r="G197" s="57"/>
      <c r="H197" s="57"/>
      <c r="I197" s="57"/>
      <c r="J197" s="57"/>
      <c r="K197" s="57"/>
      <c r="L197" s="57"/>
    </row>
    <row r="198" spans="1:12" x14ac:dyDescent="0.2">
      <c r="A198" s="1"/>
      <c r="B198" s="1"/>
      <c r="C198" s="1"/>
      <c r="D198" s="1"/>
      <c r="E198" s="57"/>
      <c r="F198" s="57"/>
      <c r="G198" s="57"/>
      <c r="H198" s="57"/>
      <c r="I198" s="57"/>
      <c r="J198" s="57"/>
      <c r="K198" s="57"/>
      <c r="L198" s="57"/>
    </row>
    <row r="199" spans="1:12" x14ac:dyDescent="0.2">
      <c r="A199" s="1"/>
      <c r="B199" s="1"/>
      <c r="C199" s="1"/>
      <c r="D199" s="1"/>
      <c r="E199" s="57"/>
      <c r="F199" s="57"/>
      <c r="G199" s="57"/>
      <c r="H199" s="57"/>
      <c r="I199" s="57"/>
      <c r="J199" s="57"/>
      <c r="K199" s="57"/>
      <c r="L199" s="57"/>
    </row>
    <row r="200" spans="1:12" x14ac:dyDescent="0.2">
      <c r="A200" s="1"/>
      <c r="B200" s="1"/>
      <c r="C200" s="1"/>
      <c r="D200" s="1"/>
      <c r="E200" s="57"/>
      <c r="F200" s="57"/>
      <c r="G200" s="57"/>
      <c r="H200" s="57"/>
      <c r="I200" s="57"/>
      <c r="J200" s="57"/>
      <c r="K200" s="57"/>
      <c r="L200" s="57"/>
    </row>
    <row r="201" spans="1:12" x14ac:dyDescent="0.2">
      <c r="A201" s="1"/>
      <c r="B201" s="1"/>
      <c r="C201" s="1"/>
      <c r="D201" s="1"/>
      <c r="E201" s="57"/>
      <c r="F201" s="57"/>
      <c r="G201" s="57"/>
      <c r="H201" s="57"/>
      <c r="I201" s="57"/>
      <c r="J201" s="57"/>
      <c r="K201" s="57"/>
      <c r="L201" s="57"/>
    </row>
    <row r="202" spans="1:12" x14ac:dyDescent="0.2">
      <c r="A202" s="1"/>
      <c r="B202" s="1"/>
      <c r="C202" s="1"/>
      <c r="D202" s="1"/>
      <c r="E202" s="57"/>
      <c r="F202" s="57"/>
      <c r="G202" s="57"/>
      <c r="H202" s="57"/>
      <c r="I202" s="57"/>
      <c r="J202" s="57"/>
      <c r="K202" s="57"/>
      <c r="L202" s="57"/>
    </row>
    <row r="203" spans="1:12" x14ac:dyDescent="0.2">
      <c r="A203" s="1"/>
      <c r="B203" s="1"/>
      <c r="C203" s="1"/>
      <c r="D203" s="1"/>
      <c r="E203" s="57"/>
      <c r="F203" s="57"/>
      <c r="G203" s="57"/>
      <c r="H203" s="57"/>
      <c r="I203" s="57"/>
      <c r="J203" s="57"/>
      <c r="K203" s="57"/>
      <c r="L203" s="57"/>
    </row>
    <row r="204" spans="1:12" x14ac:dyDescent="0.2">
      <c r="A204" s="1"/>
      <c r="B204" s="1"/>
      <c r="C204" s="1"/>
      <c r="D204" s="1"/>
      <c r="E204" s="57"/>
      <c r="F204" s="57"/>
      <c r="G204" s="57"/>
      <c r="H204" s="57"/>
      <c r="I204" s="57"/>
      <c r="J204" s="57"/>
      <c r="K204" s="57"/>
      <c r="L204" s="57"/>
    </row>
    <row r="205" spans="1:12" x14ac:dyDescent="0.2">
      <c r="A205" s="1"/>
      <c r="B205" s="1"/>
      <c r="C205" s="1"/>
      <c r="D205" s="1"/>
      <c r="E205" s="57"/>
      <c r="F205" s="57"/>
      <c r="G205" s="57"/>
      <c r="H205" s="57"/>
      <c r="I205" s="57"/>
      <c r="J205" s="57"/>
      <c r="K205" s="57"/>
      <c r="L205" s="57"/>
    </row>
    <row r="206" spans="1:12" x14ac:dyDescent="0.2">
      <c r="A206" s="1"/>
      <c r="B206" s="1"/>
      <c r="C206" s="1"/>
      <c r="D206" s="1"/>
      <c r="E206" s="57"/>
      <c r="F206" s="57"/>
      <c r="G206" s="57"/>
      <c r="H206" s="57"/>
      <c r="I206" s="57"/>
      <c r="J206" s="57"/>
      <c r="K206" s="57"/>
      <c r="L206" s="57"/>
    </row>
    <row r="207" spans="1:12" x14ac:dyDescent="0.2">
      <c r="A207" s="1"/>
      <c r="B207" s="1"/>
      <c r="C207" s="1"/>
      <c r="D207" s="1"/>
      <c r="E207" s="57"/>
      <c r="F207" s="57"/>
      <c r="G207" s="57"/>
      <c r="H207" s="57"/>
      <c r="I207" s="57"/>
      <c r="J207" s="57"/>
      <c r="K207" s="57"/>
      <c r="L207" s="57"/>
    </row>
    <row r="208" spans="1:12" x14ac:dyDescent="0.2">
      <c r="A208" s="1"/>
      <c r="B208" s="1"/>
      <c r="C208" s="1"/>
      <c r="D208" s="1"/>
      <c r="E208" s="57"/>
      <c r="F208" s="57"/>
      <c r="G208" s="57"/>
      <c r="H208" s="57"/>
      <c r="I208" s="57"/>
      <c r="J208" s="57"/>
      <c r="K208" s="57"/>
      <c r="L208" s="57"/>
    </row>
    <row r="209" spans="1:12" x14ac:dyDescent="0.2">
      <c r="A209" s="1"/>
      <c r="B209" s="1"/>
      <c r="C209" s="1"/>
      <c r="D209" s="1"/>
      <c r="E209" s="57"/>
      <c r="F209" s="57"/>
      <c r="G209" s="57"/>
      <c r="H209" s="57"/>
      <c r="I209" s="57"/>
      <c r="J209" s="57"/>
      <c r="K209" s="57"/>
      <c r="L209" s="57"/>
    </row>
    <row r="210" spans="1:12" x14ac:dyDescent="0.2">
      <c r="A210" s="1"/>
      <c r="B210" s="1"/>
      <c r="C210" s="1"/>
      <c r="D210" s="1"/>
      <c r="E210" s="57"/>
      <c r="F210" s="57"/>
      <c r="G210" s="57"/>
      <c r="H210" s="57"/>
      <c r="I210" s="57"/>
      <c r="J210" s="57"/>
      <c r="K210" s="57"/>
      <c r="L210" s="57"/>
    </row>
    <row r="211" spans="1:12" x14ac:dyDescent="0.2">
      <c r="A211" s="1"/>
      <c r="B211" s="1"/>
      <c r="C211" s="1"/>
      <c r="D211" s="1"/>
      <c r="E211" s="57"/>
      <c r="F211" s="57"/>
      <c r="G211" s="57"/>
      <c r="H211" s="57"/>
      <c r="I211" s="57"/>
      <c r="J211" s="57"/>
      <c r="K211" s="57"/>
      <c r="L211" s="57"/>
    </row>
    <row r="212" spans="1:12" x14ac:dyDescent="0.2">
      <c r="A212" s="1"/>
      <c r="B212" s="1"/>
      <c r="C212" s="1"/>
      <c r="D212" s="1"/>
      <c r="E212" s="57"/>
      <c r="F212" s="57"/>
      <c r="G212" s="57"/>
      <c r="H212" s="57"/>
      <c r="I212" s="57"/>
      <c r="J212" s="57"/>
      <c r="K212" s="57"/>
      <c r="L212" s="57"/>
    </row>
    <row r="213" spans="1:12" x14ac:dyDescent="0.2">
      <c r="A213" s="1"/>
      <c r="B213" s="1"/>
      <c r="C213" s="1"/>
      <c r="D213" s="1"/>
      <c r="E213" s="57"/>
      <c r="F213" s="57"/>
      <c r="G213" s="57"/>
      <c r="H213" s="57"/>
      <c r="I213" s="57"/>
      <c r="J213" s="57"/>
      <c r="K213" s="57"/>
      <c r="L213" s="57"/>
    </row>
    <row r="214" spans="1:12" x14ac:dyDescent="0.2">
      <c r="A214" s="1"/>
      <c r="B214" s="1"/>
      <c r="C214" s="1"/>
      <c r="D214" s="1"/>
      <c r="E214" s="57"/>
      <c r="F214" s="57"/>
      <c r="G214" s="57"/>
      <c r="H214" s="57"/>
      <c r="I214" s="57"/>
      <c r="J214" s="57"/>
      <c r="K214" s="57"/>
      <c r="L214" s="57"/>
    </row>
    <row r="215" spans="1:12" x14ac:dyDescent="0.2">
      <c r="A215" s="1"/>
      <c r="B215" s="1"/>
      <c r="C215" s="1"/>
      <c r="D215" s="1"/>
      <c r="E215" s="57"/>
      <c r="F215" s="57"/>
      <c r="G215" s="57"/>
      <c r="H215" s="57"/>
      <c r="I215" s="57"/>
      <c r="J215" s="57"/>
      <c r="K215" s="57"/>
      <c r="L215" s="57"/>
    </row>
    <row r="216" spans="1:12" x14ac:dyDescent="0.2">
      <c r="A216" s="1"/>
      <c r="B216" s="1"/>
      <c r="C216" s="1"/>
      <c r="D216" s="1"/>
      <c r="E216" s="57"/>
      <c r="F216" s="57"/>
      <c r="G216" s="57"/>
      <c r="H216" s="57"/>
      <c r="I216" s="57"/>
      <c r="J216" s="57"/>
      <c r="K216" s="57"/>
      <c r="L216" s="57"/>
    </row>
    <row r="217" spans="1:12" x14ac:dyDescent="0.2">
      <c r="A217" s="1"/>
      <c r="B217" s="1"/>
      <c r="C217" s="1"/>
      <c r="D217" s="1"/>
      <c r="E217" s="57"/>
      <c r="F217" s="57"/>
      <c r="G217" s="57"/>
      <c r="H217" s="57"/>
      <c r="I217" s="57"/>
      <c r="J217" s="57"/>
      <c r="K217" s="57"/>
      <c r="L217" s="57"/>
    </row>
    <row r="218" spans="1:12" x14ac:dyDescent="0.2">
      <c r="A218" s="1"/>
      <c r="B218" s="1"/>
      <c r="C218" s="1"/>
      <c r="D218" s="1"/>
      <c r="E218" s="57"/>
      <c r="F218" s="57"/>
      <c r="G218" s="57"/>
      <c r="H218" s="57"/>
      <c r="I218" s="57"/>
      <c r="J218" s="57"/>
      <c r="K218" s="57"/>
      <c r="L218" s="57"/>
    </row>
    <row r="219" spans="1:12" x14ac:dyDescent="0.2">
      <c r="A219" s="1"/>
      <c r="B219" s="1"/>
      <c r="C219" s="1"/>
      <c r="D219" s="1"/>
      <c r="E219" s="57"/>
      <c r="F219" s="57"/>
      <c r="G219" s="57"/>
      <c r="H219" s="57"/>
      <c r="I219" s="57"/>
      <c r="J219" s="57"/>
      <c r="K219" s="57"/>
      <c r="L219" s="57"/>
    </row>
    <row r="220" spans="1:12" x14ac:dyDescent="0.2">
      <c r="A220" s="1"/>
      <c r="B220" s="1"/>
      <c r="C220" s="1"/>
      <c r="D220" s="1"/>
      <c r="E220" s="57"/>
      <c r="F220" s="57"/>
      <c r="G220" s="57"/>
      <c r="H220" s="57"/>
      <c r="I220" s="57"/>
      <c r="J220" s="57"/>
      <c r="K220" s="57"/>
      <c r="L220" s="57"/>
    </row>
    <row r="221" spans="1:12" x14ac:dyDescent="0.2">
      <c r="A221" s="1"/>
      <c r="B221" s="1"/>
      <c r="C221" s="1"/>
      <c r="D221" s="1"/>
      <c r="E221" s="57"/>
      <c r="F221" s="57"/>
      <c r="G221" s="57"/>
      <c r="H221" s="57"/>
      <c r="I221" s="57"/>
      <c r="J221" s="57"/>
      <c r="K221" s="57"/>
      <c r="L221" s="57"/>
    </row>
    <row r="222" spans="1:12" x14ac:dyDescent="0.2">
      <c r="A222" s="1"/>
      <c r="B222" s="1"/>
      <c r="C222" s="1"/>
      <c r="D222" s="1"/>
      <c r="E222" s="57"/>
      <c r="F222" s="57"/>
      <c r="G222" s="57"/>
      <c r="H222" s="57"/>
      <c r="I222" s="57"/>
      <c r="J222" s="57"/>
      <c r="K222" s="57"/>
      <c r="L222" s="57"/>
    </row>
    <row r="223" spans="1:12" x14ac:dyDescent="0.2">
      <c r="A223" s="1"/>
      <c r="B223" s="1"/>
      <c r="C223" s="1"/>
      <c r="D223" s="1"/>
      <c r="E223" s="57"/>
      <c r="F223" s="57"/>
      <c r="G223" s="57"/>
      <c r="H223" s="57"/>
      <c r="I223" s="57"/>
      <c r="J223" s="57"/>
      <c r="K223" s="57"/>
      <c r="L223" s="57"/>
    </row>
    <row r="224" spans="1:12" x14ac:dyDescent="0.2">
      <c r="A224" s="1"/>
      <c r="B224" s="1"/>
      <c r="C224" s="1"/>
      <c r="D224" s="1"/>
      <c r="E224" s="57"/>
      <c r="F224" s="57"/>
      <c r="G224" s="57"/>
      <c r="H224" s="57"/>
      <c r="I224" s="57"/>
      <c r="J224" s="57"/>
      <c r="K224" s="57"/>
      <c r="L224" s="57"/>
    </row>
    <row r="225" spans="1:12" x14ac:dyDescent="0.2">
      <c r="A225" s="1"/>
      <c r="B225" s="1"/>
      <c r="C225" s="1"/>
      <c r="D225" s="1"/>
      <c r="E225" s="57"/>
      <c r="F225" s="57"/>
      <c r="G225" s="57"/>
      <c r="H225" s="57"/>
      <c r="I225" s="57"/>
      <c r="J225" s="57"/>
      <c r="K225" s="57"/>
      <c r="L225" s="57"/>
    </row>
    <row r="226" spans="1:12" x14ac:dyDescent="0.2">
      <c r="A226" s="1"/>
      <c r="B226" s="1"/>
      <c r="C226" s="1"/>
      <c r="D226" s="1"/>
      <c r="E226" s="57"/>
      <c r="F226" s="57"/>
      <c r="G226" s="57"/>
      <c r="H226" s="57"/>
      <c r="I226" s="57"/>
      <c r="J226" s="57"/>
      <c r="K226" s="57"/>
      <c r="L226" s="57"/>
    </row>
    <row r="227" spans="1:12" x14ac:dyDescent="0.2">
      <c r="A227" s="1"/>
      <c r="B227" s="1"/>
      <c r="C227" s="1"/>
      <c r="D227" s="1"/>
      <c r="E227" s="57"/>
      <c r="F227" s="57"/>
      <c r="G227" s="57"/>
      <c r="H227" s="57"/>
      <c r="I227" s="57"/>
      <c r="J227" s="57"/>
      <c r="K227" s="57"/>
      <c r="L227" s="57"/>
    </row>
    <row r="228" spans="1:12" x14ac:dyDescent="0.2">
      <c r="A228" s="1"/>
      <c r="B228" s="1"/>
      <c r="C228" s="1"/>
      <c r="D228" s="1"/>
      <c r="E228" s="57"/>
      <c r="F228" s="57"/>
      <c r="G228" s="57"/>
      <c r="H228" s="57"/>
      <c r="I228" s="57"/>
      <c r="J228" s="57"/>
      <c r="K228" s="57"/>
      <c r="L228" s="57"/>
    </row>
    <row r="229" spans="1:12" x14ac:dyDescent="0.2">
      <c r="A229" s="1"/>
      <c r="B229" s="1"/>
      <c r="C229" s="1"/>
      <c r="D229" s="1"/>
      <c r="E229" s="57"/>
      <c r="F229" s="57"/>
      <c r="G229" s="57"/>
      <c r="H229" s="57"/>
      <c r="I229" s="57"/>
      <c r="J229" s="57"/>
      <c r="K229" s="57"/>
      <c r="L229" s="57"/>
    </row>
    <row r="230" spans="1:12" x14ac:dyDescent="0.2">
      <c r="A230" s="1"/>
      <c r="B230" s="1"/>
      <c r="C230" s="1"/>
      <c r="D230" s="1"/>
      <c r="E230" s="57"/>
      <c r="F230" s="57"/>
      <c r="G230" s="57"/>
      <c r="H230" s="57"/>
      <c r="I230" s="57"/>
      <c r="J230" s="57"/>
      <c r="K230" s="57"/>
      <c r="L230" s="57"/>
    </row>
    <row r="231" spans="1:12" x14ac:dyDescent="0.2">
      <c r="A231" s="1"/>
      <c r="B231" s="1"/>
      <c r="C231" s="1"/>
      <c r="D231" s="1"/>
      <c r="E231" s="57"/>
      <c r="F231" s="57"/>
      <c r="G231" s="57"/>
      <c r="H231" s="57"/>
      <c r="I231" s="57"/>
      <c r="J231" s="57"/>
      <c r="K231" s="57"/>
      <c r="L231" s="57"/>
    </row>
    <row r="232" spans="1:12" x14ac:dyDescent="0.2">
      <c r="A232" s="1"/>
      <c r="B232" s="1"/>
      <c r="C232" s="1"/>
      <c r="D232" s="1"/>
      <c r="E232" s="57"/>
      <c r="F232" s="57"/>
      <c r="G232" s="57"/>
      <c r="H232" s="57"/>
      <c r="I232" s="57"/>
      <c r="J232" s="57"/>
      <c r="K232" s="57"/>
      <c r="L232" s="57"/>
    </row>
    <row r="233" spans="1:12" x14ac:dyDescent="0.2">
      <c r="A233" s="1"/>
      <c r="B233" s="1"/>
      <c r="C233" s="1"/>
      <c r="D233" s="1"/>
      <c r="E233" s="57"/>
      <c r="F233" s="57"/>
      <c r="G233" s="57"/>
      <c r="H233" s="57"/>
      <c r="I233" s="57"/>
      <c r="J233" s="57"/>
      <c r="K233" s="57"/>
      <c r="L233" s="57"/>
    </row>
    <row r="234" spans="1:12" x14ac:dyDescent="0.2">
      <c r="A234" s="1"/>
      <c r="B234" s="1"/>
      <c r="C234" s="1"/>
      <c r="D234" s="1"/>
      <c r="E234" s="57"/>
      <c r="F234" s="57"/>
      <c r="G234" s="57"/>
      <c r="H234" s="57"/>
      <c r="I234" s="57"/>
      <c r="J234" s="57"/>
      <c r="K234" s="57"/>
      <c r="L234" s="57"/>
    </row>
    <row r="235" spans="1:12" x14ac:dyDescent="0.2">
      <c r="A235" s="1"/>
      <c r="B235" s="1"/>
      <c r="C235" s="1"/>
      <c r="D235" s="1"/>
      <c r="E235" s="57"/>
      <c r="F235" s="57"/>
      <c r="G235" s="57"/>
      <c r="H235" s="57"/>
      <c r="I235" s="57"/>
      <c r="J235" s="57"/>
      <c r="K235" s="57"/>
      <c r="L235" s="57"/>
    </row>
    <row r="236" spans="1:12" x14ac:dyDescent="0.2">
      <c r="A236" s="1"/>
      <c r="B236" s="1"/>
      <c r="C236" s="1"/>
      <c r="D236" s="1"/>
      <c r="E236" s="57"/>
      <c r="F236" s="57"/>
      <c r="G236" s="57"/>
      <c r="H236" s="57"/>
      <c r="I236" s="57"/>
      <c r="J236" s="57"/>
      <c r="K236" s="57"/>
      <c r="L236" s="57"/>
    </row>
    <row r="237" spans="1:12" x14ac:dyDescent="0.2">
      <c r="A237" s="1"/>
      <c r="B237" s="1"/>
      <c r="C237" s="1"/>
      <c r="D237" s="1"/>
      <c r="E237" s="57"/>
      <c r="F237" s="57"/>
      <c r="G237" s="57"/>
      <c r="H237" s="57"/>
      <c r="I237" s="57"/>
      <c r="J237" s="57"/>
      <c r="K237" s="57"/>
      <c r="L237" s="57"/>
    </row>
    <row r="238" spans="1:12" x14ac:dyDescent="0.2">
      <c r="A238" s="1"/>
      <c r="B238" s="1"/>
      <c r="C238" s="1"/>
      <c r="D238" s="1"/>
      <c r="E238" s="57"/>
      <c r="F238" s="57"/>
      <c r="G238" s="57"/>
      <c r="H238" s="57"/>
      <c r="I238" s="57"/>
      <c r="J238" s="57"/>
      <c r="K238" s="57"/>
      <c r="L238" s="57"/>
    </row>
    <row r="239" spans="1:12" x14ac:dyDescent="0.2">
      <c r="A239" s="1"/>
      <c r="B239" s="1"/>
      <c r="C239" s="1"/>
      <c r="D239" s="1"/>
      <c r="E239" s="57"/>
      <c r="F239" s="57"/>
      <c r="G239" s="57"/>
      <c r="H239" s="57"/>
      <c r="I239" s="57"/>
      <c r="J239" s="57"/>
      <c r="K239" s="57"/>
      <c r="L239" s="57"/>
    </row>
    <row r="240" spans="1:12" x14ac:dyDescent="0.2">
      <c r="A240" s="1"/>
      <c r="B240" s="1"/>
      <c r="C240" s="1"/>
      <c r="D240" s="1"/>
      <c r="E240" s="57"/>
      <c r="F240" s="57"/>
      <c r="G240" s="57"/>
      <c r="H240" s="57"/>
      <c r="I240" s="57"/>
      <c r="J240" s="57"/>
      <c r="K240" s="57"/>
      <c r="L240" s="57"/>
    </row>
    <row r="241" spans="1:12" x14ac:dyDescent="0.2">
      <c r="A241" s="1"/>
      <c r="B241" s="1"/>
      <c r="C241" s="1"/>
      <c r="D241" s="1"/>
      <c r="E241" s="57"/>
      <c r="F241" s="57"/>
      <c r="G241" s="57"/>
      <c r="H241" s="57"/>
      <c r="I241" s="57"/>
      <c r="J241" s="57"/>
      <c r="K241" s="57"/>
      <c r="L241" s="57"/>
    </row>
    <row r="242" spans="1:12" x14ac:dyDescent="0.2">
      <c r="A242" s="1"/>
      <c r="B242" s="1"/>
      <c r="C242" s="1"/>
      <c r="D242" s="1"/>
      <c r="E242" s="57"/>
      <c r="F242" s="57"/>
      <c r="G242" s="57"/>
      <c r="H242" s="57"/>
      <c r="I242" s="57"/>
      <c r="J242" s="57"/>
      <c r="K242" s="57"/>
      <c r="L242" s="57"/>
    </row>
    <row r="243" spans="1:12" x14ac:dyDescent="0.2">
      <c r="A243" s="1"/>
      <c r="B243" s="1"/>
      <c r="C243" s="1"/>
      <c r="D243" s="1"/>
      <c r="E243" s="57"/>
      <c r="F243" s="57"/>
      <c r="G243" s="57"/>
      <c r="H243" s="57"/>
      <c r="I243" s="57"/>
      <c r="J243" s="57"/>
      <c r="K243" s="57"/>
      <c r="L243" s="57"/>
    </row>
    <row r="244" spans="1:12" x14ac:dyDescent="0.2">
      <c r="A244" s="1"/>
      <c r="B244" s="1"/>
      <c r="C244" s="1"/>
      <c r="D244" s="1"/>
      <c r="E244" s="57"/>
      <c r="F244" s="57"/>
      <c r="G244" s="57"/>
      <c r="H244" s="57"/>
      <c r="I244" s="57"/>
      <c r="J244" s="57"/>
      <c r="K244" s="57"/>
      <c r="L244" s="57"/>
    </row>
    <row r="245" spans="1:12" x14ac:dyDescent="0.2">
      <c r="A245" s="1"/>
      <c r="B245" s="1"/>
      <c r="C245" s="1"/>
      <c r="D245" s="1"/>
      <c r="E245" s="57"/>
      <c r="F245" s="57"/>
      <c r="G245" s="57"/>
      <c r="H245" s="57"/>
      <c r="I245" s="57"/>
      <c r="J245" s="57"/>
      <c r="K245" s="57"/>
      <c r="L245" s="57"/>
    </row>
    <row r="246" spans="1:12" x14ac:dyDescent="0.2">
      <c r="A246" s="1"/>
      <c r="B246" s="1"/>
      <c r="C246" s="1"/>
      <c r="D246" s="1"/>
      <c r="E246" s="57"/>
      <c r="F246" s="57"/>
      <c r="G246" s="57"/>
      <c r="H246" s="57"/>
      <c r="I246" s="57"/>
      <c r="J246" s="57"/>
      <c r="K246" s="57"/>
      <c r="L246" s="57"/>
    </row>
    <row r="247" spans="1:12" x14ac:dyDescent="0.2">
      <c r="A247" s="1"/>
      <c r="B247" s="1"/>
      <c r="C247" s="1"/>
      <c r="D247" s="1"/>
      <c r="E247" s="57"/>
      <c r="F247" s="57"/>
      <c r="G247" s="57"/>
      <c r="H247" s="57"/>
      <c r="I247" s="57"/>
      <c r="J247" s="57"/>
      <c r="K247" s="57"/>
      <c r="L247" s="57"/>
    </row>
    <row r="248" spans="1:12" x14ac:dyDescent="0.2">
      <c r="A248" s="1"/>
      <c r="B248" s="1"/>
      <c r="C248" s="1"/>
      <c r="D248" s="1"/>
      <c r="E248" s="57"/>
      <c r="F248" s="57"/>
      <c r="G248" s="57"/>
      <c r="H248" s="57"/>
      <c r="I248" s="57"/>
      <c r="J248" s="57"/>
      <c r="K248" s="57"/>
      <c r="L248" s="57"/>
    </row>
    <row r="249" spans="1:12" x14ac:dyDescent="0.2">
      <c r="A249" s="1"/>
      <c r="B249" s="1"/>
      <c r="C249" s="1"/>
      <c r="D249" s="1"/>
      <c r="E249" s="57"/>
      <c r="F249" s="57"/>
      <c r="G249" s="57"/>
      <c r="H249" s="57"/>
      <c r="I249" s="57"/>
      <c r="J249" s="57"/>
      <c r="K249" s="57"/>
      <c r="L249" s="57"/>
    </row>
    <row r="250" spans="1:12" x14ac:dyDescent="0.2">
      <c r="A250" s="1"/>
      <c r="B250" s="1"/>
      <c r="C250" s="1"/>
      <c r="D250" s="1"/>
      <c r="E250" s="57"/>
      <c r="F250" s="57"/>
      <c r="G250" s="57"/>
      <c r="H250" s="57"/>
      <c r="I250" s="57"/>
      <c r="J250" s="57"/>
      <c r="K250" s="57"/>
      <c r="L250" s="57"/>
    </row>
    <row r="251" spans="1:12" x14ac:dyDescent="0.2">
      <c r="A251" s="1"/>
      <c r="B251" s="1"/>
      <c r="C251" s="1"/>
      <c r="D251" s="1"/>
      <c r="E251" s="57"/>
      <c r="F251" s="57"/>
      <c r="G251" s="57"/>
      <c r="H251" s="57"/>
      <c r="I251" s="57"/>
      <c r="J251" s="57"/>
      <c r="K251" s="57"/>
      <c r="L251" s="57"/>
    </row>
    <row r="252" spans="1:12" x14ac:dyDescent="0.2">
      <c r="A252" s="1"/>
      <c r="B252" s="1"/>
      <c r="C252" s="1"/>
      <c r="D252" s="1"/>
      <c r="E252" s="57"/>
      <c r="F252" s="57"/>
      <c r="G252" s="57"/>
      <c r="H252" s="57"/>
      <c r="I252" s="57"/>
      <c r="J252" s="57"/>
      <c r="K252" s="57"/>
      <c r="L252" s="57"/>
    </row>
    <row r="253" spans="1:12" x14ac:dyDescent="0.2">
      <c r="A253" s="1"/>
      <c r="B253" s="1"/>
      <c r="C253" s="1"/>
      <c r="D253" s="1"/>
      <c r="E253" s="57"/>
      <c r="F253" s="57"/>
      <c r="G253" s="57"/>
      <c r="H253" s="57"/>
      <c r="I253" s="57"/>
      <c r="J253" s="57"/>
      <c r="K253" s="57"/>
      <c r="L253" s="57"/>
    </row>
  </sheetData>
  <mergeCells count="6">
    <mergeCell ref="A31:D31"/>
    <mergeCell ref="A1:D1"/>
    <mergeCell ref="B3:D3"/>
    <mergeCell ref="B5:D5"/>
    <mergeCell ref="A20:D20"/>
    <mergeCell ref="A28:D28"/>
  </mergeCells>
  <printOptions horizontalCentered="1" verticalCentered="1"/>
  <pageMargins left="0.51181102362204722" right="0.51181102362204722" top="0.98425196850393704" bottom="0.78740157480314965" header="0.31496062992125984" footer="0.31496062992125984"/>
  <pageSetup paperSize="9" orientation="portrait" r:id="rId1"/>
  <headerFooter>
    <oddHeader>&amp;L&amp;G&amp;R
&amp;G</oddHeader>
    <oddFooter>&amp;C&amp;K03+000
Rua Nilton Baldo, 744 – Bairro Jardim Paquetá - CEP 31.330-660 – Belo Horizonte / Minas Gerais.
Endereço Eletrônico: ottawaeng@terra.com.br – Telefax (31) 3418-2175 – CNPJ: 04.472.311/0001-04</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R81"/>
  <sheetViews>
    <sheetView topLeftCell="E34" workbookViewId="0">
      <selection activeCell="B7" sqref="B7"/>
    </sheetView>
  </sheetViews>
  <sheetFormatPr defaultRowHeight="12.75" x14ac:dyDescent="0.2"/>
  <cols>
    <col min="1" max="1" width="4.85546875" customWidth="1"/>
    <col min="2" max="2" width="16.85546875" bestFit="1" customWidth="1"/>
    <col min="3" max="3" width="8" customWidth="1"/>
    <col min="4" max="4" width="11" bestFit="1" customWidth="1"/>
    <col min="5" max="5" width="6.28515625" customWidth="1"/>
    <col min="6" max="6" width="8.85546875" customWidth="1"/>
    <col min="7" max="7" width="30.140625" bestFit="1" customWidth="1"/>
    <col min="8" max="8" width="12.85546875" bestFit="1" customWidth="1"/>
    <col min="9" max="9" width="10" customWidth="1"/>
    <col min="10" max="11" width="8" customWidth="1"/>
    <col min="12" max="12" width="16.85546875" bestFit="1" customWidth="1"/>
    <col min="14" max="14" width="11.7109375" bestFit="1" customWidth="1"/>
    <col min="15" max="15" width="12" bestFit="1" customWidth="1"/>
    <col min="16" max="16" width="24.42578125" bestFit="1" customWidth="1"/>
  </cols>
  <sheetData>
    <row r="4" spans="1:18" x14ac:dyDescent="0.2">
      <c r="B4" s="635" t="s">
        <v>834</v>
      </c>
      <c r="C4" s="635"/>
      <c r="E4" s="635"/>
      <c r="F4" s="635"/>
      <c r="H4" s="635"/>
      <c r="I4" s="635"/>
    </row>
    <row r="5" spans="1:18" x14ac:dyDescent="0.2">
      <c r="B5" s="634" t="s">
        <v>835</v>
      </c>
      <c r="C5" s="634"/>
      <c r="D5" s="313"/>
      <c r="E5" s="634"/>
      <c r="F5" s="634"/>
      <c r="H5" s="634"/>
      <c r="I5" s="634"/>
    </row>
    <row r="6" spans="1:18" x14ac:dyDescent="0.2">
      <c r="B6" s="255" t="s">
        <v>836</v>
      </c>
      <c r="C6" s="255" t="s">
        <v>837</v>
      </c>
      <c r="E6" s="255"/>
      <c r="F6" s="255"/>
      <c r="H6" s="255"/>
      <c r="I6" s="255"/>
    </row>
    <row r="7" spans="1:18" x14ac:dyDescent="0.2">
      <c r="A7" s="314" t="s">
        <v>838</v>
      </c>
      <c r="B7" s="313">
        <v>1066.1099999999999</v>
      </c>
      <c r="C7" s="313">
        <v>1208.26</v>
      </c>
      <c r="H7" s="313"/>
      <c r="I7" s="313"/>
    </row>
    <row r="10" spans="1:18" x14ac:dyDescent="0.2">
      <c r="D10" s="313"/>
      <c r="E10" s="313"/>
      <c r="F10" s="313"/>
    </row>
    <row r="13" spans="1:18" x14ac:dyDescent="0.2">
      <c r="I13" s="264">
        <v>1.5</v>
      </c>
      <c r="J13" s="264" t="s">
        <v>839</v>
      </c>
      <c r="K13" s="313" t="s">
        <v>840</v>
      </c>
      <c r="L13" s="313" t="s">
        <v>841</v>
      </c>
      <c r="M13" s="313"/>
      <c r="N13" s="313" t="s">
        <v>842</v>
      </c>
      <c r="O13" s="313"/>
      <c r="P13" s="313" t="s">
        <v>843</v>
      </c>
    </row>
    <row r="14" spans="1:18" x14ac:dyDescent="0.2">
      <c r="A14" s="313" t="s">
        <v>844</v>
      </c>
      <c r="I14" s="315">
        <v>56.96</v>
      </c>
      <c r="J14" s="316">
        <f t="shared" ref="J14:J74" si="0">M14-I14</f>
        <v>0</v>
      </c>
      <c r="K14" s="319">
        <v>0.89</v>
      </c>
      <c r="L14">
        <v>0</v>
      </c>
      <c r="M14" s="319">
        <v>56.96</v>
      </c>
      <c r="N14">
        <v>0</v>
      </c>
      <c r="O14" s="316">
        <f>N14</f>
        <v>0</v>
      </c>
      <c r="P14" s="317">
        <f>N14-O14</f>
        <v>0</v>
      </c>
      <c r="R14">
        <f>Q14-N14</f>
        <v>0</v>
      </c>
    </row>
    <row r="15" spans="1:18" x14ac:dyDescent="0.2">
      <c r="A15" s="314" t="s">
        <v>845</v>
      </c>
      <c r="I15" s="315">
        <v>16.64</v>
      </c>
      <c r="J15" s="316">
        <f t="shared" si="0"/>
        <v>0</v>
      </c>
      <c r="K15" s="319">
        <v>0.26</v>
      </c>
      <c r="L15">
        <v>0</v>
      </c>
      <c r="M15" s="319">
        <v>16.64</v>
      </c>
      <c r="N15">
        <v>0</v>
      </c>
      <c r="O15" s="316">
        <f t="shared" ref="O15:O31" si="1">N15</f>
        <v>0</v>
      </c>
      <c r="P15" s="317">
        <f t="shared" ref="P15:P72" si="2">N15-O15</f>
        <v>0</v>
      </c>
      <c r="R15">
        <f t="shared" ref="R15:R72" si="3">Q15-N15</f>
        <v>0</v>
      </c>
    </row>
    <row r="16" spans="1:18" x14ac:dyDescent="0.2">
      <c r="A16" s="314" t="s">
        <v>846</v>
      </c>
      <c r="I16" s="315">
        <v>0</v>
      </c>
      <c r="J16" s="316">
        <f t="shared" si="0"/>
        <v>0</v>
      </c>
      <c r="K16" s="319">
        <v>-0.28999999999999998</v>
      </c>
      <c r="L16">
        <v>0</v>
      </c>
      <c r="M16" s="319">
        <v>0</v>
      </c>
      <c r="N16">
        <v>0</v>
      </c>
      <c r="O16" s="316">
        <f t="shared" si="1"/>
        <v>0</v>
      </c>
      <c r="P16" s="317">
        <f t="shared" si="2"/>
        <v>0</v>
      </c>
      <c r="R16">
        <f t="shared" si="3"/>
        <v>0</v>
      </c>
    </row>
    <row r="17" spans="9:18" x14ac:dyDescent="0.2">
      <c r="I17" s="315">
        <v>0</v>
      </c>
      <c r="J17" s="316">
        <f t="shared" si="0"/>
        <v>0</v>
      </c>
      <c r="K17" s="319">
        <v>-0.28999999999999998</v>
      </c>
      <c r="L17">
        <v>0</v>
      </c>
      <c r="M17" s="319">
        <v>0</v>
      </c>
      <c r="N17">
        <v>0</v>
      </c>
      <c r="O17" s="316">
        <f t="shared" si="1"/>
        <v>0</v>
      </c>
      <c r="P17" s="317">
        <f t="shared" si="2"/>
        <v>0</v>
      </c>
      <c r="R17">
        <f t="shared" si="3"/>
        <v>0</v>
      </c>
    </row>
    <row r="18" spans="9:18" x14ac:dyDescent="0.2">
      <c r="I18" s="315">
        <v>0</v>
      </c>
      <c r="J18" s="316">
        <f t="shared" si="0"/>
        <v>0</v>
      </c>
      <c r="K18" s="319">
        <v>-0.17</v>
      </c>
      <c r="L18">
        <v>0</v>
      </c>
      <c r="M18" s="319">
        <v>0</v>
      </c>
      <c r="N18">
        <v>0</v>
      </c>
      <c r="O18" s="316">
        <f t="shared" si="1"/>
        <v>0</v>
      </c>
      <c r="P18" s="317">
        <f t="shared" si="2"/>
        <v>0</v>
      </c>
      <c r="R18">
        <f t="shared" si="3"/>
        <v>0</v>
      </c>
    </row>
    <row r="19" spans="9:18" x14ac:dyDescent="0.2">
      <c r="I19" s="315">
        <v>0</v>
      </c>
      <c r="J19" s="316">
        <f t="shared" si="0"/>
        <v>0</v>
      </c>
      <c r="K19" s="319">
        <v>-0.17</v>
      </c>
      <c r="L19">
        <v>0</v>
      </c>
      <c r="M19" s="319">
        <v>0</v>
      </c>
      <c r="N19">
        <v>0</v>
      </c>
      <c r="O19" s="316">
        <f t="shared" si="1"/>
        <v>0</v>
      </c>
      <c r="P19" s="317">
        <f t="shared" si="2"/>
        <v>0</v>
      </c>
      <c r="R19">
        <f t="shared" si="3"/>
        <v>0</v>
      </c>
    </row>
    <row r="20" spans="9:18" x14ac:dyDescent="0.2">
      <c r="I20" s="315">
        <v>0</v>
      </c>
      <c r="J20" s="316">
        <f t="shared" si="0"/>
        <v>0</v>
      </c>
      <c r="K20" s="319">
        <v>-0.1</v>
      </c>
      <c r="L20">
        <v>0</v>
      </c>
      <c r="M20" s="319">
        <v>0</v>
      </c>
      <c r="N20">
        <v>0</v>
      </c>
      <c r="O20" s="316">
        <f t="shared" si="1"/>
        <v>0</v>
      </c>
      <c r="P20" s="317">
        <f t="shared" si="2"/>
        <v>0</v>
      </c>
      <c r="R20">
        <f t="shared" si="3"/>
        <v>0</v>
      </c>
    </row>
    <row r="21" spans="9:18" x14ac:dyDescent="0.2">
      <c r="I21" s="315">
        <v>12.8</v>
      </c>
      <c r="J21" s="316">
        <f t="shared" si="0"/>
        <v>0</v>
      </c>
      <c r="K21" s="319">
        <v>0.2</v>
      </c>
      <c r="L21">
        <v>0</v>
      </c>
      <c r="M21" s="319">
        <v>12.8</v>
      </c>
      <c r="N21">
        <v>0</v>
      </c>
      <c r="O21" s="316">
        <f t="shared" si="1"/>
        <v>0</v>
      </c>
      <c r="P21" s="317">
        <f t="shared" si="2"/>
        <v>0</v>
      </c>
      <c r="R21">
        <f t="shared" si="3"/>
        <v>0</v>
      </c>
    </row>
    <row r="22" spans="9:18" x14ac:dyDescent="0.2">
      <c r="I22" s="315">
        <v>24.96</v>
      </c>
      <c r="J22" s="316">
        <f t="shared" si="0"/>
        <v>0</v>
      </c>
      <c r="K22" s="319">
        <v>0.39</v>
      </c>
      <c r="L22">
        <v>0</v>
      </c>
      <c r="M22" s="319">
        <v>24.96</v>
      </c>
      <c r="N22">
        <v>0</v>
      </c>
      <c r="O22" s="316">
        <f t="shared" si="1"/>
        <v>0</v>
      </c>
      <c r="P22" s="317">
        <f t="shared" si="2"/>
        <v>0</v>
      </c>
      <c r="R22">
        <f t="shared" si="3"/>
        <v>0</v>
      </c>
    </row>
    <row r="23" spans="9:18" x14ac:dyDescent="0.2">
      <c r="I23" s="315">
        <v>0</v>
      </c>
      <c r="J23" s="316">
        <f t="shared" si="0"/>
        <v>0</v>
      </c>
      <c r="K23" s="319">
        <v>-0.01</v>
      </c>
      <c r="L23">
        <v>0</v>
      </c>
      <c r="M23" s="319">
        <v>0</v>
      </c>
      <c r="N23">
        <v>0</v>
      </c>
      <c r="O23" s="316">
        <f t="shared" si="1"/>
        <v>0</v>
      </c>
      <c r="P23" s="317">
        <f t="shared" si="2"/>
        <v>0</v>
      </c>
      <c r="R23">
        <f t="shared" si="3"/>
        <v>0</v>
      </c>
    </row>
    <row r="24" spans="9:18" x14ac:dyDescent="0.2">
      <c r="I24" s="315">
        <v>0</v>
      </c>
      <c r="J24" s="316">
        <f t="shared" si="0"/>
        <v>0</v>
      </c>
      <c r="K24" s="319">
        <v>-0.24</v>
      </c>
      <c r="L24">
        <v>0</v>
      </c>
      <c r="M24" s="319">
        <v>0</v>
      </c>
      <c r="N24">
        <v>0</v>
      </c>
      <c r="O24" s="316">
        <f t="shared" si="1"/>
        <v>0</v>
      </c>
      <c r="P24" s="317">
        <f t="shared" si="2"/>
        <v>0</v>
      </c>
      <c r="R24">
        <f t="shared" si="3"/>
        <v>0</v>
      </c>
    </row>
    <row r="25" spans="9:18" x14ac:dyDescent="0.2">
      <c r="I25" s="315">
        <v>3.84</v>
      </c>
      <c r="J25" s="316">
        <f t="shared" si="0"/>
        <v>0</v>
      </c>
      <c r="K25" s="319">
        <v>0.24</v>
      </c>
      <c r="L25">
        <v>0</v>
      </c>
      <c r="M25" s="319">
        <v>3.84</v>
      </c>
      <c r="N25">
        <v>0</v>
      </c>
      <c r="O25" s="316">
        <f t="shared" si="1"/>
        <v>0</v>
      </c>
      <c r="P25" s="317">
        <f t="shared" si="2"/>
        <v>0</v>
      </c>
      <c r="R25">
        <f t="shared" si="3"/>
        <v>0</v>
      </c>
    </row>
    <row r="26" spans="9:18" x14ac:dyDescent="0.2">
      <c r="I26" s="315">
        <v>47.36</v>
      </c>
      <c r="J26" s="316">
        <f t="shared" si="0"/>
        <v>0</v>
      </c>
      <c r="K26" s="319">
        <v>0.74</v>
      </c>
      <c r="L26">
        <v>0</v>
      </c>
      <c r="M26" s="319">
        <v>47.36</v>
      </c>
      <c r="N26">
        <v>0</v>
      </c>
      <c r="O26" s="316">
        <f t="shared" si="1"/>
        <v>0</v>
      </c>
      <c r="P26" s="317">
        <f t="shared" si="2"/>
        <v>0</v>
      </c>
      <c r="R26">
        <f t="shared" si="3"/>
        <v>0</v>
      </c>
    </row>
    <row r="27" spans="9:18" x14ac:dyDescent="0.2">
      <c r="I27" s="315">
        <v>58.24</v>
      </c>
      <c r="J27" s="316">
        <f t="shared" si="0"/>
        <v>0</v>
      </c>
      <c r="K27" s="319">
        <v>1.1200000000000001</v>
      </c>
      <c r="L27">
        <v>0</v>
      </c>
      <c r="M27" s="319">
        <v>58.24</v>
      </c>
      <c r="N27">
        <v>0</v>
      </c>
      <c r="O27" s="316">
        <f t="shared" si="1"/>
        <v>0</v>
      </c>
      <c r="P27" s="317">
        <f t="shared" si="2"/>
        <v>0</v>
      </c>
      <c r="R27">
        <f t="shared" si="3"/>
        <v>0</v>
      </c>
    </row>
    <row r="28" spans="9:18" x14ac:dyDescent="0.2">
      <c r="I28" s="315">
        <v>62.08</v>
      </c>
      <c r="J28" s="316">
        <f t="shared" si="0"/>
        <v>0</v>
      </c>
      <c r="K28" s="319">
        <v>0.97</v>
      </c>
      <c r="L28">
        <v>0</v>
      </c>
      <c r="M28" s="319">
        <v>62.08</v>
      </c>
      <c r="N28">
        <v>0</v>
      </c>
      <c r="O28" s="316">
        <f t="shared" si="1"/>
        <v>0</v>
      </c>
      <c r="P28" s="317">
        <f t="shared" si="2"/>
        <v>0</v>
      </c>
      <c r="R28">
        <f t="shared" si="3"/>
        <v>0</v>
      </c>
    </row>
    <row r="29" spans="9:18" x14ac:dyDescent="0.2">
      <c r="I29" s="315">
        <v>3.74</v>
      </c>
      <c r="J29" s="316">
        <f t="shared" si="0"/>
        <v>0</v>
      </c>
      <c r="K29" s="319">
        <v>0.6</v>
      </c>
      <c r="L29">
        <v>0</v>
      </c>
      <c r="M29" s="319">
        <v>3.74</v>
      </c>
      <c r="N29">
        <v>0</v>
      </c>
      <c r="O29" s="316">
        <f t="shared" si="1"/>
        <v>0</v>
      </c>
      <c r="P29" s="317">
        <f t="shared" si="2"/>
        <v>0</v>
      </c>
      <c r="R29">
        <f t="shared" si="3"/>
        <v>0</v>
      </c>
    </row>
    <row r="30" spans="9:18" x14ac:dyDescent="0.2">
      <c r="I30" s="315">
        <v>33.92</v>
      </c>
      <c r="J30" s="316">
        <f t="shared" si="0"/>
        <v>0</v>
      </c>
      <c r="K30" s="319">
        <v>0.53</v>
      </c>
      <c r="L30">
        <v>0</v>
      </c>
      <c r="M30" s="319">
        <v>33.92</v>
      </c>
      <c r="N30">
        <v>0</v>
      </c>
      <c r="O30" s="316">
        <f t="shared" si="1"/>
        <v>0</v>
      </c>
      <c r="P30" s="317">
        <f t="shared" si="2"/>
        <v>0</v>
      </c>
      <c r="R30">
        <f t="shared" si="3"/>
        <v>0</v>
      </c>
    </row>
    <row r="31" spans="9:18" x14ac:dyDescent="0.2">
      <c r="I31" s="315">
        <v>64</v>
      </c>
      <c r="J31" s="316">
        <f t="shared" si="0"/>
        <v>0</v>
      </c>
      <c r="K31" s="319">
        <v>1</v>
      </c>
      <c r="L31">
        <v>0</v>
      </c>
      <c r="M31" s="319">
        <v>64</v>
      </c>
      <c r="N31">
        <v>0</v>
      </c>
      <c r="O31" s="316">
        <f t="shared" si="1"/>
        <v>0</v>
      </c>
      <c r="P31" s="317">
        <f t="shared" si="2"/>
        <v>0</v>
      </c>
      <c r="R31">
        <f t="shared" si="3"/>
        <v>0</v>
      </c>
    </row>
    <row r="32" spans="9:18" x14ac:dyDescent="0.2">
      <c r="I32" s="315">
        <f t="shared" ref="I32:I33" si="4">M32*$I$13/K32</f>
        <v>15.598101265822784</v>
      </c>
      <c r="J32" s="316">
        <f t="shared" si="0"/>
        <v>0.83189873417721572</v>
      </c>
      <c r="K32" s="320">
        <v>1.58</v>
      </c>
      <c r="L32">
        <f t="shared" ref="L32:L72" si="5">K32-$I$13</f>
        <v>8.0000000000000071E-2</v>
      </c>
      <c r="M32" s="319">
        <v>16.43</v>
      </c>
      <c r="N32">
        <v>41.08</v>
      </c>
      <c r="O32" s="316">
        <f t="shared" ref="O32:O72" si="6">$I$13*N32/K32</f>
        <v>39</v>
      </c>
      <c r="P32" s="317">
        <f t="shared" si="2"/>
        <v>2.0799999999999983</v>
      </c>
      <c r="Q32" s="90">
        <f>O32+P32</f>
        <v>41.08</v>
      </c>
      <c r="R32">
        <f t="shared" si="3"/>
        <v>0</v>
      </c>
    </row>
    <row r="33" spans="9:18" x14ac:dyDescent="0.2">
      <c r="I33" s="315">
        <f t="shared" si="4"/>
        <v>96</v>
      </c>
      <c r="J33" s="316">
        <f t="shared" si="0"/>
        <v>3.2000000000000028</v>
      </c>
      <c r="K33" s="320">
        <v>1.55</v>
      </c>
      <c r="L33">
        <f t="shared" si="5"/>
        <v>5.0000000000000044E-2</v>
      </c>
      <c r="M33" s="319">
        <v>99.2</v>
      </c>
      <c r="N33">
        <v>248</v>
      </c>
      <c r="O33" s="316">
        <f t="shared" si="6"/>
        <v>240</v>
      </c>
      <c r="P33" s="317">
        <f t="shared" si="2"/>
        <v>8</v>
      </c>
      <c r="Q33" s="90">
        <f>O33+P33</f>
        <v>248</v>
      </c>
      <c r="R33">
        <f t="shared" si="3"/>
        <v>0</v>
      </c>
    </row>
    <row r="34" spans="9:18" x14ac:dyDescent="0.2">
      <c r="I34" s="315">
        <v>44.16</v>
      </c>
      <c r="J34" s="316">
        <f t="shared" si="0"/>
        <v>0</v>
      </c>
      <c r="K34" s="319">
        <v>0.8</v>
      </c>
      <c r="L34">
        <v>0</v>
      </c>
      <c r="M34" s="319">
        <v>44.16</v>
      </c>
      <c r="N34">
        <v>0</v>
      </c>
      <c r="O34" s="316">
        <f t="shared" ref="O34:O36" si="7">N34</f>
        <v>0</v>
      </c>
      <c r="P34" s="317">
        <f t="shared" si="2"/>
        <v>0</v>
      </c>
      <c r="Q34" s="90">
        <f t="shared" ref="Q34:Q74" si="8">O34+P34</f>
        <v>0</v>
      </c>
      <c r="R34">
        <f t="shared" si="3"/>
        <v>0</v>
      </c>
    </row>
    <row r="35" spans="9:18" x14ac:dyDescent="0.2">
      <c r="I35" s="315">
        <v>33.35</v>
      </c>
      <c r="J35" s="316">
        <f t="shared" si="0"/>
        <v>0</v>
      </c>
      <c r="K35" s="319">
        <v>0.95</v>
      </c>
      <c r="L35">
        <v>0</v>
      </c>
      <c r="M35" s="319">
        <v>33.35</v>
      </c>
      <c r="N35">
        <v>0</v>
      </c>
      <c r="O35" s="316">
        <f t="shared" si="7"/>
        <v>0</v>
      </c>
      <c r="P35" s="317">
        <f t="shared" si="2"/>
        <v>0</v>
      </c>
      <c r="Q35" s="90">
        <f t="shared" si="8"/>
        <v>0</v>
      </c>
      <c r="R35">
        <f t="shared" si="3"/>
        <v>0</v>
      </c>
    </row>
    <row r="36" spans="9:18" x14ac:dyDescent="0.2">
      <c r="I36" s="315">
        <v>58.95</v>
      </c>
      <c r="J36" s="316">
        <f t="shared" si="0"/>
        <v>0</v>
      </c>
      <c r="K36" s="319">
        <v>1.31</v>
      </c>
      <c r="L36">
        <v>0</v>
      </c>
      <c r="M36" s="319">
        <v>58.95</v>
      </c>
      <c r="N36">
        <v>131</v>
      </c>
      <c r="O36" s="316">
        <f t="shared" si="7"/>
        <v>131</v>
      </c>
      <c r="P36" s="317">
        <f t="shared" si="2"/>
        <v>0</v>
      </c>
      <c r="Q36" s="90">
        <f t="shared" si="8"/>
        <v>131</v>
      </c>
      <c r="R36">
        <f t="shared" si="3"/>
        <v>0</v>
      </c>
    </row>
    <row r="37" spans="9:18" x14ac:dyDescent="0.2">
      <c r="I37" s="315">
        <f t="shared" ref="I37:I38" si="9">M37*$I$13/K37</f>
        <v>107.99999999999999</v>
      </c>
      <c r="J37" s="316">
        <f t="shared" si="0"/>
        <v>0.72000000000001307</v>
      </c>
      <c r="K37" s="320">
        <v>1.51</v>
      </c>
      <c r="L37">
        <f t="shared" si="5"/>
        <v>1.0000000000000009E-2</v>
      </c>
      <c r="M37" s="319">
        <v>108.72</v>
      </c>
      <c r="N37">
        <v>241.6</v>
      </c>
      <c r="O37" s="316">
        <f t="shared" si="6"/>
        <v>239.99999999999997</v>
      </c>
      <c r="P37" s="317">
        <f t="shared" si="2"/>
        <v>1.6000000000000227</v>
      </c>
      <c r="Q37" s="90">
        <f t="shared" si="8"/>
        <v>241.6</v>
      </c>
      <c r="R37">
        <f t="shared" si="3"/>
        <v>0</v>
      </c>
    </row>
    <row r="38" spans="9:18" x14ac:dyDescent="0.2">
      <c r="I38" s="315">
        <f t="shared" si="9"/>
        <v>29.527397260273968</v>
      </c>
      <c r="J38" s="316">
        <f t="shared" si="0"/>
        <v>13.582602739726031</v>
      </c>
      <c r="K38" s="320">
        <v>2.19</v>
      </c>
      <c r="L38">
        <f t="shared" si="5"/>
        <v>0.69</v>
      </c>
      <c r="M38" s="319">
        <v>43.11</v>
      </c>
      <c r="N38">
        <v>95.81</v>
      </c>
      <c r="O38" s="316">
        <f t="shared" si="6"/>
        <v>65.623287671232873</v>
      </c>
      <c r="P38" s="317">
        <f t="shared" si="2"/>
        <v>30.186712328767129</v>
      </c>
      <c r="Q38" s="90">
        <f t="shared" si="8"/>
        <v>95.81</v>
      </c>
      <c r="R38">
        <f t="shared" si="3"/>
        <v>0</v>
      </c>
    </row>
    <row r="39" spans="9:18" x14ac:dyDescent="0.2">
      <c r="I39" s="315">
        <v>52.72</v>
      </c>
      <c r="J39" s="316">
        <f t="shared" si="0"/>
        <v>0</v>
      </c>
      <c r="K39" s="319">
        <v>1.1100000000000001</v>
      </c>
      <c r="L39">
        <v>0</v>
      </c>
      <c r="M39" s="319">
        <v>52.72</v>
      </c>
      <c r="N39">
        <v>0</v>
      </c>
      <c r="O39" s="316">
        <f t="shared" ref="O39:O41" si="10">N39</f>
        <v>0</v>
      </c>
      <c r="P39" s="317">
        <f t="shared" si="2"/>
        <v>0</v>
      </c>
      <c r="Q39" s="90">
        <f t="shared" si="8"/>
        <v>0</v>
      </c>
      <c r="R39">
        <f t="shared" si="3"/>
        <v>0</v>
      </c>
    </row>
    <row r="40" spans="9:18" x14ac:dyDescent="0.2">
      <c r="I40" s="315">
        <v>20.38</v>
      </c>
      <c r="J40" s="316">
        <f t="shared" si="0"/>
        <v>0</v>
      </c>
      <c r="K40" s="319">
        <v>1.1200000000000001</v>
      </c>
      <c r="L40">
        <v>0</v>
      </c>
      <c r="M40" s="319">
        <v>20.38</v>
      </c>
      <c r="N40">
        <v>0</v>
      </c>
      <c r="O40" s="316">
        <f t="shared" si="10"/>
        <v>0</v>
      </c>
      <c r="P40" s="317">
        <f t="shared" si="2"/>
        <v>0</v>
      </c>
      <c r="Q40" s="90">
        <f t="shared" si="8"/>
        <v>0</v>
      </c>
      <c r="R40">
        <f t="shared" si="3"/>
        <v>0</v>
      </c>
    </row>
    <row r="41" spans="9:18" x14ac:dyDescent="0.2">
      <c r="I41" s="315">
        <v>68.64</v>
      </c>
      <c r="J41" s="316">
        <f t="shared" si="0"/>
        <v>0</v>
      </c>
      <c r="K41" s="319">
        <v>1.32</v>
      </c>
      <c r="L41">
        <v>0</v>
      </c>
      <c r="M41" s="319">
        <v>68.64</v>
      </c>
      <c r="N41">
        <v>211.2</v>
      </c>
      <c r="O41" s="316">
        <f t="shared" si="10"/>
        <v>211.2</v>
      </c>
      <c r="P41" s="317">
        <f t="shared" si="2"/>
        <v>0</v>
      </c>
      <c r="Q41" s="90">
        <f t="shared" si="8"/>
        <v>211.2</v>
      </c>
      <c r="R41">
        <f t="shared" si="3"/>
        <v>0</v>
      </c>
    </row>
    <row r="42" spans="9:18" x14ac:dyDescent="0.2">
      <c r="I42" s="315">
        <f t="shared" ref="I42:I46" si="11">M42*$I$13/K42</f>
        <v>70.201754385964918</v>
      </c>
      <c r="J42" s="316">
        <f t="shared" si="0"/>
        <v>9.8282456140350831</v>
      </c>
      <c r="K42" s="320">
        <v>1.71</v>
      </c>
      <c r="L42">
        <f t="shared" si="5"/>
        <v>0.20999999999999996</v>
      </c>
      <c r="M42" s="319">
        <v>80.03</v>
      </c>
      <c r="N42">
        <v>246.24</v>
      </c>
      <c r="O42" s="316">
        <f t="shared" si="6"/>
        <v>216</v>
      </c>
      <c r="P42" s="317">
        <f t="shared" si="2"/>
        <v>30.240000000000009</v>
      </c>
      <c r="Q42" s="90">
        <f t="shared" si="8"/>
        <v>246.24</v>
      </c>
      <c r="R42">
        <f t="shared" si="3"/>
        <v>0</v>
      </c>
    </row>
    <row r="43" spans="9:18" x14ac:dyDescent="0.2">
      <c r="I43" s="315">
        <f t="shared" si="11"/>
        <v>78.000000000000014</v>
      </c>
      <c r="J43" s="316">
        <f t="shared" si="0"/>
        <v>30.679999999999993</v>
      </c>
      <c r="K43" s="320">
        <v>2.09</v>
      </c>
      <c r="L43">
        <f t="shared" si="5"/>
        <v>0.58999999999999986</v>
      </c>
      <c r="M43" s="319">
        <v>108.68</v>
      </c>
      <c r="N43">
        <v>334.4</v>
      </c>
      <c r="O43" s="316">
        <f t="shared" si="6"/>
        <v>240</v>
      </c>
      <c r="P43" s="317">
        <f t="shared" si="2"/>
        <v>94.399999999999977</v>
      </c>
      <c r="Q43" s="90">
        <f t="shared" si="8"/>
        <v>334.4</v>
      </c>
      <c r="R43">
        <f t="shared" si="3"/>
        <v>0</v>
      </c>
    </row>
    <row r="44" spans="9:18" x14ac:dyDescent="0.2">
      <c r="I44" s="315">
        <f t="shared" si="11"/>
        <v>27.3</v>
      </c>
      <c r="J44" s="316">
        <f t="shared" si="0"/>
        <v>15.470000000000002</v>
      </c>
      <c r="K44" s="320">
        <v>2.35</v>
      </c>
      <c r="L44">
        <f t="shared" si="5"/>
        <v>0.85000000000000009</v>
      </c>
      <c r="M44" s="319">
        <v>42.77</v>
      </c>
      <c r="N44">
        <v>131.6</v>
      </c>
      <c r="O44" s="316">
        <f t="shared" si="6"/>
        <v>83.999999999999986</v>
      </c>
      <c r="P44" s="317">
        <f t="shared" si="2"/>
        <v>47.600000000000009</v>
      </c>
      <c r="Q44" s="90">
        <f t="shared" si="8"/>
        <v>131.6</v>
      </c>
      <c r="R44">
        <f t="shared" si="3"/>
        <v>0</v>
      </c>
    </row>
    <row r="45" spans="9:18" x14ac:dyDescent="0.2">
      <c r="I45" s="315">
        <f t="shared" si="11"/>
        <v>63.372727272727275</v>
      </c>
      <c r="J45" s="316">
        <f t="shared" si="0"/>
        <v>6.337272727272719</v>
      </c>
      <c r="K45" s="320">
        <v>1.65</v>
      </c>
      <c r="L45">
        <f t="shared" si="5"/>
        <v>0.14999999999999991</v>
      </c>
      <c r="M45" s="319">
        <v>69.709999999999994</v>
      </c>
      <c r="N45">
        <v>214.5</v>
      </c>
      <c r="O45" s="316">
        <f t="shared" si="6"/>
        <v>195</v>
      </c>
      <c r="P45" s="317">
        <f t="shared" si="2"/>
        <v>19.5</v>
      </c>
      <c r="Q45" s="90">
        <f t="shared" si="8"/>
        <v>214.5</v>
      </c>
      <c r="R45">
        <f t="shared" si="3"/>
        <v>0</v>
      </c>
    </row>
    <row r="46" spans="9:18" x14ac:dyDescent="0.2">
      <c r="I46" s="315">
        <f t="shared" si="11"/>
        <v>11.398648648648647</v>
      </c>
      <c r="J46" s="316">
        <f t="shared" si="0"/>
        <v>5.4713513513513536</v>
      </c>
      <c r="K46" s="320">
        <v>2.2200000000000002</v>
      </c>
      <c r="L46">
        <f t="shared" si="5"/>
        <v>0.7200000000000002</v>
      </c>
      <c r="M46" s="319">
        <v>16.87</v>
      </c>
      <c r="N46">
        <v>51.9</v>
      </c>
      <c r="O46" s="316">
        <f t="shared" si="6"/>
        <v>35.067567567567565</v>
      </c>
      <c r="P46" s="317">
        <f t="shared" si="2"/>
        <v>16.832432432432434</v>
      </c>
      <c r="Q46" s="90">
        <f t="shared" si="8"/>
        <v>51.9</v>
      </c>
      <c r="R46">
        <f t="shared" si="3"/>
        <v>0</v>
      </c>
    </row>
    <row r="47" spans="9:18" x14ac:dyDescent="0.2">
      <c r="I47" s="315">
        <v>51.2</v>
      </c>
      <c r="J47" s="316">
        <f t="shared" si="0"/>
        <v>0</v>
      </c>
      <c r="K47" s="319">
        <v>0.8</v>
      </c>
      <c r="L47">
        <v>0</v>
      </c>
      <c r="M47" s="319">
        <v>51.2</v>
      </c>
      <c r="N47">
        <v>0</v>
      </c>
      <c r="O47" s="316">
        <f t="shared" ref="O47:O64" si="12">N47</f>
        <v>0</v>
      </c>
      <c r="P47" s="317">
        <f t="shared" si="2"/>
        <v>0</v>
      </c>
      <c r="Q47" s="90">
        <f t="shared" si="8"/>
        <v>0</v>
      </c>
      <c r="R47">
        <f t="shared" si="3"/>
        <v>0</v>
      </c>
    </row>
    <row r="48" spans="9:18" x14ac:dyDescent="0.2">
      <c r="I48" s="315">
        <v>24.26</v>
      </c>
      <c r="J48" s="316">
        <f t="shared" si="0"/>
        <v>0</v>
      </c>
      <c r="K48" s="319">
        <v>0.8</v>
      </c>
      <c r="L48">
        <v>0</v>
      </c>
      <c r="M48" s="319">
        <v>24.26</v>
      </c>
      <c r="N48">
        <v>0</v>
      </c>
      <c r="O48" s="316">
        <f t="shared" si="12"/>
        <v>0</v>
      </c>
      <c r="P48" s="317">
        <f t="shared" si="2"/>
        <v>0</v>
      </c>
      <c r="Q48" s="90">
        <f t="shared" si="8"/>
        <v>0</v>
      </c>
      <c r="R48">
        <f t="shared" si="3"/>
        <v>0</v>
      </c>
    </row>
    <row r="49" spans="9:18" x14ac:dyDescent="0.2">
      <c r="I49" s="315">
        <v>8.32</v>
      </c>
      <c r="J49" s="316">
        <f t="shared" si="0"/>
        <v>0</v>
      </c>
      <c r="K49" s="319">
        <v>0.8</v>
      </c>
      <c r="L49">
        <v>0</v>
      </c>
      <c r="M49" s="319">
        <v>8.32</v>
      </c>
      <c r="N49">
        <v>0</v>
      </c>
      <c r="O49" s="316">
        <f t="shared" si="12"/>
        <v>0</v>
      </c>
      <c r="P49" s="317">
        <f t="shared" si="2"/>
        <v>0</v>
      </c>
      <c r="Q49" s="90">
        <f t="shared" si="8"/>
        <v>0</v>
      </c>
      <c r="R49">
        <f t="shared" si="3"/>
        <v>0</v>
      </c>
    </row>
    <row r="50" spans="9:18" x14ac:dyDescent="0.2">
      <c r="I50" s="315">
        <v>51.39</v>
      </c>
      <c r="J50" s="316">
        <f t="shared" si="0"/>
        <v>0</v>
      </c>
      <c r="K50" s="319">
        <v>0.8</v>
      </c>
      <c r="L50">
        <v>0</v>
      </c>
      <c r="M50" s="319">
        <v>51.39</v>
      </c>
      <c r="N50">
        <v>0</v>
      </c>
      <c r="O50" s="316">
        <f t="shared" si="12"/>
        <v>0</v>
      </c>
      <c r="P50" s="317">
        <f t="shared" si="2"/>
        <v>0</v>
      </c>
      <c r="Q50" s="90">
        <f t="shared" si="8"/>
        <v>0</v>
      </c>
      <c r="R50">
        <f t="shared" si="3"/>
        <v>0</v>
      </c>
    </row>
    <row r="51" spans="9:18" x14ac:dyDescent="0.2">
      <c r="I51" s="315">
        <v>51.01</v>
      </c>
      <c r="J51" s="316">
        <f t="shared" si="0"/>
        <v>0</v>
      </c>
      <c r="K51" s="319">
        <v>0.8</v>
      </c>
      <c r="L51">
        <v>0</v>
      </c>
      <c r="M51" s="319">
        <v>51.01</v>
      </c>
      <c r="N51">
        <v>0</v>
      </c>
      <c r="O51" s="316">
        <f t="shared" si="12"/>
        <v>0</v>
      </c>
      <c r="P51" s="317">
        <f t="shared" si="2"/>
        <v>0</v>
      </c>
      <c r="Q51" s="90">
        <f t="shared" si="8"/>
        <v>0</v>
      </c>
      <c r="R51">
        <f t="shared" si="3"/>
        <v>0</v>
      </c>
    </row>
    <row r="52" spans="9:18" x14ac:dyDescent="0.2">
      <c r="I52" s="315">
        <v>61.2</v>
      </c>
      <c r="J52" s="316">
        <f t="shared" si="0"/>
        <v>0</v>
      </c>
      <c r="K52" s="319">
        <v>0.85</v>
      </c>
      <c r="L52">
        <v>0</v>
      </c>
      <c r="M52" s="319">
        <v>61.2</v>
      </c>
      <c r="N52">
        <v>0</v>
      </c>
      <c r="O52" s="316">
        <f t="shared" si="12"/>
        <v>0</v>
      </c>
      <c r="P52" s="317">
        <f t="shared" si="2"/>
        <v>0</v>
      </c>
      <c r="Q52" s="90">
        <f t="shared" si="8"/>
        <v>0</v>
      </c>
      <c r="R52">
        <f t="shared" si="3"/>
        <v>0</v>
      </c>
    </row>
    <row r="53" spans="9:18" x14ac:dyDescent="0.2">
      <c r="I53" s="315">
        <v>34.43</v>
      </c>
      <c r="J53" s="316">
        <f t="shared" si="0"/>
        <v>0</v>
      </c>
      <c r="K53" s="319">
        <v>0.85</v>
      </c>
      <c r="L53">
        <v>0</v>
      </c>
      <c r="M53" s="319">
        <v>34.43</v>
      </c>
      <c r="N53">
        <v>0</v>
      </c>
      <c r="O53" s="316">
        <f t="shared" si="12"/>
        <v>0</v>
      </c>
      <c r="P53" s="317">
        <f t="shared" si="2"/>
        <v>0</v>
      </c>
      <c r="Q53" s="90">
        <f t="shared" si="8"/>
        <v>0</v>
      </c>
      <c r="R53">
        <f t="shared" si="3"/>
        <v>0</v>
      </c>
    </row>
    <row r="54" spans="9:18" x14ac:dyDescent="0.2">
      <c r="I54" s="315">
        <f t="shared" ref="I54" si="13">M54*$I$13/K54</f>
        <v>68.842696629213492</v>
      </c>
      <c r="J54" s="316">
        <f t="shared" si="0"/>
        <v>53.697303370786514</v>
      </c>
      <c r="K54" s="320">
        <v>2.67</v>
      </c>
      <c r="L54">
        <f t="shared" si="5"/>
        <v>1.17</v>
      </c>
      <c r="M54" s="319">
        <v>122.54</v>
      </c>
      <c r="N54">
        <v>272.32</v>
      </c>
      <c r="O54" s="316">
        <f t="shared" si="6"/>
        <v>152.98876404494382</v>
      </c>
      <c r="P54" s="317">
        <f t="shared" si="2"/>
        <v>119.33123595505617</v>
      </c>
      <c r="Q54" s="90">
        <f t="shared" si="8"/>
        <v>272.32</v>
      </c>
      <c r="R54">
        <f t="shared" si="3"/>
        <v>0</v>
      </c>
    </row>
    <row r="55" spans="9:18" x14ac:dyDescent="0.2">
      <c r="I55" s="315">
        <v>33.799999999999997</v>
      </c>
      <c r="J55" s="316">
        <f>M55-I55</f>
        <v>0</v>
      </c>
      <c r="K55" s="319">
        <v>1.04</v>
      </c>
      <c r="L55">
        <v>0</v>
      </c>
      <c r="M55" s="319">
        <v>33.799999999999997</v>
      </c>
      <c r="N55">
        <v>0</v>
      </c>
      <c r="O55" s="316">
        <f t="shared" si="12"/>
        <v>0</v>
      </c>
      <c r="P55" s="317">
        <f t="shared" si="2"/>
        <v>0</v>
      </c>
      <c r="Q55" s="90">
        <f t="shared" si="8"/>
        <v>0</v>
      </c>
      <c r="R55">
        <f t="shared" si="3"/>
        <v>0</v>
      </c>
    </row>
    <row r="56" spans="9:18" x14ac:dyDescent="0.2">
      <c r="I56" s="315">
        <v>40.56</v>
      </c>
      <c r="J56" s="316">
        <f>M56-I56</f>
        <v>0</v>
      </c>
      <c r="K56" s="319">
        <v>1.04</v>
      </c>
      <c r="L56">
        <v>0</v>
      </c>
      <c r="M56" s="319">
        <v>40.56</v>
      </c>
      <c r="N56">
        <v>0</v>
      </c>
      <c r="O56" s="316">
        <f t="shared" si="12"/>
        <v>0</v>
      </c>
      <c r="P56" s="317">
        <f t="shared" si="2"/>
        <v>0</v>
      </c>
      <c r="Q56" s="90">
        <f t="shared" si="8"/>
        <v>0</v>
      </c>
      <c r="R56">
        <f t="shared" si="3"/>
        <v>0</v>
      </c>
    </row>
    <row r="57" spans="9:18" x14ac:dyDescent="0.2">
      <c r="I57" s="315">
        <v>54.6</v>
      </c>
      <c r="J57" s="316">
        <f t="shared" si="0"/>
        <v>0</v>
      </c>
      <c r="K57" s="319">
        <v>1.05</v>
      </c>
      <c r="L57">
        <v>0</v>
      </c>
      <c r="M57" s="319">
        <v>54.6</v>
      </c>
      <c r="N57">
        <v>0</v>
      </c>
      <c r="O57" s="316">
        <f t="shared" si="12"/>
        <v>0</v>
      </c>
      <c r="P57" s="317">
        <f t="shared" si="2"/>
        <v>0</v>
      </c>
      <c r="Q57" s="90">
        <f t="shared" si="8"/>
        <v>0</v>
      </c>
      <c r="R57">
        <f t="shared" si="3"/>
        <v>0</v>
      </c>
    </row>
    <row r="58" spans="9:18" x14ac:dyDescent="0.2">
      <c r="I58" s="315">
        <v>29.35</v>
      </c>
      <c r="J58" s="316">
        <f t="shared" si="0"/>
        <v>0</v>
      </c>
      <c r="K58" s="319">
        <v>1.05</v>
      </c>
      <c r="L58">
        <v>0</v>
      </c>
      <c r="M58" s="319">
        <v>29.35</v>
      </c>
      <c r="N58">
        <v>0</v>
      </c>
      <c r="O58" s="316">
        <f t="shared" si="12"/>
        <v>0</v>
      </c>
      <c r="P58" s="317">
        <f t="shared" si="2"/>
        <v>0</v>
      </c>
      <c r="Q58" s="90">
        <f t="shared" si="8"/>
        <v>0</v>
      </c>
      <c r="R58">
        <f t="shared" si="3"/>
        <v>0</v>
      </c>
    </row>
    <row r="59" spans="9:18" x14ac:dyDescent="0.2">
      <c r="I59" s="315">
        <v>55.12</v>
      </c>
      <c r="J59" s="316">
        <f t="shared" si="0"/>
        <v>0</v>
      </c>
      <c r="K59" s="319">
        <v>1.06</v>
      </c>
      <c r="L59">
        <v>0</v>
      </c>
      <c r="M59" s="319">
        <v>55.12</v>
      </c>
      <c r="N59">
        <v>0</v>
      </c>
      <c r="O59" s="316">
        <f t="shared" si="12"/>
        <v>0</v>
      </c>
      <c r="P59" s="317">
        <f t="shared" si="2"/>
        <v>0</v>
      </c>
      <c r="Q59" s="90">
        <f t="shared" si="8"/>
        <v>0</v>
      </c>
      <c r="R59">
        <f t="shared" si="3"/>
        <v>0</v>
      </c>
    </row>
    <row r="60" spans="9:18" x14ac:dyDescent="0.2">
      <c r="I60" s="315">
        <v>59.28</v>
      </c>
      <c r="J60" s="316">
        <f t="shared" si="0"/>
        <v>0</v>
      </c>
      <c r="K60" s="319">
        <v>1.1399999999999999</v>
      </c>
      <c r="L60">
        <v>0</v>
      </c>
      <c r="M60" s="319">
        <v>59.28</v>
      </c>
      <c r="N60">
        <v>0</v>
      </c>
      <c r="O60" s="316">
        <f t="shared" si="12"/>
        <v>0</v>
      </c>
      <c r="P60" s="317">
        <f t="shared" si="2"/>
        <v>0</v>
      </c>
      <c r="Q60" s="90">
        <f t="shared" si="8"/>
        <v>0</v>
      </c>
      <c r="R60">
        <f t="shared" si="3"/>
        <v>0</v>
      </c>
    </row>
    <row r="61" spans="9:18" x14ac:dyDescent="0.2">
      <c r="I61" s="315">
        <v>61.43</v>
      </c>
      <c r="J61" s="316">
        <f t="shared" si="0"/>
        <v>0</v>
      </c>
      <c r="K61" s="319">
        <v>1.26</v>
      </c>
      <c r="L61">
        <v>0</v>
      </c>
      <c r="M61" s="319">
        <v>61.43</v>
      </c>
      <c r="N61">
        <v>189</v>
      </c>
      <c r="O61" s="316">
        <f t="shared" si="12"/>
        <v>189</v>
      </c>
      <c r="P61" s="317">
        <f t="shared" si="2"/>
        <v>0</v>
      </c>
      <c r="Q61" s="90">
        <f t="shared" si="8"/>
        <v>189</v>
      </c>
      <c r="R61">
        <f t="shared" si="3"/>
        <v>0</v>
      </c>
    </row>
    <row r="62" spans="9:18" x14ac:dyDescent="0.2">
      <c r="I62" s="315">
        <v>74.88</v>
      </c>
      <c r="J62" s="316">
        <f t="shared" si="0"/>
        <v>0</v>
      </c>
      <c r="K62" s="319">
        <v>1.44</v>
      </c>
      <c r="L62">
        <v>0</v>
      </c>
      <c r="M62" s="319">
        <v>74.88</v>
      </c>
      <c r="N62">
        <v>230.4</v>
      </c>
      <c r="O62" s="316">
        <f t="shared" si="12"/>
        <v>230.4</v>
      </c>
      <c r="P62" s="317">
        <f t="shared" si="2"/>
        <v>0</v>
      </c>
      <c r="Q62" s="90">
        <f t="shared" si="8"/>
        <v>230.4</v>
      </c>
      <c r="R62">
        <f t="shared" si="3"/>
        <v>0</v>
      </c>
    </row>
    <row r="63" spans="9:18" x14ac:dyDescent="0.2">
      <c r="I63" s="315">
        <v>76.44</v>
      </c>
      <c r="J63" s="316">
        <f t="shared" si="0"/>
        <v>0</v>
      </c>
      <c r="K63" s="319">
        <v>1.47</v>
      </c>
      <c r="L63">
        <v>0</v>
      </c>
      <c r="M63" s="319">
        <v>76.44</v>
      </c>
      <c r="N63">
        <v>235.2</v>
      </c>
      <c r="O63" s="316">
        <f t="shared" si="12"/>
        <v>235.2</v>
      </c>
      <c r="P63" s="317">
        <f t="shared" si="2"/>
        <v>0</v>
      </c>
      <c r="Q63" s="90">
        <f t="shared" si="8"/>
        <v>235.2</v>
      </c>
      <c r="R63">
        <f t="shared" si="3"/>
        <v>0</v>
      </c>
    </row>
    <row r="64" spans="9:18" x14ac:dyDescent="0.2">
      <c r="I64" s="315">
        <v>61.98</v>
      </c>
      <c r="J64" s="316">
        <f t="shared" si="0"/>
        <v>0</v>
      </c>
      <c r="K64" s="319">
        <v>1.49</v>
      </c>
      <c r="L64">
        <v>0</v>
      </c>
      <c r="M64" s="319">
        <v>61.98</v>
      </c>
      <c r="N64">
        <v>190.72</v>
      </c>
      <c r="O64" s="316">
        <f t="shared" si="12"/>
        <v>190.72</v>
      </c>
      <c r="P64" s="317">
        <f t="shared" si="2"/>
        <v>0</v>
      </c>
      <c r="Q64" s="90">
        <f t="shared" si="8"/>
        <v>190.72</v>
      </c>
      <c r="R64">
        <f t="shared" si="3"/>
        <v>0</v>
      </c>
    </row>
    <row r="65" spans="8:18" x14ac:dyDescent="0.2">
      <c r="I65" s="315">
        <f t="shared" ref="I65" si="14">M65*$I$13/K65</f>
        <v>78</v>
      </c>
      <c r="J65" s="316">
        <f t="shared" si="0"/>
        <v>9.8799999999999955</v>
      </c>
      <c r="K65" s="320">
        <v>1.69</v>
      </c>
      <c r="L65">
        <f t="shared" si="5"/>
        <v>0.18999999999999995</v>
      </c>
      <c r="M65" s="319">
        <v>87.88</v>
      </c>
      <c r="N65">
        <v>270.39999999999998</v>
      </c>
      <c r="O65" s="316">
        <f t="shared" si="6"/>
        <v>240</v>
      </c>
      <c r="P65" s="317">
        <f t="shared" si="2"/>
        <v>30.399999999999977</v>
      </c>
      <c r="Q65" s="90">
        <f t="shared" si="8"/>
        <v>270.39999999999998</v>
      </c>
      <c r="R65">
        <f t="shared" si="3"/>
        <v>0</v>
      </c>
    </row>
    <row r="66" spans="8:18" x14ac:dyDescent="0.2">
      <c r="I66" s="315">
        <f t="shared" ref="I66:I68" si="15">M66*$I$13/K66</f>
        <v>78</v>
      </c>
      <c r="J66" s="316">
        <f t="shared" si="0"/>
        <v>22.36</v>
      </c>
      <c r="K66" s="320">
        <v>1.93</v>
      </c>
      <c r="L66">
        <f t="shared" si="5"/>
        <v>0.42999999999999994</v>
      </c>
      <c r="M66" s="319">
        <v>100.36</v>
      </c>
      <c r="N66">
        <v>308.8</v>
      </c>
      <c r="O66" s="316">
        <f t="shared" si="6"/>
        <v>240.00000000000003</v>
      </c>
      <c r="P66" s="317">
        <f t="shared" si="2"/>
        <v>68.799999999999983</v>
      </c>
      <c r="Q66" s="90">
        <f t="shared" si="8"/>
        <v>308.8</v>
      </c>
      <c r="R66">
        <f t="shared" si="3"/>
        <v>0</v>
      </c>
    </row>
    <row r="67" spans="8:18" x14ac:dyDescent="0.2">
      <c r="I67" s="315">
        <f t="shared" si="15"/>
        <v>77.999999999999986</v>
      </c>
      <c r="J67" s="316">
        <f t="shared" si="0"/>
        <v>37.440000000000012</v>
      </c>
      <c r="K67" s="320">
        <v>2.2200000000000002</v>
      </c>
      <c r="L67">
        <f t="shared" si="5"/>
        <v>0.7200000000000002</v>
      </c>
      <c r="M67" s="319">
        <v>115.44</v>
      </c>
      <c r="N67">
        <v>355.2</v>
      </c>
      <c r="O67" s="316">
        <f t="shared" si="6"/>
        <v>239.99999999999997</v>
      </c>
      <c r="P67" s="317">
        <f t="shared" si="2"/>
        <v>115.20000000000002</v>
      </c>
      <c r="Q67" s="90">
        <f t="shared" si="8"/>
        <v>355.2</v>
      </c>
      <c r="R67">
        <f t="shared" si="3"/>
        <v>0</v>
      </c>
    </row>
    <row r="68" spans="8:18" x14ac:dyDescent="0.2">
      <c r="I68" s="315">
        <f t="shared" si="15"/>
        <v>78</v>
      </c>
      <c r="J68" s="316">
        <f t="shared" si="0"/>
        <v>46.28</v>
      </c>
      <c r="K68" s="320">
        <v>2.39</v>
      </c>
      <c r="L68">
        <f t="shared" si="5"/>
        <v>0.89000000000000012</v>
      </c>
      <c r="M68" s="319">
        <v>124.28</v>
      </c>
      <c r="N68">
        <v>382.4</v>
      </c>
      <c r="O68" s="316">
        <f t="shared" si="6"/>
        <v>239.99999999999994</v>
      </c>
      <c r="P68" s="317">
        <f t="shared" si="2"/>
        <v>142.40000000000003</v>
      </c>
      <c r="Q68" s="90">
        <f t="shared" si="8"/>
        <v>382.4</v>
      </c>
      <c r="R68">
        <f t="shared" si="3"/>
        <v>0</v>
      </c>
    </row>
    <row r="69" spans="8:18" x14ac:dyDescent="0.2">
      <c r="I69" s="315">
        <f t="shared" ref="I69:I72" si="16">M69*$I$13/K69</f>
        <v>78.000000000000014</v>
      </c>
      <c r="J69" s="316">
        <f t="shared" si="0"/>
        <v>52.519999999999996</v>
      </c>
      <c r="K69" s="320">
        <v>2.5099999999999998</v>
      </c>
      <c r="L69">
        <f t="shared" si="5"/>
        <v>1.0099999999999998</v>
      </c>
      <c r="M69" s="319">
        <v>130.52000000000001</v>
      </c>
      <c r="N69">
        <v>401.6</v>
      </c>
      <c r="O69" s="316">
        <f t="shared" si="6"/>
        <v>240.00000000000006</v>
      </c>
      <c r="P69" s="317">
        <f t="shared" si="2"/>
        <v>161.59999999999997</v>
      </c>
      <c r="Q69" s="90">
        <f t="shared" si="8"/>
        <v>401.6</v>
      </c>
      <c r="R69">
        <f t="shared" si="3"/>
        <v>0</v>
      </c>
    </row>
    <row r="70" spans="8:18" x14ac:dyDescent="0.2">
      <c r="I70" s="315">
        <f t="shared" si="16"/>
        <v>78</v>
      </c>
      <c r="J70" s="316">
        <f t="shared" si="0"/>
        <v>49.400000000000006</v>
      </c>
      <c r="K70" s="320">
        <v>2.4500000000000002</v>
      </c>
      <c r="L70">
        <f t="shared" si="5"/>
        <v>0.95000000000000018</v>
      </c>
      <c r="M70" s="319">
        <v>127.4</v>
      </c>
      <c r="N70">
        <v>392</v>
      </c>
      <c r="O70" s="316">
        <f t="shared" si="6"/>
        <v>239.99999999999997</v>
      </c>
      <c r="P70" s="317">
        <f t="shared" si="2"/>
        <v>152.00000000000003</v>
      </c>
      <c r="Q70" s="90">
        <f t="shared" si="8"/>
        <v>392</v>
      </c>
      <c r="R70">
        <f t="shared" si="3"/>
        <v>0</v>
      </c>
    </row>
    <row r="71" spans="8:18" x14ac:dyDescent="0.2">
      <c r="I71" s="315">
        <f t="shared" si="16"/>
        <v>78.000000000000014</v>
      </c>
      <c r="J71" s="316">
        <f t="shared" si="0"/>
        <v>27.559999999999988</v>
      </c>
      <c r="K71" s="320">
        <v>2.0299999999999998</v>
      </c>
      <c r="L71">
        <f t="shared" si="5"/>
        <v>0.5299999999999998</v>
      </c>
      <c r="M71" s="319">
        <v>105.56</v>
      </c>
      <c r="N71">
        <v>324.8</v>
      </c>
      <c r="O71" s="316">
        <f t="shared" si="6"/>
        <v>240.00000000000006</v>
      </c>
      <c r="P71" s="317">
        <f t="shared" si="2"/>
        <v>84.799999999999955</v>
      </c>
      <c r="Q71" s="90">
        <f t="shared" si="8"/>
        <v>324.8</v>
      </c>
      <c r="R71">
        <f t="shared" si="3"/>
        <v>0</v>
      </c>
    </row>
    <row r="72" spans="8:18" x14ac:dyDescent="0.2">
      <c r="I72" s="315">
        <f t="shared" si="16"/>
        <v>78</v>
      </c>
      <c r="J72" s="316">
        <f t="shared" si="0"/>
        <v>3.1200000000000045</v>
      </c>
      <c r="K72" s="320">
        <v>1.56</v>
      </c>
      <c r="L72">
        <f t="shared" si="5"/>
        <v>6.0000000000000053E-2</v>
      </c>
      <c r="M72" s="319">
        <v>81.12</v>
      </c>
      <c r="N72">
        <v>249.6</v>
      </c>
      <c r="O72" s="316">
        <f t="shared" si="6"/>
        <v>239.99999999999997</v>
      </c>
      <c r="P72" s="317">
        <f t="shared" si="2"/>
        <v>9.6000000000000227</v>
      </c>
      <c r="Q72" s="90">
        <f t="shared" si="8"/>
        <v>249.6</v>
      </c>
      <c r="R72">
        <f t="shared" si="3"/>
        <v>0</v>
      </c>
    </row>
    <row r="73" spans="8:18" x14ac:dyDescent="0.2">
      <c r="I73" s="315">
        <v>74.36</v>
      </c>
      <c r="J73" s="316">
        <f t="shared" si="0"/>
        <v>0</v>
      </c>
      <c r="K73" s="319">
        <v>1.43</v>
      </c>
      <c r="L73">
        <v>0</v>
      </c>
      <c r="M73" s="319">
        <v>74.36</v>
      </c>
      <c r="N73">
        <v>228.8</v>
      </c>
      <c r="O73" s="316">
        <f t="shared" ref="O73:O74" si="17">N73</f>
        <v>228.8</v>
      </c>
      <c r="P73" s="317">
        <v>0</v>
      </c>
      <c r="Q73" s="90">
        <f t="shared" si="8"/>
        <v>228.8</v>
      </c>
    </row>
    <row r="74" spans="8:18" x14ac:dyDescent="0.2">
      <c r="I74" s="315">
        <v>8.8699999999999992</v>
      </c>
      <c r="J74" s="316">
        <f t="shared" si="0"/>
        <v>0</v>
      </c>
      <c r="K74" s="319">
        <v>1.44</v>
      </c>
      <c r="L74">
        <v>0</v>
      </c>
      <c r="M74" s="319">
        <v>8.8699999999999992</v>
      </c>
      <c r="N74">
        <v>27.3</v>
      </c>
      <c r="O74" s="316">
        <f t="shared" si="17"/>
        <v>27.3</v>
      </c>
      <c r="P74" s="317">
        <v>0</v>
      </c>
      <c r="Q74" s="90">
        <f t="shared" si="8"/>
        <v>27.3</v>
      </c>
    </row>
    <row r="75" spans="8:18" x14ac:dyDescent="0.2">
      <c r="H75" s="313" t="s">
        <v>847</v>
      </c>
      <c r="I75" s="268">
        <f>SUM(I14:I74)</f>
        <v>2767.4613254626511</v>
      </c>
      <c r="J75" s="268">
        <f>SUM(J14:J74)</f>
        <v>388.3786745373489</v>
      </c>
      <c r="L75" s="313">
        <f>SUM(L14:L74)</f>
        <v>9.3000000000000007</v>
      </c>
      <c r="N75" s="313">
        <f>SUM(N14:N74)</f>
        <v>6005.8700000000008</v>
      </c>
      <c r="O75" s="321">
        <f>SUM(O15:O74)</f>
        <v>4871.2996192837436</v>
      </c>
      <c r="P75" s="322">
        <f>SUM(P14:P74)</f>
        <v>1134.5703807162558</v>
      </c>
      <c r="Q75" s="90">
        <f>SUM(Q14:Q74)</f>
        <v>6005.8700000000008</v>
      </c>
    </row>
    <row r="76" spans="8:18" x14ac:dyDescent="0.2">
      <c r="H76" s="313"/>
    </row>
    <row r="77" spans="8:18" x14ac:dyDescent="0.2">
      <c r="H77" s="313" t="s">
        <v>848</v>
      </c>
      <c r="I77" s="315">
        <f>405.68+464.8+729.89+1503.23</f>
        <v>3103.6</v>
      </c>
    </row>
    <row r="78" spans="8:18" x14ac:dyDescent="0.2">
      <c r="I78" s="318"/>
      <c r="J78" s="318"/>
      <c r="N78">
        <v>3786.22</v>
      </c>
    </row>
    <row r="79" spans="8:18" x14ac:dyDescent="0.2">
      <c r="H79" s="313" t="s">
        <v>506</v>
      </c>
      <c r="I79" s="80">
        <f>I77-J75</f>
        <v>2715.2213254626508</v>
      </c>
      <c r="J79" s="80">
        <f>J75</f>
        <v>388.3786745373489</v>
      </c>
      <c r="N79">
        <v>272.32</v>
      </c>
    </row>
    <row r="80" spans="8:18" x14ac:dyDescent="0.2">
      <c r="N80">
        <v>1189.8399999999999</v>
      </c>
    </row>
    <row r="81" spans="14:14" x14ac:dyDescent="0.2">
      <c r="N81">
        <v>757.49</v>
      </c>
    </row>
  </sheetData>
  <mergeCells count="6">
    <mergeCell ref="B5:C5"/>
    <mergeCell ref="E5:F5"/>
    <mergeCell ref="H5:I5"/>
    <mergeCell ref="B4:C4"/>
    <mergeCell ref="E4:F4"/>
    <mergeCell ref="H4:I4"/>
  </mergeCells>
  <pageMargins left="0.511811024" right="0.511811024" top="0.78740157499999996" bottom="0.78740157499999996" header="0.31496062000000002" footer="0.31496062000000002"/>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N13"/>
  <sheetViews>
    <sheetView workbookViewId="0">
      <selection activeCell="B7" sqref="B7"/>
    </sheetView>
  </sheetViews>
  <sheetFormatPr defaultRowHeight="12.75" x14ac:dyDescent="0.2"/>
  <cols>
    <col min="2" max="2" width="19.140625" bestFit="1" customWidth="1"/>
    <col min="14" max="14" width="10.28515625" bestFit="1" customWidth="1"/>
  </cols>
  <sheetData>
    <row r="4" spans="2:14" x14ac:dyDescent="0.2">
      <c r="C4" t="s">
        <v>487</v>
      </c>
    </row>
    <row r="6" spans="2:14" x14ac:dyDescent="0.2">
      <c r="B6" s="255"/>
      <c r="C6" s="256" t="s">
        <v>489</v>
      </c>
      <c r="D6" s="256" t="s">
        <v>488</v>
      </c>
      <c r="E6" s="256" t="s">
        <v>490</v>
      </c>
      <c r="F6" s="256" t="s">
        <v>491</v>
      </c>
      <c r="G6" s="256" t="s">
        <v>492</v>
      </c>
      <c r="H6" s="256" t="s">
        <v>493</v>
      </c>
      <c r="I6" s="256" t="s">
        <v>494</v>
      </c>
      <c r="J6" s="256" t="s">
        <v>495</v>
      </c>
      <c r="K6" s="256" t="s">
        <v>496</v>
      </c>
      <c r="L6" s="256" t="s">
        <v>497</v>
      </c>
      <c r="M6" s="256" t="s">
        <v>498</v>
      </c>
      <c r="N6" s="257" t="s">
        <v>506</v>
      </c>
    </row>
    <row r="7" spans="2:14" x14ac:dyDescent="0.2">
      <c r="B7" s="255" t="s">
        <v>499</v>
      </c>
      <c r="C7" s="258">
        <f>8954+906</f>
        <v>9860</v>
      </c>
      <c r="D7" s="258">
        <f>231+2302</f>
        <v>2533</v>
      </c>
      <c r="E7" s="258">
        <f>714+7130</f>
        <v>7844</v>
      </c>
      <c r="F7" s="258">
        <f>263+2616</f>
        <v>2879</v>
      </c>
      <c r="G7" s="258">
        <f>282+2771</f>
        <v>3053</v>
      </c>
      <c r="H7" s="258">
        <f>333+3308</f>
        <v>3641</v>
      </c>
      <c r="I7" s="258">
        <f>60+612</f>
        <v>672</v>
      </c>
      <c r="J7" s="258">
        <f>67+679</f>
        <v>746</v>
      </c>
      <c r="K7" s="258">
        <f>41+417</f>
        <v>458</v>
      </c>
      <c r="L7" s="258">
        <f>62+629</f>
        <v>691</v>
      </c>
      <c r="M7" s="258">
        <f>214+2103</f>
        <v>2317</v>
      </c>
      <c r="N7" s="259">
        <f>SUM(C7:M7)</f>
        <v>34694</v>
      </c>
    </row>
    <row r="8" spans="2:14" x14ac:dyDescent="0.2">
      <c r="B8" s="255" t="s">
        <v>500</v>
      </c>
      <c r="C8" s="258">
        <v>8954</v>
      </c>
      <c r="D8" s="258">
        <v>2302</v>
      </c>
      <c r="E8" s="258">
        <v>7130</v>
      </c>
      <c r="F8" s="258">
        <v>2616</v>
      </c>
      <c r="G8" s="258">
        <v>2771</v>
      </c>
      <c r="H8" s="258">
        <v>3308</v>
      </c>
      <c r="I8" s="258">
        <v>62</v>
      </c>
      <c r="J8" s="258">
        <v>679</v>
      </c>
      <c r="K8" s="258">
        <v>417</v>
      </c>
      <c r="L8" s="258">
        <v>629</v>
      </c>
      <c r="M8" s="258">
        <v>2103</v>
      </c>
      <c r="N8" s="259">
        <f t="shared" ref="N8:N13" si="0">SUM(C8:M8)</f>
        <v>30971</v>
      </c>
    </row>
    <row r="9" spans="2:14" x14ac:dyDescent="0.2">
      <c r="B9" s="255" t="s">
        <v>504</v>
      </c>
      <c r="C9" s="258">
        <v>3544</v>
      </c>
      <c r="D9" s="258">
        <v>1853</v>
      </c>
      <c r="E9" s="258">
        <v>2403</v>
      </c>
      <c r="F9" s="258">
        <v>1605</v>
      </c>
      <c r="G9" s="258">
        <v>2098</v>
      </c>
      <c r="H9" s="258">
        <v>5443</v>
      </c>
      <c r="I9" s="258">
        <v>568</v>
      </c>
      <c r="J9" s="258">
        <v>572</v>
      </c>
      <c r="K9" s="258">
        <v>389</v>
      </c>
      <c r="L9" s="258">
        <v>442</v>
      </c>
      <c r="M9" s="258">
        <v>1936</v>
      </c>
      <c r="N9" s="259">
        <f t="shared" si="0"/>
        <v>20853</v>
      </c>
    </row>
    <row r="10" spans="2:14" x14ac:dyDescent="0.2">
      <c r="B10" s="255" t="s">
        <v>501</v>
      </c>
      <c r="C10" s="258">
        <v>4591</v>
      </c>
      <c r="D10" s="258">
        <v>2407</v>
      </c>
      <c r="E10" s="258">
        <v>4868</v>
      </c>
      <c r="F10" s="258">
        <v>4265</v>
      </c>
      <c r="G10" s="258">
        <v>2501</v>
      </c>
      <c r="H10" s="258">
        <v>0</v>
      </c>
      <c r="I10" s="258">
        <v>0</v>
      </c>
      <c r="J10" s="258">
        <v>460</v>
      </c>
      <c r="K10" s="258">
        <v>39</v>
      </c>
      <c r="L10" s="258">
        <v>749</v>
      </c>
      <c r="M10" s="258">
        <v>423</v>
      </c>
      <c r="N10" s="259">
        <f t="shared" si="0"/>
        <v>20303</v>
      </c>
    </row>
    <row r="11" spans="2:14" x14ac:dyDescent="0.2">
      <c r="B11" s="255" t="s">
        <v>502</v>
      </c>
      <c r="C11" s="258">
        <v>4253</v>
      </c>
      <c r="D11" s="258">
        <v>0</v>
      </c>
      <c r="E11" s="258">
        <v>2358</v>
      </c>
      <c r="F11" s="258">
        <v>0</v>
      </c>
      <c r="G11" s="258">
        <v>2390</v>
      </c>
      <c r="H11" s="258">
        <v>0</v>
      </c>
      <c r="I11" s="258">
        <v>0</v>
      </c>
      <c r="J11" s="258">
        <v>0</v>
      </c>
      <c r="K11" s="258">
        <v>0</v>
      </c>
      <c r="L11" s="258">
        <v>0</v>
      </c>
      <c r="M11" s="258">
        <v>0</v>
      </c>
      <c r="N11" s="259">
        <f t="shared" si="0"/>
        <v>9001</v>
      </c>
    </row>
    <row r="12" spans="2:14" x14ac:dyDescent="0.2">
      <c r="B12" s="255" t="s">
        <v>503</v>
      </c>
      <c r="C12" s="258">
        <v>2735</v>
      </c>
      <c r="D12" s="258">
        <v>0</v>
      </c>
      <c r="E12" s="258">
        <v>5857</v>
      </c>
      <c r="F12" s="258">
        <v>0</v>
      </c>
      <c r="G12" s="258">
        <v>0</v>
      </c>
      <c r="H12" s="258">
        <v>0</v>
      </c>
      <c r="I12" s="258">
        <v>0</v>
      </c>
      <c r="J12" s="258">
        <v>0</v>
      </c>
      <c r="K12" s="258">
        <v>0</v>
      </c>
      <c r="L12" s="258">
        <v>0</v>
      </c>
      <c r="M12" s="258">
        <v>0</v>
      </c>
      <c r="N12" s="259">
        <f t="shared" si="0"/>
        <v>8592</v>
      </c>
    </row>
    <row r="13" spans="2:14" x14ac:dyDescent="0.2">
      <c r="B13" s="255" t="s">
        <v>505</v>
      </c>
      <c r="C13" s="258">
        <v>2628</v>
      </c>
      <c r="D13" s="258">
        <v>0</v>
      </c>
      <c r="E13" s="258">
        <v>0</v>
      </c>
      <c r="F13" s="258">
        <v>0</v>
      </c>
      <c r="G13" s="258">
        <v>0</v>
      </c>
      <c r="H13" s="258">
        <v>0</v>
      </c>
      <c r="I13" s="258">
        <v>0</v>
      </c>
      <c r="J13" s="258">
        <v>0</v>
      </c>
      <c r="K13" s="258">
        <v>0</v>
      </c>
      <c r="L13" s="258">
        <v>0</v>
      </c>
      <c r="M13" s="258">
        <v>0</v>
      </c>
      <c r="N13" s="259">
        <f t="shared" si="0"/>
        <v>2628</v>
      </c>
    </row>
  </sheetData>
  <pageMargins left="0.511811024" right="0.511811024" top="0.78740157499999996" bottom="0.78740157499999996" header="0.31496062000000002" footer="0.31496062000000002"/>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5"/>
  <sheetViews>
    <sheetView topLeftCell="A38" workbookViewId="0">
      <selection activeCell="B7" sqref="B7"/>
    </sheetView>
  </sheetViews>
  <sheetFormatPr defaultRowHeight="12.75" x14ac:dyDescent="0.2"/>
  <cols>
    <col min="1" max="1" width="6.85546875" customWidth="1"/>
    <col min="2" max="2" width="8.140625" customWidth="1"/>
    <col min="3" max="3" width="8.28515625" customWidth="1"/>
    <col min="4" max="4" width="11.28515625" customWidth="1"/>
    <col min="5" max="5" width="11.140625" bestFit="1" customWidth="1"/>
    <col min="6" max="7" width="8" customWidth="1"/>
    <col min="8" max="8" width="4" customWidth="1"/>
    <col min="9" max="9" width="6" customWidth="1"/>
    <col min="10" max="10" width="4.85546875" customWidth="1"/>
    <col min="11" max="14" width="5" customWidth="1"/>
    <col min="15" max="16" width="3" customWidth="1"/>
    <col min="17" max="17" width="12" style="264" customWidth="1"/>
    <col min="18" max="21" width="2" customWidth="1"/>
    <col min="22" max="22" width="14.85546875" customWidth="1"/>
    <col min="23" max="23" width="16.42578125" bestFit="1" customWidth="1"/>
    <col min="24" max="24" width="14.85546875" customWidth="1"/>
    <col min="25" max="25" width="25.85546875" customWidth="1"/>
    <col min="26" max="26" width="5" customWidth="1"/>
  </cols>
  <sheetData>
    <row r="1" spans="1:25" x14ac:dyDescent="0.2">
      <c r="A1" t="s">
        <v>509</v>
      </c>
      <c r="B1" t="s">
        <v>510</v>
      </c>
      <c r="C1">
        <v>80</v>
      </c>
      <c r="D1">
        <v>487.08</v>
      </c>
      <c r="E1">
        <v>486.45</v>
      </c>
      <c r="F1">
        <v>485.98</v>
      </c>
      <c r="G1">
        <v>485.762</v>
      </c>
      <c r="H1">
        <v>200</v>
      </c>
      <c r="I1">
        <v>0.27200000000000002</v>
      </c>
      <c r="J1" t="s">
        <v>875</v>
      </c>
      <c r="K1">
        <v>13.54</v>
      </c>
      <c r="L1">
        <v>5.03</v>
      </c>
      <c r="M1">
        <v>13.54</v>
      </c>
      <c r="N1">
        <v>32</v>
      </c>
      <c r="O1">
        <v>56</v>
      </c>
      <c r="P1" t="s">
        <v>511</v>
      </c>
      <c r="Q1" s="265">
        <f>D1-F1</f>
        <v>1.0999999999999659</v>
      </c>
      <c r="R1">
        <v>0</v>
      </c>
      <c r="S1">
        <v>0</v>
      </c>
      <c r="T1">
        <v>0</v>
      </c>
      <c r="U1" s="260">
        <v>472432876495</v>
      </c>
      <c r="V1" s="260">
        <v>7475755552766</v>
      </c>
      <c r="W1" s="260">
        <v>472510346154</v>
      </c>
      <c r="X1" t="s">
        <v>876</v>
      </c>
      <c r="Y1">
        <v>1.46</v>
      </c>
    </row>
    <row r="2" spans="1:25" x14ac:dyDescent="0.2">
      <c r="A2" t="s">
        <v>510</v>
      </c>
      <c r="B2" t="s">
        <v>512</v>
      </c>
      <c r="C2">
        <v>80</v>
      </c>
      <c r="D2">
        <v>486.45</v>
      </c>
      <c r="E2">
        <v>485.38099999999997</v>
      </c>
      <c r="F2">
        <v>485.762</v>
      </c>
      <c r="G2">
        <v>485.54500000000002</v>
      </c>
      <c r="H2">
        <v>200</v>
      </c>
      <c r="I2">
        <v>0.27200000000000002</v>
      </c>
      <c r="J2" t="s">
        <v>573</v>
      </c>
      <c r="K2">
        <v>0</v>
      </c>
      <c r="L2">
        <v>5.03</v>
      </c>
      <c r="M2">
        <v>13.54</v>
      </c>
      <c r="N2">
        <v>37</v>
      </c>
      <c r="O2">
        <v>67</v>
      </c>
      <c r="P2" t="s">
        <v>511</v>
      </c>
      <c r="Q2" s="265">
        <f t="shared" ref="Q2:Q61" si="0">D2-F2</f>
        <v>0.68799999999998818</v>
      </c>
      <c r="R2">
        <v>0</v>
      </c>
      <c r="S2">
        <v>0</v>
      </c>
      <c r="T2">
        <v>0</v>
      </c>
      <c r="U2" s="260">
        <v>472510346154</v>
      </c>
      <c r="V2" s="260">
        <v>7475735591504</v>
      </c>
      <c r="W2" s="260">
        <v>472588268832</v>
      </c>
      <c r="X2" t="s">
        <v>877</v>
      </c>
      <c r="Y2">
        <v>1.59</v>
      </c>
    </row>
    <row r="3" spans="1:25" x14ac:dyDescent="0.2">
      <c r="A3" t="s">
        <v>512</v>
      </c>
      <c r="B3" t="s">
        <v>513</v>
      </c>
      <c r="C3">
        <v>54</v>
      </c>
      <c r="D3">
        <v>485.38099999999997</v>
      </c>
      <c r="E3">
        <v>485</v>
      </c>
      <c r="F3">
        <v>485.54500000000002</v>
      </c>
      <c r="G3">
        <v>485.39800000000002</v>
      </c>
      <c r="H3">
        <v>200</v>
      </c>
      <c r="I3">
        <v>0.27200000000000002</v>
      </c>
      <c r="J3" t="s">
        <v>573</v>
      </c>
      <c r="K3">
        <v>0</v>
      </c>
      <c r="L3">
        <v>5.03</v>
      </c>
      <c r="M3">
        <v>13.54</v>
      </c>
      <c r="N3">
        <v>37</v>
      </c>
      <c r="O3">
        <v>67</v>
      </c>
      <c r="P3" t="s">
        <v>511</v>
      </c>
      <c r="Q3" s="265">
        <f t="shared" si="0"/>
        <v>-0.16400000000004411</v>
      </c>
      <c r="R3">
        <v>0</v>
      </c>
      <c r="S3">
        <v>0</v>
      </c>
      <c r="T3">
        <v>0</v>
      </c>
      <c r="U3" s="260">
        <v>472588268832</v>
      </c>
      <c r="V3" s="260">
        <v>747571747918</v>
      </c>
      <c r="W3" s="260">
        <v>472640746239</v>
      </c>
      <c r="X3" t="s">
        <v>878</v>
      </c>
      <c r="Y3">
        <v>1.59</v>
      </c>
    </row>
    <row r="4" spans="1:25" x14ac:dyDescent="0.2">
      <c r="A4" t="s">
        <v>513</v>
      </c>
      <c r="B4" t="s">
        <v>514</v>
      </c>
      <c r="C4">
        <v>44</v>
      </c>
      <c r="D4">
        <v>485</v>
      </c>
      <c r="E4">
        <v>485.1</v>
      </c>
      <c r="F4">
        <v>485.39800000000002</v>
      </c>
      <c r="G4">
        <v>485.27800000000002</v>
      </c>
      <c r="H4">
        <v>200</v>
      </c>
      <c r="I4">
        <v>0.27200000000000002</v>
      </c>
      <c r="J4" t="s">
        <v>573</v>
      </c>
      <c r="K4">
        <v>0</v>
      </c>
      <c r="L4">
        <v>5.03</v>
      </c>
      <c r="M4">
        <v>13.54</v>
      </c>
      <c r="N4">
        <v>37</v>
      </c>
      <c r="O4">
        <v>67</v>
      </c>
      <c r="P4" t="s">
        <v>511</v>
      </c>
      <c r="Q4" s="265">
        <f t="shared" si="0"/>
        <v>-0.39800000000002456</v>
      </c>
      <c r="R4">
        <v>0</v>
      </c>
      <c r="S4">
        <v>0</v>
      </c>
      <c r="T4">
        <v>0</v>
      </c>
      <c r="U4" s="260">
        <v>472640746239</v>
      </c>
      <c r="V4" s="260">
        <v>7475704746476</v>
      </c>
      <c r="W4" s="260">
        <v>472665914844</v>
      </c>
      <c r="X4" t="s">
        <v>879</v>
      </c>
      <c r="Y4">
        <v>1.59</v>
      </c>
    </row>
    <row r="5" spans="1:25" x14ac:dyDescent="0.2">
      <c r="A5" t="s">
        <v>514</v>
      </c>
      <c r="B5" t="s">
        <v>517</v>
      </c>
      <c r="C5">
        <v>80</v>
      </c>
      <c r="D5">
        <v>485.1</v>
      </c>
      <c r="E5">
        <v>484.9</v>
      </c>
      <c r="F5">
        <v>485.27800000000002</v>
      </c>
      <c r="G5">
        <v>485.06099999999998</v>
      </c>
      <c r="H5">
        <v>200</v>
      </c>
      <c r="I5">
        <v>0.27200000000000002</v>
      </c>
      <c r="J5" t="s">
        <v>573</v>
      </c>
      <c r="K5">
        <v>0</v>
      </c>
      <c r="L5">
        <v>5.03</v>
      </c>
      <c r="M5">
        <v>13.54</v>
      </c>
      <c r="N5">
        <v>37</v>
      </c>
      <c r="O5">
        <v>67</v>
      </c>
      <c r="P5" t="s">
        <v>511</v>
      </c>
      <c r="Q5" s="265">
        <f t="shared" si="0"/>
        <v>-0.17799999999999727</v>
      </c>
      <c r="R5">
        <v>0</v>
      </c>
      <c r="S5">
        <v>0</v>
      </c>
      <c r="T5">
        <v>0</v>
      </c>
      <c r="U5" s="260">
        <v>472665914844</v>
      </c>
      <c r="V5" s="260">
        <v>7475668655738</v>
      </c>
      <c r="W5" s="260">
        <v>472684901515</v>
      </c>
      <c r="X5" t="s">
        <v>880</v>
      </c>
      <c r="Y5">
        <v>1.59</v>
      </c>
    </row>
    <row r="6" spans="1:25" x14ac:dyDescent="0.2">
      <c r="A6" t="s">
        <v>517</v>
      </c>
      <c r="B6" t="s">
        <v>518</v>
      </c>
      <c r="C6">
        <v>20</v>
      </c>
      <c r="D6">
        <v>484.9</v>
      </c>
      <c r="E6">
        <v>484.84</v>
      </c>
      <c r="F6">
        <v>485.06099999999998</v>
      </c>
      <c r="G6">
        <v>485.00599999999997</v>
      </c>
      <c r="H6">
        <v>200</v>
      </c>
      <c r="I6">
        <v>0.27200000000000002</v>
      </c>
      <c r="J6" t="s">
        <v>573</v>
      </c>
      <c r="K6">
        <v>0</v>
      </c>
      <c r="L6">
        <v>5.03</v>
      </c>
      <c r="M6">
        <v>13.54</v>
      </c>
      <c r="N6">
        <v>37</v>
      </c>
      <c r="O6">
        <v>67</v>
      </c>
      <c r="P6" t="s">
        <v>511</v>
      </c>
      <c r="Q6" s="265">
        <f t="shared" si="0"/>
        <v>-0.16100000000000136</v>
      </c>
      <c r="R6">
        <v>0</v>
      </c>
      <c r="S6">
        <v>0</v>
      </c>
      <c r="T6">
        <v>0</v>
      </c>
      <c r="U6" s="260">
        <v>472684901515</v>
      </c>
      <c r="V6" s="260">
        <v>7475590941478</v>
      </c>
      <c r="W6" s="260">
        <v>472688609355</v>
      </c>
      <c r="X6" t="s">
        <v>881</v>
      </c>
      <c r="Y6">
        <v>1.59</v>
      </c>
    </row>
    <row r="7" spans="1:25" x14ac:dyDescent="0.2">
      <c r="A7" t="s">
        <v>518</v>
      </c>
      <c r="B7" t="s">
        <v>519</v>
      </c>
      <c r="C7">
        <v>80</v>
      </c>
      <c r="D7">
        <v>484.84</v>
      </c>
      <c r="E7">
        <v>484.76299999999998</v>
      </c>
      <c r="F7">
        <v>485.00599999999997</v>
      </c>
      <c r="G7">
        <v>484.78899999999999</v>
      </c>
      <c r="H7">
        <v>200</v>
      </c>
      <c r="I7">
        <v>0.27200000000000002</v>
      </c>
      <c r="J7" t="s">
        <v>573</v>
      </c>
      <c r="K7">
        <v>0</v>
      </c>
      <c r="L7">
        <v>5.03</v>
      </c>
      <c r="M7">
        <v>13.54</v>
      </c>
      <c r="N7">
        <v>37</v>
      </c>
      <c r="O7">
        <v>67</v>
      </c>
      <c r="P7" t="s">
        <v>511</v>
      </c>
      <c r="Q7" s="265">
        <f t="shared" si="0"/>
        <v>-0.16599999999999682</v>
      </c>
      <c r="R7">
        <v>0</v>
      </c>
      <c r="S7">
        <v>0</v>
      </c>
      <c r="T7">
        <v>0</v>
      </c>
      <c r="U7" s="260">
        <v>472688609355</v>
      </c>
      <c r="V7" s="260">
        <v>7475571288185</v>
      </c>
      <c r="W7" s="260">
        <v>472750344377</v>
      </c>
      <c r="X7" t="s">
        <v>882</v>
      </c>
      <c r="Y7">
        <v>1.59</v>
      </c>
    </row>
    <row r="8" spans="1:25" x14ac:dyDescent="0.2">
      <c r="A8" t="s">
        <v>519</v>
      </c>
      <c r="B8" t="s">
        <v>520</v>
      </c>
      <c r="C8">
        <v>80</v>
      </c>
      <c r="D8">
        <v>484.76299999999998</v>
      </c>
      <c r="E8">
        <v>485</v>
      </c>
      <c r="F8">
        <v>484.78899999999999</v>
      </c>
      <c r="G8">
        <v>484.57100000000003</v>
      </c>
      <c r="H8">
        <v>200</v>
      </c>
      <c r="I8">
        <v>0.27200000000000002</v>
      </c>
      <c r="J8" t="s">
        <v>573</v>
      </c>
      <c r="K8">
        <v>0</v>
      </c>
      <c r="L8">
        <v>5.03</v>
      </c>
      <c r="M8">
        <v>13.54</v>
      </c>
      <c r="N8">
        <v>37</v>
      </c>
      <c r="O8">
        <v>67</v>
      </c>
      <c r="P8" t="s">
        <v>511</v>
      </c>
      <c r="Q8" s="265">
        <f t="shared" si="0"/>
        <v>-2.6000000000010459E-2</v>
      </c>
      <c r="R8">
        <v>0</v>
      </c>
      <c r="S8">
        <v>0</v>
      </c>
      <c r="T8">
        <v>0</v>
      </c>
      <c r="U8" s="260">
        <v>472750344377</v>
      </c>
      <c r="V8" s="260">
        <v>7475520408061</v>
      </c>
      <c r="W8" s="260">
        <v>47281110605</v>
      </c>
      <c r="X8" t="s">
        <v>883</v>
      </c>
      <c r="Y8">
        <v>1.59</v>
      </c>
    </row>
    <row r="9" spans="1:25" x14ac:dyDescent="0.2">
      <c r="A9" t="s">
        <v>520</v>
      </c>
      <c r="B9" t="s">
        <v>521</v>
      </c>
      <c r="C9">
        <v>80</v>
      </c>
      <c r="D9">
        <v>485</v>
      </c>
      <c r="E9">
        <v>484.721</v>
      </c>
      <c r="F9">
        <v>484.57100000000003</v>
      </c>
      <c r="G9">
        <v>484.35300000000001</v>
      </c>
      <c r="H9">
        <v>200</v>
      </c>
      <c r="I9">
        <v>0.27200000000000002</v>
      </c>
      <c r="J9" t="s">
        <v>573</v>
      </c>
      <c r="K9">
        <v>0</v>
      </c>
      <c r="L9">
        <v>5.03</v>
      </c>
      <c r="M9">
        <v>13.54</v>
      </c>
      <c r="N9">
        <v>37</v>
      </c>
      <c r="O9">
        <v>67</v>
      </c>
      <c r="P9" t="s">
        <v>511</v>
      </c>
      <c r="Q9" s="265">
        <f t="shared" si="0"/>
        <v>0.42899999999997362</v>
      </c>
      <c r="R9">
        <v>0</v>
      </c>
      <c r="S9">
        <v>0</v>
      </c>
      <c r="T9">
        <v>0</v>
      </c>
      <c r="U9" s="260">
        <v>47281110605</v>
      </c>
      <c r="V9" s="260">
        <v>747546836943</v>
      </c>
      <c r="W9" s="260">
        <v>472873651834</v>
      </c>
      <c r="X9" t="s">
        <v>884</v>
      </c>
      <c r="Y9">
        <v>1.59</v>
      </c>
    </row>
    <row r="10" spans="1:25" x14ac:dyDescent="0.2">
      <c r="A10" t="s">
        <v>521</v>
      </c>
      <c r="B10" t="s">
        <v>522</v>
      </c>
      <c r="C10">
        <v>59</v>
      </c>
      <c r="D10">
        <v>484.721</v>
      </c>
      <c r="E10">
        <v>483.81</v>
      </c>
      <c r="F10">
        <v>484.35300000000001</v>
      </c>
      <c r="G10">
        <v>484.19299999999998</v>
      </c>
      <c r="H10">
        <v>200</v>
      </c>
      <c r="I10">
        <v>0.27200000000000002</v>
      </c>
      <c r="J10" t="s">
        <v>573</v>
      </c>
      <c r="K10">
        <v>0</v>
      </c>
      <c r="L10">
        <v>5.03</v>
      </c>
      <c r="M10">
        <v>13.54</v>
      </c>
      <c r="N10">
        <v>37</v>
      </c>
      <c r="O10">
        <v>67</v>
      </c>
      <c r="P10" t="s">
        <v>511</v>
      </c>
      <c r="Q10" s="265">
        <f t="shared" si="0"/>
        <v>0.367999999999995</v>
      </c>
      <c r="R10">
        <v>0</v>
      </c>
      <c r="S10">
        <v>0</v>
      </c>
      <c r="T10">
        <v>0</v>
      </c>
      <c r="U10" s="260">
        <v>472873651834</v>
      </c>
      <c r="V10" s="260">
        <v>7475418489324</v>
      </c>
      <c r="W10" s="260">
        <v>472919286405</v>
      </c>
      <c r="X10" t="s">
        <v>885</v>
      </c>
      <c r="Y10">
        <v>1.59</v>
      </c>
    </row>
    <row r="11" spans="1:25" x14ac:dyDescent="0.2">
      <c r="A11" t="s">
        <v>522</v>
      </c>
      <c r="B11" t="s">
        <v>523</v>
      </c>
      <c r="C11">
        <v>80</v>
      </c>
      <c r="D11">
        <v>483.81</v>
      </c>
      <c r="E11">
        <v>483.89400000000001</v>
      </c>
      <c r="F11">
        <v>484.19299999999998</v>
      </c>
      <c r="G11">
        <v>483.97500000000002</v>
      </c>
      <c r="H11">
        <v>200</v>
      </c>
      <c r="I11">
        <v>0.27200000000000002</v>
      </c>
      <c r="J11" t="s">
        <v>573</v>
      </c>
      <c r="K11">
        <v>0</v>
      </c>
      <c r="L11">
        <v>5.03</v>
      </c>
      <c r="M11">
        <v>13.54</v>
      </c>
      <c r="N11">
        <v>37</v>
      </c>
      <c r="O11">
        <v>67</v>
      </c>
      <c r="P11" t="s">
        <v>511</v>
      </c>
      <c r="Q11" s="265">
        <f t="shared" si="0"/>
        <v>-0.38299999999998136</v>
      </c>
      <c r="R11">
        <v>0</v>
      </c>
      <c r="S11">
        <v>0</v>
      </c>
      <c r="T11">
        <v>0</v>
      </c>
      <c r="U11" s="260">
        <v>472919286405</v>
      </c>
      <c r="V11" s="260">
        <v>7475381092988</v>
      </c>
      <c r="W11" s="260">
        <v>472997807366</v>
      </c>
      <c r="X11" t="s">
        <v>886</v>
      </c>
      <c r="Y11">
        <v>1.59</v>
      </c>
    </row>
    <row r="12" spans="1:25" x14ac:dyDescent="0.2">
      <c r="A12" t="s">
        <v>523</v>
      </c>
      <c r="B12" t="s">
        <v>524</v>
      </c>
      <c r="C12">
        <v>20</v>
      </c>
      <c r="D12">
        <v>483.89400000000001</v>
      </c>
      <c r="E12">
        <v>484.5</v>
      </c>
      <c r="F12">
        <v>483.97500000000002</v>
      </c>
      <c r="G12">
        <v>483.92099999999999</v>
      </c>
      <c r="H12">
        <v>200</v>
      </c>
      <c r="I12">
        <v>0.27200000000000002</v>
      </c>
      <c r="J12" t="s">
        <v>573</v>
      </c>
      <c r="K12">
        <v>0</v>
      </c>
      <c r="L12">
        <v>5.03</v>
      </c>
      <c r="M12">
        <v>13.54</v>
      </c>
      <c r="N12">
        <v>37</v>
      </c>
      <c r="O12">
        <v>67</v>
      </c>
      <c r="P12" t="s">
        <v>511</v>
      </c>
      <c r="Q12" s="265">
        <f t="shared" si="0"/>
        <v>-8.100000000001728E-2</v>
      </c>
      <c r="R12">
        <v>0</v>
      </c>
      <c r="S12">
        <v>0</v>
      </c>
      <c r="T12">
        <v>0</v>
      </c>
      <c r="U12" s="260">
        <v>472997807366</v>
      </c>
      <c r="V12" s="260">
        <v>7475365780943</v>
      </c>
      <c r="W12" s="260">
        <v>473017420385</v>
      </c>
      <c r="X12" t="s">
        <v>887</v>
      </c>
      <c r="Y12">
        <v>1.59</v>
      </c>
    </row>
    <row r="13" spans="1:25" x14ac:dyDescent="0.2">
      <c r="A13" t="s">
        <v>524</v>
      </c>
      <c r="B13" t="s">
        <v>525</v>
      </c>
      <c r="C13">
        <v>80</v>
      </c>
      <c r="D13">
        <v>484.5</v>
      </c>
      <c r="E13">
        <v>484.61</v>
      </c>
      <c r="F13">
        <v>483.92099999999999</v>
      </c>
      <c r="G13">
        <v>483.70299999999997</v>
      </c>
      <c r="H13">
        <v>200</v>
      </c>
      <c r="I13">
        <v>0.27200000000000002</v>
      </c>
      <c r="J13" t="s">
        <v>573</v>
      </c>
      <c r="K13">
        <v>0</v>
      </c>
      <c r="L13">
        <v>5.03</v>
      </c>
      <c r="M13">
        <v>13.54</v>
      </c>
      <c r="N13">
        <v>37</v>
      </c>
      <c r="O13">
        <v>67</v>
      </c>
      <c r="P13" t="s">
        <v>511</v>
      </c>
      <c r="Q13" s="265">
        <f t="shared" si="0"/>
        <v>0.57900000000000773</v>
      </c>
      <c r="R13">
        <v>0</v>
      </c>
      <c r="S13">
        <v>0</v>
      </c>
      <c r="T13">
        <v>0</v>
      </c>
      <c r="U13" s="260">
        <v>473017420385</v>
      </c>
      <c r="V13" s="260">
        <v>7475361865656</v>
      </c>
      <c r="W13" s="260">
        <v>473097230576</v>
      </c>
      <c r="X13" t="s">
        <v>888</v>
      </c>
      <c r="Y13">
        <v>1.59</v>
      </c>
    </row>
    <row r="14" spans="1:25" x14ac:dyDescent="0.2">
      <c r="A14" t="s">
        <v>525</v>
      </c>
      <c r="B14" t="s">
        <v>526</v>
      </c>
      <c r="C14">
        <v>65</v>
      </c>
      <c r="D14">
        <v>484.61</v>
      </c>
      <c r="E14">
        <v>484.87599999999998</v>
      </c>
      <c r="F14">
        <v>483.70299999999997</v>
      </c>
      <c r="G14">
        <v>483.52699999999999</v>
      </c>
      <c r="H14">
        <v>200</v>
      </c>
      <c r="I14">
        <v>0.27200000000000002</v>
      </c>
      <c r="J14" t="s">
        <v>574</v>
      </c>
      <c r="K14">
        <v>0</v>
      </c>
      <c r="L14">
        <v>5.03</v>
      </c>
      <c r="M14">
        <v>13.54</v>
      </c>
      <c r="N14">
        <v>32</v>
      </c>
      <c r="O14">
        <v>56</v>
      </c>
      <c r="P14" t="s">
        <v>511</v>
      </c>
      <c r="Q14" s="265">
        <f t="shared" si="0"/>
        <v>0.90700000000003911</v>
      </c>
      <c r="R14">
        <v>0</v>
      </c>
      <c r="S14">
        <v>0</v>
      </c>
      <c r="T14">
        <v>0</v>
      </c>
      <c r="U14" s="260">
        <v>473097230576</v>
      </c>
      <c r="V14" s="260">
        <v>7475356358078</v>
      </c>
      <c r="W14" s="260">
        <v>473162050788</v>
      </c>
      <c r="X14" t="s">
        <v>889</v>
      </c>
      <c r="Y14">
        <v>1.46</v>
      </c>
    </row>
    <row r="15" spans="1:25" x14ac:dyDescent="0.2">
      <c r="A15" t="s">
        <v>526</v>
      </c>
      <c r="B15" t="s">
        <v>527</v>
      </c>
      <c r="C15">
        <v>80</v>
      </c>
      <c r="D15">
        <v>484.87599999999998</v>
      </c>
      <c r="E15">
        <v>483.9</v>
      </c>
      <c r="F15">
        <v>483.52699999999999</v>
      </c>
      <c r="G15">
        <v>483.30900000000003</v>
      </c>
      <c r="H15">
        <v>200</v>
      </c>
      <c r="I15">
        <v>0.27200000000000002</v>
      </c>
      <c r="J15" t="s">
        <v>574</v>
      </c>
      <c r="K15">
        <v>0</v>
      </c>
      <c r="L15">
        <v>5.03</v>
      </c>
      <c r="M15">
        <v>13.54</v>
      </c>
      <c r="N15">
        <v>32</v>
      </c>
      <c r="O15">
        <v>56</v>
      </c>
      <c r="P15" t="s">
        <v>511</v>
      </c>
      <c r="Q15" s="265">
        <f t="shared" si="0"/>
        <v>1.3489999999999895</v>
      </c>
      <c r="R15">
        <v>0</v>
      </c>
      <c r="S15">
        <v>0</v>
      </c>
      <c r="T15">
        <v>0</v>
      </c>
      <c r="U15" s="260">
        <v>473162050788</v>
      </c>
      <c r="V15" s="260">
        <v>7475351526922</v>
      </c>
      <c r="W15" s="260">
        <v>473241686482</v>
      </c>
      <c r="X15" t="s">
        <v>890</v>
      </c>
      <c r="Y15">
        <v>1.46</v>
      </c>
    </row>
    <row r="16" spans="1:25" x14ac:dyDescent="0.2">
      <c r="A16" t="s">
        <v>527</v>
      </c>
      <c r="B16" t="s">
        <v>528</v>
      </c>
      <c r="C16">
        <v>7.79</v>
      </c>
      <c r="D16">
        <v>483.9</v>
      </c>
      <c r="E16">
        <v>483.9</v>
      </c>
      <c r="F16">
        <v>483.30900000000003</v>
      </c>
      <c r="G16">
        <v>483.28800000000001</v>
      </c>
      <c r="H16">
        <v>200</v>
      </c>
      <c r="I16">
        <v>0.27200000000000002</v>
      </c>
      <c r="J16" t="s">
        <v>573</v>
      </c>
      <c r="K16">
        <v>0</v>
      </c>
      <c r="L16">
        <v>5.03</v>
      </c>
      <c r="M16">
        <v>13.54</v>
      </c>
      <c r="N16">
        <v>37</v>
      </c>
      <c r="O16">
        <v>67</v>
      </c>
      <c r="P16" t="s">
        <v>511</v>
      </c>
      <c r="Q16" s="265">
        <f t="shared" si="0"/>
        <v>0.59099999999995134</v>
      </c>
      <c r="R16">
        <v>0</v>
      </c>
      <c r="S16">
        <v>0</v>
      </c>
      <c r="T16">
        <v>0</v>
      </c>
      <c r="U16" s="260">
        <v>473241686482</v>
      </c>
      <c r="V16" s="260">
        <v>747535915295</v>
      </c>
      <c r="W16" s="260">
        <v>473249453133</v>
      </c>
      <c r="X16" t="s">
        <v>891</v>
      </c>
      <c r="Y16">
        <v>1.59</v>
      </c>
    </row>
    <row r="17" spans="1:26" x14ac:dyDescent="0.2">
      <c r="A17" t="s">
        <v>528</v>
      </c>
      <c r="B17" t="s">
        <v>529</v>
      </c>
      <c r="C17">
        <v>80</v>
      </c>
      <c r="D17">
        <v>483.9</v>
      </c>
      <c r="E17">
        <v>483.536</v>
      </c>
      <c r="F17">
        <v>483.28800000000001</v>
      </c>
      <c r="G17">
        <v>483.07</v>
      </c>
      <c r="H17">
        <v>200</v>
      </c>
      <c r="I17">
        <v>0.27200000000000002</v>
      </c>
      <c r="J17" t="s">
        <v>892</v>
      </c>
      <c r="K17">
        <v>1.91</v>
      </c>
      <c r="L17">
        <v>5.74</v>
      </c>
      <c r="M17">
        <v>15.45</v>
      </c>
      <c r="N17">
        <v>39</v>
      </c>
      <c r="O17">
        <v>74</v>
      </c>
      <c r="P17" t="s">
        <v>511</v>
      </c>
      <c r="Q17" s="265">
        <f t="shared" si="0"/>
        <v>0.61199999999996635</v>
      </c>
      <c r="R17">
        <v>0</v>
      </c>
      <c r="S17">
        <v>0</v>
      </c>
      <c r="T17">
        <v>0</v>
      </c>
      <c r="U17" s="260">
        <v>473249453133</v>
      </c>
      <c r="V17" s="260">
        <v>7475359752567</v>
      </c>
      <c r="W17" s="260">
        <v>473327637028</v>
      </c>
      <c r="X17" t="s">
        <v>893</v>
      </c>
      <c r="Y17">
        <v>1.64</v>
      </c>
    </row>
    <row r="18" spans="1:26" x14ac:dyDescent="0.2">
      <c r="A18" t="s">
        <v>529</v>
      </c>
      <c r="B18" t="s">
        <v>530</v>
      </c>
      <c r="C18">
        <v>80</v>
      </c>
      <c r="D18">
        <v>483.536</v>
      </c>
      <c r="E18">
        <v>484.4</v>
      </c>
      <c r="F18">
        <v>483.07</v>
      </c>
      <c r="G18">
        <v>482.85300000000001</v>
      </c>
      <c r="H18">
        <v>200</v>
      </c>
      <c r="I18">
        <v>0.27200000000000002</v>
      </c>
      <c r="J18" t="s">
        <v>574</v>
      </c>
      <c r="K18">
        <v>0</v>
      </c>
      <c r="L18">
        <v>5.74</v>
      </c>
      <c r="M18">
        <v>15.45</v>
      </c>
      <c r="N18">
        <v>34</v>
      </c>
      <c r="O18">
        <v>61</v>
      </c>
      <c r="P18" t="s">
        <v>511</v>
      </c>
      <c r="Q18" s="265">
        <f t="shared" si="0"/>
        <v>0.46600000000000819</v>
      </c>
      <c r="R18">
        <v>0</v>
      </c>
      <c r="S18">
        <v>0</v>
      </c>
      <c r="T18">
        <v>0</v>
      </c>
      <c r="U18" s="260">
        <v>473327637028</v>
      </c>
      <c r="V18" s="260">
        <v>7475342803271</v>
      </c>
      <c r="W18" s="260">
        <v>47340538949</v>
      </c>
      <c r="X18" t="s">
        <v>894</v>
      </c>
      <c r="Y18">
        <v>1.53</v>
      </c>
    </row>
    <row r="19" spans="1:26" x14ac:dyDescent="0.2">
      <c r="A19" t="s">
        <v>530</v>
      </c>
      <c r="B19" t="s">
        <v>531</v>
      </c>
      <c r="C19">
        <v>13</v>
      </c>
      <c r="D19">
        <v>484.4</v>
      </c>
      <c r="E19">
        <v>484.43</v>
      </c>
      <c r="F19">
        <v>482.85300000000001</v>
      </c>
      <c r="G19">
        <v>482.81700000000001</v>
      </c>
      <c r="H19">
        <v>200</v>
      </c>
      <c r="I19">
        <v>0.27200000000000002</v>
      </c>
      <c r="J19" t="s">
        <v>574</v>
      </c>
      <c r="K19">
        <v>0</v>
      </c>
      <c r="L19">
        <v>5.74</v>
      </c>
      <c r="M19">
        <v>15.45</v>
      </c>
      <c r="N19">
        <v>34</v>
      </c>
      <c r="O19">
        <v>61</v>
      </c>
      <c r="P19" t="s">
        <v>511</v>
      </c>
      <c r="Q19" s="265">
        <f t="shared" si="0"/>
        <v>1.5469999999999686</v>
      </c>
      <c r="R19">
        <v>0</v>
      </c>
      <c r="S19">
        <v>0</v>
      </c>
      <c r="T19">
        <v>0</v>
      </c>
      <c r="U19" s="260">
        <v>47340538949</v>
      </c>
      <c r="V19" s="260">
        <v>7475323973649</v>
      </c>
      <c r="W19" s="260">
        <v>473418020262</v>
      </c>
      <c r="X19" t="s">
        <v>895</v>
      </c>
      <c r="Y19">
        <v>1.53</v>
      </c>
    </row>
    <row r="20" spans="1:26" x14ac:dyDescent="0.2">
      <c r="A20" t="s">
        <v>531</v>
      </c>
      <c r="B20" t="s">
        <v>532</v>
      </c>
      <c r="C20">
        <v>80</v>
      </c>
      <c r="D20">
        <v>484.43</v>
      </c>
      <c r="E20">
        <v>484.101</v>
      </c>
      <c r="F20">
        <v>482.81700000000001</v>
      </c>
      <c r="G20">
        <v>482.6</v>
      </c>
      <c r="H20">
        <v>200</v>
      </c>
      <c r="I20">
        <v>0.27200000000000002</v>
      </c>
      <c r="J20" t="s">
        <v>574</v>
      </c>
      <c r="K20">
        <v>0</v>
      </c>
      <c r="L20">
        <v>5.74</v>
      </c>
      <c r="M20">
        <v>15.45</v>
      </c>
      <c r="N20">
        <v>34</v>
      </c>
      <c r="O20">
        <v>61</v>
      </c>
      <c r="P20" t="s">
        <v>511</v>
      </c>
      <c r="Q20" s="265">
        <f t="shared" si="0"/>
        <v>1.6129999999999995</v>
      </c>
      <c r="R20">
        <v>0</v>
      </c>
      <c r="S20">
        <v>0</v>
      </c>
      <c r="T20">
        <v>0</v>
      </c>
      <c r="U20" s="260">
        <v>473418020262</v>
      </c>
      <c r="V20" s="260">
        <v>7475320897353</v>
      </c>
      <c r="W20" s="260">
        <v>473496981666</v>
      </c>
      <c r="X20" t="s">
        <v>896</v>
      </c>
      <c r="Y20">
        <v>1.53</v>
      </c>
    </row>
    <row r="21" spans="1:26" x14ac:dyDescent="0.2">
      <c r="A21" t="s">
        <v>532</v>
      </c>
      <c r="B21" t="s">
        <v>533</v>
      </c>
      <c r="C21">
        <v>69</v>
      </c>
      <c r="D21">
        <v>484.101</v>
      </c>
      <c r="E21">
        <v>482.52300000000002</v>
      </c>
      <c r="F21">
        <v>482.6</v>
      </c>
      <c r="G21">
        <v>482.41199999999998</v>
      </c>
      <c r="H21">
        <v>200</v>
      </c>
      <c r="I21">
        <v>0.27200000000000002</v>
      </c>
      <c r="J21" t="s">
        <v>573</v>
      </c>
      <c r="K21">
        <v>0</v>
      </c>
      <c r="L21">
        <v>5.74</v>
      </c>
      <c r="M21">
        <v>15.45</v>
      </c>
      <c r="N21">
        <v>39</v>
      </c>
      <c r="O21">
        <v>74</v>
      </c>
      <c r="P21" t="s">
        <v>511</v>
      </c>
      <c r="Q21" s="265">
        <f t="shared" si="0"/>
        <v>1.5009999999999764</v>
      </c>
      <c r="R21">
        <v>0</v>
      </c>
      <c r="S21">
        <v>0</v>
      </c>
      <c r="T21">
        <v>0</v>
      </c>
      <c r="U21" s="260">
        <v>473496981666</v>
      </c>
      <c r="V21" s="260">
        <v>747530804836</v>
      </c>
      <c r="W21" s="260">
        <v>473562941548</v>
      </c>
      <c r="X21" t="s">
        <v>897</v>
      </c>
      <c r="Y21">
        <v>1.64</v>
      </c>
    </row>
    <row r="22" spans="1:26" x14ac:dyDescent="0.2">
      <c r="A22" t="s">
        <v>533</v>
      </c>
      <c r="B22" t="s">
        <v>534</v>
      </c>
      <c r="C22">
        <v>39</v>
      </c>
      <c r="D22">
        <v>482.52300000000002</v>
      </c>
      <c r="E22">
        <v>484</v>
      </c>
      <c r="F22">
        <v>482.36200000000002</v>
      </c>
      <c r="G22">
        <v>482.25599999999997</v>
      </c>
      <c r="H22">
        <v>250</v>
      </c>
      <c r="I22">
        <v>0.27200000000000002</v>
      </c>
      <c r="J22" t="s">
        <v>898</v>
      </c>
      <c r="K22">
        <v>1.49</v>
      </c>
      <c r="L22">
        <v>6.29</v>
      </c>
      <c r="M22">
        <v>16.940000000000001</v>
      </c>
      <c r="N22">
        <v>30</v>
      </c>
      <c r="O22">
        <v>52</v>
      </c>
      <c r="P22" t="s">
        <v>511</v>
      </c>
      <c r="Q22" s="265">
        <f t="shared" si="0"/>
        <v>0.16100000000000136</v>
      </c>
      <c r="R22">
        <v>0</v>
      </c>
      <c r="S22">
        <v>0</v>
      </c>
      <c r="T22">
        <v>0</v>
      </c>
      <c r="U22" s="260">
        <v>473562941548</v>
      </c>
      <c r="V22" s="260">
        <v>7475328304074</v>
      </c>
      <c r="W22" s="260">
        <v>47359890621</v>
      </c>
      <c r="X22" t="s">
        <v>899</v>
      </c>
      <c r="Y22">
        <v>1.76</v>
      </c>
    </row>
    <row r="23" spans="1:26" x14ac:dyDescent="0.2">
      <c r="A23" t="s">
        <v>534</v>
      </c>
      <c r="B23" t="s">
        <v>535</v>
      </c>
      <c r="C23">
        <v>50</v>
      </c>
      <c r="D23">
        <v>484</v>
      </c>
      <c r="E23">
        <v>483</v>
      </c>
      <c r="F23">
        <v>482.25599999999997</v>
      </c>
      <c r="G23">
        <v>482.12</v>
      </c>
      <c r="H23">
        <v>250</v>
      </c>
      <c r="I23">
        <v>0.27200000000000002</v>
      </c>
      <c r="J23" t="s">
        <v>574</v>
      </c>
      <c r="K23">
        <v>0</v>
      </c>
      <c r="L23">
        <v>6.29</v>
      </c>
      <c r="M23">
        <v>16.940000000000001</v>
      </c>
      <c r="N23">
        <v>26</v>
      </c>
      <c r="O23">
        <v>45</v>
      </c>
      <c r="P23" t="s">
        <v>511</v>
      </c>
      <c r="Q23" s="265">
        <f t="shared" si="0"/>
        <v>1.7440000000000282</v>
      </c>
      <c r="R23">
        <v>0</v>
      </c>
      <c r="S23">
        <v>0</v>
      </c>
      <c r="T23">
        <v>0</v>
      </c>
      <c r="U23" s="260">
        <v>47359890621</v>
      </c>
      <c r="V23" s="260">
        <v>7475313219541</v>
      </c>
      <c r="W23" s="260">
        <v>473622081325</v>
      </c>
      <c r="X23" t="s">
        <v>900</v>
      </c>
      <c r="Y23">
        <v>1.59</v>
      </c>
    </row>
    <row r="24" spans="1:26" x14ac:dyDescent="0.2">
      <c r="A24" t="s">
        <v>535</v>
      </c>
      <c r="B24" t="s">
        <v>536</v>
      </c>
      <c r="C24">
        <v>80</v>
      </c>
      <c r="D24">
        <v>483</v>
      </c>
      <c r="E24">
        <v>484.05</v>
      </c>
      <c r="F24">
        <v>482.12</v>
      </c>
      <c r="G24">
        <v>481.90199999999999</v>
      </c>
      <c r="H24">
        <v>250</v>
      </c>
      <c r="I24">
        <v>0.27200000000000002</v>
      </c>
      <c r="J24" t="s">
        <v>574</v>
      </c>
      <c r="K24">
        <v>0</v>
      </c>
      <c r="L24">
        <v>6.29</v>
      </c>
      <c r="M24">
        <v>16.940000000000001</v>
      </c>
      <c r="N24">
        <v>26</v>
      </c>
      <c r="O24">
        <v>45</v>
      </c>
      <c r="P24" t="s">
        <v>511</v>
      </c>
      <c r="Q24" s="265">
        <f t="shared" si="0"/>
        <v>0.87999999999999545</v>
      </c>
      <c r="R24">
        <v>0</v>
      </c>
      <c r="S24">
        <v>0</v>
      </c>
      <c r="T24">
        <v>0</v>
      </c>
      <c r="U24" s="260">
        <v>473622081325</v>
      </c>
      <c r="V24" s="260">
        <v>7475268914755</v>
      </c>
      <c r="W24" s="260">
        <v>473672879872</v>
      </c>
      <c r="X24" t="s">
        <v>901</v>
      </c>
      <c r="Y24">
        <v>1.59</v>
      </c>
    </row>
    <row r="25" spans="1:26" x14ac:dyDescent="0.2">
      <c r="A25" t="s">
        <v>536</v>
      </c>
      <c r="B25" t="s">
        <v>902</v>
      </c>
      <c r="C25">
        <v>21.87</v>
      </c>
      <c r="D25">
        <v>484.05</v>
      </c>
      <c r="E25">
        <v>484.08499999999998</v>
      </c>
      <c r="F25">
        <v>481.90199999999999</v>
      </c>
      <c r="G25">
        <v>481.84300000000002</v>
      </c>
      <c r="H25">
        <v>250</v>
      </c>
      <c r="I25">
        <v>0.27200000000000002</v>
      </c>
      <c r="J25" t="s">
        <v>574</v>
      </c>
      <c r="K25">
        <v>0</v>
      </c>
      <c r="L25">
        <v>6.29</v>
      </c>
      <c r="M25">
        <v>16.940000000000001</v>
      </c>
      <c r="N25">
        <v>26</v>
      </c>
      <c r="O25">
        <v>45</v>
      </c>
      <c r="P25" t="s">
        <v>511</v>
      </c>
      <c r="Q25" s="265">
        <f t="shared" si="0"/>
        <v>2.1480000000000246</v>
      </c>
      <c r="R25">
        <v>0</v>
      </c>
      <c r="S25">
        <v>0</v>
      </c>
      <c r="T25">
        <v>0</v>
      </c>
      <c r="U25" s="260">
        <v>473672879872</v>
      </c>
      <c r="V25" s="260">
        <v>747520711259</v>
      </c>
      <c r="W25" s="260">
        <v>473688726542</v>
      </c>
      <c r="X25" t="s">
        <v>903</v>
      </c>
      <c r="Y25">
        <v>1.59</v>
      </c>
    </row>
    <row r="26" spans="1:26" x14ac:dyDescent="0.2">
      <c r="A26" t="s">
        <v>537</v>
      </c>
      <c r="B26" t="s">
        <v>538</v>
      </c>
      <c r="C26">
        <v>80</v>
      </c>
      <c r="D26">
        <v>480.42</v>
      </c>
      <c r="E26">
        <v>480.23</v>
      </c>
      <c r="F26">
        <v>479.42</v>
      </c>
      <c r="G26">
        <v>479.005</v>
      </c>
      <c r="H26">
        <v>150</v>
      </c>
      <c r="I26">
        <v>0.51800000000000002</v>
      </c>
      <c r="J26" t="s">
        <v>508</v>
      </c>
      <c r="K26">
        <v>0.28000000000000003</v>
      </c>
      <c r="L26">
        <v>0.76</v>
      </c>
      <c r="M26">
        <v>0.28000000000000003</v>
      </c>
      <c r="N26">
        <v>0.76</v>
      </c>
      <c r="O26">
        <v>21</v>
      </c>
      <c r="P26">
        <v>21</v>
      </c>
      <c r="Q26" s="265">
        <f t="shared" si="0"/>
        <v>1</v>
      </c>
      <c r="R26">
        <v>0</v>
      </c>
      <c r="S26">
        <v>0</v>
      </c>
      <c r="T26">
        <v>0</v>
      </c>
      <c r="U26">
        <v>0</v>
      </c>
      <c r="V26" s="260">
        <v>473955587938</v>
      </c>
      <c r="W26" s="260">
        <v>7474796412672</v>
      </c>
      <c r="X26" s="260">
        <v>474033155287</v>
      </c>
      <c r="Y26" t="s">
        <v>904</v>
      </c>
      <c r="Z26">
        <v>1.02</v>
      </c>
    </row>
    <row r="27" spans="1:26" x14ac:dyDescent="0.2">
      <c r="A27" t="s">
        <v>538</v>
      </c>
      <c r="B27" t="s">
        <v>539</v>
      </c>
      <c r="C27">
        <v>28</v>
      </c>
      <c r="D27">
        <v>480.23</v>
      </c>
      <c r="E27">
        <v>479.89</v>
      </c>
      <c r="F27">
        <v>479.005</v>
      </c>
      <c r="G27">
        <v>478.86</v>
      </c>
      <c r="H27">
        <v>150</v>
      </c>
      <c r="I27">
        <v>0.51800000000000002</v>
      </c>
      <c r="J27" t="s">
        <v>508</v>
      </c>
      <c r="K27">
        <v>0</v>
      </c>
      <c r="L27">
        <v>0</v>
      </c>
      <c r="M27">
        <v>0.28000000000000003</v>
      </c>
      <c r="N27">
        <v>0.76</v>
      </c>
      <c r="O27">
        <v>21</v>
      </c>
      <c r="P27">
        <v>21</v>
      </c>
      <c r="Q27" s="265">
        <f t="shared" si="0"/>
        <v>1.2250000000000227</v>
      </c>
      <c r="R27">
        <v>0</v>
      </c>
      <c r="S27">
        <v>0</v>
      </c>
      <c r="T27">
        <v>0</v>
      </c>
      <c r="U27">
        <v>0</v>
      </c>
      <c r="V27" s="260">
        <v>474033155287</v>
      </c>
      <c r="W27" s="260">
        <v>7474776834458</v>
      </c>
      <c r="X27" s="260">
        <v>47405983837</v>
      </c>
      <c r="Y27" t="s">
        <v>905</v>
      </c>
      <c r="Z27">
        <v>1.02</v>
      </c>
    </row>
    <row r="28" spans="1:26" x14ac:dyDescent="0.2">
      <c r="A28" t="s">
        <v>539</v>
      </c>
      <c r="B28" t="s">
        <v>540</v>
      </c>
      <c r="C28">
        <v>80</v>
      </c>
      <c r="D28">
        <v>479.89</v>
      </c>
      <c r="E28">
        <v>480.072</v>
      </c>
      <c r="F28">
        <v>478.86</v>
      </c>
      <c r="G28">
        <v>478.44600000000003</v>
      </c>
      <c r="H28">
        <v>150</v>
      </c>
      <c r="I28">
        <v>0.51800000000000002</v>
      </c>
      <c r="J28" t="s">
        <v>508</v>
      </c>
      <c r="K28">
        <v>0</v>
      </c>
      <c r="L28">
        <v>0</v>
      </c>
      <c r="M28">
        <v>0.28000000000000003</v>
      </c>
      <c r="N28">
        <v>0.76</v>
      </c>
      <c r="O28">
        <v>21</v>
      </c>
      <c r="P28">
        <v>21</v>
      </c>
      <c r="Q28" s="265">
        <f t="shared" si="0"/>
        <v>1.0299999999999727</v>
      </c>
      <c r="R28">
        <v>0</v>
      </c>
      <c r="S28">
        <v>0</v>
      </c>
      <c r="T28">
        <v>0</v>
      </c>
      <c r="U28">
        <v>0</v>
      </c>
      <c r="V28" s="260">
        <v>47405983837</v>
      </c>
      <c r="W28" s="260">
        <v>7474768348407</v>
      </c>
      <c r="X28" s="260">
        <v>474126635661</v>
      </c>
      <c r="Y28" t="s">
        <v>906</v>
      </c>
      <c r="Z28">
        <v>1.02</v>
      </c>
    </row>
    <row r="29" spans="1:26" x14ac:dyDescent="0.2">
      <c r="A29" t="s">
        <v>540</v>
      </c>
      <c r="B29" t="s">
        <v>541</v>
      </c>
      <c r="C29">
        <v>72</v>
      </c>
      <c r="D29">
        <v>480.072</v>
      </c>
      <c r="E29">
        <v>479.87200000000001</v>
      </c>
      <c r="F29">
        <v>478.44600000000003</v>
      </c>
      <c r="G29">
        <v>478.072</v>
      </c>
      <c r="H29">
        <v>150</v>
      </c>
      <c r="I29">
        <v>0.51800000000000002</v>
      </c>
      <c r="J29" t="s">
        <v>508</v>
      </c>
      <c r="K29">
        <v>0</v>
      </c>
      <c r="L29">
        <v>0</v>
      </c>
      <c r="M29">
        <v>0.28000000000000003</v>
      </c>
      <c r="N29">
        <v>0.76</v>
      </c>
      <c r="O29">
        <v>21</v>
      </c>
      <c r="P29">
        <v>21</v>
      </c>
      <c r="Q29" s="265">
        <f t="shared" si="0"/>
        <v>1.6259999999999764</v>
      </c>
      <c r="R29">
        <v>0</v>
      </c>
      <c r="S29">
        <v>0</v>
      </c>
      <c r="T29">
        <v>0</v>
      </c>
      <c r="U29">
        <v>0</v>
      </c>
      <c r="V29" s="260">
        <v>474126635661</v>
      </c>
      <c r="W29" s="260">
        <v>7474724324301</v>
      </c>
      <c r="X29" s="260">
        <v>474186339556</v>
      </c>
      <c r="Y29" t="s">
        <v>907</v>
      </c>
      <c r="Z29">
        <v>1.02</v>
      </c>
    </row>
    <row r="30" spans="1:26" x14ac:dyDescent="0.2">
      <c r="A30" t="s">
        <v>541</v>
      </c>
      <c r="B30" t="s">
        <v>542</v>
      </c>
      <c r="C30">
        <v>80</v>
      </c>
      <c r="D30">
        <v>479.87200000000001</v>
      </c>
      <c r="E30">
        <v>480.04199999999997</v>
      </c>
      <c r="F30">
        <v>478.072</v>
      </c>
      <c r="G30">
        <v>477.65800000000002</v>
      </c>
      <c r="H30">
        <v>150</v>
      </c>
      <c r="I30">
        <v>0.51800000000000002</v>
      </c>
      <c r="J30" t="s">
        <v>508</v>
      </c>
      <c r="K30">
        <v>1.04</v>
      </c>
      <c r="L30">
        <v>2.79</v>
      </c>
      <c r="M30">
        <v>1.32</v>
      </c>
      <c r="N30">
        <v>3.55</v>
      </c>
      <c r="O30">
        <v>21</v>
      </c>
      <c r="P30">
        <v>34</v>
      </c>
      <c r="Q30" s="265">
        <f t="shared" si="0"/>
        <v>1.8000000000000114</v>
      </c>
      <c r="R30">
        <v>0</v>
      </c>
      <c r="S30">
        <v>0</v>
      </c>
      <c r="T30">
        <v>0</v>
      </c>
      <c r="U30">
        <v>0</v>
      </c>
      <c r="V30" s="260">
        <v>474186339556</v>
      </c>
      <c r="W30" s="260">
        <v>7474684081974</v>
      </c>
      <c r="X30" s="260">
        <v>474260732919</v>
      </c>
      <c r="Y30" t="s">
        <v>908</v>
      </c>
      <c r="Z30">
        <v>1.47</v>
      </c>
    </row>
    <row r="31" spans="1:26" x14ac:dyDescent="0.2">
      <c r="A31" t="s">
        <v>542</v>
      </c>
      <c r="B31" t="s">
        <v>543</v>
      </c>
      <c r="C31">
        <v>28</v>
      </c>
      <c r="D31">
        <v>480.04199999999997</v>
      </c>
      <c r="E31">
        <v>479.83100000000002</v>
      </c>
      <c r="F31">
        <v>477.65800000000002</v>
      </c>
      <c r="G31">
        <v>477.51299999999998</v>
      </c>
      <c r="H31">
        <v>150</v>
      </c>
      <c r="I31">
        <v>0.51800000000000002</v>
      </c>
      <c r="J31" t="s">
        <v>508</v>
      </c>
      <c r="K31">
        <v>0</v>
      </c>
      <c r="L31">
        <v>0</v>
      </c>
      <c r="M31">
        <v>1.32</v>
      </c>
      <c r="N31">
        <v>3.55</v>
      </c>
      <c r="O31">
        <v>21</v>
      </c>
      <c r="P31">
        <v>34</v>
      </c>
      <c r="Q31" s="265">
        <f t="shared" si="0"/>
        <v>2.3839999999999577</v>
      </c>
      <c r="R31">
        <v>0</v>
      </c>
      <c r="S31">
        <v>0</v>
      </c>
      <c r="T31">
        <v>0</v>
      </c>
      <c r="U31">
        <v>0</v>
      </c>
      <c r="V31" s="260">
        <v>474260732919</v>
      </c>
      <c r="W31" s="260">
        <v>7474654660425</v>
      </c>
      <c r="X31" s="260">
        <v>474286841531</v>
      </c>
      <c r="Y31" t="s">
        <v>909</v>
      </c>
      <c r="Z31">
        <v>1.47</v>
      </c>
    </row>
    <row r="32" spans="1:26" x14ac:dyDescent="0.2">
      <c r="A32" t="s">
        <v>543</v>
      </c>
      <c r="B32" t="s">
        <v>544</v>
      </c>
      <c r="C32">
        <v>65</v>
      </c>
      <c r="D32">
        <v>479.83100000000002</v>
      </c>
      <c r="E32">
        <v>477.81400000000002</v>
      </c>
      <c r="F32">
        <v>477.51299999999998</v>
      </c>
      <c r="G32">
        <v>476.81400000000002</v>
      </c>
      <c r="H32">
        <v>150</v>
      </c>
      <c r="I32">
        <v>1.075</v>
      </c>
      <c r="J32" t="s">
        <v>508</v>
      </c>
      <c r="K32">
        <v>1.32</v>
      </c>
      <c r="L32">
        <v>3.56</v>
      </c>
      <c r="M32">
        <v>2.64</v>
      </c>
      <c r="N32">
        <v>7.11</v>
      </c>
      <c r="O32">
        <v>24</v>
      </c>
      <c r="P32">
        <v>40</v>
      </c>
      <c r="Q32" s="265">
        <f t="shared" si="0"/>
        <v>2.3180000000000405</v>
      </c>
      <c r="R32">
        <v>0</v>
      </c>
      <c r="S32">
        <v>0</v>
      </c>
      <c r="T32">
        <v>0</v>
      </c>
      <c r="U32">
        <v>0</v>
      </c>
      <c r="V32" s="260">
        <v>474286841531</v>
      </c>
      <c r="W32" s="260">
        <v>7474644544082</v>
      </c>
      <c r="X32" s="260">
        <v>474310590103</v>
      </c>
      <c r="Y32" t="s">
        <v>910</v>
      </c>
      <c r="Z32">
        <v>3.49</v>
      </c>
    </row>
    <row r="33" spans="1:26" x14ac:dyDescent="0.2">
      <c r="A33" t="s">
        <v>544</v>
      </c>
      <c r="B33" t="s">
        <v>902</v>
      </c>
      <c r="C33">
        <v>11.69</v>
      </c>
      <c r="D33">
        <v>477.81400000000002</v>
      </c>
      <c r="E33">
        <v>479.21600000000001</v>
      </c>
      <c r="F33">
        <v>476.31400000000002</v>
      </c>
      <c r="G33">
        <v>476.267</v>
      </c>
      <c r="H33">
        <v>150</v>
      </c>
      <c r="I33">
        <v>0.4</v>
      </c>
      <c r="J33" t="s">
        <v>515</v>
      </c>
      <c r="K33" t="s">
        <v>516</v>
      </c>
      <c r="L33">
        <v>0</v>
      </c>
      <c r="M33">
        <v>2.64</v>
      </c>
      <c r="N33">
        <v>7.11</v>
      </c>
      <c r="O33">
        <v>35</v>
      </c>
      <c r="P33">
        <v>63</v>
      </c>
      <c r="Q33" s="265">
        <f t="shared" si="0"/>
        <v>1.5</v>
      </c>
      <c r="R33">
        <v>0</v>
      </c>
      <c r="S33">
        <v>0</v>
      </c>
      <c r="T33">
        <v>0</v>
      </c>
      <c r="U33">
        <v>0</v>
      </c>
      <c r="V33" s="260">
        <v>474310590103</v>
      </c>
      <c r="W33" s="260">
        <v>747458403784</v>
      </c>
      <c r="X33" s="260">
        <v>47430083403</v>
      </c>
      <c r="Y33" t="s">
        <v>911</v>
      </c>
      <c r="Z33">
        <v>1.72</v>
      </c>
    </row>
    <row r="34" spans="1:26" x14ac:dyDescent="0.2">
      <c r="A34" t="s">
        <v>545</v>
      </c>
      <c r="B34" t="s">
        <v>546</v>
      </c>
      <c r="C34">
        <v>80</v>
      </c>
      <c r="D34">
        <v>482.5</v>
      </c>
      <c r="E34">
        <v>481.31200000000001</v>
      </c>
      <c r="F34">
        <v>481.7</v>
      </c>
      <c r="G34">
        <v>480.512</v>
      </c>
      <c r="H34">
        <v>200</v>
      </c>
      <c r="I34">
        <v>1.4850000000000001</v>
      </c>
      <c r="J34" t="s">
        <v>508</v>
      </c>
      <c r="K34">
        <v>4.5</v>
      </c>
      <c r="L34">
        <v>12.13</v>
      </c>
      <c r="M34">
        <v>4.5</v>
      </c>
      <c r="N34">
        <v>12.13</v>
      </c>
      <c r="O34">
        <v>19</v>
      </c>
      <c r="P34">
        <v>32</v>
      </c>
      <c r="Q34" s="265">
        <f t="shared" si="0"/>
        <v>0.80000000000001137</v>
      </c>
      <c r="R34">
        <v>0</v>
      </c>
      <c r="S34">
        <v>0</v>
      </c>
      <c r="T34">
        <v>0</v>
      </c>
      <c r="U34">
        <v>0</v>
      </c>
      <c r="V34" s="260">
        <v>474119800729</v>
      </c>
      <c r="W34" s="260">
        <v>7473609938923</v>
      </c>
      <c r="X34" s="260">
        <v>474181607352</v>
      </c>
      <c r="Y34" t="s">
        <v>912</v>
      </c>
      <c r="Z34">
        <v>5.47</v>
      </c>
    </row>
    <row r="35" spans="1:26" x14ac:dyDescent="0.2">
      <c r="A35" t="s">
        <v>546</v>
      </c>
      <c r="B35" t="s">
        <v>547</v>
      </c>
      <c r="C35">
        <v>40</v>
      </c>
      <c r="D35">
        <v>481.31200000000001</v>
      </c>
      <c r="E35">
        <v>481.20299999999997</v>
      </c>
      <c r="F35">
        <v>480.512</v>
      </c>
      <c r="G35">
        <v>480.38799999999998</v>
      </c>
      <c r="H35">
        <v>200</v>
      </c>
      <c r="I35">
        <v>0.309</v>
      </c>
      <c r="J35" t="s">
        <v>508</v>
      </c>
      <c r="K35">
        <v>0</v>
      </c>
      <c r="L35">
        <v>0</v>
      </c>
      <c r="M35">
        <v>4.5</v>
      </c>
      <c r="N35">
        <v>12.13</v>
      </c>
      <c r="O35">
        <v>29</v>
      </c>
      <c r="P35">
        <v>50</v>
      </c>
      <c r="Q35" s="265">
        <f t="shared" si="0"/>
        <v>0.80000000000001137</v>
      </c>
      <c r="R35">
        <v>0</v>
      </c>
      <c r="S35">
        <v>0</v>
      </c>
      <c r="T35">
        <v>0</v>
      </c>
      <c r="U35">
        <v>0</v>
      </c>
      <c r="V35" s="260">
        <v>474181607352</v>
      </c>
      <c r="W35" s="260">
        <v>7473660732046</v>
      </c>
      <c r="X35" s="260">
        <v>474211616776</v>
      </c>
      <c r="Y35" t="s">
        <v>913</v>
      </c>
      <c r="Z35">
        <v>1.56</v>
      </c>
    </row>
    <row r="36" spans="1:26" x14ac:dyDescent="0.2">
      <c r="A36" t="s">
        <v>547</v>
      </c>
      <c r="B36" t="s">
        <v>548</v>
      </c>
      <c r="C36">
        <v>13</v>
      </c>
      <c r="D36">
        <v>481.20299999999997</v>
      </c>
      <c r="E36">
        <v>481.125</v>
      </c>
      <c r="F36">
        <v>480.38799999999998</v>
      </c>
      <c r="G36">
        <v>480.32499999999999</v>
      </c>
      <c r="H36">
        <v>200</v>
      </c>
      <c r="I36">
        <v>0.48699999999999999</v>
      </c>
      <c r="J36" t="s">
        <v>508</v>
      </c>
      <c r="K36">
        <v>0</v>
      </c>
      <c r="L36">
        <v>0</v>
      </c>
      <c r="M36">
        <v>4.5</v>
      </c>
      <c r="N36">
        <v>12.13</v>
      </c>
      <c r="O36">
        <v>26</v>
      </c>
      <c r="P36">
        <v>44</v>
      </c>
      <c r="Q36" s="265">
        <f t="shared" si="0"/>
        <v>0.81499999999999773</v>
      </c>
      <c r="R36">
        <v>0</v>
      </c>
      <c r="S36">
        <v>0</v>
      </c>
      <c r="T36">
        <v>0</v>
      </c>
      <c r="U36">
        <v>0</v>
      </c>
      <c r="V36" s="260">
        <v>474211616776</v>
      </c>
      <c r="W36" s="260">
        <v>7473687178869</v>
      </c>
      <c r="X36" s="260">
        <v>474221310649</v>
      </c>
      <c r="Y36" t="s">
        <v>914</v>
      </c>
      <c r="Z36">
        <v>2.25</v>
      </c>
    </row>
    <row r="37" spans="1:26" x14ac:dyDescent="0.2">
      <c r="A37" t="s">
        <v>548</v>
      </c>
      <c r="B37" t="s">
        <v>549</v>
      </c>
      <c r="C37">
        <v>80.290000000000006</v>
      </c>
      <c r="D37">
        <v>481.125</v>
      </c>
      <c r="E37">
        <v>478.87</v>
      </c>
      <c r="F37">
        <v>480.32499999999999</v>
      </c>
      <c r="G37">
        <v>478.07</v>
      </c>
      <c r="H37">
        <v>200</v>
      </c>
      <c r="I37">
        <v>2.8079999999999998</v>
      </c>
      <c r="J37" t="s">
        <v>508</v>
      </c>
      <c r="K37">
        <v>0</v>
      </c>
      <c r="L37">
        <v>0</v>
      </c>
      <c r="M37">
        <v>4.5</v>
      </c>
      <c r="N37">
        <v>12.13</v>
      </c>
      <c r="O37">
        <v>17</v>
      </c>
      <c r="P37">
        <v>27</v>
      </c>
      <c r="Q37" s="265">
        <f t="shared" si="0"/>
        <v>0.80000000000001137</v>
      </c>
      <c r="R37">
        <v>0</v>
      </c>
      <c r="S37">
        <v>0</v>
      </c>
      <c r="T37">
        <v>0</v>
      </c>
      <c r="U37">
        <v>0</v>
      </c>
      <c r="V37" s="260">
        <v>474221310649</v>
      </c>
      <c r="W37" s="260">
        <v>7473695840787</v>
      </c>
      <c r="X37" s="260">
        <v>474268533831</v>
      </c>
      <c r="Y37" t="s">
        <v>915</v>
      </c>
      <c r="Z37">
        <v>9.0299999999999994</v>
      </c>
    </row>
    <row r="38" spans="1:26" x14ac:dyDescent="0.2">
      <c r="A38" t="s">
        <v>549</v>
      </c>
      <c r="B38" t="s">
        <v>550</v>
      </c>
      <c r="C38">
        <v>79.7</v>
      </c>
      <c r="D38">
        <v>478.87</v>
      </c>
      <c r="E38">
        <v>477.892</v>
      </c>
      <c r="F38">
        <v>478.07</v>
      </c>
      <c r="G38">
        <v>477.09199999999998</v>
      </c>
      <c r="H38">
        <v>200</v>
      </c>
      <c r="I38">
        <v>1.2270000000000001</v>
      </c>
      <c r="J38" t="s">
        <v>508</v>
      </c>
      <c r="K38">
        <v>5.37</v>
      </c>
      <c r="L38">
        <v>14.47</v>
      </c>
      <c r="M38">
        <v>9.8699999999999992</v>
      </c>
      <c r="N38">
        <v>26.6</v>
      </c>
      <c r="O38">
        <v>31</v>
      </c>
      <c r="P38">
        <v>53</v>
      </c>
      <c r="Q38" s="265">
        <f t="shared" si="0"/>
        <v>0.80000000000001137</v>
      </c>
      <c r="R38">
        <v>0</v>
      </c>
      <c r="S38">
        <v>0</v>
      </c>
      <c r="T38">
        <v>0</v>
      </c>
      <c r="U38">
        <v>0</v>
      </c>
      <c r="V38" s="260">
        <v>474268533831</v>
      </c>
      <c r="W38" s="260">
        <v>7473760779926</v>
      </c>
      <c r="X38" s="260">
        <v>474316628563</v>
      </c>
      <c r="Y38" t="s">
        <v>916</v>
      </c>
      <c r="Z38">
        <v>6.4</v>
      </c>
    </row>
    <row r="39" spans="1:26" x14ac:dyDescent="0.2">
      <c r="A39" t="s">
        <v>550</v>
      </c>
      <c r="B39" t="s">
        <v>551</v>
      </c>
      <c r="C39">
        <v>80</v>
      </c>
      <c r="D39">
        <v>477.892</v>
      </c>
      <c r="E39">
        <v>477.64</v>
      </c>
      <c r="F39">
        <v>477.04199999999997</v>
      </c>
      <c r="G39">
        <v>476.79</v>
      </c>
      <c r="H39">
        <v>250</v>
      </c>
      <c r="I39">
        <v>0.315</v>
      </c>
      <c r="J39" t="s">
        <v>508</v>
      </c>
      <c r="K39">
        <v>1.78</v>
      </c>
      <c r="L39">
        <v>4.79</v>
      </c>
      <c r="M39">
        <v>11.65</v>
      </c>
      <c r="N39">
        <v>31.39</v>
      </c>
      <c r="O39">
        <v>35</v>
      </c>
      <c r="P39">
        <v>63</v>
      </c>
      <c r="Q39" s="265">
        <f t="shared" si="0"/>
        <v>0.85000000000002274</v>
      </c>
      <c r="R39">
        <v>0</v>
      </c>
      <c r="S39">
        <v>0</v>
      </c>
      <c r="T39">
        <v>0</v>
      </c>
      <c r="U39">
        <v>0</v>
      </c>
      <c r="V39" s="260">
        <v>474316628563</v>
      </c>
      <c r="W39" s="260">
        <v>7473824328844</v>
      </c>
      <c r="X39" s="260">
        <v>474354821773</v>
      </c>
      <c r="Y39" t="s">
        <v>917</v>
      </c>
      <c r="Z39">
        <v>2.2400000000000002</v>
      </c>
    </row>
    <row r="40" spans="1:26" x14ac:dyDescent="0.2">
      <c r="A40" t="s">
        <v>551</v>
      </c>
      <c r="B40" t="s">
        <v>552</v>
      </c>
      <c r="C40">
        <v>45</v>
      </c>
      <c r="D40">
        <v>477.64</v>
      </c>
      <c r="E40">
        <v>477.5</v>
      </c>
      <c r="F40">
        <v>476.79</v>
      </c>
      <c r="G40">
        <v>476.65</v>
      </c>
      <c r="H40">
        <v>250</v>
      </c>
      <c r="I40">
        <v>0.311</v>
      </c>
      <c r="J40" t="s">
        <v>508</v>
      </c>
      <c r="K40">
        <v>0</v>
      </c>
      <c r="L40">
        <v>0</v>
      </c>
      <c r="M40">
        <v>11.65</v>
      </c>
      <c r="N40">
        <v>31.39</v>
      </c>
      <c r="O40">
        <v>35</v>
      </c>
      <c r="P40">
        <v>63</v>
      </c>
      <c r="Q40" s="265">
        <f t="shared" si="0"/>
        <v>0.84999999999996589</v>
      </c>
      <c r="R40">
        <v>0</v>
      </c>
      <c r="S40">
        <v>0</v>
      </c>
      <c r="T40">
        <v>0</v>
      </c>
      <c r="U40">
        <v>0</v>
      </c>
      <c r="V40" s="260">
        <v>474354821773</v>
      </c>
      <c r="W40" s="260">
        <v>7473894623073</v>
      </c>
      <c r="X40" s="260">
        <v>474370388404</v>
      </c>
      <c r="Y40" t="s">
        <v>918</v>
      </c>
      <c r="Z40">
        <v>2.21</v>
      </c>
    </row>
    <row r="41" spans="1:26" x14ac:dyDescent="0.2">
      <c r="A41" t="s">
        <v>552</v>
      </c>
      <c r="B41" t="s">
        <v>919</v>
      </c>
      <c r="C41">
        <v>51</v>
      </c>
      <c r="D41">
        <v>477.5</v>
      </c>
      <c r="E41">
        <v>481</v>
      </c>
      <c r="F41">
        <v>476.65</v>
      </c>
      <c r="G41">
        <v>476.49700000000001</v>
      </c>
      <c r="H41">
        <v>250</v>
      </c>
      <c r="I41">
        <v>0.3</v>
      </c>
      <c r="J41" t="s">
        <v>508</v>
      </c>
      <c r="K41">
        <v>0</v>
      </c>
      <c r="L41">
        <v>0</v>
      </c>
      <c r="M41">
        <v>11.65</v>
      </c>
      <c r="N41">
        <v>31.39</v>
      </c>
      <c r="O41">
        <v>35</v>
      </c>
      <c r="P41">
        <v>64</v>
      </c>
      <c r="Q41" s="265">
        <f t="shared" si="0"/>
        <v>0.85000000000002274</v>
      </c>
      <c r="R41">
        <v>0</v>
      </c>
      <c r="S41">
        <v>0</v>
      </c>
      <c r="T41">
        <v>0</v>
      </c>
      <c r="U41">
        <v>0</v>
      </c>
      <c r="V41" s="260">
        <v>474370388404</v>
      </c>
      <c r="W41" s="260">
        <v>7473936844869</v>
      </c>
      <c r="X41" s="260">
        <v>474392171281</v>
      </c>
      <c r="Y41" t="s">
        <v>920</v>
      </c>
      <c r="Z41">
        <v>2.15</v>
      </c>
    </row>
    <row r="42" spans="1:26" x14ac:dyDescent="0.2">
      <c r="A42" t="s">
        <v>553</v>
      </c>
      <c r="B42" t="s">
        <v>554</v>
      </c>
      <c r="C42">
        <v>50</v>
      </c>
      <c r="D42">
        <v>506.04599999999999</v>
      </c>
      <c r="E42">
        <v>505.52100000000002</v>
      </c>
      <c r="F42">
        <v>504.99599999999998</v>
      </c>
      <c r="G42">
        <v>504.471</v>
      </c>
      <c r="H42">
        <v>150</v>
      </c>
      <c r="I42">
        <v>1.05</v>
      </c>
      <c r="J42" t="s">
        <v>508</v>
      </c>
      <c r="K42">
        <v>1.44</v>
      </c>
      <c r="L42">
        <v>3.87</v>
      </c>
      <c r="M42">
        <v>1.44</v>
      </c>
      <c r="N42">
        <v>3.87</v>
      </c>
      <c r="O42">
        <v>18</v>
      </c>
      <c r="P42">
        <v>29</v>
      </c>
      <c r="Q42" s="265">
        <f t="shared" si="0"/>
        <v>1.0500000000000114</v>
      </c>
      <c r="R42">
        <v>0</v>
      </c>
      <c r="S42">
        <v>0</v>
      </c>
      <c r="T42">
        <v>0</v>
      </c>
      <c r="U42">
        <v>0</v>
      </c>
      <c r="V42" s="260">
        <v>470125484814</v>
      </c>
      <c r="W42" s="260">
        <v>7475674169459</v>
      </c>
      <c r="X42" s="260">
        <v>470168818579</v>
      </c>
      <c r="Y42" t="s">
        <v>921</v>
      </c>
      <c r="Z42">
        <v>2.66</v>
      </c>
    </row>
    <row r="43" spans="1:26" x14ac:dyDescent="0.2">
      <c r="A43" t="s">
        <v>554</v>
      </c>
      <c r="B43" t="s">
        <v>555</v>
      </c>
      <c r="C43">
        <v>60</v>
      </c>
      <c r="D43">
        <v>505.52100000000002</v>
      </c>
      <c r="E43">
        <v>505</v>
      </c>
      <c r="F43">
        <v>504.471</v>
      </c>
      <c r="G43">
        <v>503.95</v>
      </c>
      <c r="H43">
        <v>150</v>
      </c>
      <c r="I43">
        <v>0.86799999999999999</v>
      </c>
      <c r="J43" t="s">
        <v>508</v>
      </c>
      <c r="K43">
        <v>0</v>
      </c>
      <c r="L43">
        <v>0</v>
      </c>
      <c r="M43">
        <v>1.44</v>
      </c>
      <c r="N43">
        <v>3.87</v>
      </c>
      <c r="O43">
        <v>19</v>
      </c>
      <c r="P43">
        <v>31</v>
      </c>
      <c r="Q43" s="265">
        <f t="shared" si="0"/>
        <v>1.0500000000000114</v>
      </c>
      <c r="R43">
        <v>0</v>
      </c>
      <c r="S43">
        <v>0</v>
      </c>
      <c r="T43">
        <v>0</v>
      </c>
      <c r="U43">
        <v>0</v>
      </c>
      <c r="V43" s="260">
        <v>470168818579</v>
      </c>
      <c r="W43" s="260">
        <v>7475699113091</v>
      </c>
      <c r="X43" s="260">
        <v>470227476085</v>
      </c>
      <c r="Y43" t="s">
        <v>922</v>
      </c>
      <c r="Z43">
        <v>2.29</v>
      </c>
    </row>
    <row r="44" spans="1:26" x14ac:dyDescent="0.2">
      <c r="A44" t="s">
        <v>555</v>
      </c>
      <c r="B44" t="s">
        <v>556</v>
      </c>
      <c r="C44">
        <v>80</v>
      </c>
      <c r="D44">
        <v>505</v>
      </c>
      <c r="E44">
        <v>504.59100000000001</v>
      </c>
      <c r="F44">
        <v>503.95</v>
      </c>
      <c r="G44">
        <v>503.53500000000003</v>
      </c>
      <c r="H44">
        <v>150</v>
      </c>
      <c r="I44">
        <v>0.51800000000000002</v>
      </c>
      <c r="J44" t="s">
        <v>508</v>
      </c>
      <c r="K44">
        <v>0</v>
      </c>
      <c r="L44">
        <v>0</v>
      </c>
      <c r="M44">
        <v>1.44</v>
      </c>
      <c r="N44">
        <v>3.87</v>
      </c>
      <c r="O44">
        <v>21</v>
      </c>
      <c r="P44">
        <v>35</v>
      </c>
      <c r="Q44" s="265">
        <f t="shared" si="0"/>
        <v>1.0500000000000114</v>
      </c>
      <c r="R44">
        <v>0</v>
      </c>
      <c r="S44">
        <v>0</v>
      </c>
      <c r="T44">
        <v>0</v>
      </c>
      <c r="U44">
        <v>0</v>
      </c>
      <c r="V44" s="260">
        <v>470227476085</v>
      </c>
      <c r="W44" s="260">
        <v>7475711734384</v>
      </c>
      <c r="X44" s="260">
        <v>470307465707</v>
      </c>
      <c r="Y44" t="s">
        <v>923</v>
      </c>
      <c r="Z44">
        <v>1.52</v>
      </c>
    </row>
    <row r="45" spans="1:26" x14ac:dyDescent="0.2">
      <c r="A45" t="s">
        <v>556</v>
      </c>
      <c r="B45" t="s">
        <v>557</v>
      </c>
      <c r="C45">
        <v>43</v>
      </c>
      <c r="D45">
        <v>504.59100000000001</v>
      </c>
      <c r="E45">
        <v>504.25599999999997</v>
      </c>
      <c r="F45">
        <v>503.53500000000003</v>
      </c>
      <c r="G45">
        <v>503.20600000000002</v>
      </c>
      <c r="H45">
        <v>150</v>
      </c>
      <c r="I45">
        <v>0.76600000000000001</v>
      </c>
      <c r="J45" t="s">
        <v>508</v>
      </c>
      <c r="K45">
        <v>0</v>
      </c>
      <c r="L45">
        <v>0</v>
      </c>
      <c r="M45">
        <v>1.44</v>
      </c>
      <c r="N45">
        <v>3.87</v>
      </c>
      <c r="O45">
        <v>19</v>
      </c>
      <c r="P45">
        <v>32</v>
      </c>
      <c r="Q45" s="265">
        <f t="shared" si="0"/>
        <v>1.0559999999999832</v>
      </c>
      <c r="R45">
        <v>0</v>
      </c>
      <c r="S45">
        <v>0</v>
      </c>
      <c r="T45">
        <v>0</v>
      </c>
      <c r="U45">
        <v>0</v>
      </c>
      <c r="V45" s="260">
        <v>470307465707</v>
      </c>
      <c r="W45" s="260">
        <v>7475713022949</v>
      </c>
      <c r="X45" s="260">
        <v>470350446519</v>
      </c>
      <c r="Y45" t="s">
        <v>924</v>
      </c>
      <c r="Z45">
        <v>2.0699999999999998</v>
      </c>
    </row>
    <row r="46" spans="1:26" x14ac:dyDescent="0.2">
      <c r="A46" t="s">
        <v>557</v>
      </c>
      <c r="B46" t="s">
        <v>558</v>
      </c>
      <c r="C46">
        <v>80</v>
      </c>
      <c r="D46">
        <v>504.25599999999997</v>
      </c>
      <c r="E46">
        <v>504.07799999999997</v>
      </c>
      <c r="F46">
        <v>503.20600000000002</v>
      </c>
      <c r="G46">
        <v>502.99</v>
      </c>
      <c r="H46">
        <v>150</v>
      </c>
      <c r="I46">
        <v>0.27</v>
      </c>
      <c r="J46" t="s">
        <v>508</v>
      </c>
      <c r="K46">
        <v>0</v>
      </c>
      <c r="L46">
        <v>0</v>
      </c>
      <c r="M46">
        <v>1.44</v>
      </c>
      <c r="N46">
        <v>3.87</v>
      </c>
      <c r="O46">
        <v>25</v>
      </c>
      <c r="P46">
        <v>42</v>
      </c>
      <c r="Q46" s="265">
        <f t="shared" si="0"/>
        <v>1.0499999999999545</v>
      </c>
      <c r="R46">
        <v>0</v>
      </c>
      <c r="S46">
        <v>0</v>
      </c>
      <c r="T46">
        <v>0</v>
      </c>
      <c r="U46">
        <v>0</v>
      </c>
      <c r="V46" s="260">
        <v>470350446519</v>
      </c>
      <c r="W46" s="260">
        <v>7475711738515</v>
      </c>
      <c r="X46" s="260">
        <v>470426484506</v>
      </c>
      <c r="Y46" t="s">
        <v>925</v>
      </c>
      <c r="Z46">
        <v>0.91</v>
      </c>
    </row>
    <row r="47" spans="1:26" x14ac:dyDescent="0.2">
      <c r="A47" t="s">
        <v>558</v>
      </c>
      <c r="B47" t="s">
        <v>559</v>
      </c>
      <c r="C47">
        <v>80</v>
      </c>
      <c r="D47">
        <v>504.07799999999997</v>
      </c>
      <c r="E47">
        <v>503.98200000000003</v>
      </c>
      <c r="F47">
        <v>502.99</v>
      </c>
      <c r="G47">
        <v>502.774</v>
      </c>
      <c r="H47">
        <v>150</v>
      </c>
      <c r="I47">
        <v>0.27</v>
      </c>
      <c r="J47" t="s">
        <v>508</v>
      </c>
      <c r="K47">
        <v>0</v>
      </c>
      <c r="L47">
        <v>0</v>
      </c>
      <c r="M47">
        <v>1.44</v>
      </c>
      <c r="N47">
        <v>3.87</v>
      </c>
      <c r="O47">
        <v>25</v>
      </c>
      <c r="P47">
        <v>42</v>
      </c>
      <c r="Q47" s="265">
        <f t="shared" si="0"/>
        <v>1.0879999999999654</v>
      </c>
      <c r="R47">
        <v>0</v>
      </c>
      <c r="S47">
        <v>0</v>
      </c>
      <c r="T47">
        <v>0</v>
      </c>
      <c r="U47">
        <v>0</v>
      </c>
      <c r="V47" s="260">
        <v>470426484506</v>
      </c>
      <c r="W47" s="260">
        <v>7475686874394</v>
      </c>
      <c r="X47" s="260">
        <v>470504996675</v>
      </c>
      <c r="Y47" t="s">
        <v>926</v>
      </c>
      <c r="Z47">
        <v>0.91</v>
      </c>
    </row>
    <row r="48" spans="1:26" x14ac:dyDescent="0.2">
      <c r="A48" t="s">
        <v>559</v>
      </c>
      <c r="B48" t="s">
        <v>560</v>
      </c>
      <c r="C48">
        <v>75</v>
      </c>
      <c r="D48">
        <v>503.98200000000003</v>
      </c>
      <c r="E48">
        <v>503.887</v>
      </c>
      <c r="F48">
        <v>502.774</v>
      </c>
      <c r="G48">
        <v>502.57100000000003</v>
      </c>
      <c r="H48">
        <v>150</v>
      </c>
      <c r="I48">
        <v>0.27</v>
      </c>
      <c r="J48" t="s">
        <v>508</v>
      </c>
      <c r="K48">
        <v>0</v>
      </c>
      <c r="L48">
        <v>0</v>
      </c>
      <c r="M48">
        <v>1.44</v>
      </c>
      <c r="N48">
        <v>3.87</v>
      </c>
      <c r="O48">
        <v>25</v>
      </c>
      <c r="P48">
        <v>42</v>
      </c>
      <c r="Q48" s="265">
        <f t="shared" si="0"/>
        <v>1.2080000000000268</v>
      </c>
      <c r="R48">
        <v>0</v>
      </c>
      <c r="S48">
        <v>0</v>
      </c>
      <c r="T48">
        <v>0</v>
      </c>
      <c r="U48">
        <v>0</v>
      </c>
      <c r="V48" s="260">
        <v>470504996675</v>
      </c>
      <c r="W48" s="260">
        <v>7475671517333</v>
      </c>
      <c r="X48" s="260">
        <v>47057952772</v>
      </c>
      <c r="Y48" t="s">
        <v>927</v>
      </c>
      <c r="Z48">
        <v>0.91</v>
      </c>
    </row>
    <row r="49" spans="1:26" x14ac:dyDescent="0.2">
      <c r="A49" t="s">
        <v>560</v>
      </c>
      <c r="B49" t="s">
        <v>561</v>
      </c>
      <c r="C49">
        <v>80</v>
      </c>
      <c r="D49">
        <v>503.887</v>
      </c>
      <c r="E49">
        <v>503.93900000000002</v>
      </c>
      <c r="F49">
        <v>502.57100000000003</v>
      </c>
      <c r="G49">
        <v>502.35500000000002</v>
      </c>
      <c r="H49">
        <v>150</v>
      </c>
      <c r="I49">
        <v>0.27</v>
      </c>
      <c r="J49" t="s">
        <v>508</v>
      </c>
      <c r="K49">
        <v>0</v>
      </c>
      <c r="L49">
        <v>0</v>
      </c>
      <c r="M49">
        <v>1.44</v>
      </c>
      <c r="N49">
        <v>3.87</v>
      </c>
      <c r="O49">
        <v>25</v>
      </c>
      <c r="P49">
        <v>42</v>
      </c>
      <c r="Q49" s="265">
        <f t="shared" si="0"/>
        <v>1.3159999999999741</v>
      </c>
      <c r="R49">
        <v>0</v>
      </c>
      <c r="S49">
        <v>0</v>
      </c>
      <c r="T49">
        <v>0</v>
      </c>
      <c r="U49">
        <v>0</v>
      </c>
      <c r="V49" s="260">
        <v>47057952772</v>
      </c>
      <c r="W49" s="260">
        <v>7475663143363</v>
      </c>
      <c r="X49" s="260">
        <v>470657118163</v>
      </c>
      <c r="Y49" t="s">
        <v>928</v>
      </c>
      <c r="Z49">
        <v>0.91</v>
      </c>
    </row>
    <row r="50" spans="1:26" x14ac:dyDescent="0.2">
      <c r="A50" t="s">
        <v>561</v>
      </c>
      <c r="B50" t="s">
        <v>562</v>
      </c>
      <c r="C50">
        <v>80</v>
      </c>
      <c r="D50">
        <v>503.93900000000002</v>
      </c>
      <c r="E50">
        <v>503.50299999999999</v>
      </c>
      <c r="F50">
        <v>502.35500000000002</v>
      </c>
      <c r="G50">
        <v>502.13900000000001</v>
      </c>
      <c r="H50">
        <v>150</v>
      </c>
      <c r="I50">
        <v>0.27</v>
      </c>
      <c r="J50" t="s">
        <v>508</v>
      </c>
      <c r="K50">
        <v>0</v>
      </c>
      <c r="L50">
        <v>0</v>
      </c>
      <c r="M50">
        <v>1.44</v>
      </c>
      <c r="N50">
        <v>3.87</v>
      </c>
      <c r="O50">
        <v>25</v>
      </c>
      <c r="P50">
        <v>42</v>
      </c>
      <c r="Q50" s="265">
        <f t="shared" si="0"/>
        <v>1.5840000000000032</v>
      </c>
      <c r="R50">
        <v>0</v>
      </c>
      <c r="S50">
        <v>0</v>
      </c>
      <c r="T50">
        <v>0</v>
      </c>
      <c r="U50">
        <v>0</v>
      </c>
      <c r="V50" s="260">
        <v>470657118163</v>
      </c>
      <c r="W50" s="260">
        <v>7475682629847</v>
      </c>
      <c r="X50" s="260">
        <v>470734734321</v>
      </c>
      <c r="Y50" t="s">
        <v>929</v>
      </c>
      <c r="Z50">
        <v>0.91</v>
      </c>
    </row>
    <row r="51" spans="1:26" x14ac:dyDescent="0.2">
      <c r="A51" t="s">
        <v>562</v>
      </c>
      <c r="B51" t="s">
        <v>563</v>
      </c>
      <c r="C51">
        <v>64</v>
      </c>
      <c r="D51">
        <v>503.50299999999999</v>
      </c>
      <c r="E51">
        <v>503.601</v>
      </c>
      <c r="F51">
        <v>502.13900000000001</v>
      </c>
      <c r="G51">
        <v>501.96699999999998</v>
      </c>
      <c r="H51">
        <v>150</v>
      </c>
      <c r="I51">
        <v>0.27</v>
      </c>
      <c r="J51" t="s">
        <v>508</v>
      </c>
      <c r="K51">
        <v>0</v>
      </c>
      <c r="L51">
        <v>0</v>
      </c>
      <c r="M51">
        <v>1.44</v>
      </c>
      <c r="N51">
        <v>3.87</v>
      </c>
      <c r="O51">
        <v>25</v>
      </c>
      <c r="P51">
        <v>42</v>
      </c>
      <c r="Q51" s="265">
        <f t="shared" si="0"/>
        <v>1.3639999999999759</v>
      </c>
      <c r="R51">
        <v>0</v>
      </c>
      <c r="S51">
        <v>0</v>
      </c>
      <c r="T51">
        <v>0</v>
      </c>
      <c r="U51">
        <v>0</v>
      </c>
      <c r="V51" s="260">
        <v>470734734321</v>
      </c>
      <c r="W51" s="260">
        <v>7475702013656</v>
      </c>
      <c r="X51" s="260">
        <v>470797662745</v>
      </c>
      <c r="Y51" t="s">
        <v>930</v>
      </c>
      <c r="Z51">
        <v>0.91</v>
      </c>
    </row>
    <row r="52" spans="1:26" x14ac:dyDescent="0.2">
      <c r="A52" t="s">
        <v>563</v>
      </c>
      <c r="B52" t="s">
        <v>564</v>
      </c>
      <c r="C52">
        <v>80</v>
      </c>
      <c r="D52">
        <v>503.601</v>
      </c>
      <c r="E52">
        <v>503.49700000000001</v>
      </c>
      <c r="F52">
        <v>501.96699999999998</v>
      </c>
      <c r="G52">
        <v>501.75099999999998</v>
      </c>
      <c r="H52">
        <v>150</v>
      </c>
      <c r="I52">
        <v>0.27</v>
      </c>
      <c r="J52" t="s">
        <v>508</v>
      </c>
      <c r="K52">
        <v>0</v>
      </c>
      <c r="L52">
        <v>0</v>
      </c>
      <c r="M52">
        <v>1.44</v>
      </c>
      <c r="N52">
        <v>3.87</v>
      </c>
      <c r="O52">
        <v>25</v>
      </c>
      <c r="P52">
        <v>42</v>
      </c>
      <c r="Q52" s="265">
        <f t="shared" si="0"/>
        <v>1.6340000000000146</v>
      </c>
      <c r="R52">
        <v>0</v>
      </c>
      <c r="S52">
        <v>0</v>
      </c>
      <c r="T52">
        <v>0</v>
      </c>
      <c r="U52">
        <v>0</v>
      </c>
      <c r="V52" s="260">
        <v>470797662745</v>
      </c>
      <c r="W52" s="260">
        <v>7475713676138</v>
      </c>
      <c r="X52" s="260">
        <v>470877599532</v>
      </c>
      <c r="Y52" t="s">
        <v>931</v>
      </c>
      <c r="Z52">
        <v>0.91</v>
      </c>
    </row>
    <row r="53" spans="1:26" x14ac:dyDescent="0.2">
      <c r="A53" t="s">
        <v>564</v>
      </c>
      <c r="B53" t="s">
        <v>565</v>
      </c>
      <c r="C53">
        <v>80</v>
      </c>
      <c r="D53">
        <v>503.49700000000001</v>
      </c>
      <c r="E53">
        <v>503.66399999999999</v>
      </c>
      <c r="F53">
        <v>501.75099999999998</v>
      </c>
      <c r="G53">
        <v>501.53500000000003</v>
      </c>
      <c r="H53">
        <v>150</v>
      </c>
      <c r="I53">
        <v>0.27</v>
      </c>
      <c r="J53" t="s">
        <v>508</v>
      </c>
      <c r="K53">
        <v>0</v>
      </c>
      <c r="L53">
        <v>0</v>
      </c>
      <c r="M53">
        <v>1.44</v>
      </c>
      <c r="N53">
        <v>3.87</v>
      </c>
      <c r="O53">
        <v>25</v>
      </c>
      <c r="P53">
        <v>42</v>
      </c>
      <c r="Q53" s="265">
        <f t="shared" si="0"/>
        <v>1.7460000000000377</v>
      </c>
      <c r="R53">
        <v>0</v>
      </c>
      <c r="S53">
        <v>0</v>
      </c>
      <c r="T53">
        <v>0</v>
      </c>
      <c r="U53">
        <v>0</v>
      </c>
      <c r="V53" s="260">
        <v>470877599532</v>
      </c>
      <c r="W53" s="260">
        <v>7475716855774</v>
      </c>
      <c r="X53" s="260">
        <v>470957568232</v>
      </c>
      <c r="Y53" t="s">
        <v>932</v>
      </c>
      <c r="Z53">
        <v>0.91</v>
      </c>
    </row>
    <row r="54" spans="1:26" x14ac:dyDescent="0.2">
      <c r="A54" t="s">
        <v>565</v>
      </c>
      <c r="B54" t="s">
        <v>566</v>
      </c>
      <c r="C54">
        <v>80</v>
      </c>
      <c r="D54">
        <v>503.66399999999999</v>
      </c>
      <c r="E54">
        <v>503.63600000000002</v>
      </c>
      <c r="F54">
        <v>501.53500000000003</v>
      </c>
      <c r="G54">
        <v>501.31900000000002</v>
      </c>
      <c r="H54">
        <v>150</v>
      </c>
      <c r="I54">
        <v>0.27</v>
      </c>
      <c r="J54" t="s">
        <v>508</v>
      </c>
      <c r="K54">
        <v>0</v>
      </c>
      <c r="L54">
        <v>0</v>
      </c>
      <c r="M54">
        <v>1.44</v>
      </c>
      <c r="N54">
        <v>3.87</v>
      </c>
      <c r="O54">
        <v>25</v>
      </c>
      <c r="P54">
        <v>42</v>
      </c>
      <c r="Q54" s="265">
        <f t="shared" si="0"/>
        <v>2.1289999999999623</v>
      </c>
      <c r="R54">
        <v>0</v>
      </c>
      <c r="S54">
        <v>0</v>
      </c>
      <c r="T54">
        <v>0</v>
      </c>
      <c r="U54">
        <v>0</v>
      </c>
      <c r="V54" s="260">
        <v>470957568232</v>
      </c>
      <c r="W54" s="260">
        <v>7475719093386</v>
      </c>
      <c r="X54" s="260">
        <v>471037551568</v>
      </c>
      <c r="Y54" t="s">
        <v>933</v>
      </c>
      <c r="Z54">
        <v>0.91</v>
      </c>
    </row>
    <row r="55" spans="1:26" x14ac:dyDescent="0.2">
      <c r="A55" t="s">
        <v>566</v>
      </c>
      <c r="B55" t="s">
        <v>567</v>
      </c>
      <c r="C55">
        <v>80</v>
      </c>
      <c r="D55">
        <v>503.63600000000002</v>
      </c>
      <c r="E55">
        <v>503.56900000000002</v>
      </c>
      <c r="F55">
        <v>501.31900000000002</v>
      </c>
      <c r="G55">
        <v>501.10300000000001</v>
      </c>
      <c r="H55">
        <v>150</v>
      </c>
      <c r="I55">
        <v>0.27</v>
      </c>
      <c r="J55" t="s">
        <v>508</v>
      </c>
      <c r="K55">
        <v>0</v>
      </c>
      <c r="L55">
        <v>0</v>
      </c>
      <c r="M55">
        <v>1.44</v>
      </c>
      <c r="N55">
        <v>3.87</v>
      </c>
      <c r="O55">
        <v>25</v>
      </c>
      <c r="P55">
        <v>42</v>
      </c>
      <c r="Q55" s="265">
        <f t="shared" si="0"/>
        <v>2.3170000000000073</v>
      </c>
      <c r="R55">
        <v>0</v>
      </c>
      <c r="S55">
        <v>0</v>
      </c>
      <c r="T55">
        <v>0</v>
      </c>
      <c r="U55">
        <v>0</v>
      </c>
      <c r="V55" s="260">
        <v>471037551568</v>
      </c>
      <c r="W55" s="260">
        <v>7475720726176</v>
      </c>
      <c r="X55" s="260">
        <v>471117549586</v>
      </c>
      <c r="Y55" t="s">
        <v>934</v>
      </c>
      <c r="Z55">
        <v>0.91</v>
      </c>
    </row>
    <row r="56" spans="1:26" x14ac:dyDescent="0.2">
      <c r="A56" t="s">
        <v>567</v>
      </c>
      <c r="B56" t="s">
        <v>568</v>
      </c>
      <c r="C56">
        <v>80</v>
      </c>
      <c r="D56">
        <v>503.56900000000002</v>
      </c>
      <c r="E56">
        <v>503.45</v>
      </c>
      <c r="F56">
        <v>501.10300000000001</v>
      </c>
      <c r="G56">
        <v>500.887</v>
      </c>
      <c r="H56">
        <v>150</v>
      </c>
      <c r="I56">
        <v>0.27</v>
      </c>
      <c r="J56" t="s">
        <v>508</v>
      </c>
      <c r="K56">
        <v>0</v>
      </c>
      <c r="L56">
        <v>0</v>
      </c>
      <c r="M56">
        <v>1.44</v>
      </c>
      <c r="N56">
        <v>3.87</v>
      </c>
      <c r="O56">
        <v>25</v>
      </c>
      <c r="P56">
        <v>42</v>
      </c>
      <c r="Q56" s="265">
        <f t="shared" si="0"/>
        <v>2.4660000000000082</v>
      </c>
      <c r="R56">
        <v>0</v>
      </c>
      <c r="S56">
        <v>0</v>
      </c>
      <c r="T56">
        <v>0</v>
      </c>
      <c r="U56">
        <v>0</v>
      </c>
      <c r="V56" s="260">
        <v>471117549586</v>
      </c>
      <c r="W56" s="260">
        <v>7475721289354</v>
      </c>
      <c r="X56" s="260">
        <v>471197538592</v>
      </c>
      <c r="Y56" t="s">
        <v>935</v>
      </c>
      <c r="Z56">
        <v>0.91</v>
      </c>
    </row>
    <row r="57" spans="1:26" x14ac:dyDescent="0.2">
      <c r="A57" t="s">
        <v>568</v>
      </c>
      <c r="B57" t="s">
        <v>569</v>
      </c>
      <c r="C57">
        <v>80</v>
      </c>
      <c r="D57">
        <v>503.45</v>
      </c>
      <c r="E57">
        <v>503.00799999999998</v>
      </c>
      <c r="F57">
        <v>500.887</v>
      </c>
      <c r="G57">
        <v>500.67099999999999</v>
      </c>
      <c r="H57">
        <v>150</v>
      </c>
      <c r="I57">
        <v>0.27</v>
      </c>
      <c r="J57" t="s">
        <v>508</v>
      </c>
      <c r="K57">
        <v>0</v>
      </c>
      <c r="L57">
        <v>0</v>
      </c>
      <c r="M57">
        <v>1.44</v>
      </c>
      <c r="N57">
        <v>3.87</v>
      </c>
      <c r="O57">
        <v>25</v>
      </c>
      <c r="P57">
        <v>42</v>
      </c>
      <c r="Q57" s="265">
        <f t="shared" si="0"/>
        <v>2.5629999999999882</v>
      </c>
      <c r="R57">
        <v>0</v>
      </c>
      <c r="S57">
        <v>0</v>
      </c>
      <c r="T57">
        <v>0</v>
      </c>
      <c r="U57">
        <v>0</v>
      </c>
      <c r="V57" s="260">
        <v>471197538592</v>
      </c>
      <c r="W57" s="260">
        <v>747571996314</v>
      </c>
      <c r="X57" s="260">
        <v>471277531602</v>
      </c>
      <c r="Y57" t="s">
        <v>936</v>
      </c>
      <c r="Z57">
        <v>0.91</v>
      </c>
    </row>
    <row r="58" spans="1:26" x14ac:dyDescent="0.2">
      <c r="A58" t="s">
        <v>569</v>
      </c>
      <c r="B58" t="s">
        <v>570</v>
      </c>
      <c r="C58">
        <v>80</v>
      </c>
      <c r="D58">
        <v>503.00799999999998</v>
      </c>
      <c r="E58">
        <v>502.18099999999998</v>
      </c>
      <c r="F58">
        <v>500.67099999999999</v>
      </c>
      <c r="G58">
        <v>500.45499999999998</v>
      </c>
      <c r="H58">
        <v>150</v>
      </c>
      <c r="I58">
        <v>0.27</v>
      </c>
      <c r="J58" t="s">
        <v>508</v>
      </c>
      <c r="K58">
        <v>0</v>
      </c>
      <c r="L58">
        <v>0</v>
      </c>
      <c r="M58">
        <v>1.44</v>
      </c>
      <c r="N58">
        <v>3.87</v>
      </c>
      <c r="O58">
        <v>25</v>
      </c>
      <c r="P58">
        <v>42</v>
      </c>
      <c r="Q58" s="265">
        <f t="shared" si="0"/>
        <v>2.3369999999999891</v>
      </c>
      <c r="R58">
        <v>0</v>
      </c>
      <c r="S58">
        <v>0</v>
      </c>
      <c r="T58">
        <v>0</v>
      </c>
      <c r="U58">
        <v>0</v>
      </c>
      <c r="V58" s="260">
        <v>471277531602</v>
      </c>
      <c r="W58" s="260">
        <v>7475718905615</v>
      </c>
      <c r="X58" s="260">
        <v>471357521108</v>
      </c>
      <c r="Y58" t="s">
        <v>937</v>
      </c>
      <c r="Z58">
        <v>0.91</v>
      </c>
    </row>
    <row r="59" spans="1:26" x14ac:dyDescent="0.2">
      <c r="A59" t="s">
        <v>570</v>
      </c>
      <c r="B59" t="s">
        <v>571</v>
      </c>
      <c r="C59">
        <v>80</v>
      </c>
      <c r="D59">
        <v>502.18099999999998</v>
      </c>
      <c r="E59">
        <v>501.64</v>
      </c>
      <c r="F59">
        <v>500.45499999999998</v>
      </c>
      <c r="G59">
        <v>500.23899999999998</v>
      </c>
      <c r="H59">
        <v>150</v>
      </c>
      <c r="I59">
        <v>0.27</v>
      </c>
      <c r="J59" t="s">
        <v>508</v>
      </c>
      <c r="K59">
        <v>0</v>
      </c>
      <c r="L59">
        <v>0</v>
      </c>
      <c r="M59">
        <v>1.44</v>
      </c>
      <c r="N59">
        <v>3.87</v>
      </c>
      <c r="O59">
        <v>25</v>
      </c>
      <c r="P59">
        <v>42</v>
      </c>
      <c r="Q59" s="265">
        <f t="shared" si="0"/>
        <v>1.7259999999999991</v>
      </c>
      <c r="R59">
        <v>0</v>
      </c>
      <c r="S59">
        <v>0</v>
      </c>
      <c r="T59">
        <v>0</v>
      </c>
      <c r="U59">
        <v>0</v>
      </c>
      <c r="V59" s="260">
        <v>471357521108</v>
      </c>
      <c r="W59" s="260">
        <v>7475717609881</v>
      </c>
      <c r="X59" s="260">
        <v>471437504327</v>
      </c>
      <c r="Y59" t="s">
        <v>938</v>
      </c>
      <c r="Z59">
        <v>0.91</v>
      </c>
    </row>
    <row r="60" spans="1:26" x14ac:dyDescent="0.2">
      <c r="A60" t="s">
        <v>571</v>
      </c>
      <c r="B60" t="s">
        <v>572</v>
      </c>
      <c r="C60">
        <v>80</v>
      </c>
      <c r="D60">
        <v>501.64</v>
      </c>
      <c r="E60">
        <v>501.49099999999999</v>
      </c>
      <c r="F60">
        <v>500.23899999999998</v>
      </c>
      <c r="G60">
        <v>500.02300000000002</v>
      </c>
      <c r="H60">
        <v>150</v>
      </c>
      <c r="I60">
        <v>0.27</v>
      </c>
      <c r="J60" t="s">
        <v>508</v>
      </c>
      <c r="K60">
        <v>0</v>
      </c>
      <c r="L60">
        <v>0</v>
      </c>
      <c r="M60">
        <v>1.44</v>
      </c>
      <c r="N60">
        <v>3.87</v>
      </c>
      <c r="O60">
        <v>25</v>
      </c>
      <c r="P60">
        <v>42</v>
      </c>
      <c r="Q60" s="265">
        <f t="shared" si="0"/>
        <v>1.4010000000000105</v>
      </c>
      <c r="R60">
        <v>0</v>
      </c>
      <c r="S60">
        <v>0</v>
      </c>
      <c r="T60">
        <v>0</v>
      </c>
      <c r="U60">
        <v>0</v>
      </c>
      <c r="V60" s="260">
        <v>471437504327</v>
      </c>
      <c r="W60" s="260">
        <v>747571597139</v>
      </c>
      <c r="X60" s="260">
        <v>471517461183</v>
      </c>
      <c r="Y60" t="s">
        <v>939</v>
      </c>
      <c r="Z60">
        <v>0.91</v>
      </c>
    </row>
    <row r="61" spans="1:26" x14ac:dyDescent="0.2">
      <c r="A61" t="s">
        <v>572</v>
      </c>
      <c r="B61" t="s">
        <v>902</v>
      </c>
      <c r="C61">
        <v>9.48</v>
      </c>
      <c r="D61">
        <v>501.49099999999999</v>
      </c>
      <c r="E61">
        <v>501.416</v>
      </c>
      <c r="F61">
        <v>500.02300000000002</v>
      </c>
      <c r="G61">
        <v>499.99700000000001</v>
      </c>
      <c r="H61">
        <v>150</v>
      </c>
      <c r="I61">
        <v>0.27</v>
      </c>
      <c r="J61" t="s">
        <v>508</v>
      </c>
      <c r="K61">
        <v>0</v>
      </c>
      <c r="L61">
        <v>0</v>
      </c>
      <c r="M61">
        <v>1.44</v>
      </c>
      <c r="N61">
        <v>3.87</v>
      </c>
      <c r="O61">
        <v>25</v>
      </c>
      <c r="P61">
        <v>42</v>
      </c>
      <c r="Q61" s="265">
        <f t="shared" si="0"/>
        <v>1.4679999999999609</v>
      </c>
      <c r="R61">
        <v>0</v>
      </c>
      <c r="S61">
        <v>0</v>
      </c>
      <c r="T61">
        <v>0</v>
      </c>
      <c r="U61">
        <v>0</v>
      </c>
      <c r="V61" s="260">
        <v>471517461183</v>
      </c>
      <c r="W61" s="260">
        <v>7475713344354</v>
      </c>
      <c r="X61" s="260">
        <v>471526345792</v>
      </c>
      <c r="Y61" t="s">
        <v>940</v>
      </c>
      <c r="Z61">
        <v>0.91</v>
      </c>
    </row>
    <row r="64" spans="1:26" x14ac:dyDescent="0.2">
      <c r="A64" s="636" t="s">
        <v>575</v>
      </c>
      <c r="B64" s="636"/>
      <c r="C64" s="636"/>
      <c r="D64" s="330" t="s">
        <v>576</v>
      </c>
    </row>
    <row r="65" spans="1:17" x14ac:dyDescent="0.2">
      <c r="A65" s="330"/>
      <c r="B65" s="330"/>
      <c r="C65" s="262" t="s">
        <v>577</v>
      </c>
      <c r="D65" s="262">
        <f>COUNTIFS(Q1:Q61,"&lt;0")</f>
        <v>8</v>
      </c>
    </row>
    <row r="66" spans="1:17" x14ac:dyDescent="0.2">
      <c r="C66" s="262">
        <v>0.6</v>
      </c>
      <c r="D66" s="266">
        <f>COUNTIFS(Q1:Q61,"&gt;0",Q1:Q61,"&lt;=0,60")</f>
        <v>6</v>
      </c>
      <c r="Q66"/>
    </row>
    <row r="67" spans="1:17" x14ac:dyDescent="0.2">
      <c r="C67" s="262">
        <v>0.8</v>
      </c>
      <c r="D67" s="266">
        <f>COUNTIFS(Q1:Q61,"&gt;0,6",Q1:Q61,"&lt;=0,80")</f>
        <v>2</v>
      </c>
      <c r="Q67"/>
    </row>
    <row r="68" spans="1:17" x14ac:dyDescent="0.2">
      <c r="C68" s="262">
        <v>1</v>
      </c>
      <c r="D68" s="266">
        <f>COUNTIFS(Q1:Q61,"&gt;0,8",Q1:Q61,"&lt;=1")</f>
        <v>11</v>
      </c>
      <c r="Q68"/>
    </row>
    <row r="69" spans="1:17" x14ac:dyDescent="0.2">
      <c r="A69" s="330"/>
      <c r="B69" s="330"/>
      <c r="C69" s="262">
        <v>1.2</v>
      </c>
      <c r="D69" s="266">
        <f>COUNTIFS(Q1:Q61,"&gt;1",Q1:Q61,"&lt;=1,2")</f>
        <v>8</v>
      </c>
    </row>
    <row r="70" spans="1:17" x14ac:dyDescent="0.2">
      <c r="A70" s="330"/>
      <c r="B70" s="330"/>
      <c r="C70" s="262">
        <v>1.4</v>
      </c>
      <c r="D70" s="262">
        <f>COUNTIFS(Q1:Q61,"&gt;1,2",Q1:Q61,"&lt;=1,4")</f>
        <v>5</v>
      </c>
    </row>
    <row r="71" spans="1:17" x14ac:dyDescent="0.2">
      <c r="A71" s="330"/>
      <c r="B71" s="330"/>
      <c r="C71" s="262">
        <v>1.5</v>
      </c>
      <c r="D71" s="262">
        <f>COUNTIFS(Q1:Q61,"&gt;1,4",Q1:Q61,"&lt;=1,5")</f>
        <v>3</v>
      </c>
    </row>
    <row r="72" spans="1:17" x14ac:dyDescent="0.2">
      <c r="A72" s="330"/>
      <c r="B72" s="330"/>
      <c r="C72" s="262">
        <v>1.6</v>
      </c>
      <c r="D72" s="262">
        <f>COUNTIFS(Q1:Q61,"&gt;1,5",Q1:Q61,"&lt;=1,6")</f>
        <v>3</v>
      </c>
    </row>
    <row r="73" spans="1:17" x14ac:dyDescent="0.2">
      <c r="A73" s="330"/>
      <c r="B73" s="330"/>
      <c r="C73" s="262">
        <v>1.7</v>
      </c>
      <c r="D73" s="262">
        <f>COUNTIFS(Q1:Q61,"&gt;1,6",Q1:Q61,"&lt;=1,7")</f>
        <v>3</v>
      </c>
    </row>
    <row r="74" spans="1:17" x14ac:dyDescent="0.2">
      <c r="A74" s="330"/>
      <c r="B74" s="330"/>
      <c r="C74" s="262">
        <v>2</v>
      </c>
      <c r="D74" s="262">
        <f>COUNTIFS(Q1:Q61,"&gt;1,7",Q1:Q61,"&lt;=2")</f>
        <v>4</v>
      </c>
    </row>
    <row r="75" spans="1:17" x14ac:dyDescent="0.2">
      <c r="A75" s="330"/>
      <c r="B75" s="330"/>
      <c r="C75" s="262">
        <v>2.2999999999999998</v>
      </c>
      <c r="D75" s="262">
        <f>COUNTIFS(Q1:Q61,"&gt;2",Q1:Q61,"&lt;=2,3")</f>
        <v>2</v>
      </c>
    </row>
    <row r="76" spans="1:17" x14ac:dyDescent="0.2">
      <c r="A76" s="330"/>
      <c r="B76" s="330"/>
      <c r="C76" s="262">
        <v>2.6</v>
      </c>
      <c r="D76" s="262">
        <f>COUNTIFS(Q1:Q61,"&gt;2,3",Q1:Q61,"&lt;=2,6")</f>
        <v>6</v>
      </c>
    </row>
    <row r="77" spans="1:17" x14ac:dyDescent="0.2">
      <c r="A77" s="330"/>
      <c r="B77" s="330"/>
      <c r="C77" s="262">
        <v>2.9</v>
      </c>
      <c r="D77" s="262">
        <f>COUNTIFS(Q1:Q61,"&gt;2,6",Q1:Q61,"&lt;=2,9")</f>
        <v>0</v>
      </c>
    </row>
    <row r="78" spans="1:17" x14ac:dyDescent="0.2">
      <c r="A78" s="330"/>
      <c r="B78" s="330"/>
      <c r="C78" s="262">
        <v>3.2</v>
      </c>
      <c r="D78" s="262">
        <f>COUNTIFS(Q1:Q61,"&gt;2,9",Q1:Q61,"&lt;=3,2")</f>
        <v>0</v>
      </c>
    </row>
    <row r="79" spans="1:17" x14ac:dyDescent="0.2">
      <c r="A79" s="330"/>
      <c r="B79" s="330"/>
      <c r="C79" s="262">
        <v>3.5</v>
      </c>
      <c r="D79" s="262" t="e">
        <f>COUNTIFS(#REF!,"&gt;3,2",#REF!,"&lt;=3,5")</f>
        <v>#REF!</v>
      </c>
    </row>
    <row r="80" spans="1:17" x14ac:dyDescent="0.2">
      <c r="A80" s="330"/>
      <c r="B80" s="330"/>
      <c r="C80" s="262">
        <v>3.8</v>
      </c>
      <c r="D80" s="262" t="e">
        <f>COUNTIFS(#REF!,"&gt;3,5",#REF!,"&lt;=3,8")</f>
        <v>#REF!</v>
      </c>
    </row>
    <row r="81" spans="1:4" x14ac:dyDescent="0.2">
      <c r="A81" s="330"/>
      <c r="B81" s="330"/>
      <c r="C81" s="262">
        <v>4.0999999999999996</v>
      </c>
      <c r="D81" s="262" t="e">
        <f>COUNTIFS(#REF!,"&gt;3,8",#REF!,"&lt;=4,1")</f>
        <v>#REF!</v>
      </c>
    </row>
    <row r="82" spans="1:4" x14ac:dyDescent="0.2">
      <c r="A82" s="330"/>
      <c r="B82" s="330"/>
      <c r="C82" s="262">
        <v>4.4000000000000004</v>
      </c>
      <c r="D82" s="262" t="e">
        <f>COUNTIFS(#REF!,"&gt;4,1",#REF!,"&lt;=4,4")</f>
        <v>#REF!</v>
      </c>
    </row>
    <row r="83" spans="1:4" x14ac:dyDescent="0.2">
      <c r="A83" s="330"/>
      <c r="B83" s="330"/>
      <c r="C83" s="262">
        <v>4.7</v>
      </c>
      <c r="D83" s="262" t="e">
        <f>COUNTIFS(#REF!,"&gt;4,4",#REF!,"&lt;=4,7")</f>
        <v>#REF!</v>
      </c>
    </row>
    <row r="84" spans="1:4" x14ac:dyDescent="0.2">
      <c r="A84" s="330"/>
      <c r="B84" s="330"/>
      <c r="C84" s="262">
        <v>5</v>
      </c>
      <c r="D84" s="262" t="e">
        <f>COUNTIFS(#REF!,"&gt;4,7")</f>
        <v>#REF!</v>
      </c>
    </row>
    <row r="85" spans="1:4" ht="15" x14ac:dyDescent="0.25">
      <c r="A85" s="330"/>
      <c r="B85" s="330"/>
      <c r="C85" s="263" t="s">
        <v>506</v>
      </c>
      <c r="D85" s="263">
        <f>SUM(D65:D78)</f>
        <v>61</v>
      </c>
    </row>
  </sheetData>
  <mergeCells count="1">
    <mergeCell ref="A64:C64"/>
  </mergeCells>
  <pageMargins left="0.511811024" right="0.511811024" top="0.78740157499999996" bottom="0.78740157499999996" header="0.31496062000000002" footer="0.31496062000000002"/>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workbookViewId="0">
      <selection activeCell="B7" sqref="B7"/>
    </sheetView>
  </sheetViews>
  <sheetFormatPr defaultRowHeight="12.75" x14ac:dyDescent="0.2"/>
  <sheetData>
    <row r="1" spans="1:8" x14ac:dyDescent="0.2">
      <c r="A1" t="s">
        <v>578</v>
      </c>
    </row>
    <row r="3" spans="1:8" x14ac:dyDescent="0.2">
      <c r="A3" s="637" t="s">
        <v>587</v>
      </c>
      <c r="B3" s="637"/>
      <c r="C3" s="637"/>
      <c r="D3" s="637"/>
      <c r="E3" s="637"/>
      <c r="F3" s="637"/>
      <c r="G3" s="637"/>
      <c r="H3" s="637"/>
    </row>
    <row r="4" spans="1:8" x14ac:dyDescent="0.2">
      <c r="C4" s="261" t="s">
        <v>581</v>
      </c>
      <c r="D4" s="267" t="s">
        <v>580</v>
      </c>
      <c r="E4" s="267" t="s">
        <v>579</v>
      </c>
      <c r="G4" s="267" t="s">
        <v>580</v>
      </c>
      <c r="H4" s="267" t="s">
        <v>579</v>
      </c>
    </row>
    <row r="5" spans="1:8" x14ac:dyDescent="0.2">
      <c r="C5" s="261" t="s">
        <v>582</v>
      </c>
      <c r="D5">
        <v>11.1</v>
      </c>
      <c r="E5">
        <v>14.52</v>
      </c>
      <c r="F5" s="261">
        <v>1</v>
      </c>
      <c r="G5">
        <f>D5*F5</f>
        <v>11.1</v>
      </c>
      <c r="H5">
        <f>E5*F5</f>
        <v>14.52</v>
      </c>
    </row>
    <row r="6" spans="1:8" x14ac:dyDescent="0.2">
      <c r="C6" s="261" t="s">
        <v>488</v>
      </c>
      <c r="D6">
        <v>11.61</v>
      </c>
      <c r="E6">
        <v>3.43</v>
      </c>
      <c r="F6" s="261">
        <v>2</v>
      </c>
      <c r="G6">
        <f t="shared" ref="G6:G9" si="0">D6*F6</f>
        <v>23.22</v>
      </c>
      <c r="H6">
        <f t="shared" ref="H6:H9" si="1">E6*F6</f>
        <v>6.86</v>
      </c>
    </row>
    <row r="7" spans="1:8" x14ac:dyDescent="0.2">
      <c r="C7" s="261" t="s">
        <v>490</v>
      </c>
      <c r="D7">
        <v>0</v>
      </c>
      <c r="E7">
        <v>79</v>
      </c>
      <c r="F7" s="261">
        <v>2</v>
      </c>
      <c r="G7">
        <f t="shared" si="0"/>
        <v>0</v>
      </c>
      <c r="H7">
        <f t="shared" si="1"/>
        <v>158</v>
      </c>
    </row>
    <row r="8" spans="1:8" x14ac:dyDescent="0.2">
      <c r="C8" s="261" t="s">
        <v>583</v>
      </c>
      <c r="D8">
        <v>0</v>
      </c>
      <c r="E8">
        <v>52.05</v>
      </c>
      <c r="F8" s="261">
        <v>2</v>
      </c>
      <c r="G8">
        <f t="shared" si="0"/>
        <v>0</v>
      </c>
      <c r="H8">
        <f t="shared" si="1"/>
        <v>104.1</v>
      </c>
    </row>
    <row r="9" spans="1:8" x14ac:dyDescent="0.2">
      <c r="C9" s="261" t="s">
        <v>584</v>
      </c>
      <c r="D9">
        <v>0</v>
      </c>
      <c r="E9">
        <v>34.33</v>
      </c>
      <c r="F9" s="261">
        <v>1</v>
      </c>
      <c r="G9">
        <f t="shared" si="0"/>
        <v>0</v>
      </c>
      <c r="H9">
        <f t="shared" si="1"/>
        <v>34.33</v>
      </c>
    </row>
    <row r="11" spans="1:8" x14ac:dyDescent="0.2">
      <c r="C11" s="261" t="s">
        <v>585</v>
      </c>
      <c r="D11">
        <v>15</v>
      </c>
      <c r="G11">
        <f>SUM(G5:G10)</f>
        <v>34.32</v>
      </c>
      <c r="H11">
        <f>SUM(H5:H10)</f>
        <v>317.81</v>
      </c>
    </row>
    <row r="13" spans="1:8" x14ac:dyDescent="0.2">
      <c r="G13" s="268">
        <f>0.5*G$11*$D11</f>
        <v>257.39999999999998</v>
      </c>
      <c r="H13" s="268">
        <f>0.5*D11*H11</f>
        <v>2383.5749999999998</v>
      </c>
    </row>
    <row r="15" spans="1:8" x14ac:dyDescent="0.2">
      <c r="F15" s="637" t="s">
        <v>586</v>
      </c>
      <c r="G15" s="637"/>
      <c r="H15" s="268">
        <f>H13-G13</f>
        <v>2126.1749999999997</v>
      </c>
    </row>
  </sheetData>
  <mergeCells count="2">
    <mergeCell ref="F15:G15"/>
    <mergeCell ref="A3:H3"/>
  </mergeCells>
  <pageMargins left="0.511811024" right="0.511811024" top="0.78740157499999996" bottom="0.78740157499999996" header="0.31496062000000002" footer="0.3149606200000000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9</vt:i4>
      </vt:variant>
      <vt:variant>
        <vt:lpstr>Intervalos nomeados</vt:lpstr>
      </vt:variant>
      <vt:variant>
        <vt:i4>12</vt:i4>
      </vt:variant>
    </vt:vector>
  </HeadingPairs>
  <TitlesOfParts>
    <vt:vector size="21" baseType="lpstr">
      <vt:lpstr>ORÇAMENTO</vt:lpstr>
      <vt:lpstr>CRONOGRAMA</vt:lpstr>
      <vt:lpstr>COMPOSIÇÕES</vt:lpstr>
      <vt:lpstr>BDI-S</vt:lpstr>
      <vt:lpstr>BDI-M</vt:lpstr>
      <vt:lpstr>planilha auxiliar</vt:lpstr>
      <vt:lpstr>ESC.</vt:lpstr>
      <vt:lpstr>PV'S</vt:lpstr>
      <vt:lpstr>Plan1</vt:lpstr>
      <vt:lpstr>'BDI-M'!Area_de_impressao</vt:lpstr>
      <vt:lpstr>'BDI-S'!Area_de_impressao</vt:lpstr>
      <vt:lpstr>COMPOSIÇÕES!Area_de_impressao</vt:lpstr>
      <vt:lpstr>CRONOGRAMA!Area_de_impressao</vt:lpstr>
      <vt:lpstr>ORÇAMENTO!Area_de_impressao</vt:lpstr>
      <vt:lpstr>'planilha auxiliar'!INTERCEPTOR_COLETORA</vt:lpstr>
      <vt:lpstr>'PV''S'!INTPARTEA</vt:lpstr>
      <vt:lpstr>'PV''S'!INTPARTEB</vt:lpstr>
      <vt:lpstr>'PV''S'!INTPARTEC</vt:lpstr>
      <vt:lpstr>'PV''S'!INTPARTED</vt:lpstr>
      <vt:lpstr>COMPOSIÇÕES!Titulos_de_impressao</vt:lpstr>
      <vt:lpstr>ORÇAMENTO!Titulos_de_impressao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PRATA</dc:title>
  <dc:creator>Sarah / OTTAWA ENGENHARIA</dc:creator>
  <cp:lastModifiedBy>Gildácio</cp:lastModifiedBy>
  <cp:lastPrinted>2017-09-20T12:52:11Z</cp:lastPrinted>
  <dcterms:created xsi:type="dcterms:W3CDTF">2011-04-01T04:23:17Z</dcterms:created>
  <dcterms:modified xsi:type="dcterms:W3CDTF">2017-09-20T13:08:40Z</dcterms:modified>
</cp:coreProperties>
</file>